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ntsbgov-my.sharepoint.com/personal/joshua_lindberg_ntsb_gov/Documents/Documents/2020/Investigations/CEN21LA025/ADS-B data/"/>
    </mc:Choice>
  </mc:AlternateContent>
  <xr:revisionPtr revIDLastSave="20" documentId="11_63916C5C66183A13B72D6576C13056FA0149462D" xr6:coauthVersionLast="45" xr6:coauthVersionMax="45" xr10:uidLastSave="{B588CD92-EB16-4BB4-9F5A-17E60BCD90AD}"/>
  <bookViews>
    <workbookView xWindow="28680" yWindow="-120" windowWidth="29040" windowHeight="16440" xr2:uid="{00000000-000D-0000-FFFF-FFFF00000000}"/>
  </bookViews>
  <sheets>
    <sheet name="20201021_A3E2C2_438560655_ADS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1" l="1"/>
  <c r="B2" i="1"/>
  <c r="C2" i="1"/>
  <c r="A3" i="1"/>
  <c r="B3" i="1"/>
  <c r="C3" i="1"/>
  <c r="A4" i="1"/>
  <c r="B4" i="1"/>
  <c r="C4" i="1"/>
  <c r="A5" i="1"/>
  <c r="B5" i="1"/>
  <c r="C5" i="1"/>
  <c r="A6" i="1"/>
  <c r="B6" i="1"/>
  <c r="C6" i="1"/>
  <c r="A7" i="1"/>
  <c r="B7" i="1"/>
  <c r="C7" i="1"/>
  <c r="M7" i="1"/>
  <c r="A8" i="1"/>
  <c r="B8" i="1"/>
  <c r="C8" i="1"/>
  <c r="M8" i="1"/>
  <c r="A9" i="1"/>
  <c r="B9" i="1"/>
  <c r="C9" i="1"/>
  <c r="M9" i="1"/>
  <c r="A10" i="1"/>
  <c r="B10" i="1"/>
  <c r="C10" i="1"/>
  <c r="M10" i="1"/>
  <c r="A11" i="1"/>
  <c r="B11" i="1"/>
  <c r="C11" i="1"/>
  <c r="M11" i="1"/>
  <c r="A12" i="1"/>
  <c r="B12" i="1"/>
  <c r="C12" i="1"/>
  <c r="M12" i="1"/>
  <c r="A13" i="1"/>
  <c r="B13" i="1"/>
  <c r="C13" i="1"/>
  <c r="M13" i="1"/>
  <c r="A14" i="1"/>
  <c r="B14" i="1"/>
  <c r="C14" i="1"/>
  <c r="M14" i="1"/>
  <c r="A15" i="1"/>
  <c r="B15" i="1"/>
  <c r="C15" i="1"/>
  <c r="M15" i="1"/>
  <c r="A16" i="1"/>
  <c r="B16" i="1"/>
  <c r="C16" i="1"/>
  <c r="M16" i="1"/>
  <c r="A17" i="1"/>
  <c r="B17" i="1"/>
  <c r="C17" i="1"/>
  <c r="M17" i="1"/>
  <c r="A18" i="1"/>
  <c r="B18" i="1"/>
  <c r="C18" i="1"/>
  <c r="M18" i="1"/>
  <c r="A19" i="1"/>
  <c r="B19" i="1"/>
  <c r="C19" i="1"/>
  <c r="M19" i="1"/>
  <c r="A20" i="1"/>
  <c r="B20" i="1"/>
  <c r="C20" i="1"/>
  <c r="M20" i="1"/>
  <c r="A21" i="1"/>
  <c r="B21" i="1"/>
  <c r="C21" i="1"/>
  <c r="M21" i="1"/>
  <c r="A22" i="1"/>
  <c r="B22" i="1"/>
  <c r="C22" i="1"/>
  <c r="M22" i="1"/>
  <c r="A23" i="1"/>
  <c r="B23" i="1"/>
  <c r="C23" i="1"/>
  <c r="M23" i="1"/>
  <c r="A24" i="1"/>
  <c r="B24" i="1"/>
  <c r="C24" i="1"/>
  <c r="M24" i="1"/>
  <c r="A25" i="1"/>
  <c r="B25" i="1"/>
  <c r="C25" i="1"/>
  <c r="M25" i="1"/>
  <c r="A26" i="1"/>
  <c r="B26" i="1"/>
  <c r="C26" i="1"/>
  <c r="M26" i="1"/>
  <c r="A27" i="1"/>
  <c r="B27" i="1"/>
  <c r="C27" i="1"/>
  <c r="M27" i="1"/>
  <c r="A28" i="1"/>
  <c r="B28" i="1"/>
  <c r="C28" i="1"/>
  <c r="M28" i="1"/>
  <c r="A29" i="1"/>
  <c r="B29" i="1"/>
  <c r="C29" i="1"/>
  <c r="M29" i="1"/>
  <c r="A30" i="1"/>
  <c r="B30" i="1"/>
  <c r="C30" i="1"/>
  <c r="M30" i="1"/>
  <c r="A31" i="1"/>
  <c r="B31" i="1"/>
  <c r="C31" i="1"/>
  <c r="M31" i="1"/>
  <c r="A32" i="1"/>
  <c r="B32" i="1"/>
  <c r="C32" i="1"/>
  <c r="M32" i="1"/>
  <c r="A33" i="1"/>
  <c r="B33" i="1"/>
  <c r="C33" i="1"/>
  <c r="M33" i="1"/>
  <c r="A34" i="1"/>
  <c r="B34" i="1"/>
  <c r="C34" i="1"/>
  <c r="M34" i="1"/>
  <c r="A35" i="1"/>
  <c r="B35" i="1"/>
  <c r="C35" i="1"/>
  <c r="M35" i="1"/>
  <c r="A36" i="1"/>
  <c r="B36" i="1"/>
  <c r="C36" i="1"/>
  <c r="M36" i="1"/>
  <c r="A37" i="1"/>
  <c r="B37" i="1"/>
  <c r="C37" i="1"/>
  <c r="M37" i="1"/>
  <c r="A38" i="1"/>
  <c r="B38" i="1"/>
  <c r="C38" i="1"/>
  <c r="M38" i="1"/>
  <c r="A39" i="1"/>
  <c r="B39" i="1"/>
  <c r="C39" i="1"/>
  <c r="M39" i="1"/>
  <c r="A40" i="1"/>
  <c r="B40" i="1"/>
  <c r="C40" i="1"/>
  <c r="M40" i="1"/>
  <c r="A41" i="1"/>
  <c r="B41" i="1"/>
  <c r="C41" i="1"/>
  <c r="M41" i="1"/>
  <c r="A42" i="1"/>
  <c r="B42" i="1"/>
  <c r="C42" i="1"/>
  <c r="M42" i="1"/>
  <c r="A43" i="1"/>
  <c r="B43" i="1"/>
  <c r="C43" i="1"/>
  <c r="M43" i="1"/>
  <c r="A44" i="1"/>
  <c r="B44" i="1"/>
  <c r="C44" i="1"/>
  <c r="M44" i="1"/>
  <c r="A45" i="1"/>
  <c r="B45" i="1"/>
  <c r="C45" i="1"/>
  <c r="M45" i="1"/>
  <c r="A46" i="1"/>
  <c r="B46" i="1"/>
  <c r="C46" i="1"/>
  <c r="M46" i="1"/>
  <c r="A47" i="1"/>
  <c r="B47" i="1"/>
  <c r="C47" i="1"/>
  <c r="M47" i="1"/>
  <c r="A48" i="1"/>
  <c r="B48" i="1"/>
  <c r="C48" i="1"/>
  <c r="M48" i="1"/>
  <c r="A49" i="1"/>
  <c r="B49" i="1"/>
  <c r="C49" i="1"/>
  <c r="M49" i="1"/>
  <c r="A50" i="1"/>
  <c r="B50" i="1"/>
  <c r="C50" i="1"/>
  <c r="M50" i="1"/>
  <c r="A51" i="1"/>
  <c r="B51" i="1"/>
  <c r="C51" i="1"/>
  <c r="M51" i="1"/>
  <c r="A52" i="1"/>
  <c r="B52" i="1"/>
  <c r="C52" i="1"/>
  <c r="M52" i="1"/>
  <c r="A53" i="1"/>
  <c r="B53" i="1"/>
  <c r="C53" i="1"/>
  <c r="M53" i="1"/>
  <c r="A54" i="1"/>
  <c r="B54" i="1"/>
  <c r="C54" i="1"/>
  <c r="M54" i="1"/>
  <c r="A55" i="1"/>
  <c r="B55" i="1"/>
  <c r="C55" i="1"/>
  <c r="M55" i="1"/>
  <c r="A56" i="1"/>
  <c r="B56" i="1"/>
  <c r="C56" i="1"/>
  <c r="M56" i="1"/>
  <c r="A57" i="1"/>
  <c r="B57" i="1"/>
  <c r="C57" i="1"/>
  <c r="M57" i="1"/>
  <c r="A58" i="1"/>
  <c r="B58" i="1"/>
  <c r="C58" i="1"/>
  <c r="M58" i="1"/>
  <c r="A59" i="1"/>
  <c r="B59" i="1"/>
  <c r="C59" i="1"/>
  <c r="M59" i="1"/>
  <c r="A60" i="1"/>
  <c r="B60" i="1"/>
  <c r="C60" i="1"/>
  <c r="M60" i="1"/>
  <c r="A61" i="1"/>
  <c r="B61" i="1"/>
  <c r="C61" i="1"/>
  <c r="M61" i="1"/>
  <c r="A62" i="1"/>
  <c r="B62" i="1"/>
  <c r="C62" i="1"/>
  <c r="M62" i="1"/>
  <c r="A63" i="1"/>
  <c r="B63" i="1"/>
  <c r="C63" i="1"/>
  <c r="M63" i="1"/>
  <c r="A64" i="1"/>
  <c r="B64" i="1"/>
  <c r="C64" i="1"/>
  <c r="M64" i="1"/>
  <c r="A65" i="1"/>
  <c r="B65" i="1"/>
  <c r="C65" i="1"/>
  <c r="M65" i="1"/>
  <c r="A66" i="1"/>
  <c r="B66" i="1"/>
  <c r="C66" i="1"/>
  <c r="M66" i="1"/>
  <c r="A67" i="1"/>
  <c r="B67" i="1"/>
  <c r="C67" i="1"/>
  <c r="M67" i="1"/>
  <c r="A68" i="1"/>
  <c r="B68" i="1"/>
  <c r="C68" i="1"/>
  <c r="M68" i="1"/>
  <c r="A69" i="1"/>
  <c r="B69" i="1"/>
  <c r="C69" i="1"/>
  <c r="M69" i="1"/>
  <c r="A70" i="1"/>
  <c r="B70" i="1"/>
  <c r="C70" i="1"/>
  <c r="M70" i="1"/>
  <c r="A71" i="1"/>
  <c r="B71" i="1"/>
  <c r="C71" i="1"/>
  <c r="M71" i="1"/>
  <c r="A72" i="1"/>
  <c r="B72" i="1"/>
  <c r="C72" i="1"/>
  <c r="M72" i="1"/>
  <c r="A73" i="1"/>
  <c r="B73" i="1"/>
  <c r="C73" i="1"/>
  <c r="M73" i="1"/>
  <c r="A74" i="1"/>
  <c r="B74" i="1"/>
  <c r="C74" i="1"/>
  <c r="M74" i="1"/>
  <c r="A75" i="1"/>
  <c r="B75" i="1"/>
  <c r="C75" i="1"/>
  <c r="M75" i="1"/>
  <c r="A76" i="1"/>
  <c r="B76" i="1"/>
  <c r="C76" i="1"/>
  <c r="M76" i="1"/>
  <c r="A77" i="1"/>
  <c r="B77" i="1"/>
  <c r="C77" i="1"/>
  <c r="M77" i="1"/>
  <c r="A78" i="1"/>
  <c r="B78" i="1"/>
  <c r="C78" i="1"/>
  <c r="M78" i="1"/>
  <c r="A79" i="1"/>
  <c r="B79" i="1"/>
  <c r="C79" i="1"/>
  <c r="M79" i="1"/>
  <c r="A80" i="1"/>
  <c r="B80" i="1"/>
  <c r="C80" i="1"/>
  <c r="M80" i="1"/>
  <c r="A81" i="1"/>
  <c r="B81" i="1"/>
  <c r="C81" i="1"/>
  <c r="M81" i="1"/>
  <c r="A82" i="1"/>
  <c r="B82" i="1"/>
  <c r="C82" i="1"/>
  <c r="M82" i="1"/>
  <c r="A83" i="1"/>
  <c r="B83" i="1"/>
  <c r="C83" i="1"/>
  <c r="M83" i="1"/>
  <c r="A84" i="1"/>
  <c r="B84" i="1"/>
  <c r="C84" i="1"/>
  <c r="M84" i="1"/>
  <c r="A85" i="1"/>
  <c r="B85" i="1"/>
  <c r="C85" i="1"/>
  <c r="M85" i="1"/>
  <c r="A86" i="1"/>
  <c r="B86" i="1"/>
  <c r="C86" i="1"/>
  <c r="M86" i="1"/>
  <c r="A87" i="1"/>
  <c r="B87" i="1"/>
  <c r="C87" i="1"/>
  <c r="M87" i="1"/>
  <c r="A88" i="1"/>
  <c r="B88" i="1"/>
  <c r="C88" i="1"/>
  <c r="M88" i="1"/>
  <c r="A89" i="1"/>
  <c r="B89" i="1"/>
  <c r="C89" i="1"/>
  <c r="M89" i="1"/>
  <c r="A90" i="1"/>
  <c r="B90" i="1"/>
  <c r="C90" i="1"/>
  <c r="M90" i="1"/>
  <c r="A91" i="1"/>
  <c r="B91" i="1"/>
  <c r="C91" i="1"/>
  <c r="M91" i="1"/>
  <c r="A92" i="1"/>
  <c r="B92" i="1"/>
  <c r="C92" i="1"/>
  <c r="M92" i="1"/>
  <c r="A93" i="1"/>
  <c r="B93" i="1"/>
  <c r="C93" i="1"/>
  <c r="M93" i="1"/>
  <c r="A94" i="1"/>
  <c r="B94" i="1"/>
  <c r="C94" i="1"/>
  <c r="M94" i="1"/>
  <c r="A95" i="1"/>
  <c r="B95" i="1"/>
  <c r="C95" i="1"/>
  <c r="M95" i="1"/>
  <c r="A96" i="1"/>
  <c r="B96" i="1"/>
  <c r="C96" i="1"/>
  <c r="M96" i="1"/>
  <c r="A97" i="1"/>
  <c r="B97" i="1"/>
  <c r="C97" i="1"/>
  <c r="M97" i="1"/>
  <c r="A98" i="1"/>
  <c r="B98" i="1"/>
  <c r="C98" i="1"/>
  <c r="M98" i="1"/>
  <c r="A99" i="1"/>
  <c r="B99" i="1"/>
  <c r="C99" i="1"/>
  <c r="M99" i="1"/>
  <c r="A100" i="1"/>
  <c r="B100" i="1"/>
  <c r="C100" i="1"/>
  <c r="M100" i="1"/>
  <c r="A101" i="1"/>
  <c r="B101" i="1"/>
  <c r="C101" i="1"/>
  <c r="M101" i="1"/>
  <c r="A102" i="1"/>
  <c r="B102" i="1"/>
  <c r="C102" i="1"/>
  <c r="M102" i="1"/>
  <c r="A103" i="1"/>
  <c r="B103" i="1"/>
  <c r="C103" i="1"/>
  <c r="M103" i="1"/>
  <c r="A104" i="1"/>
  <c r="B104" i="1"/>
  <c r="C104" i="1"/>
  <c r="M104" i="1"/>
  <c r="A105" i="1"/>
  <c r="B105" i="1"/>
  <c r="C105" i="1"/>
  <c r="M105" i="1"/>
  <c r="A106" i="1"/>
  <c r="B106" i="1"/>
  <c r="C106" i="1"/>
  <c r="M106" i="1"/>
  <c r="A107" i="1"/>
  <c r="B107" i="1"/>
  <c r="C107" i="1"/>
  <c r="M107" i="1"/>
  <c r="A108" i="1"/>
  <c r="B108" i="1"/>
  <c r="C108" i="1"/>
  <c r="M108" i="1"/>
  <c r="A109" i="1"/>
  <c r="B109" i="1"/>
  <c r="C109" i="1"/>
  <c r="M109" i="1"/>
  <c r="A110" i="1"/>
  <c r="B110" i="1"/>
  <c r="C110" i="1"/>
  <c r="M110" i="1"/>
  <c r="A111" i="1"/>
  <c r="B111" i="1"/>
  <c r="C111" i="1"/>
  <c r="M111" i="1"/>
  <c r="A112" i="1"/>
  <c r="B112" i="1"/>
  <c r="C112" i="1"/>
  <c r="M112" i="1"/>
  <c r="A113" i="1"/>
  <c r="B113" i="1"/>
  <c r="C113" i="1"/>
  <c r="M113" i="1"/>
  <c r="A114" i="1"/>
  <c r="B114" i="1"/>
  <c r="C114" i="1"/>
  <c r="M114" i="1"/>
  <c r="A115" i="1"/>
  <c r="B115" i="1"/>
  <c r="C115" i="1"/>
  <c r="M115" i="1"/>
  <c r="A116" i="1"/>
  <c r="B116" i="1"/>
  <c r="C116" i="1"/>
  <c r="M116" i="1"/>
  <c r="A117" i="1"/>
  <c r="B117" i="1"/>
  <c r="C117" i="1"/>
  <c r="M117" i="1"/>
  <c r="A118" i="1"/>
  <c r="B118" i="1"/>
  <c r="C118" i="1"/>
  <c r="M118" i="1"/>
  <c r="A119" i="1"/>
  <c r="B119" i="1"/>
  <c r="C119" i="1"/>
  <c r="M119" i="1"/>
  <c r="A120" i="1"/>
  <c r="B120" i="1"/>
  <c r="C120" i="1"/>
  <c r="M120" i="1"/>
  <c r="A121" i="1"/>
  <c r="B121" i="1"/>
  <c r="C121" i="1"/>
  <c r="M121" i="1"/>
  <c r="A122" i="1"/>
  <c r="B122" i="1"/>
  <c r="C122" i="1"/>
  <c r="M122" i="1"/>
  <c r="A123" i="1"/>
  <c r="B123" i="1"/>
  <c r="C123" i="1"/>
  <c r="M123" i="1"/>
  <c r="A124" i="1"/>
  <c r="B124" i="1"/>
  <c r="C124" i="1"/>
  <c r="M124" i="1"/>
  <c r="A125" i="1"/>
  <c r="B125" i="1"/>
  <c r="C125" i="1"/>
  <c r="M125" i="1"/>
  <c r="A126" i="1"/>
  <c r="B126" i="1"/>
  <c r="C126" i="1"/>
  <c r="M126" i="1"/>
  <c r="A127" i="1"/>
  <c r="B127" i="1"/>
  <c r="C127" i="1"/>
  <c r="M127" i="1"/>
  <c r="A128" i="1"/>
  <c r="B128" i="1"/>
  <c r="C128" i="1"/>
  <c r="M128" i="1"/>
  <c r="A129" i="1"/>
  <c r="B129" i="1"/>
  <c r="C129" i="1"/>
  <c r="M129" i="1"/>
  <c r="A130" i="1"/>
  <c r="B130" i="1"/>
  <c r="C130" i="1"/>
  <c r="M130" i="1"/>
  <c r="A131" i="1"/>
  <c r="B131" i="1"/>
  <c r="C131" i="1"/>
  <c r="M131" i="1"/>
  <c r="A132" i="1"/>
  <c r="B132" i="1"/>
  <c r="C132" i="1"/>
  <c r="M132" i="1"/>
  <c r="A133" i="1"/>
  <c r="B133" i="1"/>
  <c r="C133" i="1"/>
  <c r="M133" i="1"/>
  <c r="A134" i="1"/>
  <c r="B134" i="1"/>
  <c r="C134" i="1"/>
  <c r="M134" i="1"/>
  <c r="A135" i="1"/>
  <c r="B135" i="1"/>
  <c r="C135" i="1"/>
  <c r="M135" i="1"/>
  <c r="A136" i="1"/>
  <c r="B136" i="1"/>
  <c r="C136" i="1"/>
  <c r="M136" i="1"/>
  <c r="A137" i="1"/>
  <c r="B137" i="1"/>
  <c r="C137" i="1"/>
  <c r="M137" i="1"/>
  <c r="A138" i="1"/>
  <c r="B138" i="1"/>
  <c r="C138" i="1"/>
  <c r="M138" i="1"/>
  <c r="A139" i="1"/>
  <c r="B139" i="1"/>
  <c r="C139" i="1"/>
  <c r="M139" i="1"/>
  <c r="A140" i="1"/>
  <c r="B140" i="1"/>
  <c r="C140" i="1"/>
  <c r="M140" i="1"/>
  <c r="A141" i="1"/>
  <c r="B141" i="1"/>
  <c r="C141" i="1"/>
  <c r="M141" i="1"/>
  <c r="A142" i="1"/>
  <c r="B142" i="1"/>
  <c r="C142" i="1"/>
  <c r="M142" i="1"/>
  <c r="A143" i="1"/>
  <c r="B143" i="1"/>
  <c r="C143" i="1"/>
  <c r="M143" i="1"/>
  <c r="A144" i="1"/>
  <c r="B144" i="1"/>
  <c r="C144" i="1"/>
  <c r="M144" i="1"/>
  <c r="A145" i="1"/>
  <c r="B145" i="1"/>
  <c r="C145" i="1"/>
  <c r="M145" i="1"/>
  <c r="A146" i="1"/>
  <c r="B146" i="1"/>
  <c r="C146" i="1"/>
  <c r="M146" i="1"/>
  <c r="A147" i="1"/>
  <c r="B147" i="1"/>
  <c r="C147" i="1"/>
  <c r="M147" i="1"/>
  <c r="A148" i="1"/>
  <c r="B148" i="1"/>
  <c r="C148" i="1"/>
  <c r="M148" i="1"/>
  <c r="A149" i="1"/>
  <c r="B149" i="1"/>
  <c r="C149" i="1"/>
  <c r="M149" i="1"/>
  <c r="A150" i="1"/>
  <c r="B150" i="1"/>
  <c r="C150" i="1"/>
  <c r="M150" i="1"/>
  <c r="A151" i="1"/>
  <c r="B151" i="1"/>
  <c r="C151" i="1"/>
  <c r="M151" i="1"/>
  <c r="A152" i="1"/>
  <c r="B152" i="1"/>
  <c r="C152" i="1"/>
  <c r="M152" i="1"/>
  <c r="A153" i="1"/>
  <c r="B153" i="1"/>
  <c r="C153" i="1"/>
  <c r="M153" i="1"/>
  <c r="A154" i="1"/>
  <c r="B154" i="1"/>
  <c r="C154" i="1"/>
  <c r="M154" i="1"/>
  <c r="A155" i="1"/>
  <c r="B155" i="1"/>
  <c r="C155" i="1"/>
  <c r="M155" i="1"/>
  <c r="A156" i="1"/>
  <c r="B156" i="1"/>
  <c r="C156" i="1"/>
  <c r="M156" i="1"/>
  <c r="A157" i="1"/>
  <c r="B157" i="1"/>
  <c r="C157" i="1"/>
  <c r="M157" i="1"/>
  <c r="A158" i="1"/>
  <c r="B158" i="1"/>
  <c r="C158" i="1"/>
  <c r="M158" i="1"/>
  <c r="A159" i="1"/>
  <c r="B159" i="1"/>
  <c r="C159" i="1"/>
  <c r="M159" i="1"/>
  <c r="A160" i="1"/>
  <c r="B160" i="1"/>
  <c r="C160" i="1"/>
  <c r="M160" i="1"/>
  <c r="A161" i="1"/>
  <c r="B161" i="1"/>
  <c r="C161" i="1"/>
  <c r="M161" i="1"/>
  <c r="A162" i="1"/>
  <c r="B162" i="1"/>
  <c r="C162" i="1"/>
  <c r="M162" i="1"/>
  <c r="A163" i="1"/>
  <c r="B163" i="1"/>
  <c r="C163" i="1"/>
  <c r="M163" i="1"/>
  <c r="A164" i="1"/>
  <c r="B164" i="1"/>
  <c r="C164" i="1"/>
  <c r="M164" i="1"/>
  <c r="A165" i="1"/>
  <c r="B165" i="1"/>
  <c r="C165" i="1"/>
  <c r="M165" i="1"/>
  <c r="A166" i="1"/>
  <c r="B166" i="1"/>
  <c r="C166" i="1"/>
  <c r="M166" i="1"/>
  <c r="A167" i="1"/>
  <c r="B167" i="1"/>
  <c r="C167" i="1"/>
  <c r="M167" i="1"/>
  <c r="A168" i="1"/>
  <c r="B168" i="1"/>
  <c r="C168" i="1"/>
  <c r="M168" i="1"/>
  <c r="A169" i="1"/>
  <c r="B169" i="1"/>
  <c r="C169" i="1"/>
  <c r="M169" i="1"/>
  <c r="A170" i="1"/>
  <c r="B170" i="1"/>
  <c r="C170" i="1"/>
  <c r="M170" i="1"/>
  <c r="A171" i="1"/>
  <c r="B171" i="1"/>
  <c r="C171" i="1"/>
  <c r="M171" i="1"/>
  <c r="A172" i="1"/>
  <c r="B172" i="1"/>
  <c r="C172" i="1"/>
  <c r="M172" i="1"/>
  <c r="A173" i="1"/>
  <c r="B173" i="1"/>
  <c r="C173" i="1"/>
  <c r="M173" i="1"/>
  <c r="A174" i="1"/>
  <c r="B174" i="1"/>
  <c r="C174" i="1"/>
  <c r="M174" i="1"/>
  <c r="A175" i="1"/>
  <c r="B175" i="1"/>
  <c r="C175" i="1"/>
  <c r="M175" i="1"/>
  <c r="A176" i="1"/>
  <c r="B176" i="1"/>
  <c r="C176" i="1"/>
  <c r="M176" i="1"/>
  <c r="A177" i="1"/>
  <c r="B177" i="1"/>
  <c r="C177" i="1"/>
  <c r="M177" i="1"/>
  <c r="A178" i="1"/>
  <c r="B178" i="1"/>
  <c r="C178" i="1"/>
  <c r="M178" i="1"/>
  <c r="A179" i="1"/>
  <c r="B179" i="1"/>
  <c r="C179" i="1"/>
  <c r="M179" i="1"/>
  <c r="A180" i="1"/>
  <c r="B180" i="1"/>
  <c r="C180" i="1"/>
  <c r="M180" i="1"/>
  <c r="A181" i="1"/>
  <c r="B181" i="1"/>
  <c r="C181" i="1"/>
  <c r="M181" i="1"/>
  <c r="A182" i="1"/>
  <c r="B182" i="1"/>
  <c r="C182" i="1"/>
  <c r="M182" i="1"/>
  <c r="A183" i="1"/>
  <c r="B183" i="1"/>
  <c r="C183" i="1"/>
  <c r="M183" i="1"/>
  <c r="A184" i="1"/>
  <c r="B184" i="1"/>
  <c r="C184" i="1"/>
  <c r="M184" i="1"/>
  <c r="A185" i="1"/>
  <c r="B185" i="1"/>
  <c r="C185" i="1"/>
  <c r="M185" i="1"/>
  <c r="A186" i="1"/>
  <c r="B186" i="1"/>
  <c r="C186" i="1"/>
  <c r="M186" i="1"/>
  <c r="A187" i="1"/>
  <c r="B187" i="1"/>
  <c r="C187" i="1"/>
  <c r="M187" i="1"/>
  <c r="A188" i="1"/>
  <c r="B188" i="1"/>
  <c r="C188" i="1"/>
  <c r="M188" i="1"/>
  <c r="A189" i="1"/>
  <c r="B189" i="1"/>
  <c r="C189" i="1"/>
  <c r="M189" i="1"/>
  <c r="A190" i="1"/>
  <c r="B190" i="1"/>
  <c r="C190" i="1"/>
  <c r="M190" i="1"/>
  <c r="A191" i="1"/>
  <c r="B191" i="1"/>
  <c r="C191" i="1"/>
  <c r="M191" i="1"/>
  <c r="A192" i="1"/>
  <c r="B192" i="1"/>
  <c r="C192" i="1"/>
  <c r="M192" i="1"/>
  <c r="A193" i="1"/>
  <c r="B193" i="1"/>
  <c r="C193" i="1"/>
  <c r="M193" i="1"/>
  <c r="A194" i="1"/>
  <c r="B194" i="1"/>
  <c r="C194" i="1"/>
  <c r="M194" i="1"/>
  <c r="A195" i="1"/>
  <c r="B195" i="1"/>
  <c r="C195" i="1"/>
  <c r="M195" i="1"/>
  <c r="A196" i="1"/>
  <c r="B196" i="1"/>
  <c r="C196" i="1"/>
  <c r="M196" i="1"/>
  <c r="A197" i="1"/>
  <c r="B197" i="1"/>
  <c r="C197" i="1"/>
  <c r="M197" i="1"/>
  <c r="A198" i="1"/>
  <c r="B198" i="1"/>
  <c r="C198" i="1"/>
  <c r="M198" i="1"/>
  <c r="A199" i="1"/>
  <c r="B199" i="1"/>
  <c r="C199" i="1"/>
  <c r="M199" i="1"/>
  <c r="A200" i="1"/>
  <c r="B200" i="1"/>
  <c r="C200" i="1"/>
  <c r="M200" i="1"/>
  <c r="A201" i="1"/>
  <c r="B201" i="1"/>
  <c r="C201" i="1"/>
  <c r="M201" i="1"/>
  <c r="A202" i="1"/>
  <c r="B202" i="1"/>
  <c r="C202" i="1"/>
  <c r="M202" i="1"/>
  <c r="A203" i="1"/>
  <c r="B203" i="1"/>
  <c r="C203" i="1"/>
  <c r="M203" i="1"/>
  <c r="A204" i="1"/>
  <c r="B204" i="1"/>
  <c r="C204" i="1"/>
  <c r="M204" i="1"/>
  <c r="A205" i="1"/>
  <c r="B205" i="1"/>
  <c r="C205" i="1"/>
  <c r="M205" i="1"/>
  <c r="A206" i="1"/>
  <c r="B206" i="1"/>
  <c r="C206" i="1"/>
  <c r="M206" i="1"/>
  <c r="A207" i="1"/>
  <c r="B207" i="1"/>
  <c r="C207" i="1"/>
  <c r="M207" i="1"/>
  <c r="A208" i="1"/>
  <c r="B208" i="1"/>
  <c r="C208" i="1"/>
  <c r="M208" i="1"/>
  <c r="A209" i="1"/>
  <c r="B209" i="1"/>
  <c r="C209" i="1"/>
  <c r="M209" i="1"/>
  <c r="A210" i="1"/>
  <c r="B210" i="1"/>
  <c r="C210" i="1"/>
  <c r="M210" i="1"/>
  <c r="A211" i="1"/>
  <c r="B211" i="1"/>
  <c r="C211" i="1"/>
  <c r="M211" i="1"/>
  <c r="A212" i="1"/>
  <c r="B212" i="1"/>
  <c r="C212" i="1"/>
  <c r="M212" i="1"/>
  <c r="A213" i="1"/>
  <c r="B213" i="1"/>
  <c r="C213" i="1"/>
  <c r="M213" i="1"/>
  <c r="A214" i="1"/>
  <c r="B214" i="1"/>
  <c r="C214" i="1"/>
  <c r="M214" i="1"/>
  <c r="A215" i="1"/>
  <c r="B215" i="1"/>
  <c r="C215" i="1"/>
  <c r="M215" i="1"/>
  <c r="A216" i="1"/>
  <c r="B216" i="1"/>
  <c r="C216" i="1"/>
  <c r="M216" i="1"/>
  <c r="A217" i="1"/>
  <c r="B217" i="1"/>
  <c r="C217" i="1"/>
  <c r="M217" i="1"/>
  <c r="A218" i="1"/>
  <c r="B218" i="1"/>
  <c r="C218" i="1"/>
  <c r="M218" i="1"/>
  <c r="A219" i="1"/>
  <c r="B219" i="1"/>
  <c r="C219" i="1"/>
  <c r="M219" i="1"/>
  <c r="A220" i="1"/>
  <c r="B220" i="1"/>
  <c r="C220" i="1"/>
  <c r="M220" i="1"/>
  <c r="A221" i="1"/>
  <c r="B221" i="1"/>
  <c r="C221" i="1"/>
  <c r="M221" i="1"/>
  <c r="A222" i="1"/>
  <c r="B222" i="1"/>
  <c r="C222" i="1"/>
  <c r="M222" i="1"/>
  <c r="A223" i="1"/>
  <c r="B223" i="1"/>
  <c r="C223" i="1"/>
  <c r="M223" i="1"/>
  <c r="A224" i="1"/>
  <c r="B224" i="1"/>
  <c r="C224" i="1"/>
  <c r="M224" i="1"/>
  <c r="A225" i="1"/>
  <c r="B225" i="1"/>
  <c r="C225" i="1"/>
  <c r="M225" i="1"/>
  <c r="A226" i="1"/>
  <c r="B226" i="1"/>
  <c r="C226" i="1"/>
  <c r="M226" i="1"/>
  <c r="A227" i="1"/>
  <c r="B227" i="1"/>
  <c r="C227" i="1"/>
  <c r="M227" i="1"/>
  <c r="A228" i="1"/>
  <c r="B228" i="1"/>
  <c r="C228" i="1"/>
  <c r="M228" i="1"/>
  <c r="A229" i="1"/>
  <c r="B229" i="1"/>
  <c r="C229" i="1"/>
  <c r="M229" i="1"/>
  <c r="A230" i="1"/>
  <c r="B230" i="1"/>
  <c r="C230" i="1"/>
  <c r="M230" i="1"/>
  <c r="A231" i="1"/>
  <c r="B231" i="1"/>
  <c r="C231" i="1"/>
  <c r="M231" i="1"/>
  <c r="A232" i="1"/>
  <c r="B232" i="1"/>
  <c r="C232" i="1"/>
  <c r="M232" i="1"/>
  <c r="A233" i="1"/>
  <c r="B233" i="1"/>
  <c r="C233" i="1"/>
  <c r="M233" i="1"/>
  <c r="A234" i="1"/>
  <c r="B234" i="1"/>
  <c r="C234" i="1"/>
  <c r="M234" i="1"/>
  <c r="A235" i="1"/>
  <c r="B235" i="1"/>
  <c r="C235" i="1"/>
  <c r="M235" i="1"/>
  <c r="A236" i="1"/>
  <c r="B236" i="1"/>
  <c r="C236" i="1"/>
  <c r="M236" i="1"/>
  <c r="A237" i="1"/>
  <c r="B237" i="1"/>
  <c r="C237" i="1"/>
  <c r="M237" i="1"/>
  <c r="A238" i="1"/>
  <c r="B238" i="1"/>
  <c r="C238" i="1"/>
  <c r="M238" i="1"/>
  <c r="A239" i="1"/>
  <c r="B239" i="1"/>
  <c r="C239" i="1"/>
  <c r="M239" i="1"/>
  <c r="A240" i="1"/>
  <c r="B240" i="1"/>
  <c r="C240" i="1"/>
  <c r="M240" i="1"/>
  <c r="A241" i="1"/>
  <c r="B241" i="1"/>
  <c r="C241" i="1"/>
  <c r="M241" i="1"/>
  <c r="A242" i="1"/>
  <c r="B242" i="1"/>
  <c r="C242" i="1"/>
  <c r="M242" i="1"/>
  <c r="A243" i="1"/>
  <c r="B243" i="1"/>
  <c r="C243" i="1"/>
  <c r="M243" i="1"/>
  <c r="A244" i="1"/>
  <c r="B244" i="1"/>
  <c r="C244" i="1"/>
  <c r="M244" i="1"/>
  <c r="A245" i="1"/>
  <c r="B245" i="1"/>
  <c r="C245" i="1"/>
  <c r="M245" i="1"/>
  <c r="A246" i="1"/>
  <c r="B246" i="1"/>
  <c r="C246" i="1"/>
  <c r="M246" i="1"/>
  <c r="A247" i="1"/>
  <c r="B247" i="1"/>
  <c r="C247" i="1"/>
  <c r="M247" i="1"/>
  <c r="A248" i="1"/>
  <c r="B248" i="1"/>
  <c r="C248" i="1"/>
  <c r="M248" i="1"/>
  <c r="A249" i="1"/>
  <c r="B249" i="1"/>
  <c r="C249" i="1"/>
  <c r="M249" i="1"/>
  <c r="A250" i="1"/>
  <c r="B250" i="1"/>
  <c r="C250" i="1"/>
  <c r="M250" i="1"/>
  <c r="A251" i="1"/>
  <c r="B251" i="1"/>
  <c r="C251" i="1"/>
  <c r="M251" i="1"/>
  <c r="A252" i="1"/>
  <c r="B252" i="1"/>
  <c r="C252" i="1"/>
  <c r="M252" i="1"/>
  <c r="A253" i="1"/>
  <c r="B253" i="1"/>
  <c r="C253" i="1"/>
  <c r="M253" i="1"/>
  <c r="A254" i="1"/>
  <c r="B254" i="1"/>
  <c r="C254" i="1"/>
  <c r="M254" i="1"/>
  <c r="A255" i="1"/>
  <c r="B255" i="1"/>
  <c r="C255" i="1"/>
  <c r="M255" i="1"/>
  <c r="A256" i="1"/>
  <c r="B256" i="1"/>
  <c r="C256" i="1"/>
  <c r="M256" i="1"/>
  <c r="A257" i="1"/>
  <c r="B257" i="1"/>
  <c r="C257" i="1"/>
  <c r="M257" i="1"/>
  <c r="A258" i="1"/>
  <c r="B258" i="1"/>
  <c r="C258" i="1"/>
  <c r="M258" i="1"/>
  <c r="A259" i="1"/>
  <c r="B259" i="1"/>
  <c r="C259" i="1"/>
  <c r="M259" i="1"/>
  <c r="A260" i="1"/>
  <c r="B260" i="1"/>
  <c r="C260" i="1"/>
  <c r="M260" i="1"/>
  <c r="A261" i="1"/>
  <c r="B261" i="1"/>
  <c r="C261" i="1"/>
  <c r="M261" i="1"/>
  <c r="A262" i="1"/>
  <c r="B262" i="1"/>
  <c r="C262" i="1"/>
  <c r="M262" i="1"/>
  <c r="A263" i="1"/>
  <c r="B263" i="1"/>
  <c r="C263" i="1"/>
  <c r="M263" i="1"/>
  <c r="A264" i="1"/>
  <c r="B264" i="1"/>
  <c r="C264" i="1"/>
  <c r="M264" i="1"/>
  <c r="A265" i="1"/>
  <c r="B265" i="1"/>
  <c r="C265" i="1"/>
  <c r="M265" i="1"/>
  <c r="A266" i="1"/>
  <c r="B266" i="1"/>
  <c r="C266" i="1"/>
  <c r="M266" i="1"/>
  <c r="A267" i="1"/>
  <c r="B267" i="1"/>
  <c r="C267" i="1"/>
  <c r="M267" i="1"/>
  <c r="A268" i="1"/>
  <c r="B268" i="1"/>
  <c r="C268" i="1"/>
  <c r="M268" i="1"/>
  <c r="A269" i="1"/>
  <c r="B269" i="1"/>
  <c r="C269" i="1"/>
  <c r="M269" i="1"/>
  <c r="A270" i="1"/>
  <c r="B270" i="1"/>
  <c r="C270" i="1"/>
  <c r="M270" i="1"/>
  <c r="A271" i="1"/>
  <c r="B271" i="1"/>
  <c r="C271" i="1"/>
  <c r="M271" i="1"/>
  <c r="A272" i="1"/>
  <c r="B272" i="1"/>
  <c r="C272" i="1"/>
  <c r="M272" i="1"/>
  <c r="A273" i="1"/>
  <c r="B273" i="1"/>
  <c r="C273" i="1"/>
  <c r="M273" i="1"/>
  <c r="A274" i="1"/>
  <c r="B274" i="1"/>
  <c r="C274" i="1"/>
  <c r="M274" i="1"/>
  <c r="A275" i="1"/>
  <c r="B275" i="1"/>
  <c r="C275" i="1"/>
  <c r="M275" i="1"/>
  <c r="A276" i="1"/>
  <c r="B276" i="1"/>
  <c r="C276" i="1"/>
  <c r="M276" i="1"/>
  <c r="A277" i="1"/>
  <c r="B277" i="1"/>
  <c r="C277" i="1"/>
  <c r="M277" i="1"/>
  <c r="A278" i="1"/>
  <c r="B278" i="1"/>
  <c r="C278" i="1"/>
  <c r="M278" i="1"/>
  <c r="A279" i="1"/>
  <c r="B279" i="1"/>
  <c r="C279" i="1"/>
  <c r="M279" i="1"/>
  <c r="A280" i="1"/>
  <c r="B280" i="1"/>
  <c r="C280" i="1"/>
  <c r="M280" i="1"/>
  <c r="A281" i="1"/>
  <c r="B281" i="1"/>
  <c r="C281" i="1"/>
  <c r="M281" i="1"/>
  <c r="A282" i="1"/>
  <c r="B282" i="1"/>
  <c r="C282" i="1"/>
  <c r="M282" i="1"/>
  <c r="A283" i="1"/>
  <c r="B283" i="1"/>
  <c r="C283" i="1"/>
  <c r="M283" i="1"/>
  <c r="A284" i="1"/>
  <c r="B284" i="1"/>
  <c r="C284" i="1"/>
  <c r="M284" i="1"/>
  <c r="A285" i="1"/>
  <c r="B285" i="1"/>
  <c r="C285" i="1"/>
  <c r="M285" i="1"/>
  <c r="A286" i="1"/>
  <c r="B286" i="1"/>
  <c r="C286" i="1"/>
  <c r="M286" i="1"/>
  <c r="A287" i="1"/>
  <c r="B287" i="1"/>
  <c r="C287" i="1"/>
  <c r="M287" i="1"/>
  <c r="A288" i="1"/>
  <c r="B288" i="1"/>
  <c r="C288" i="1"/>
  <c r="M288" i="1"/>
  <c r="A289" i="1"/>
  <c r="B289" i="1"/>
  <c r="C289" i="1"/>
  <c r="M289" i="1"/>
  <c r="A290" i="1"/>
  <c r="B290" i="1"/>
  <c r="C290" i="1"/>
  <c r="M290" i="1"/>
  <c r="A291" i="1"/>
  <c r="B291" i="1"/>
  <c r="C291" i="1"/>
  <c r="M291" i="1"/>
  <c r="A292" i="1"/>
  <c r="B292" i="1"/>
  <c r="C292" i="1"/>
  <c r="M292" i="1"/>
  <c r="A293" i="1"/>
  <c r="B293" i="1"/>
  <c r="C293" i="1"/>
  <c r="M293" i="1"/>
  <c r="A294" i="1"/>
  <c r="B294" i="1"/>
  <c r="C294" i="1"/>
  <c r="M294" i="1"/>
  <c r="A295" i="1"/>
  <c r="B295" i="1"/>
  <c r="C295" i="1"/>
  <c r="M295" i="1"/>
  <c r="A296" i="1"/>
  <c r="B296" i="1"/>
  <c r="C296" i="1"/>
  <c r="M296" i="1"/>
  <c r="A297" i="1"/>
  <c r="B297" i="1"/>
  <c r="C297" i="1"/>
  <c r="M297" i="1"/>
  <c r="A298" i="1"/>
  <c r="B298" i="1"/>
  <c r="C298" i="1"/>
  <c r="M298" i="1"/>
  <c r="A299" i="1"/>
  <c r="B299" i="1"/>
  <c r="C299" i="1"/>
  <c r="M299" i="1"/>
  <c r="A300" i="1"/>
  <c r="B300" i="1"/>
  <c r="C300" i="1"/>
  <c r="M300" i="1"/>
  <c r="A301" i="1"/>
  <c r="B301" i="1"/>
  <c r="C301" i="1"/>
  <c r="M301" i="1"/>
  <c r="A302" i="1"/>
  <c r="B302" i="1"/>
  <c r="C302" i="1"/>
  <c r="M302" i="1"/>
  <c r="A303" i="1"/>
  <c r="B303" i="1"/>
  <c r="C303" i="1"/>
  <c r="M303" i="1"/>
  <c r="A304" i="1"/>
  <c r="B304" i="1"/>
  <c r="C304" i="1"/>
  <c r="M304" i="1"/>
  <c r="A305" i="1"/>
  <c r="B305" i="1"/>
  <c r="C305" i="1"/>
  <c r="M305" i="1"/>
  <c r="A306" i="1"/>
  <c r="B306" i="1"/>
  <c r="C306" i="1"/>
  <c r="M306" i="1"/>
  <c r="A307" i="1"/>
  <c r="B307" i="1"/>
  <c r="C307" i="1"/>
  <c r="M307" i="1"/>
  <c r="A308" i="1"/>
  <c r="B308" i="1"/>
  <c r="C308" i="1"/>
  <c r="M308" i="1"/>
  <c r="A309" i="1"/>
  <c r="B309" i="1"/>
  <c r="C309" i="1"/>
  <c r="M309" i="1"/>
  <c r="A310" i="1"/>
  <c r="B310" i="1"/>
  <c r="C310" i="1"/>
  <c r="M310" i="1"/>
  <c r="A311" i="1"/>
  <c r="B311" i="1"/>
  <c r="C311" i="1"/>
  <c r="M311" i="1"/>
  <c r="A312" i="1"/>
  <c r="B312" i="1"/>
  <c r="C312" i="1"/>
  <c r="M312" i="1"/>
  <c r="A313" i="1"/>
  <c r="B313" i="1"/>
  <c r="C313" i="1"/>
  <c r="M313" i="1"/>
  <c r="A314" i="1"/>
  <c r="B314" i="1"/>
  <c r="C314" i="1"/>
  <c r="M314" i="1"/>
  <c r="A315" i="1"/>
  <c r="B315" i="1"/>
  <c r="C315" i="1"/>
  <c r="M315" i="1"/>
  <c r="A316" i="1"/>
  <c r="B316" i="1"/>
  <c r="C316" i="1"/>
  <c r="M316" i="1"/>
  <c r="A317" i="1"/>
  <c r="B317" i="1"/>
  <c r="C317" i="1"/>
  <c r="M317" i="1"/>
  <c r="A318" i="1"/>
  <c r="B318" i="1"/>
  <c r="C318" i="1"/>
  <c r="M318" i="1"/>
  <c r="A319" i="1"/>
  <c r="B319" i="1"/>
  <c r="C319" i="1"/>
  <c r="M319" i="1"/>
  <c r="A320" i="1"/>
  <c r="B320" i="1"/>
  <c r="C320" i="1"/>
  <c r="M320" i="1"/>
  <c r="A321" i="1"/>
  <c r="B321" i="1"/>
  <c r="C321" i="1"/>
  <c r="M321" i="1"/>
  <c r="A322" i="1"/>
  <c r="B322" i="1"/>
  <c r="C322" i="1"/>
  <c r="M322" i="1"/>
  <c r="A323" i="1"/>
  <c r="B323" i="1"/>
  <c r="C323" i="1"/>
  <c r="M323" i="1"/>
  <c r="A324" i="1"/>
  <c r="B324" i="1"/>
  <c r="C324" i="1"/>
  <c r="M324" i="1"/>
  <c r="A325" i="1"/>
  <c r="B325" i="1"/>
  <c r="C325" i="1"/>
  <c r="M325" i="1"/>
  <c r="A326" i="1"/>
  <c r="B326" i="1"/>
  <c r="C326" i="1"/>
  <c r="M326" i="1"/>
  <c r="A327" i="1"/>
  <c r="B327" i="1"/>
  <c r="C327" i="1"/>
  <c r="M327" i="1"/>
  <c r="A328" i="1"/>
  <c r="B328" i="1"/>
  <c r="C328" i="1"/>
  <c r="M328" i="1"/>
  <c r="A329" i="1"/>
  <c r="B329" i="1"/>
  <c r="C329" i="1"/>
  <c r="M329" i="1"/>
  <c r="A330" i="1"/>
  <c r="B330" i="1"/>
  <c r="C330" i="1"/>
  <c r="M330" i="1"/>
  <c r="A331" i="1"/>
  <c r="B331" i="1"/>
  <c r="C331" i="1"/>
  <c r="M331" i="1"/>
  <c r="A332" i="1"/>
  <c r="B332" i="1"/>
  <c r="C332" i="1"/>
  <c r="M332" i="1"/>
  <c r="A333" i="1"/>
  <c r="B333" i="1"/>
  <c r="C333" i="1"/>
  <c r="M333" i="1"/>
  <c r="A334" i="1"/>
  <c r="B334" i="1"/>
  <c r="C334" i="1"/>
  <c r="M334" i="1"/>
  <c r="A335" i="1"/>
  <c r="B335" i="1"/>
  <c r="C335" i="1"/>
  <c r="M335" i="1"/>
  <c r="A336" i="1"/>
  <c r="B336" i="1"/>
  <c r="C336" i="1"/>
  <c r="M336" i="1"/>
  <c r="A337" i="1"/>
  <c r="B337" i="1"/>
  <c r="C337" i="1"/>
  <c r="M337" i="1"/>
  <c r="A338" i="1"/>
  <c r="B338" i="1"/>
  <c r="C338" i="1"/>
  <c r="M338" i="1"/>
  <c r="A339" i="1"/>
  <c r="B339" i="1"/>
  <c r="C339" i="1"/>
  <c r="M339" i="1"/>
  <c r="A340" i="1"/>
  <c r="B340" i="1"/>
  <c r="C340" i="1"/>
  <c r="M340" i="1"/>
  <c r="A341" i="1"/>
  <c r="B341" i="1"/>
  <c r="C341" i="1"/>
  <c r="M341" i="1"/>
  <c r="A342" i="1"/>
  <c r="B342" i="1"/>
  <c r="C342" i="1"/>
  <c r="M342" i="1"/>
  <c r="A343" i="1"/>
  <c r="B343" i="1"/>
  <c r="C343" i="1"/>
  <c r="M343" i="1"/>
  <c r="A344" i="1"/>
  <c r="B344" i="1"/>
  <c r="C344" i="1"/>
  <c r="M344" i="1"/>
  <c r="A345" i="1"/>
  <c r="B345" i="1"/>
  <c r="C345" i="1"/>
  <c r="M345" i="1"/>
  <c r="A346" i="1"/>
  <c r="B346" i="1"/>
  <c r="C346" i="1"/>
  <c r="M346" i="1"/>
  <c r="A347" i="1"/>
  <c r="B347" i="1"/>
  <c r="C347" i="1"/>
  <c r="M347" i="1"/>
  <c r="A348" i="1"/>
  <c r="B348" i="1"/>
  <c r="C348" i="1"/>
  <c r="M348" i="1"/>
  <c r="A349" i="1"/>
  <c r="B349" i="1"/>
  <c r="C349" i="1"/>
  <c r="M349" i="1"/>
  <c r="A350" i="1"/>
  <c r="B350" i="1"/>
  <c r="C350" i="1"/>
  <c r="M350" i="1"/>
  <c r="A351" i="1"/>
  <c r="B351" i="1"/>
  <c r="C351" i="1"/>
  <c r="M351" i="1"/>
  <c r="A352" i="1"/>
  <c r="B352" i="1"/>
  <c r="C352" i="1"/>
  <c r="M352" i="1"/>
  <c r="A353" i="1"/>
  <c r="B353" i="1"/>
  <c r="C353" i="1"/>
  <c r="M353" i="1"/>
  <c r="A354" i="1"/>
  <c r="B354" i="1"/>
  <c r="C354" i="1"/>
  <c r="M354" i="1"/>
  <c r="A355" i="1"/>
  <c r="B355" i="1"/>
  <c r="C355" i="1"/>
  <c r="M355" i="1"/>
  <c r="A356" i="1"/>
  <c r="B356" i="1"/>
  <c r="C356" i="1"/>
  <c r="M356" i="1"/>
  <c r="A357" i="1"/>
  <c r="B357" i="1"/>
  <c r="C357" i="1"/>
  <c r="M357" i="1"/>
  <c r="A358" i="1"/>
  <c r="B358" i="1"/>
  <c r="C358" i="1"/>
  <c r="M358" i="1"/>
  <c r="A359" i="1"/>
  <c r="B359" i="1"/>
  <c r="C359" i="1"/>
  <c r="M359" i="1"/>
  <c r="A360" i="1"/>
  <c r="B360" i="1"/>
  <c r="C360" i="1"/>
  <c r="M360" i="1"/>
  <c r="A361" i="1"/>
  <c r="B361" i="1"/>
  <c r="C361" i="1"/>
  <c r="M361" i="1"/>
  <c r="A362" i="1"/>
  <c r="B362" i="1"/>
  <c r="C362" i="1"/>
  <c r="M362" i="1"/>
  <c r="A363" i="1"/>
  <c r="B363" i="1"/>
  <c r="C363" i="1"/>
  <c r="M363" i="1"/>
  <c r="A364" i="1"/>
  <c r="B364" i="1"/>
  <c r="C364" i="1"/>
  <c r="M364" i="1"/>
  <c r="A365" i="1"/>
  <c r="B365" i="1"/>
  <c r="C365" i="1"/>
  <c r="M365" i="1"/>
  <c r="A366" i="1"/>
  <c r="B366" i="1"/>
  <c r="C366" i="1"/>
  <c r="M366" i="1"/>
  <c r="A367" i="1"/>
  <c r="B367" i="1"/>
  <c r="C367" i="1"/>
  <c r="M367" i="1"/>
  <c r="A368" i="1"/>
  <c r="B368" i="1"/>
  <c r="C368" i="1"/>
  <c r="M368" i="1"/>
  <c r="A369" i="1"/>
  <c r="B369" i="1"/>
  <c r="C369" i="1"/>
  <c r="M369" i="1"/>
  <c r="A370" i="1"/>
  <c r="B370" i="1"/>
  <c r="C370" i="1"/>
  <c r="M370" i="1"/>
  <c r="A371" i="1"/>
  <c r="B371" i="1"/>
  <c r="C371" i="1"/>
  <c r="M371" i="1"/>
  <c r="A372" i="1"/>
  <c r="B372" i="1"/>
  <c r="C372" i="1"/>
  <c r="M372" i="1"/>
  <c r="A373" i="1"/>
  <c r="B373" i="1"/>
  <c r="C373" i="1"/>
  <c r="M373" i="1"/>
  <c r="A374" i="1"/>
  <c r="B374" i="1"/>
  <c r="C374" i="1"/>
  <c r="M374" i="1"/>
  <c r="A375" i="1"/>
  <c r="B375" i="1"/>
  <c r="C375" i="1"/>
  <c r="M375" i="1"/>
  <c r="A376" i="1"/>
  <c r="B376" i="1"/>
  <c r="C376" i="1"/>
  <c r="M376" i="1"/>
  <c r="A377" i="1"/>
  <c r="B377" i="1"/>
  <c r="C377" i="1"/>
  <c r="M377" i="1"/>
  <c r="A378" i="1"/>
  <c r="B378" i="1"/>
  <c r="C378" i="1"/>
  <c r="M378" i="1"/>
  <c r="A379" i="1"/>
  <c r="B379" i="1"/>
  <c r="C379" i="1"/>
  <c r="M379" i="1"/>
  <c r="A380" i="1"/>
  <c r="B380" i="1"/>
  <c r="C380" i="1"/>
  <c r="M380" i="1"/>
  <c r="A381" i="1"/>
  <c r="B381" i="1"/>
  <c r="C381" i="1"/>
  <c r="M381" i="1"/>
  <c r="A382" i="1"/>
  <c r="B382" i="1"/>
  <c r="C382" i="1"/>
  <c r="M382" i="1"/>
  <c r="A383" i="1"/>
  <c r="B383" i="1"/>
  <c r="C383" i="1"/>
  <c r="M383" i="1"/>
  <c r="A384" i="1"/>
  <c r="B384" i="1"/>
  <c r="C384" i="1"/>
  <c r="M384" i="1"/>
  <c r="A385" i="1"/>
  <c r="B385" i="1"/>
  <c r="C385" i="1"/>
  <c r="M385" i="1"/>
  <c r="A386" i="1"/>
  <c r="B386" i="1"/>
  <c r="C386" i="1"/>
  <c r="M386" i="1"/>
  <c r="A387" i="1"/>
  <c r="B387" i="1"/>
  <c r="C387" i="1"/>
  <c r="M387" i="1"/>
  <c r="A388" i="1"/>
  <c r="B388" i="1"/>
  <c r="C388" i="1"/>
  <c r="M388" i="1"/>
  <c r="A389" i="1"/>
  <c r="B389" i="1"/>
  <c r="C389" i="1"/>
  <c r="M389" i="1"/>
  <c r="A390" i="1"/>
  <c r="B390" i="1"/>
  <c r="C390" i="1"/>
  <c r="M390" i="1"/>
  <c r="A391" i="1"/>
  <c r="B391" i="1"/>
  <c r="C391" i="1"/>
  <c r="M391" i="1"/>
  <c r="A392" i="1"/>
  <c r="B392" i="1"/>
  <c r="C392" i="1"/>
  <c r="M392" i="1"/>
  <c r="A393" i="1"/>
  <c r="B393" i="1"/>
  <c r="C393" i="1"/>
  <c r="M393" i="1"/>
  <c r="A394" i="1"/>
  <c r="B394" i="1"/>
  <c r="C394" i="1"/>
  <c r="M394" i="1"/>
  <c r="A395" i="1"/>
  <c r="B395" i="1"/>
  <c r="C395" i="1"/>
  <c r="M395" i="1"/>
  <c r="A396" i="1"/>
  <c r="B396" i="1"/>
  <c r="C396" i="1"/>
  <c r="M396" i="1"/>
  <c r="A397" i="1"/>
  <c r="B397" i="1"/>
  <c r="C397" i="1"/>
  <c r="M397" i="1"/>
  <c r="A398" i="1"/>
  <c r="B398" i="1"/>
  <c r="C398" i="1"/>
  <c r="M398" i="1"/>
  <c r="A399" i="1"/>
  <c r="B399" i="1"/>
  <c r="C399" i="1"/>
  <c r="M399" i="1"/>
  <c r="A400" i="1"/>
  <c r="B400" i="1"/>
  <c r="C400" i="1"/>
  <c r="M400" i="1"/>
  <c r="A401" i="1"/>
  <c r="B401" i="1"/>
  <c r="C401" i="1"/>
  <c r="M401" i="1"/>
  <c r="A402" i="1"/>
  <c r="B402" i="1"/>
  <c r="C402" i="1"/>
  <c r="M402" i="1"/>
  <c r="A403" i="1"/>
  <c r="B403" i="1"/>
  <c r="C403" i="1"/>
  <c r="M403" i="1"/>
  <c r="A404" i="1"/>
  <c r="B404" i="1"/>
  <c r="C404" i="1"/>
  <c r="M404" i="1"/>
  <c r="A405" i="1"/>
  <c r="B405" i="1"/>
  <c r="C405" i="1"/>
  <c r="M405" i="1"/>
  <c r="A406" i="1"/>
  <c r="B406" i="1"/>
  <c r="C406" i="1"/>
  <c r="M406" i="1"/>
  <c r="A407" i="1"/>
  <c r="B407" i="1"/>
  <c r="C407" i="1"/>
  <c r="M407" i="1"/>
  <c r="A408" i="1"/>
  <c r="B408" i="1"/>
  <c r="C408" i="1"/>
  <c r="M408" i="1"/>
  <c r="A409" i="1"/>
  <c r="B409" i="1"/>
  <c r="C409" i="1"/>
  <c r="M409" i="1"/>
  <c r="A410" i="1"/>
  <c r="B410" i="1"/>
  <c r="C410" i="1"/>
  <c r="M410" i="1"/>
  <c r="A411" i="1"/>
  <c r="B411" i="1"/>
  <c r="C411" i="1"/>
  <c r="M411" i="1"/>
  <c r="A412" i="1"/>
  <c r="B412" i="1"/>
  <c r="C412" i="1"/>
  <c r="M412" i="1"/>
  <c r="A413" i="1"/>
  <c r="B413" i="1"/>
  <c r="C413" i="1"/>
  <c r="M413" i="1"/>
  <c r="A414" i="1"/>
  <c r="B414" i="1"/>
  <c r="C414" i="1"/>
  <c r="M414" i="1"/>
  <c r="A415" i="1"/>
  <c r="B415" i="1"/>
  <c r="C415" i="1"/>
  <c r="M415" i="1"/>
  <c r="A416" i="1"/>
  <c r="B416" i="1"/>
  <c r="C416" i="1"/>
  <c r="M416" i="1"/>
  <c r="A417" i="1"/>
  <c r="B417" i="1"/>
  <c r="C417" i="1"/>
  <c r="M417" i="1"/>
  <c r="A418" i="1"/>
  <c r="B418" i="1"/>
  <c r="C418" i="1"/>
  <c r="M418" i="1"/>
  <c r="A419" i="1"/>
  <c r="B419" i="1"/>
  <c r="C419" i="1"/>
  <c r="M419" i="1"/>
  <c r="A420" i="1"/>
  <c r="B420" i="1"/>
  <c r="C420" i="1"/>
  <c r="M420" i="1"/>
  <c r="A421" i="1"/>
  <c r="B421" i="1"/>
  <c r="C421" i="1"/>
  <c r="M421" i="1"/>
  <c r="A422" i="1"/>
  <c r="B422" i="1"/>
  <c r="C422" i="1"/>
  <c r="M422" i="1"/>
  <c r="A423" i="1"/>
  <c r="B423" i="1"/>
  <c r="C423" i="1"/>
  <c r="M423" i="1"/>
  <c r="A424" i="1"/>
  <c r="B424" i="1"/>
  <c r="C424" i="1"/>
  <c r="M424" i="1"/>
  <c r="A425" i="1"/>
  <c r="B425" i="1"/>
  <c r="C425" i="1"/>
  <c r="M425" i="1"/>
  <c r="A426" i="1"/>
  <c r="B426" i="1"/>
  <c r="C426" i="1"/>
  <c r="M426" i="1"/>
  <c r="A427" i="1"/>
  <c r="B427" i="1"/>
  <c r="C427" i="1"/>
  <c r="M427" i="1"/>
  <c r="A428" i="1"/>
  <c r="B428" i="1"/>
  <c r="C428" i="1"/>
  <c r="M428" i="1"/>
  <c r="A429" i="1"/>
  <c r="B429" i="1"/>
  <c r="C429" i="1"/>
  <c r="M429" i="1"/>
  <c r="A430" i="1"/>
  <c r="B430" i="1"/>
  <c r="C430" i="1"/>
  <c r="M430" i="1"/>
  <c r="A431" i="1"/>
  <c r="B431" i="1"/>
  <c r="C431" i="1"/>
  <c r="M431" i="1"/>
  <c r="A432" i="1"/>
  <c r="B432" i="1"/>
  <c r="C432" i="1"/>
  <c r="M432" i="1"/>
  <c r="A433" i="1"/>
  <c r="B433" i="1"/>
  <c r="C433" i="1"/>
  <c r="M433" i="1"/>
  <c r="A434" i="1"/>
  <c r="B434" i="1"/>
  <c r="C434" i="1"/>
  <c r="M434" i="1"/>
  <c r="A435" i="1"/>
  <c r="B435" i="1"/>
  <c r="C435" i="1"/>
  <c r="M435" i="1"/>
  <c r="A436" i="1"/>
  <c r="B436" i="1"/>
  <c r="C436" i="1"/>
  <c r="M436" i="1"/>
  <c r="A437" i="1"/>
  <c r="B437" i="1"/>
  <c r="C437" i="1"/>
  <c r="M437" i="1"/>
  <c r="A438" i="1"/>
  <c r="B438" i="1"/>
  <c r="C438" i="1"/>
  <c r="M438" i="1"/>
  <c r="A439" i="1"/>
  <c r="B439" i="1"/>
  <c r="C439" i="1"/>
  <c r="M439" i="1"/>
  <c r="A440" i="1"/>
  <c r="B440" i="1"/>
  <c r="C440" i="1"/>
  <c r="M440" i="1"/>
  <c r="A441" i="1"/>
  <c r="B441" i="1"/>
  <c r="C441" i="1"/>
  <c r="M441" i="1"/>
  <c r="A442" i="1"/>
  <c r="B442" i="1"/>
  <c r="C442" i="1"/>
  <c r="M442" i="1"/>
  <c r="A443" i="1"/>
  <c r="B443" i="1"/>
  <c r="C443" i="1"/>
  <c r="M443" i="1"/>
  <c r="A444" i="1"/>
  <c r="B444" i="1"/>
  <c r="C444" i="1"/>
  <c r="M444" i="1"/>
  <c r="A445" i="1"/>
  <c r="B445" i="1"/>
  <c r="C445" i="1"/>
  <c r="M445" i="1"/>
  <c r="A446" i="1"/>
  <c r="B446" i="1"/>
  <c r="C446" i="1"/>
  <c r="M446" i="1"/>
  <c r="A447" i="1"/>
  <c r="B447" i="1"/>
  <c r="C447" i="1"/>
  <c r="M447" i="1"/>
  <c r="A448" i="1"/>
  <c r="B448" i="1"/>
  <c r="C448" i="1"/>
  <c r="M448" i="1"/>
  <c r="A449" i="1"/>
  <c r="B449" i="1"/>
  <c r="C449" i="1"/>
  <c r="M449" i="1"/>
  <c r="A450" i="1"/>
  <c r="B450" i="1"/>
  <c r="C450" i="1"/>
  <c r="M450" i="1"/>
  <c r="A451" i="1"/>
  <c r="B451" i="1"/>
  <c r="C451" i="1"/>
  <c r="M451" i="1"/>
  <c r="A452" i="1"/>
  <c r="B452" i="1"/>
  <c r="C452" i="1"/>
  <c r="M452" i="1"/>
  <c r="A453" i="1"/>
  <c r="B453" i="1"/>
  <c r="C453" i="1"/>
  <c r="M453" i="1"/>
  <c r="A454" i="1"/>
  <c r="B454" i="1"/>
  <c r="C454" i="1"/>
  <c r="M454" i="1"/>
  <c r="A455" i="1"/>
  <c r="B455" i="1"/>
  <c r="C455" i="1"/>
  <c r="M455" i="1"/>
  <c r="A456" i="1"/>
  <c r="B456" i="1"/>
  <c r="C456" i="1"/>
  <c r="M456" i="1"/>
  <c r="A457" i="1"/>
  <c r="B457" i="1"/>
  <c r="C457" i="1"/>
  <c r="M457" i="1"/>
  <c r="A458" i="1"/>
  <c r="B458" i="1"/>
  <c r="C458" i="1"/>
  <c r="M458" i="1"/>
  <c r="A459" i="1"/>
  <c r="B459" i="1"/>
  <c r="C459" i="1"/>
  <c r="M459" i="1"/>
  <c r="A460" i="1"/>
  <c r="B460" i="1"/>
  <c r="C460" i="1"/>
  <c r="M460" i="1"/>
  <c r="A461" i="1"/>
  <c r="B461" i="1"/>
  <c r="C461" i="1"/>
  <c r="M461" i="1"/>
  <c r="A462" i="1"/>
  <c r="B462" i="1"/>
  <c r="C462" i="1"/>
  <c r="M462" i="1"/>
  <c r="A463" i="1"/>
  <c r="B463" i="1"/>
  <c r="C463" i="1"/>
  <c r="M463" i="1"/>
  <c r="A464" i="1"/>
  <c r="B464" i="1"/>
  <c r="C464" i="1"/>
  <c r="M464" i="1"/>
  <c r="A465" i="1"/>
  <c r="B465" i="1"/>
  <c r="C465" i="1"/>
  <c r="M465" i="1"/>
  <c r="A466" i="1"/>
  <c r="B466" i="1"/>
  <c r="C466" i="1"/>
  <c r="M466" i="1"/>
  <c r="A467" i="1"/>
  <c r="B467" i="1"/>
  <c r="C467" i="1"/>
  <c r="M467" i="1"/>
  <c r="A468" i="1"/>
  <c r="B468" i="1"/>
  <c r="C468" i="1"/>
  <c r="M468" i="1"/>
  <c r="A469" i="1"/>
  <c r="B469" i="1"/>
  <c r="C469" i="1"/>
  <c r="M469" i="1"/>
  <c r="A470" i="1"/>
  <c r="B470" i="1"/>
  <c r="C470" i="1"/>
  <c r="M470" i="1"/>
  <c r="A471" i="1"/>
  <c r="B471" i="1"/>
  <c r="C471" i="1"/>
  <c r="M471" i="1"/>
  <c r="A472" i="1"/>
  <c r="B472" i="1"/>
  <c r="C472" i="1"/>
  <c r="M472" i="1"/>
  <c r="A473" i="1"/>
  <c r="B473" i="1"/>
  <c r="C473" i="1"/>
  <c r="M473" i="1"/>
  <c r="A474" i="1"/>
  <c r="B474" i="1"/>
  <c r="C474" i="1"/>
  <c r="M474" i="1"/>
  <c r="A475" i="1"/>
  <c r="B475" i="1"/>
  <c r="C475" i="1"/>
  <c r="M475" i="1"/>
  <c r="A476" i="1"/>
  <c r="B476" i="1"/>
  <c r="C476" i="1"/>
  <c r="M476" i="1"/>
  <c r="A477" i="1"/>
  <c r="B477" i="1"/>
  <c r="C477" i="1"/>
  <c r="M477" i="1"/>
  <c r="A478" i="1"/>
  <c r="B478" i="1"/>
  <c r="C478" i="1"/>
  <c r="M478" i="1"/>
  <c r="A479" i="1"/>
  <c r="B479" i="1"/>
  <c r="C479" i="1"/>
  <c r="M479" i="1"/>
  <c r="A480" i="1"/>
  <c r="B480" i="1"/>
  <c r="C480" i="1"/>
  <c r="M480" i="1"/>
  <c r="A481" i="1"/>
  <c r="B481" i="1"/>
  <c r="C481" i="1"/>
  <c r="M481" i="1"/>
  <c r="A482" i="1"/>
  <c r="B482" i="1"/>
  <c r="C482" i="1"/>
  <c r="M482" i="1"/>
  <c r="A483" i="1"/>
  <c r="B483" i="1"/>
  <c r="C483" i="1"/>
  <c r="M483" i="1"/>
  <c r="A484" i="1"/>
  <c r="B484" i="1"/>
  <c r="C484" i="1"/>
  <c r="M484" i="1"/>
  <c r="A485" i="1"/>
  <c r="B485" i="1"/>
  <c r="C485" i="1"/>
  <c r="M485" i="1"/>
  <c r="A486" i="1"/>
  <c r="B486" i="1"/>
  <c r="C486" i="1"/>
  <c r="M486" i="1"/>
  <c r="A487" i="1"/>
  <c r="B487" i="1"/>
  <c r="C487" i="1"/>
  <c r="M487" i="1"/>
  <c r="A488" i="1"/>
  <c r="B488" i="1"/>
  <c r="C488" i="1"/>
  <c r="M488" i="1"/>
  <c r="A489" i="1"/>
  <c r="B489" i="1"/>
  <c r="C489" i="1"/>
  <c r="M489" i="1"/>
  <c r="A490" i="1"/>
  <c r="B490" i="1"/>
  <c r="C490" i="1"/>
  <c r="M490" i="1"/>
  <c r="A491" i="1"/>
  <c r="B491" i="1"/>
  <c r="C491" i="1"/>
  <c r="M491" i="1"/>
  <c r="A492" i="1"/>
  <c r="B492" i="1"/>
  <c r="C492" i="1"/>
  <c r="M492" i="1"/>
  <c r="A493" i="1"/>
  <c r="B493" i="1"/>
  <c r="C493" i="1"/>
  <c r="M493" i="1"/>
  <c r="A494" i="1"/>
  <c r="B494" i="1"/>
  <c r="C494" i="1"/>
  <c r="M494" i="1"/>
  <c r="A495" i="1"/>
  <c r="B495" i="1"/>
  <c r="C495" i="1"/>
  <c r="M495" i="1"/>
  <c r="A496" i="1"/>
  <c r="B496" i="1"/>
  <c r="C496" i="1"/>
  <c r="M496" i="1"/>
  <c r="A497" i="1"/>
  <c r="B497" i="1"/>
  <c r="C497" i="1"/>
  <c r="M497" i="1"/>
  <c r="A498" i="1"/>
  <c r="B498" i="1"/>
  <c r="C498" i="1"/>
  <c r="M498" i="1"/>
  <c r="A499" i="1"/>
  <c r="B499" i="1"/>
  <c r="C499" i="1"/>
  <c r="M499" i="1"/>
  <c r="A500" i="1"/>
  <c r="B500" i="1"/>
  <c r="C500" i="1"/>
  <c r="M500" i="1"/>
  <c r="A501" i="1"/>
  <c r="B501" i="1"/>
  <c r="C501" i="1"/>
  <c r="M501" i="1"/>
  <c r="A502" i="1"/>
  <c r="B502" i="1"/>
  <c r="C502" i="1"/>
  <c r="M502" i="1"/>
  <c r="A503" i="1"/>
  <c r="B503" i="1"/>
  <c r="C503" i="1"/>
  <c r="M503" i="1"/>
  <c r="A504" i="1"/>
  <c r="B504" i="1"/>
  <c r="C504" i="1"/>
  <c r="M504" i="1"/>
  <c r="A505" i="1"/>
  <c r="B505" i="1"/>
  <c r="C505" i="1"/>
  <c r="M505" i="1"/>
  <c r="A506" i="1"/>
  <c r="B506" i="1"/>
  <c r="C506" i="1"/>
  <c r="M506" i="1"/>
  <c r="A507" i="1"/>
  <c r="B507" i="1"/>
  <c r="C507" i="1"/>
  <c r="M507" i="1"/>
  <c r="A508" i="1"/>
  <c r="B508" i="1"/>
  <c r="C508" i="1"/>
  <c r="M508" i="1"/>
  <c r="A509" i="1"/>
  <c r="B509" i="1"/>
  <c r="C509" i="1"/>
  <c r="M509" i="1"/>
  <c r="A510" i="1"/>
  <c r="B510" i="1"/>
  <c r="C510" i="1"/>
  <c r="M510" i="1"/>
  <c r="A511" i="1"/>
  <c r="B511" i="1"/>
  <c r="C511" i="1"/>
  <c r="M511" i="1"/>
  <c r="A512" i="1"/>
  <c r="B512" i="1"/>
  <c r="C512" i="1"/>
  <c r="M512" i="1"/>
  <c r="A513" i="1"/>
  <c r="B513" i="1"/>
  <c r="C513" i="1"/>
  <c r="M513" i="1"/>
  <c r="A514" i="1"/>
  <c r="B514" i="1"/>
  <c r="C514" i="1"/>
  <c r="M514" i="1"/>
  <c r="A515" i="1"/>
  <c r="B515" i="1"/>
  <c r="C515" i="1"/>
  <c r="M515" i="1"/>
  <c r="A516" i="1"/>
  <c r="B516" i="1"/>
  <c r="C516" i="1"/>
  <c r="M516" i="1"/>
  <c r="A517" i="1"/>
  <c r="B517" i="1"/>
  <c r="C517" i="1"/>
  <c r="M517" i="1"/>
  <c r="A518" i="1"/>
  <c r="B518" i="1"/>
  <c r="C518" i="1"/>
  <c r="M518" i="1"/>
  <c r="A519" i="1"/>
  <c r="B519" i="1"/>
  <c r="C519" i="1"/>
  <c r="M519" i="1"/>
  <c r="A520" i="1"/>
  <c r="B520" i="1"/>
  <c r="C520" i="1"/>
  <c r="M520" i="1"/>
  <c r="A521" i="1"/>
  <c r="B521" i="1"/>
  <c r="C521" i="1"/>
  <c r="M521" i="1"/>
  <c r="A522" i="1"/>
  <c r="B522" i="1"/>
  <c r="C522" i="1"/>
  <c r="M522" i="1"/>
  <c r="A523" i="1"/>
  <c r="B523" i="1"/>
  <c r="C523" i="1"/>
  <c r="M523" i="1"/>
  <c r="A524" i="1"/>
  <c r="B524" i="1"/>
  <c r="C524" i="1"/>
  <c r="M524" i="1"/>
  <c r="A525" i="1"/>
  <c r="B525" i="1"/>
  <c r="C525" i="1"/>
  <c r="M525" i="1"/>
  <c r="A526" i="1"/>
  <c r="B526" i="1"/>
  <c r="C526" i="1"/>
  <c r="M526" i="1"/>
  <c r="A527" i="1"/>
  <c r="B527" i="1"/>
  <c r="C527" i="1"/>
  <c r="M527" i="1"/>
  <c r="A528" i="1"/>
  <c r="B528" i="1"/>
  <c r="C528" i="1"/>
  <c r="M528" i="1"/>
  <c r="A529" i="1"/>
  <c r="B529" i="1"/>
  <c r="C529" i="1"/>
  <c r="M529" i="1"/>
  <c r="A530" i="1"/>
  <c r="B530" i="1"/>
  <c r="C530" i="1"/>
  <c r="M530" i="1"/>
  <c r="A531" i="1"/>
  <c r="B531" i="1"/>
  <c r="C531" i="1"/>
  <c r="M531" i="1"/>
  <c r="A532" i="1"/>
  <c r="B532" i="1"/>
  <c r="C532" i="1"/>
  <c r="M532" i="1"/>
  <c r="A533" i="1"/>
  <c r="B533" i="1"/>
  <c r="C533" i="1"/>
  <c r="M533" i="1"/>
  <c r="A534" i="1"/>
  <c r="B534" i="1"/>
  <c r="C534" i="1"/>
  <c r="M534" i="1"/>
  <c r="A535" i="1"/>
  <c r="B535" i="1"/>
  <c r="C535" i="1"/>
  <c r="M535" i="1"/>
  <c r="A536" i="1"/>
  <c r="B536" i="1"/>
  <c r="C536" i="1"/>
  <c r="M536" i="1"/>
  <c r="A537" i="1"/>
  <c r="B537" i="1"/>
  <c r="C537" i="1"/>
  <c r="M537" i="1"/>
  <c r="A538" i="1"/>
  <c r="B538" i="1"/>
  <c r="C538" i="1"/>
  <c r="M538" i="1"/>
  <c r="A539" i="1"/>
  <c r="B539" i="1"/>
  <c r="C539" i="1"/>
  <c r="M539" i="1"/>
  <c r="A540" i="1"/>
  <c r="B540" i="1"/>
  <c r="C540" i="1"/>
  <c r="M540" i="1"/>
  <c r="A541" i="1"/>
  <c r="B541" i="1"/>
  <c r="C541" i="1"/>
  <c r="M541" i="1"/>
  <c r="A542" i="1"/>
  <c r="B542" i="1"/>
  <c r="C542" i="1"/>
  <c r="M542" i="1"/>
  <c r="A543" i="1"/>
  <c r="B543" i="1"/>
  <c r="C543" i="1"/>
  <c r="M543" i="1"/>
  <c r="A544" i="1"/>
  <c r="B544" i="1"/>
  <c r="C544" i="1"/>
  <c r="M544" i="1"/>
  <c r="A545" i="1"/>
  <c r="B545" i="1"/>
  <c r="C545" i="1"/>
  <c r="M545" i="1"/>
  <c r="A546" i="1"/>
  <c r="B546" i="1"/>
  <c r="C546" i="1"/>
  <c r="M546" i="1"/>
  <c r="A547" i="1"/>
  <c r="B547" i="1"/>
  <c r="C547" i="1"/>
  <c r="M547" i="1"/>
  <c r="A548" i="1"/>
  <c r="B548" i="1"/>
  <c r="C548" i="1"/>
  <c r="M548" i="1"/>
  <c r="A549" i="1"/>
  <c r="B549" i="1"/>
  <c r="C549" i="1"/>
  <c r="M549" i="1"/>
  <c r="A550" i="1"/>
  <c r="B550" i="1"/>
  <c r="C550" i="1"/>
  <c r="M550" i="1"/>
  <c r="A551" i="1"/>
  <c r="B551" i="1"/>
  <c r="C551" i="1"/>
  <c r="M551" i="1"/>
  <c r="A552" i="1"/>
  <c r="B552" i="1"/>
  <c r="C552" i="1"/>
  <c r="M552" i="1"/>
  <c r="A553" i="1"/>
  <c r="B553" i="1"/>
  <c r="C553" i="1"/>
  <c r="M553" i="1"/>
  <c r="A554" i="1"/>
  <c r="B554" i="1"/>
  <c r="C554" i="1"/>
  <c r="M554" i="1"/>
  <c r="A555" i="1"/>
  <c r="B555" i="1"/>
  <c r="C555" i="1"/>
  <c r="M555" i="1"/>
  <c r="A556" i="1"/>
  <c r="B556" i="1"/>
  <c r="C556" i="1"/>
  <c r="M556" i="1"/>
  <c r="A557" i="1"/>
  <c r="B557" i="1"/>
  <c r="C557" i="1"/>
  <c r="M557" i="1"/>
  <c r="A558" i="1"/>
  <c r="B558" i="1"/>
  <c r="C558" i="1"/>
  <c r="M558" i="1"/>
  <c r="A559" i="1"/>
  <c r="B559" i="1"/>
  <c r="C559" i="1"/>
  <c r="M559" i="1"/>
  <c r="A560" i="1"/>
  <c r="B560" i="1"/>
  <c r="C560" i="1"/>
  <c r="M560" i="1"/>
  <c r="A561" i="1"/>
  <c r="B561" i="1"/>
  <c r="C561" i="1"/>
  <c r="M561" i="1"/>
  <c r="A562" i="1"/>
  <c r="B562" i="1"/>
  <c r="C562" i="1"/>
  <c r="M562" i="1"/>
  <c r="A563" i="1"/>
  <c r="B563" i="1"/>
  <c r="C563" i="1"/>
  <c r="M563" i="1"/>
  <c r="A564" i="1"/>
  <c r="B564" i="1"/>
  <c r="C564" i="1"/>
  <c r="M564" i="1"/>
  <c r="A565" i="1"/>
  <c r="B565" i="1"/>
  <c r="C565" i="1"/>
  <c r="M565" i="1"/>
  <c r="A566" i="1"/>
  <c r="B566" i="1"/>
  <c r="C566" i="1"/>
  <c r="M566" i="1"/>
  <c r="A567" i="1"/>
  <c r="B567" i="1"/>
  <c r="C567" i="1"/>
  <c r="M567" i="1"/>
  <c r="A568" i="1"/>
  <c r="B568" i="1"/>
  <c r="C568" i="1"/>
  <c r="M568" i="1"/>
  <c r="A569" i="1"/>
  <c r="B569" i="1"/>
  <c r="C569" i="1"/>
  <c r="M569" i="1"/>
  <c r="A570" i="1"/>
  <c r="B570" i="1"/>
  <c r="C570" i="1"/>
  <c r="M570" i="1"/>
  <c r="A571" i="1"/>
  <c r="B571" i="1"/>
  <c r="C571" i="1"/>
  <c r="M571" i="1"/>
  <c r="A572" i="1"/>
  <c r="B572" i="1"/>
  <c r="C572" i="1"/>
  <c r="M572" i="1"/>
  <c r="A573" i="1"/>
  <c r="B573" i="1"/>
  <c r="C573" i="1"/>
  <c r="M573" i="1"/>
  <c r="A574" i="1"/>
  <c r="B574" i="1"/>
  <c r="C574" i="1"/>
  <c r="M574" i="1"/>
  <c r="A575" i="1"/>
  <c r="B575" i="1"/>
  <c r="C575" i="1"/>
  <c r="M575" i="1"/>
  <c r="A576" i="1"/>
  <c r="B576" i="1"/>
  <c r="C576" i="1"/>
  <c r="M576" i="1"/>
  <c r="A577" i="1"/>
  <c r="B577" i="1"/>
  <c r="C577" i="1"/>
  <c r="M577" i="1"/>
  <c r="A578" i="1"/>
  <c r="B578" i="1"/>
  <c r="C578" i="1"/>
  <c r="M578" i="1"/>
  <c r="A579" i="1"/>
  <c r="B579" i="1"/>
  <c r="C579" i="1"/>
  <c r="M579" i="1"/>
  <c r="A580" i="1"/>
  <c r="B580" i="1"/>
  <c r="C580" i="1"/>
  <c r="M580" i="1"/>
  <c r="A581" i="1"/>
  <c r="B581" i="1"/>
  <c r="C581" i="1"/>
  <c r="M581" i="1"/>
  <c r="A582" i="1"/>
  <c r="B582" i="1"/>
  <c r="C582" i="1"/>
  <c r="M582" i="1"/>
  <c r="A583" i="1"/>
  <c r="B583" i="1"/>
  <c r="C583" i="1"/>
  <c r="M583" i="1"/>
  <c r="A584" i="1"/>
  <c r="B584" i="1"/>
  <c r="C584" i="1"/>
  <c r="M584" i="1"/>
  <c r="A585" i="1"/>
  <c r="B585" i="1"/>
  <c r="C585" i="1"/>
  <c r="M585" i="1"/>
  <c r="A586" i="1"/>
  <c r="B586" i="1"/>
  <c r="C586" i="1"/>
  <c r="M586" i="1"/>
  <c r="A587" i="1"/>
  <c r="B587" i="1"/>
  <c r="C587" i="1"/>
  <c r="M587" i="1"/>
  <c r="A588" i="1"/>
  <c r="B588" i="1"/>
  <c r="C588" i="1"/>
  <c r="M588" i="1"/>
  <c r="A589" i="1"/>
  <c r="B589" i="1"/>
  <c r="C589" i="1"/>
  <c r="M589" i="1"/>
  <c r="A590" i="1"/>
  <c r="B590" i="1"/>
  <c r="C590" i="1"/>
  <c r="M590" i="1"/>
  <c r="A591" i="1"/>
  <c r="B591" i="1"/>
  <c r="C591" i="1"/>
  <c r="M591" i="1"/>
  <c r="A592" i="1"/>
  <c r="B592" i="1"/>
  <c r="C592" i="1"/>
  <c r="M592" i="1"/>
  <c r="A593" i="1"/>
  <c r="B593" i="1"/>
  <c r="C593" i="1"/>
  <c r="M593" i="1"/>
  <c r="A594" i="1"/>
  <c r="B594" i="1"/>
  <c r="C594" i="1"/>
  <c r="M594" i="1"/>
  <c r="A595" i="1"/>
  <c r="B595" i="1"/>
  <c r="C595" i="1"/>
  <c r="M595" i="1"/>
  <c r="A596" i="1"/>
  <c r="B596" i="1"/>
  <c r="C596" i="1"/>
  <c r="M596" i="1"/>
  <c r="A597" i="1"/>
  <c r="B597" i="1"/>
  <c r="C597" i="1"/>
  <c r="M597" i="1"/>
  <c r="A598" i="1"/>
  <c r="B598" i="1"/>
  <c r="C598" i="1"/>
  <c r="M598" i="1"/>
  <c r="A599" i="1"/>
  <c r="B599" i="1"/>
  <c r="C599" i="1"/>
  <c r="M599" i="1"/>
  <c r="A600" i="1"/>
  <c r="B600" i="1"/>
  <c r="C600" i="1"/>
  <c r="M600" i="1"/>
  <c r="A601" i="1"/>
  <c r="B601" i="1"/>
  <c r="C601" i="1"/>
  <c r="M601" i="1"/>
  <c r="A602" i="1"/>
  <c r="B602" i="1"/>
  <c r="C602" i="1"/>
  <c r="M602" i="1"/>
  <c r="A603" i="1"/>
  <c r="B603" i="1"/>
  <c r="C603" i="1"/>
  <c r="M603" i="1"/>
  <c r="A604" i="1"/>
  <c r="B604" i="1"/>
  <c r="C604" i="1"/>
  <c r="M604" i="1"/>
  <c r="A605" i="1"/>
  <c r="B605" i="1"/>
  <c r="C605" i="1"/>
  <c r="M605" i="1"/>
  <c r="A606" i="1"/>
  <c r="B606" i="1"/>
  <c r="C606" i="1"/>
  <c r="M606" i="1"/>
  <c r="A607" i="1"/>
  <c r="B607" i="1"/>
  <c r="C607" i="1"/>
  <c r="M607" i="1"/>
  <c r="A608" i="1"/>
  <c r="B608" i="1"/>
  <c r="C608" i="1"/>
  <c r="M608" i="1"/>
  <c r="A609" i="1"/>
  <c r="B609" i="1"/>
  <c r="C609" i="1"/>
  <c r="M609" i="1"/>
  <c r="A610" i="1"/>
  <c r="B610" i="1"/>
  <c r="C610" i="1"/>
  <c r="M610" i="1"/>
  <c r="A611" i="1"/>
  <c r="B611" i="1"/>
  <c r="C611" i="1"/>
  <c r="M611" i="1"/>
  <c r="A612" i="1"/>
  <c r="B612" i="1"/>
  <c r="C612" i="1"/>
  <c r="M612" i="1"/>
  <c r="A613" i="1"/>
  <c r="B613" i="1"/>
  <c r="C613" i="1"/>
  <c r="M613" i="1"/>
  <c r="A614" i="1"/>
  <c r="B614" i="1"/>
  <c r="C614" i="1"/>
  <c r="M614" i="1"/>
  <c r="A615" i="1"/>
  <c r="B615" i="1"/>
  <c r="C615" i="1"/>
  <c r="M615" i="1"/>
  <c r="A616" i="1"/>
  <c r="B616" i="1"/>
  <c r="C616" i="1"/>
  <c r="M616" i="1"/>
  <c r="A617" i="1"/>
  <c r="B617" i="1"/>
  <c r="C617" i="1"/>
  <c r="M617" i="1"/>
  <c r="A618" i="1"/>
  <c r="B618" i="1"/>
  <c r="C618" i="1"/>
  <c r="M618" i="1"/>
  <c r="A619" i="1"/>
  <c r="B619" i="1"/>
  <c r="C619" i="1"/>
  <c r="M619" i="1"/>
  <c r="A620" i="1"/>
  <c r="B620" i="1"/>
  <c r="C620" i="1"/>
  <c r="M620" i="1"/>
  <c r="A621" i="1"/>
  <c r="B621" i="1"/>
  <c r="C621" i="1"/>
  <c r="M621" i="1"/>
  <c r="A622" i="1"/>
  <c r="B622" i="1"/>
  <c r="C622" i="1"/>
  <c r="M622" i="1"/>
  <c r="A623" i="1"/>
  <c r="B623" i="1"/>
  <c r="C623" i="1"/>
  <c r="M623" i="1"/>
  <c r="A624" i="1"/>
  <c r="B624" i="1"/>
  <c r="C624" i="1"/>
  <c r="M624" i="1"/>
  <c r="A625" i="1"/>
  <c r="B625" i="1"/>
  <c r="C625" i="1"/>
  <c r="M625" i="1"/>
  <c r="A626" i="1"/>
  <c r="B626" i="1"/>
  <c r="C626" i="1"/>
  <c r="M626" i="1"/>
  <c r="A627" i="1"/>
  <c r="B627" i="1"/>
  <c r="C627" i="1"/>
  <c r="M627" i="1"/>
  <c r="A628" i="1"/>
  <c r="B628" i="1"/>
  <c r="C628" i="1"/>
  <c r="M628" i="1"/>
  <c r="A629" i="1"/>
  <c r="B629" i="1"/>
  <c r="C629" i="1"/>
  <c r="M629" i="1"/>
  <c r="A630" i="1"/>
  <c r="B630" i="1"/>
  <c r="C630" i="1"/>
  <c r="M630" i="1"/>
  <c r="A631" i="1"/>
  <c r="B631" i="1"/>
  <c r="C631" i="1"/>
  <c r="M631" i="1"/>
  <c r="A632" i="1"/>
  <c r="B632" i="1"/>
  <c r="C632" i="1"/>
  <c r="M632" i="1"/>
  <c r="A633" i="1"/>
  <c r="B633" i="1"/>
  <c r="C633" i="1"/>
  <c r="M633" i="1"/>
  <c r="A634" i="1"/>
  <c r="B634" i="1"/>
  <c r="C634" i="1"/>
  <c r="M634" i="1"/>
  <c r="A635" i="1"/>
  <c r="B635" i="1"/>
  <c r="C635" i="1"/>
  <c r="M635" i="1"/>
  <c r="A636" i="1"/>
  <c r="B636" i="1"/>
  <c r="C636" i="1"/>
  <c r="M636" i="1"/>
  <c r="A637" i="1"/>
  <c r="B637" i="1"/>
  <c r="C637" i="1"/>
  <c r="M637" i="1"/>
  <c r="A638" i="1"/>
  <c r="B638" i="1"/>
  <c r="C638" i="1"/>
  <c r="M638" i="1"/>
  <c r="A639" i="1"/>
  <c r="B639" i="1"/>
  <c r="C639" i="1"/>
  <c r="M639" i="1"/>
  <c r="A640" i="1"/>
  <c r="B640" i="1"/>
  <c r="C640" i="1"/>
  <c r="M640" i="1"/>
  <c r="A641" i="1"/>
  <c r="B641" i="1"/>
  <c r="C641" i="1"/>
  <c r="M641" i="1"/>
  <c r="A642" i="1"/>
  <c r="B642" i="1"/>
  <c r="C642" i="1"/>
  <c r="M642" i="1"/>
  <c r="A643" i="1"/>
  <c r="B643" i="1"/>
  <c r="C643" i="1"/>
  <c r="M643" i="1"/>
  <c r="A644" i="1"/>
  <c r="B644" i="1"/>
  <c r="C644" i="1"/>
  <c r="M644" i="1"/>
  <c r="A645" i="1"/>
  <c r="B645" i="1"/>
  <c r="C645" i="1"/>
  <c r="M645" i="1"/>
  <c r="A646" i="1"/>
  <c r="B646" i="1"/>
  <c r="C646" i="1"/>
  <c r="M646" i="1"/>
  <c r="A647" i="1"/>
  <c r="B647" i="1"/>
  <c r="C647" i="1"/>
  <c r="M647" i="1"/>
  <c r="A648" i="1"/>
  <c r="B648" i="1"/>
  <c r="C648" i="1"/>
  <c r="M648" i="1"/>
  <c r="A649" i="1"/>
  <c r="B649" i="1"/>
  <c r="C649" i="1"/>
  <c r="M649" i="1"/>
  <c r="A650" i="1"/>
  <c r="B650" i="1"/>
  <c r="C650" i="1"/>
  <c r="M650" i="1"/>
  <c r="A651" i="1"/>
  <c r="B651" i="1"/>
  <c r="C651" i="1"/>
  <c r="M651" i="1"/>
  <c r="A652" i="1"/>
  <c r="B652" i="1"/>
  <c r="C652" i="1"/>
  <c r="M652" i="1"/>
  <c r="A653" i="1"/>
  <c r="B653" i="1"/>
  <c r="C653" i="1"/>
  <c r="M653" i="1"/>
  <c r="A654" i="1"/>
  <c r="B654" i="1"/>
  <c r="C654" i="1"/>
  <c r="M654" i="1"/>
  <c r="A655" i="1"/>
  <c r="B655" i="1"/>
  <c r="C655" i="1"/>
  <c r="M655" i="1"/>
  <c r="A656" i="1"/>
  <c r="B656" i="1"/>
  <c r="C656" i="1"/>
  <c r="M656" i="1"/>
  <c r="A657" i="1"/>
  <c r="B657" i="1"/>
  <c r="C657" i="1"/>
  <c r="M657" i="1"/>
  <c r="A658" i="1"/>
  <c r="B658" i="1"/>
  <c r="C658" i="1"/>
  <c r="M658" i="1"/>
  <c r="A659" i="1"/>
  <c r="B659" i="1"/>
  <c r="C659" i="1"/>
  <c r="M659" i="1"/>
  <c r="A660" i="1"/>
  <c r="B660" i="1"/>
  <c r="C660" i="1"/>
  <c r="M660" i="1"/>
  <c r="A661" i="1"/>
  <c r="B661" i="1"/>
  <c r="C661" i="1"/>
  <c r="M661" i="1"/>
  <c r="A662" i="1"/>
  <c r="B662" i="1"/>
  <c r="C662" i="1"/>
  <c r="M662" i="1"/>
  <c r="A663" i="1"/>
  <c r="B663" i="1"/>
  <c r="C663" i="1"/>
  <c r="M663" i="1"/>
  <c r="A664" i="1"/>
  <c r="B664" i="1"/>
  <c r="C664" i="1"/>
  <c r="M664" i="1"/>
  <c r="A665" i="1"/>
  <c r="B665" i="1"/>
  <c r="C665" i="1"/>
  <c r="M665" i="1"/>
  <c r="A666" i="1"/>
  <c r="B666" i="1"/>
  <c r="C666" i="1"/>
  <c r="M666" i="1"/>
  <c r="A667" i="1"/>
  <c r="B667" i="1"/>
  <c r="C667" i="1"/>
  <c r="M667" i="1"/>
  <c r="A668" i="1"/>
  <c r="B668" i="1"/>
  <c r="C668" i="1"/>
  <c r="M668" i="1"/>
  <c r="A669" i="1"/>
  <c r="B669" i="1"/>
  <c r="C669" i="1"/>
  <c r="M669" i="1"/>
  <c r="A670" i="1"/>
  <c r="B670" i="1"/>
  <c r="C670" i="1"/>
  <c r="M670" i="1"/>
  <c r="A671" i="1"/>
  <c r="B671" i="1"/>
  <c r="C671" i="1"/>
  <c r="M671" i="1"/>
  <c r="A672" i="1"/>
  <c r="B672" i="1"/>
  <c r="C672" i="1"/>
  <c r="M672" i="1"/>
  <c r="A673" i="1"/>
  <c r="B673" i="1"/>
  <c r="C673" i="1"/>
  <c r="M673" i="1"/>
  <c r="A674" i="1"/>
  <c r="B674" i="1"/>
  <c r="C674" i="1"/>
  <c r="M674" i="1"/>
  <c r="A675" i="1"/>
  <c r="B675" i="1"/>
  <c r="C675" i="1"/>
  <c r="M675" i="1"/>
  <c r="A676" i="1"/>
  <c r="B676" i="1"/>
  <c r="C676" i="1"/>
  <c r="M676" i="1"/>
  <c r="A677" i="1"/>
  <c r="B677" i="1"/>
  <c r="C677" i="1"/>
  <c r="M677" i="1"/>
  <c r="A678" i="1"/>
  <c r="B678" i="1"/>
  <c r="C678" i="1"/>
  <c r="M678" i="1"/>
  <c r="A679" i="1"/>
  <c r="B679" i="1"/>
  <c r="C679" i="1"/>
  <c r="M679" i="1"/>
  <c r="A680" i="1"/>
  <c r="B680" i="1"/>
  <c r="C680" i="1"/>
  <c r="M680" i="1"/>
  <c r="A681" i="1"/>
  <c r="B681" i="1"/>
  <c r="C681" i="1"/>
  <c r="M681" i="1"/>
  <c r="A682" i="1"/>
  <c r="B682" i="1"/>
  <c r="C682" i="1"/>
  <c r="M682" i="1"/>
  <c r="A683" i="1"/>
  <c r="B683" i="1"/>
  <c r="C683" i="1"/>
  <c r="M683" i="1"/>
  <c r="A684" i="1"/>
  <c r="B684" i="1"/>
  <c r="C684" i="1"/>
  <c r="M684" i="1"/>
  <c r="A685" i="1"/>
  <c r="B685" i="1"/>
  <c r="C685" i="1"/>
  <c r="M685" i="1"/>
  <c r="A686" i="1"/>
  <c r="B686" i="1"/>
  <c r="C686" i="1"/>
  <c r="M686" i="1"/>
  <c r="A687" i="1"/>
  <c r="B687" i="1"/>
  <c r="C687" i="1"/>
  <c r="M687" i="1"/>
  <c r="A688" i="1"/>
  <c r="B688" i="1"/>
  <c r="C688" i="1"/>
  <c r="M688" i="1"/>
  <c r="A689" i="1"/>
  <c r="B689" i="1"/>
  <c r="C689" i="1"/>
  <c r="M689" i="1"/>
  <c r="A690" i="1"/>
  <c r="B690" i="1"/>
  <c r="C690" i="1"/>
  <c r="M690" i="1"/>
  <c r="A691" i="1"/>
  <c r="B691" i="1"/>
  <c r="C691" i="1"/>
  <c r="M691" i="1"/>
  <c r="A692" i="1"/>
  <c r="B692" i="1"/>
  <c r="C692" i="1"/>
  <c r="M692" i="1"/>
  <c r="A693" i="1"/>
  <c r="B693" i="1"/>
  <c r="C693" i="1"/>
  <c r="M693" i="1"/>
  <c r="A694" i="1"/>
  <c r="B694" i="1"/>
  <c r="C694" i="1"/>
  <c r="M694" i="1"/>
  <c r="A695" i="1"/>
  <c r="B695" i="1"/>
  <c r="C695" i="1"/>
  <c r="M695" i="1"/>
  <c r="A696" i="1"/>
  <c r="B696" i="1"/>
  <c r="C696" i="1"/>
  <c r="M696" i="1"/>
  <c r="A697" i="1"/>
  <c r="B697" i="1"/>
  <c r="C697" i="1"/>
  <c r="M697" i="1"/>
  <c r="A698" i="1"/>
  <c r="B698" i="1"/>
  <c r="C698" i="1"/>
  <c r="M698" i="1"/>
  <c r="A699" i="1"/>
  <c r="B699" i="1"/>
  <c r="C699" i="1"/>
  <c r="M699" i="1"/>
  <c r="A700" i="1"/>
  <c r="B700" i="1"/>
  <c r="C700" i="1"/>
  <c r="M700" i="1"/>
  <c r="A701" i="1"/>
  <c r="B701" i="1"/>
  <c r="C701" i="1"/>
  <c r="M701" i="1"/>
  <c r="A702" i="1"/>
  <c r="B702" i="1"/>
  <c r="C702" i="1"/>
  <c r="M702" i="1"/>
  <c r="A703" i="1"/>
  <c r="B703" i="1"/>
  <c r="C703" i="1"/>
  <c r="M703" i="1"/>
  <c r="A704" i="1"/>
  <c r="B704" i="1"/>
  <c r="C704" i="1"/>
  <c r="M704" i="1"/>
  <c r="A705" i="1"/>
  <c r="B705" i="1"/>
  <c r="C705" i="1"/>
  <c r="M705" i="1"/>
  <c r="A706" i="1"/>
  <c r="B706" i="1"/>
  <c r="C706" i="1"/>
  <c r="M706" i="1"/>
  <c r="A707" i="1"/>
  <c r="B707" i="1"/>
  <c r="C707" i="1"/>
  <c r="M707" i="1"/>
  <c r="A708" i="1"/>
  <c r="B708" i="1"/>
  <c r="C708" i="1"/>
  <c r="M708" i="1"/>
  <c r="A709" i="1"/>
  <c r="B709" i="1"/>
  <c r="C709" i="1"/>
  <c r="M709" i="1"/>
  <c r="A710" i="1"/>
  <c r="B710" i="1"/>
  <c r="C710" i="1"/>
  <c r="M710" i="1"/>
  <c r="A711" i="1"/>
  <c r="B711" i="1"/>
  <c r="C711" i="1"/>
  <c r="M711" i="1"/>
  <c r="A712" i="1"/>
  <c r="B712" i="1"/>
  <c r="C712" i="1"/>
  <c r="M712" i="1"/>
  <c r="A713" i="1"/>
  <c r="B713" i="1"/>
  <c r="C713" i="1"/>
  <c r="M713" i="1"/>
  <c r="A714" i="1"/>
  <c r="B714" i="1"/>
  <c r="C714" i="1"/>
  <c r="M714" i="1"/>
  <c r="A715" i="1"/>
  <c r="B715" i="1"/>
  <c r="C715" i="1"/>
  <c r="M715" i="1"/>
  <c r="A716" i="1"/>
  <c r="B716" i="1"/>
  <c r="C716" i="1"/>
  <c r="M716" i="1"/>
  <c r="A717" i="1"/>
  <c r="B717" i="1"/>
  <c r="C717" i="1"/>
  <c r="M717" i="1"/>
  <c r="A718" i="1"/>
  <c r="B718" i="1"/>
  <c r="C718" i="1"/>
  <c r="M718" i="1"/>
  <c r="A719" i="1"/>
  <c r="B719" i="1"/>
  <c r="C719" i="1"/>
  <c r="M719" i="1"/>
  <c r="A720" i="1"/>
  <c r="B720" i="1"/>
  <c r="C720" i="1"/>
  <c r="M720" i="1"/>
  <c r="A721" i="1"/>
  <c r="B721" i="1"/>
  <c r="C721" i="1"/>
  <c r="M721" i="1"/>
  <c r="A722" i="1"/>
  <c r="B722" i="1"/>
  <c r="C722" i="1"/>
  <c r="M722" i="1"/>
  <c r="A723" i="1"/>
  <c r="B723" i="1"/>
  <c r="C723" i="1"/>
  <c r="M723" i="1"/>
  <c r="A724" i="1"/>
  <c r="B724" i="1"/>
  <c r="C724" i="1"/>
  <c r="M724" i="1"/>
  <c r="A725" i="1"/>
  <c r="B725" i="1"/>
  <c r="C725" i="1"/>
  <c r="M725" i="1"/>
  <c r="A726" i="1"/>
  <c r="B726" i="1"/>
  <c r="C726" i="1"/>
  <c r="M726" i="1"/>
  <c r="A727" i="1"/>
  <c r="B727" i="1"/>
  <c r="C727" i="1"/>
  <c r="M727" i="1"/>
  <c r="A728" i="1"/>
  <c r="B728" i="1"/>
  <c r="C728" i="1"/>
  <c r="M728" i="1"/>
  <c r="A729" i="1"/>
  <c r="B729" i="1"/>
  <c r="C729" i="1"/>
  <c r="M729" i="1"/>
  <c r="A730" i="1"/>
  <c r="B730" i="1"/>
  <c r="C730" i="1"/>
  <c r="M730" i="1"/>
  <c r="A731" i="1"/>
  <c r="B731" i="1"/>
  <c r="C731" i="1"/>
  <c r="M731" i="1"/>
  <c r="A732" i="1"/>
  <c r="B732" i="1"/>
  <c r="C732" i="1"/>
  <c r="M732" i="1"/>
  <c r="A733" i="1"/>
  <c r="B733" i="1"/>
  <c r="C733" i="1"/>
  <c r="M733" i="1"/>
  <c r="A734" i="1"/>
  <c r="B734" i="1"/>
  <c r="C734" i="1"/>
  <c r="M734" i="1"/>
  <c r="A735" i="1"/>
  <c r="B735" i="1"/>
  <c r="C735" i="1"/>
  <c r="M735" i="1"/>
  <c r="A736" i="1"/>
  <c r="B736" i="1"/>
  <c r="C736" i="1"/>
  <c r="M736" i="1"/>
  <c r="A737" i="1"/>
  <c r="B737" i="1"/>
  <c r="C737" i="1"/>
  <c r="M737" i="1"/>
  <c r="A738" i="1"/>
  <c r="B738" i="1"/>
  <c r="C738" i="1"/>
  <c r="M738" i="1"/>
  <c r="A739" i="1"/>
  <c r="B739" i="1"/>
  <c r="C739" i="1"/>
  <c r="M739" i="1"/>
  <c r="A740" i="1"/>
  <c r="B740" i="1"/>
  <c r="C740" i="1"/>
  <c r="M740" i="1"/>
  <c r="A741" i="1"/>
  <c r="B741" i="1"/>
  <c r="C741" i="1"/>
  <c r="M741" i="1"/>
  <c r="A742" i="1"/>
  <c r="B742" i="1"/>
  <c r="C742" i="1"/>
  <c r="M742" i="1"/>
  <c r="A743" i="1"/>
  <c r="B743" i="1"/>
  <c r="C743" i="1"/>
  <c r="M743" i="1"/>
  <c r="A744" i="1"/>
  <c r="B744" i="1"/>
  <c r="C744" i="1"/>
  <c r="M744" i="1"/>
  <c r="A745" i="1"/>
  <c r="B745" i="1"/>
  <c r="C745" i="1"/>
  <c r="M745" i="1"/>
  <c r="A746" i="1"/>
  <c r="B746" i="1"/>
  <c r="C746" i="1"/>
  <c r="M746" i="1"/>
  <c r="A747" i="1"/>
  <c r="B747" i="1"/>
  <c r="C747" i="1"/>
  <c r="M747" i="1"/>
  <c r="A748" i="1"/>
  <c r="B748" i="1"/>
  <c r="C748" i="1"/>
  <c r="M748" i="1"/>
  <c r="A749" i="1"/>
  <c r="B749" i="1"/>
  <c r="C749" i="1"/>
  <c r="M749" i="1"/>
  <c r="A750" i="1"/>
  <c r="B750" i="1"/>
  <c r="C750" i="1"/>
  <c r="M750" i="1"/>
  <c r="A751" i="1"/>
  <c r="B751" i="1"/>
  <c r="C751" i="1"/>
  <c r="M751" i="1"/>
  <c r="A752" i="1"/>
  <c r="B752" i="1"/>
  <c r="C752" i="1"/>
  <c r="M752" i="1"/>
  <c r="A753" i="1"/>
  <c r="B753" i="1"/>
  <c r="C753" i="1"/>
  <c r="M753" i="1"/>
  <c r="A754" i="1"/>
  <c r="B754" i="1"/>
  <c r="C754" i="1"/>
  <c r="M754" i="1"/>
  <c r="A755" i="1"/>
  <c r="B755" i="1"/>
  <c r="C755" i="1"/>
  <c r="M755" i="1"/>
  <c r="A756" i="1"/>
  <c r="B756" i="1"/>
  <c r="C756" i="1"/>
  <c r="M756" i="1"/>
  <c r="A757" i="1"/>
  <c r="B757" i="1"/>
  <c r="C757" i="1"/>
  <c r="M757" i="1"/>
  <c r="A758" i="1"/>
  <c r="B758" i="1"/>
  <c r="C758" i="1"/>
  <c r="M758" i="1"/>
  <c r="A759" i="1"/>
  <c r="B759" i="1"/>
  <c r="C759" i="1"/>
  <c r="M759" i="1"/>
  <c r="A760" i="1"/>
  <c r="B760" i="1"/>
  <c r="C760" i="1"/>
  <c r="M760" i="1"/>
  <c r="A761" i="1"/>
  <c r="B761" i="1"/>
  <c r="C761" i="1"/>
  <c r="M761" i="1"/>
  <c r="A762" i="1"/>
  <c r="B762" i="1"/>
  <c r="C762" i="1"/>
  <c r="M762" i="1"/>
  <c r="A763" i="1"/>
  <c r="B763" i="1"/>
  <c r="C763" i="1"/>
  <c r="M763" i="1"/>
  <c r="A764" i="1"/>
  <c r="B764" i="1"/>
  <c r="C764" i="1"/>
  <c r="M764" i="1"/>
  <c r="A765" i="1"/>
  <c r="B765" i="1"/>
  <c r="C765" i="1"/>
  <c r="M765" i="1"/>
  <c r="A766" i="1"/>
  <c r="B766" i="1"/>
  <c r="C766" i="1"/>
  <c r="M766" i="1"/>
  <c r="A767" i="1"/>
  <c r="B767" i="1"/>
  <c r="C767" i="1"/>
  <c r="M767" i="1"/>
  <c r="A768" i="1"/>
  <c r="B768" i="1"/>
  <c r="C768" i="1"/>
  <c r="M768" i="1"/>
  <c r="A769" i="1"/>
  <c r="B769" i="1"/>
  <c r="C769" i="1"/>
  <c r="M769" i="1"/>
  <c r="A770" i="1"/>
  <c r="B770" i="1"/>
  <c r="C770" i="1"/>
  <c r="M770" i="1"/>
  <c r="A771" i="1"/>
  <c r="B771" i="1"/>
  <c r="C771" i="1"/>
  <c r="M771" i="1"/>
  <c r="A772" i="1"/>
  <c r="B772" i="1"/>
  <c r="C772" i="1"/>
  <c r="M772" i="1"/>
  <c r="A773" i="1"/>
  <c r="B773" i="1"/>
  <c r="C773" i="1"/>
  <c r="M773" i="1"/>
  <c r="A774" i="1"/>
  <c r="B774" i="1"/>
  <c r="C774" i="1"/>
  <c r="M774" i="1"/>
  <c r="A775" i="1"/>
  <c r="B775" i="1"/>
  <c r="C775" i="1"/>
  <c r="M775" i="1"/>
  <c r="A776" i="1"/>
  <c r="B776" i="1"/>
  <c r="C776" i="1"/>
  <c r="M776" i="1"/>
  <c r="A777" i="1"/>
  <c r="B777" i="1"/>
  <c r="C777" i="1"/>
  <c r="M777" i="1"/>
  <c r="A778" i="1"/>
  <c r="B778" i="1"/>
  <c r="C778" i="1"/>
  <c r="M778" i="1"/>
  <c r="A779" i="1"/>
  <c r="B779" i="1"/>
  <c r="C779" i="1"/>
  <c r="M779" i="1"/>
  <c r="A780" i="1"/>
  <c r="B780" i="1"/>
  <c r="C780" i="1"/>
  <c r="M780" i="1"/>
  <c r="A781" i="1"/>
  <c r="B781" i="1"/>
  <c r="C781" i="1"/>
  <c r="M781" i="1"/>
  <c r="A782" i="1"/>
  <c r="B782" i="1"/>
  <c r="C782" i="1"/>
  <c r="M782" i="1"/>
  <c r="A783" i="1"/>
  <c r="B783" i="1"/>
  <c r="C783" i="1"/>
  <c r="M783" i="1"/>
  <c r="A784" i="1"/>
  <c r="B784" i="1"/>
  <c r="C784" i="1"/>
  <c r="M784" i="1"/>
  <c r="A785" i="1"/>
  <c r="B785" i="1"/>
  <c r="C785" i="1"/>
  <c r="M785" i="1"/>
  <c r="A786" i="1"/>
  <c r="B786" i="1"/>
  <c r="C786" i="1"/>
  <c r="M786" i="1"/>
  <c r="A787" i="1"/>
  <c r="B787" i="1"/>
  <c r="C787" i="1"/>
  <c r="M787" i="1"/>
  <c r="A788" i="1"/>
  <c r="B788" i="1"/>
  <c r="C788" i="1"/>
  <c r="M788" i="1"/>
  <c r="A789" i="1"/>
  <c r="B789" i="1"/>
  <c r="C789" i="1"/>
  <c r="M789" i="1"/>
  <c r="A790" i="1"/>
  <c r="B790" i="1"/>
  <c r="C790" i="1"/>
  <c r="M790" i="1"/>
  <c r="A791" i="1"/>
  <c r="B791" i="1"/>
  <c r="C791" i="1"/>
  <c r="M791" i="1"/>
  <c r="A792" i="1"/>
  <c r="B792" i="1"/>
  <c r="C792" i="1"/>
  <c r="M792" i="1"/>
  <c r="A793" i="1"/>
  <c r="B793" i="1"/>
  <c r="C793" i="1"/>
  <c r="M793" i="1"/>
  <c r="A794" i="1"/>
  <c r="B794" i="1"/>
  <c r="C794" i="1"/>
  <c r="M794" i="1"/>
  <c r="A795" i="1"/>
  <c r="B795" i="1"/>
  <c r="C795" i="1"/>
  <c r="M795" i="1"/>
  <c r="A796" i="1"/>
  <c r="B796" i="1"/>
  <c r="C796" i="1"/>
  <c r="M796" i="1"/>
  <c r="A797" i="1"/>
  <c r="B797" i="1"/>
  <c r="C797" i="1"/>
  <c r="M797" i="1"/>
  <c r="A798" i="1"/>
  <c r="B798" i="1"/>
  <c r="C798" i="1"/>
  <c r="M798" i="1"/>
  <c r="A799" i="1"/>
  <c r="B799" i="1"/>
  <c r="C799" i="1"/>
  <c r="M799" i="1"/>
  <c r="A800" i="1"/>
  <c r="B800" i="1"/>
  <c r="C800" i="1"/>
  <c r="M800" i="1"/>
  <c r="A801" i="1"/>
  <c r="B801" i="1"/>
  <c r="C801" i="1"/>
  <c r="M801" i="1"/>
  <c r="A802" i="1"/>
  <c r="B802" i="1"/>
  <c r="C802" i="1"/>
  <c r="M802" i="1"/>
  <c r="A803" i="1"/>
  <c r="B803" i="1"/>
  <c r="C803" i="1"/>
  <c r="M803" i="1"/>
  <c r="A804" i="1"/>
  <c r="B804" i="1"/>
  <c r="C804" i="1"/>
  <c r="M804" i="1"/>
  <c r="A805" i="1"/>
  <c r="B805" i="1"/>
  <c r="C805" i="1"/>
  <c r="M805" i="1"/>
  <c r="A806" i="1"/>
  <c r="B806" i="1"/>
  <c r="C806" i="1"/>
  <c r="M806" i="1"/>
  <c r="A807" i="1"/>
  <c r="B807" i="1"/>
  <c r="C807" i="1"/>
  <c r="M807" i="1"/>
  <c r="A808" i="1"/>
  <c r="B808" i="1"/>
  <c r="C808" i="1"/>
  <c r="M808" i="1"/>
  <c r="A809" i="1"/>
  <c r="B809" i="1"/>
  <c r="C809" i="1"/>
  <c r="M809" i="1"/>
  <c r="A810" i="1"/>
  <c r="B810" i="1"/>
  <c r="C810" i="1"/>
  <c r="M810" i="1"/>
  <c r="A811" i="1"/>
  <c r="B811" i="1"/>
  <c r="C811" i="1"/>
  <c r="M811" i="1"/>
  <c r="A812" i="1"/>
  <c r="B812" i="1"/>
  <c r="C812" i="1"/>
  <c r="M812" i="1"/>
  <c r="A813" i="1"/>
  <c r="B813" i="1"/>
  <c r="C813" i="1"/>
  <c r="M813" i="1"/>
  <c r="A814" i="1"/>
  <c r="B814" i="1"/>
  <c r="C814" i="1"/>
  <c r="M814" i="1"/>
  <c r="A815" i="1"/>
  <c r="B815" i="1"/>
  <c r="C815" i="1"/>
  <c r="M815" i="1"/>
  <c r="A816" i="1"/>
  <c r="B816" i="1"/>
  <c r="C816" i="1"/>
  <c r="M816" i="1"/>
  <c r="A817" i="1"/>
  <c r="B817" i="1"/>
  <c r="C817" i="1"/>
  <c r="M817" i="1"/>
  <c r="A818" i="1"/>
  <c r="B818" i="1"/>
  <c r="C818" i="1"/>
  <c r="M818" i="1"/>
  <c r="A819" i="1"/>
  <c r="B819" i="1"/>
  <c r="C819" i="1"/>
  <c r="M819" i="1"/>
  <c r="A820" i="1"/>
  <c r="B820" i="1"/>
  <c r="C820" i="1"/>
  <c r="M820" i="1"/>
  <c r="A821" i="1"/>
  <c r="B821" i="1"/>
  <c r="C821" i="1"/>
  <c r="M821" i="1"/>
  <c r="A822" i="1"/>
  <c r="B822" i="1"/>
  <c r="C822" i="1"/>
  <c r="M822" i="1"/>
  <c r="A823" i="1"/>
  <c r="B823" i="1"/>
  <c r="C823" i="1"/>
  <c r="M823" i="1"/>
  <c r="A824" i="1"/>
  <c r="B824" i="1"/>
  <c r="C824" i="1"/>
  <c r="M824" i="1"/>
  <c r="A825" i="1"/>
  <c r="B825" i="1"/>
  <c r="C825" i="1"/>
  <c r="M825" i="1"/>
  <c r="A826" i="1"/>
  <c r="B826" i="1"/>
  <c r="C826" i="1"/>
  <c r="M826" i="1"/>
  <c r="A827" i="1"/>
  <c r="B827" i="1"/>
  <c r="C827" i="1"/>
  <c r="M827" i="1"/>
  <c r="A828" i="1"/>
  <c r="B828" i="1"/>
  <c r="C828" i="1"/>
  <c r="M828" i="1"/>
  <c r="A829" i="1"/>
  <c r="B829" i="1"/>
  <c r="C829" i="1"/>
  <c r="M829" i="1"/>
  <c r="A830" i="1"/>
  <c r="B830" i="1"/>
  <c r="C830" i="1"/>
  <c r="M830" i="1"/>
  <c r="A831" i="1"/>
  <c r="B831" i="1"/>
  <c r="C831" i="1"/>
  <c r="M831" i="1"/>
  <c r="A832" i="1"/>
  <c r="B832" i="1"/>
  <c r="C832" i="1"/>
  <c r="M832" i="1"/>
  <c r="A833" i="1"/>
  <c r="B833" i="1"/>
  <c r="C833" i="1"/>
  <c r="M833" i="1"/>
  <c r="A834" i="1"/>
  <c r="B834" i="1"/>
  <c r="C834" i="1"/>
  <c r="M834" i="1"/>
  <c r="A835" i="1"/>
  <c r="B835" i="1"/>
  <c r="C835" i="1"/>
  <c r="M835" i="1"/>
  <c r="A836" i="1"/>
  <c r="B836" i="1"/>
  <c r="C836" i="1"/>
  <c r="M836" i="1"/>
  <c r="A837" i="1"/>
  <c r="B837" i="1"/>
  <c r="C837" i="1"/>
  <c r="M837" i="1"/>
  <c r="A838" i="1"/>
  <c r="B838" i="1"/>
  <c r="C838" i="1"/>
  <c r="M838" i="1"/>
  <c r="A839" i="1"/>
  <c r="B839" i="1"/>
  <c r="C839" i="1"/>
  <c r="M839" i="1"/>
  <c r="A840" i="1"/>
  <c r="B840" i="1"/>
  <c r="C840" i="1"/>
  <c r="M840" i="1"/>
  <c r="A841" i="1"/>
  <c r="B841" i="1"/>
  <c r="C841" i="1"/>
  <c r="M841" i="1"/>
  <c r="A842" i="1"/>
  <c r="B842" i="1"/>
  <c r="C842" i="1"/>
  <c r="M842" i="1"/>
  <c r="A843" i="1"/>
  <c r="B843" i="1"/>
  <c r="C843" i="1"/>
  <c r="M843" i="1"/>
  <c r="A844" i="1"/>
  <c r="B844" i="1"/>
  <c r="C844" i="1"/>
  <c r="M844" i="1"/>
  <c r="A845" i="1"/>
  <c r="B845" i="1"/>
  <c r="C845" i="1"/>
  <c r="M845" i="1"/>
  <c r="A846" i="1"/>
  <c r="B846" i="1"/>
  <c r="C846" i="1"/>
  <c r="M846" i="1"/>
  <c r="A847" i="1"/>
  <c r="B847" i="1"/>
  <c r="C847" i="1"/>
  <c r="M847" i="1"/>
  <c r="A848" i="1"/>
  <c r="B848" i="1"/>
  <c r="C848" i="1"/>
  <c r="M848" i="1"/>
  <c r="A849" i="1"/>
  <c r="B849" i="1"/>
  <c r="C849" i="1"/>
  <c r="M849" i="1"/>
  <c r="A850" i="1"/>
  <c r="B850" i="1"/>
  <c r="C850" i="1"/>
  <c r="M850" i="1"/>
  <c r="A851" i="1"/>
  <c r="B851" i="1"/>
  <c r="C851" i="1"/>
  <c r="M851" i="1"/>
  <c r="A852" i="1"/>
  <c r="B852" i="1"/>
  <c r="C852" i="1"/>
  <c r="M852" i="1"/>
  <c r="A853" i="1"/>
  <c r="B853" i="1"/>
  <c r="C853" i="1"/>
  <c r="M853" i="1"/>
  <c r="A854" i="1"/>
  <c r="B854" i="1"/>
  <c r="C854" i="1"/>
  <c r="M854" i="1"/>
  <c r="A855" i="1"/>
  <c r="B855" i="1"/>
  <c r="C855" i="1"/>
  <c r="M855" i="1"/>
  <c r="A856" i="1"/>
  <c r="B856" i="1"/>
  <c r="C856" i="1"/>
  <c r="M856" i="1"/>
  <c r="A857" i="1"/>
  <c r="B857" i="1"/>
  <c r="C857" i="1"/>
  <c r="M857" i="1"/>
  <c r="A858" i="1"/>
  <c r="B858" i="1"/>
  <c r="C858" i="1"/>
  <c r="M858" i="1"/>
  <c r="A859" i="1"/>
  <c r="B859" i="1"/>
  <c r="C859" i="1"/>
  <c r="M859" i="1"/>
  <c r="A860" i="1"/>
  <c r="B860" i="1"/>
  <c r="C860" i="1"/>
  <c r="M860" i="1"/>
  <c r="A861" i="1"/>
  <c r="B861" i="1"/>
  <c r="C861" i="1"/>
  <c r="M861" i="1"/>
  <c r="A862" i="1"/>
  <c r="B862" i="1"/>
  <c r="C862" i="1"/>
  <c r="M862" i="1"/>
  <c r="A863" i="1"/>
  <c r="B863" i="1"/>
  <c r="C863" i="1"/>
  <c r="M863" i="1"/>
  <c r="A864" i="1"/>
  <c r="B864" i="1"/>
  <c r="C864" i="1"/>
  <c r="M864" i="1"/>
  <c r="A865" i="1"/>
  <c r="B865" i="1"/>
  <c r="C865" i="1"/>
  <c r="M865" i="1"/>
  <c r="A866" i="1"/>
  <c r="B866" i="1"/>
  <c r="C866" i="1"/>
  <c r="M866" i="1"/>
  <c r="A867" i="1"/>
  <c r="B867" i="1"/>
  <c r="C867" i="1"/>
  <c r="M867" i="1"/>
  <c r="A868" i="1"/>
  <c r="B868" i="1"/>
  <c r="C868" i="1"/>
  <c r="M868" i="1"/>
  <c r="A869" i="1"/>
  <c r="B869" i="1"/>
  <c r="C869" i="1"/>
  <c r="M869" i="1"/>
  <c r="A870" i="1"/>
  <c r="B870" i="1"/>
  <c r="C870" i="1"/>
  <c r="M870" i="1"/>
  <c r="A871" i="1"/>
  <c r="B871" i="1"/>
  <c r="C871" i="1"/>
  <c r="M871" i="1"/>
  <c r="A872" i="1"/>
  <c r="B872" i="1"/>
  <c r="C872" i="1"/>
  <c r="M872" i="1"/>
  <c r="A873" i="1"/>
  <c r="B873" i="1"/>
  <c r="C873" i="1"/>
  <c r="M873" i="1"/>
  <c r="A874" i="1"/>
  <c r="B874" i="1"/>
  <c r="C874" i="1"/>
  <c r="M874" i="1"/>
  <c r="A875" i="1"/>
  <c r="B875" i="1"/>
  <c r="C875" i="1"/>
  <c r="M875" i="1"/>
  <c r="A876" i="1"/>
  <c r="B876" i="1"/>
  <c r="C876" i="1"/>
  <c r="M876" i="1"/>
  <c r="A877" i="1"/>
  <c r="B877" i="1"/>
  <c r="C877" i="1"/>
  <c r="M877" i="1"/>
  <c r="A878" i="1"/>
  <c r="B878" i="1"/>
  <c r="C878" i="1"/>
  <c r="M878" i="1"/>
  <c r="A879" i="1"/>
  <c r="B879" i="1"/>
  <c r="C879" i="1"/>
  <c r="M879" i="1"/>
  <c r="A880" i="1"/>
  <c r="B880" i="1"/>
  <c r="C880" i="1"/>
  <c r="M880" i="1"/>
  <c r="A881" i="1"/>
  <c r="B881" i="1"/>
  <c r="C881" i="1"/>
  <c r="M881" i="1"/>
  <c r="A882" i="1"/>
  <c r="B882" i="1"/>
  <c r="C882" i="1"/>
  <c r="M882" i="1"/>
  <c r="A883" i="1"/>
  <c r="B883" i="1"/>
  <c r="C883" i="1"/>
  <c r="M883" i="1"/>
  <c r="A884" i="1"/>
  <c r="B884" i="1"/>
  <c r="C884" i="1"/>
  <c r="M884" i="1"/>
  <c r="A885" i="1"/>
  <c r="B885" i="1"/>
  <c r="C885" i="1"/>
  <c r="M885" i="1"/>
  <c r="A886" i="1"/>
  <c r="B886" i="1"/>
  <c r="C886" i="1"/>
  <c r="M886" i="1"/>
  <c r="A887" i="1"/>
  <c r="B887" i="1"/>
  <c r="C887" i="1"/>
  <c r="M887" i="1"/>
  <c r="A888" i="1"/>
  <c r="B888" i="1"/>
  <c r="C888" i="1"/>
  <c r="M888" i="1"/>
  <c r="A889" i="1"/>
  <c r="B889" i="1"/>
  <c r="C889" i="1"/>
  <c r="M889" i="1"/>
  <c r="A890" i="1"/>
  <c r="B890" i="1"/>
  <c r="C890" i="1"/>
  <c r="M890" i="1"/>
  <c r="A891" i="1"/>
  <c r="B891" i="1"/>
  <c r="C891" i="1"/>
  <c r="M891" i="1"/>
  <c r="A892" i="1"/>
  <c r="B892" i="1"/>
  <c r="C892" i="1"/>
  <c r="M892" i="1"/>
  <c r="A893" i="1"/>
  <c r="B893" i="1"/>
  <c r="C893" i="1"/>
  <c r="M893" i="1"/>
  <c r="A894" i="1"/>
  <c r="B894" i="1"/>
  <c r="C894" i="1"/>
  <c r="M894" i="1"/>
  <c r="A895" i="1"/>
  <c r="B895" i="1"/>
  <c r="C895" i="1"/>
  <c r="M895" i="1"/>
  <c r="A896" i="1"/>
  <c r="B896" i="1"/>
  <c r="C896" i="1"/>
  <c r="M896" i="1"/>
  <c r="A897" i="1"/>
  <c r="B897" i="1"/>
  <c r="C897" i="1"/>
  <c r="M897" i="1"/>
  <c r="A898" i="1"/>
  <c r="B898" i="1"/>
  <c r="C898" i="1"/>
  <c r="M898" i="1"/>
  <c r="A899" i="1"/>
  <c r="B899" i="1"/>
  <c r="C899" i="1"/>
  <c r="M899" i="1"/>
  <c r="A900" i="1"/>
  <c r="B900" i="1"/>
  <c r="C900" i="1"/>
  <c r="M900" i="1"/>
  <c r="A901" i="1"/>
  <c r="B901" i="1"/>
  <c r="C901" i="1"/>
  <c r="M901" i="1"/>
  <c r="A902" i="1"/>
  <c r="B902" i="1"/>
  <c r="C902" i="1"/>
  <c r="M902" i="1"/>
  <c r="A903" i="1"/>
  <c r="B903" i="1"/>
  <c r="C903" i="1"/>
  <c r="M903" i="1"/>
  <c r="A904" i="1"/>
  <c r="B904" i="1"/>
  <c r="C904" i="1"/>
  <c r="M904" i="1"/>
  <c r="A905" i="1"/>
  <c r="B905" i="1"/>
  <c r="C905" i="1"/>
  <c r="M905" i="1"/>
  <c r="A906" i="1"/>
  <c r="B906" i="1"/>
  <c r="C906" i="1"/>
  <c r="M906" i="1"/>
  <c r="A907" i="1"/>
  <c r="B907" i="1"/>
  <c r="C907" i="1"/>
  <c r="M907" i="1"/>
  <c r="A908" i="1"/>
  <c r="B908" i="1"/>
  <c r="C908" i="1"/>
  <c r="M908" i="1"/>
  <c r="A909" i="1"/>
  <c r="B909" i="1"/>
  <c r="C909" i="1"/>
  <c r="M909" i="1"/>
  <c r="A910" i="1"/>
  <c r="B910" i="1"/>
  <c r="C910" i="1"/>
  <c r="M910" i="1"/>
  <c r="A911" i="1"/>
  <c r="B911" i="1"/>
  <c r="C911" i="1"/>
  <c r="M911" i="1"/>
  <c r="A912" i="1"/>
  <c r="B912" i="1"/>
  <c r="C912" i="1"/>
  <c r="M912" i="1"/>
  <c r="A913" i="1"/>
  <c r="B913" i="1"/>
  <c r="C913" i="1"/>
  <c r="M913" i="1"/>
  <c r="A914" i="1"/>
  <c r="B914" i="1"/>
  <c r="C914" i="1"/>
  <c r="M914" i="1"/>
  <c r="A915" i="1"/>
  <c r="B915" i="1"/>
  <c r="C915" i="1"/>
  <c r="M915" i="1"/>
  <c r="A916" i="1"/>
  <c r="B916" i="1"/>
  <c r="C916" i="1"/>
  <c r="M916" i="1"/>
  <c r="A917" i="1"/>
  <c r="B917" i="1"/>
  <c r="C917" i="1"/>
  <c r="M917" i="1"/>
  <c r="A918" i="1"/>
  <c r="B918" i="1"/>
  <c r="C918" i="1"/>
  <c r="M918" i="1"/>
  <c r="A919" i="1"/>
  <c r="B919" i="1"/>
  <c r="C919" i="1"/>
  <c r="M919" i="1"/>
  <c r="A920" i="1"/>
  <c r="B920" i="1"/>
  <c r="C920" i="1"/>
  <c r="M920" i="1"/>
  <c r="A921" i="1"/>
  <c r="B921" i="1"/>
  <c r="C921" i="1"/>
  <c r="M921" i="1"/>
  <c r="A922" i="1"/>
  <c r="B922" i="1"/>
  <c r="C922" i="1"/>
  <c r="M922" i="1"/>
  <c r="A923" i="1"/>
  <c r="B923" i="1"/>
  <c r="C923" i="1"/>
  <c r="M923" i="1"/>
  <c r="A924" i="1"/>
  <c r="B924" i="1"/>
  <c r="C924" i="1"/>
  <c r="M924" i="1"/>
  <c r="A925" i="1"/>
  <c r="B925" i="1"/>
  <c r="C925" i="1"/>
  <c r="M925" i="1"/>
  <c r="A926" i="1"/>
  <c r="B926" i="1"/>
  <c r="C926" i="1"/>
  <c r="M926" i="1"/>
  <c r="A927" i="1"/>
  <c r="B927" i="1"/>
  <c r="C927" i="1"/>
  <c r="M927" i="1"/>
  <c r="A928" i="1"/>
  <c r="B928" i="1"/>
  <c r="C928" i="1"/>
  <c r="M928" i="1"/>
  <c r="A929" i="1"/>
  <c r="B929" i="1"/>
  <c r="C929" i="1"/>
  <c r="M929" i="1"/>
  <c r="A930" i="1"/>
  <c r="B930" i="1"/>
  <c r="C930" i="1"/>
  <c r="M930" i="1"/>
  <c r="A931" i="1"/>
  <c r="B931" i="1"/>
  <c r="C931" i="1"/>
  <c r="M931" i="1"/>
  <c r="A932" i="1"/>
  <c r="B932" i="1"/>
  <c r="C932" i="1"/>
  <c r="M932" i="1"/>
  <c r="A933" i="1"/>
  <c r="B933" i="1"/>
  <c r="C933" i="1"/>
  <c r="M933" i="1"/>
  <c r="A934" i="1"/>
  <c r="B934" i="1"/>
  <c r="C934" i="1"/>
  <c r="M934" i="1"/>
  <c r="A935" i="1"/>
  <c r="B935" i="1"/>
  <c r="C935" i="1"/>
  <c r="M935" i="1"/>
  <c r="A936" i="1"/>
  <c r="B936" i="1"/>
  <c r="C936" i="1"/>
  <c r="M936" i="1"/>
  <c r="A937" i="1"/>
  <c r="B937" i="1"/>
  <c r="C937" i="1"/>
  <c r="M937" i="1"/>
  <c r="A938" i="1"/>
  <c r="B938" i="1"/>
  <c r="C938" i="1"/>
  <c r="M938" i="1"/>
  <c r="A939" i="1"/>
  <c r="B939" i="1"/>
  <c r="C939" i="1"/>
  <c r="M939" i="1"/>
  <c r="A940" i="1"/>
  <c r="B940" i="1"/>
  <c r="C940" i="1"/>
  <c r="M940" i="1"/>
  <c r="A941" i="1"/>
  <c r="B941" i="1"/>
  <c r="C941" i="1"/>
  <c r="M941" i="1"/>
  <c r="A942" i="1"/>
  <c r="B942" i="1"/>
  <c r="C942" i="1"/>
  <c r="M942" i="1"/>
  <c r="A943" i="1"/>
  <c r="B943" i="1"/>
  <c r="C943" i="1"/>
  <c r="M943" i="1"/>
  <c r="A944" i="1"/>
  <c r="B944" i="1"/>
  <c r="C944" i="1"/>
  <c r="M944" i="1"/>
  <c r="A945" i="1"/>
  <c r="B945" i="1"/>
  <c r="C945" i="1"/>
  <c r="M945" i="1"/>
  <c r="A946" i="1"/>
  <c r="B946" i="1"/>
  <c r="C946" i="1"/>
  <c r="M946" i="1"/>
  <c r="A947" i="1"/>
  <c r="B947" i="1"/>
  <c r="C947" i="1"/>
  <c r="M947" i="1"/>
  <c r="A948" i="1"/>
  <c r="B948" i="1"/>
  <c r="C948" i="1"/>
  <c r="M948" i="1"/>
  <c r="A949" i="1"/>
  <c r="B949" i="1"/>
  <c r="C949" i="1"/>
  <c r="M949" i="1"/>
  <c r="A950" i="1"/>
  <c r="B950" i="1"/>
  <c r="C950" i="1"/>
  <c r="M950" i="1"/>
  <c r="A951" i="1"/>
  <c r="B951" i="1"/>
  <c r="C951" i="1"/>
  <c r="M951" i="1"/>
  <c r="A952" i="1"/>
  <c r="B952" i="1"/>
  <c r="C952" i="1"/>
  <c r="M952" i="1"/>
  <c r="A953" i="1"/>
  <c r="B953" i="1"/>
  <c r="C953" i="1"/>
  <c r="M953" i="1"/>
  <c r="A954" i="1"/>
  <c r="B954" i="1"/>
  <c r="C954" i="1"/>
  <c r="M954" i="1"/>
  <c r="A955" i="1"/>
  <c r="B955" i="1"/>
  <c r="C955" i="1"/>
  <c r="M955" i="1"/>
  <c r="A956" i="1"/>
  <c r="B956" i="1"/>
  <c r="C956" i="1"/>
  <c r="M956" i="1"/>
  <c r="A957" i="1"/>
  <c r="B957" i="1"/>
  <c r="C957" i="1"/>
  <c r="M957" i="1"/>
  <c r="A958" i="1"/>
  <c r="B958" i="1"/>
  <c r="C958" i="1"/>
  <c r="M958" i="1"/>
  <c r="A959" i="1"/>
  <c r="B959" i="1"/>
  <c r="C959" i="1"/>
  <c r="M959" i="1"/>
  <c r="A960" i="1"/>
  <c r="B960" i="1"/>
  <c r="C960" i="1"/>
  <c r="M960" i="1"/>
  <c r="A961" i="1"/>
  <c r="B961" i="1"/>
  <c r="C961" i="1"/>
  <c r="M961" i="1"/>
  <c r="A962" i="1"/>
  <c r="B962" i="1"/>
  <c r="C962" i="1"/>
  <c r="M962" i="1"/>
  <c r="A963" i="1"/>
  <c r="B963" i="1"/>
  <c r="C963" i="1"/>
  <c r="M963" i="1"/>
  <c r="A964" i="1"/>
  <c r="B964" i="1"/>
  <c r="C964" i="1"/>
  <c r="M964" i="1"/>
  <c r="A965" i="1"/>
  <c r="B965" i="1"/>
  <c r="C965" i="1"/>
  <c r="M965" i="1"/>
  <c r="A966" i="1"/>
  <c r="B966" i="1"/>
  <c r="C966" i="1"/>
  <c r="M966" i="1"/>
  <c r="A967" i="1"/>
  <c r="B967" i="1"/>
  <c r="C967" i="1"/>
  <c r="M967" i="1"/>
  <c r="A968" i="1"/>
  <c r="B968" i="1"/>
  <c r="C968" i="1"/>
  <c r="M968" i="1"/>
  <c r="A969" i="1"/>
  <c r="B969" i="1"/>
  <c r="C969" i="1"/>
  <c r="M969" i="1"/>
  <c r="A970" i="1"/>
  <c r="B970" i="1"/>
  <c r="C970" i="1"/>
  <c r="M970" i="1"/>
  <c r="A971" i="1"/>
  <c r="B971" i="1"/>
  <c r="C971" i="1"/>
  <c r="M971" i="1"/>
  <c r="A972" i="1"/>
  <c r="B972" i="1"/>
  <c r="C972" i="1"/>
  <c r="M972" i="1"/>
  <c r="A973" i="1"/>
  <c r="B973" i="1"/>
  <c r="C973" i="1"/>
  <c r="M973" i="1"/>
  <c r="A974" i="1"/>
  <c r="B974" i="1"/>
  <c r="C974" i="1"/>
  <c r="M974" i="1"/>
  <c r="A975" i="1"/>
  <c r="B975" i="1"/>
  <c r="C975" i="1"/>
  <c r="M975" i="1"/>
  <c r="A976" i="1"/>
  <c r="B976" i="1"/>
  <c r="C976" i="1"/>
  <c r="M976" i="1"/>
  <c r="A977" i="1"/>
  <c r="B977" i="1"/>
  <c r="C977" i="1"/>
  <c r="M977" i="1"/>
  <c r="A978" i="1"/>
  <c r="B978" i="1"/>
  <c r="C978" i="1"/>
  <c r="M978" i="1"/>
  <c r="A979" i="1"/>
  <c r="B979" i="1"/>
  <c r="C979" i="1"/>
  <c r="M979" i="1"/>
  <c r="A980" i="1"/>
  <c r="B980" i="1"/>
  <c r="C980" i="1"/>
  <c r="M980" i="1"/>
  <c r="A981" i="1"/>
  <c r="B981" i="1"/>
  <c r="C981" i="1"/>
  <c r="M981" i="1"/>
  <c r="A982" i="1"/>
  <c r="B982" i="1"/>
  <c r="C982" i="1"/>
  <c r="M982" i="1"/>
  <c r="A983" i="1"/>
  <c r="B983" i="1"/>
  <c r="C983" i="1"/>
  <c r="M983" i="1"/>
  <c r="A984" i="1"/>
  <c r="B984" i="1"/>
  <c r="C984" i="1"/>
  <c r="M984" i="1"/>
  <c r="A985" i="1"/>
  <c r="B985" i="1"/>
  <c r="C985" i="1"/>
  <c r="M985" i="1"/>
  <c r="A986" i="1"/>
  <c r="B986" i="1"/>
  <c r="C986" i="1"/>
  <c r="M986" i="1"/>
  <c r="A987" i="1"/>
  <c r="B987" i="1"/>
  <c r="C987" i="1"/>
  <c r="M987" i="1"/>
  <c r="A988" i="1"/>
  <c r="B988" i="1"/>
  <c r="C988" i="1"/>
  <c r="M988" i="1"/>
  <c r="A989" i="1"/>
  <c r="B989" i="1"/>
  <c r="C989" i="1"/>
  <c r="M989" i="1"/>
  <c r="A990" i="1"/>
  <c r="B990" i="1"/>
  <c r="C990" i="1"/>
  <c r="M990" i="1"/>
  <c r="A991" i="1"/>
  <c r="B991" i="1"/>
  <c r="C991" i="1"/>
  <c r="M991" i="1"/>
  <c r="A992" i="1"/>
  <c r="B992" i="1"/>
  <c r="C992" i="1"/>
  <c r="M992" i="1"/>
  <c r="A993" i="1"/>
  <c r="B993" i="1"/>
  <c r="C993" i="1"/>
  <c r="M993" i="1"/>
  <c r="A994" i="1"/>
  <c r="B994" i="1"/>
  <c r="C994" i="1"/>
  <c r="M994" i="1"/>
  <c r="A995" i="1"/>
  <c r="B995" i="1"/>
  <c r="C995" i="1"/>
  <c r="M995" i="1"/>
  <c r="A996" i="1"/>
  <c r="B996" i="1"/>
  <c r="C996" i="1"/>
  <c r="M996" i="1"/>
  <c r="A997" i="1"/>
  <c r="B997" i="1"/>
  <c r="C997" i="1"/>
  <c r="M997" i="1"/>
  <c r="A998" i="1"/>
  <c r="B998" i="1"/>
  <c r="C998" i="1"/>
  <c r="M998" i="1"/>
  <c r="A999" i="1"/>
  <c r="B999" i="1"/>
  <c r="C999" i="1"/>
  <c r="M999" i="1"/>
  <c r="A1000" i="1"/>
  <c r="B1000" i="1"/>
  <c r="C1000" i="1"/>
  <c r="M1000" i="1"/>
  <c r="A1001" i="1"/>
  <c r="B1001" i="1"/>
  <c r="C1001" i="1"/>
  <c r="M1001" i="1"/>
  <c r="A1002" i="1"/>
  <c r="B1002" i="1"/>
  <c r="C1002" i="1"/>
  <c r="M1002" i="1"/>
  <c r="A1003" i="1"/>
  <c r="B1003" i="1"/>
  <c r="C1003" i="1"/>
  <c r="M1003" i="1"/>
  <c r="A1004" i="1"/>
  <c r="B1004" i="1"/>
  <c r="C1004" i="1"/>
  <c r="M1004" i="1"/>
  <c r="A1005" i="1"/>
  <c r="B1005" i="1"/>
  <c r="C1005" i="1"/>
  <c r="M1005" i="1"/>
  <c r="A1006" i="1"/>
  <c r="B1006" i="1"/>
  <c r="C1006" i="1"/>
  <c r="M1006" i="1"/>
  <c r="A1007" i="1"/>
  <c r="B1007" i="1"/>
  <c r="C1007" i="1"/>
  <c r="M1007" i="1"/>
  <c r="A1008" i="1"/>
  <c r="B1008" i="1"/>
  <c r="C1008" i="1"/>
  <c r="M1008" i="1"/>
  <c r="A1009" i="1"/>
  <c r="B1009" i="1"/>
  <c r="C1009" i="1"/>
  <c r="M1009" i="1"/>
  <c r="A1010" i="1"/>
  <c r="B1010" i="1"/>
  <c r="C1010" i="1"/>
  <c r="M1010" i="1"/>
  <c r="A1011" i="1"/>
  <c r="B1011" i="1"/>
  <c r="C1011" i="1"/>
  <c r="M1011" i="1"/>
  <c r="A1012" i="1"/>
  <c r="B1012" i="1"/>
  <c r="C1012" i="1"/>
  <c r="M1012" i="1"/>
  <c r="A1013" i="1"/>
  <c r="B1013" i="1"/>
  <c r="C1013" i="1"/>
  <c r="M1013" i="1"/>
  <c r="A1014" i="1"/>
  <c r="B1014" i="1"/>
  <c r="C1014" i="1"/>
  <c r="M1014" i="1"/>
  <c r="A1015" i="1"/>
  <c r="B1015" i="1"/>
  <c r="C1015" i="1"/>
  <c r="M1015" i="1"/>
  <c r="A1016" i="1"/>
  <c r="B1016" i="1"/>
  <c r="C1016" i="1"/>
  <c r="M1016" i="1"/>
  <c r="A1017" i="1"/>
  <c r="B1017" i="1"/>
  <c r="C1017" i="1"/>
  <c r="M1017" i="1"/>
  <c r="A1018" i="1"/>
  <c r="B1018" i="1"/>
  <c r="C1018" i="1"/>
  <c r="M1018" i="1"/>
  <c r="A1019" i="1"/>
  <c r="B1019" i="1"/>
  <c r="C1019" i="1"/>
  <c r="M1019" i="1"/>
  <c r="A1020" i="1"/>
  <c r="B1020" i="1"/>
  <c r="C1020" i="1"/>
  <c r="M1020" i="1"/>
  <c r="A1021" i="1"/>
  <c r="B1021" i="1"/>
  <c r="C1021" i="1"/>
  <c r="M1021" i="1"/>
  <c r="A1022" i="1"/>
  <c r="B1022" i="1"/>
  <c r="C1022" i="1"/>
  <c r="M1022" i="1"/>
  <c r="A1023" i="1"/>
  <c r="B1023" i="1"/>
  <c r="C1023" i="1"/>
  <c r="M1023" i="1"/>
  <c r="A1024" i="1"/>
  <c r="B1024" i="1"/>
  <c r="C1024" i="1"/>
  <c r="M1024" i="1"/>
  <c r="A1025" i="1"/>
  <c r="B1025" i="1"/>
  <c r="C1025" i="1"/>
  <c r="M1025" i="1"/>
  <c r="A1026" i="1"/>
  <c r="B1026" i="1"/>
  <c r="C1026" i="1"/>
  <c r="M1026" i="1"/>
  <c r="A1027" i="1"/>
  <c r="B1027" i="1"/>
  <c r="C1027" i="1"/>
  <c r="M1027" i="1"/>
  <c r="A1028" i="1"/>
  <c r="B1028" i="1"/>
  <c r="C1028" i="1"/>
  <c r="M1028" i="1"/>
  <c r="A1029" i="1"/>
  <c r="B1029" i="1"/>
  <c r="C1029" i="1"/>
  <c r="M1029" i="1"/>
  <c r="A1030" i="1"/>
  <c r="B1030" i="1"/>
  <c r="C1030" i="1"/>
  <c r="M1030" i="1"/>
  <c r="A1031" i="1"/>
  <c r="B1031" i="1"/>
  <c r="C1031" i="1"/>
  <c r="M1031" i="1"/>
  <c r="A1032" i="1"/>
  <c r="B1032" i="1"/>
  <c r="C1032" i="1"/>
  <c r="M1032" i="1"/>
  <c r="A1033" i="1"/>
  <c r="B1033" i="1"/>
  <c r="C1033" i="1"/>
  <c r="M1033" i="1"/>
  <c r="A1034" i="1"/>
  <c r="B1034" i="1"/>
  <c r="C1034" i="1"/>
  <c r="M1034" i="1"/>
  <c r="A1035" i="1"/>
  <c r="B1035" i="1"/>
  <c r="C1035" i="1"/>
  <c r="M1035" i="1"/>
  <c r="A1036" i="1"/>
  <c r="B1036" i="1"/>
  <c r="C1036" i="1"/>
  <c r="M1036" i="1"/>
  <c r="A1037" i="1"/>
  <c r="B1037" i="1"/>
  <c r="C1037" i="1"/>
  <c r="M1037" i="1"/>
  <c r="A1038" i="1"/>
  <c r="B1038" i="1"/>
  <c r="C1038" i="1"/>
  <c r="M1038" i="1"/>
  <c r="A1039" i="1"/>
  <c r="B1039" i="1"/>
  <c r="C1039" i="1"/>
  <c r="M1039" i="1"/>
  <c r="A1040" i="1"/>
  <c r="B1040" i="1"/>
  <c r="C1040" i="1"/>
  <c r="M1040" i="1"/>
  <c r="A1041" i="1"/>
  <c r="B1041" i="1"/>
  <c r="C1041" i="1"/>
  <c r="M1041" i="1"/>
  <c r="A1042" i="1"/>
  <c r="B1042" i="1"/>
  <c r="C1042" i="1"/>
  <c r="M1042" i="1"/>
  <c r="A1043" i="1"/>
  <c r="B1043" i="1"/>
  <c r="C1043" i="1"/>
  <c r="M1043" i="1"/>
  <c r="A1044" i="1"/>
  <c r="B1044" i="1"/>
  <c r="C1044" i="1"/>
  <c r="M1044" i="1"/>
  <c r="A1045" i="1"/>
  <c r="B1045" i="1"/>
  <c r="C1045" i="1"/>
  <c r="M1045" i="1"/>
  <c r="A1046" i="1"/>
  <c r="B1046" i="1"/>
  <c r="C1046" i="1"/>
  <c r="M1046" i="1"/>
  <c r="A1047" i="1"/>
  <c r="B1047" i="1"/>
  <c r="C1047" i="1"/>
  <c r="M1047" i="1"/>
  <c r="A1048" i="1"/>
  <c r="B1048" i="1"/>
  <c r="C1048" i="1"/>
  <c r="M1048" i="1"/>
  <c r="A1049" i="1"/>
  <c r="B1049" i="1"/>
  <c r="C1049" i="1"/>
  <c r="M1049" i="1"/>
  <c r="A1050" i="1"/>
  <c r="B1050" i="1"/>
  <c r="C1050" i="1"/>
  <c r="M1050" i="1"/>
  <c r="A1051" i="1"/>
  <c r="B1051" i="1"/>
  <c r="C1051" i="1"/>
  <c r="M1051" i="1"/>
  <c r="A1052" i="1"/>
  <c r="B1052" i="1"/>
  <c r="C1052" i="1"/>
  <c r="M1052" i="1"/>
  <c r="A1053" i="1"/>
  <c r="B1053" i="1"/>
  <c r="C1053" i="1"/>
  <c r="M1053" i="1"/>
  <c r="A1054" i="1"/>
  <c r="B1054" i="1"/>
  <c r="C1054" i="1"/>
  <c r="M1054" i="1"/>
  <c r="A1055" i="1"/>
  <c r="B1055" i="1"/>
  <c r="C1055" i="1"/>
  <c r="M1055" i="1"/>
  <c r="A1056" i="1"/>
  <c r="B1056" i="1"/>
  <c r="C1056" i="1"/>
  <c r="M1056" i="1"/>
  <c r="A1057" i="1"/>
  <c r="B1057" i="1"/>
  <c r="C1057" i="1"/>
  <c r="M1057" i="1"/>
  <c r="A1058" i="1"/>
  <c r="B1058" i="1"/>
  <c r="C1058" i="1"/>
  <c r="M1058" i="1"/>
  <c r="A1059" i="1"/>
  <c r="B1059" i="1"/>
  <c r="C1059" i="1"/>
  <c r="M1059" i="1"/>
  <c r="A1060" i="1"/>
  <c r="B1060" i="1"/>
  <c r="C1060" i="1"/>
  <c r="M1060" i="1"/>
  <c r="A1061" i="1"/>
  <c r="B1061" i="1"/>
  <c r="C1061" i="1"/>
  <c r="M1061" i="1"/>
  <c r="A1062" i="1"/>
  <c r="B1062" i="1"/>
  <c r="C1062" i="1"/>
  <c r="M1062" i="1"/>
  <c r="A1063" i="1"/>
  <c r="B1063" i="1"/>
  <c r="C1063" i="1"/>
  <c r="M1063" i="1"/>
  <c r="A1064" i="1"/>
  <c r="B1064" i="1"/>
  <c r="C1064" i="1"/>
  <c r="M1064" i="1"/>
  <c r="A1065" i="1"/>
  <c r="B1065" i="1"/>
  <c r="C1065" i="1"/>
  <c r="M1065" i="1"/>
  <c r="A1066" i="1"/>
  <c r="B1066" i="1"/>
  <c r="C1066" i="1"/>
  <c r="M1066" i="1"/>
  <c r="A1067" i="1"/>
  <c r="B1067" i="1"/>
  <c r="C1067" i="1"/>
  <c r="M1067" i="1"/>
  <c r="A1068" i="1"/>
  <c r="B1068" i="1"/>
  <c r="C1068" i="1"/>
  <c r="M1068" i="1"/>
  <c r="A1069" i="1"/>
  <c r="B1069" i="1"/>
  <c r="C1069" i="1"/>
  <c r="M1069" i="1"/>
  <c r="A1070" i="1"/>
  <c r="B1070" i="1"/>
  <c r="C1070" i="1"/>
  <c r="M1070" i="1"/>
  <c r="A1071" i="1"/>
  <c r="B1071" i="1"/>
  <c r="C1071" i="1"/>
  <c r="M1071" i="1"/>
  <c r="A1072" i="1"/>
  <c r="B1072" i="1"/>
  <c r="C1072" i="1"/>
  <c r="M1072" i="1"/>
  <c r="A1073" i="1"/>
  <c r="B1073" i="1"/>
  <c r="C1073" i="1"/>
  <c r="M1073" i="1"/>
  <c r="A1074" i="1"/>
  <c r="B1074" i="1"/>
  <c r="C1074" i="1"/>
  <c r="M1074" i="1"/>
  <c r="A1075" i="1"/>
  <c r="B1075" i="1"/>
  <c r="C1075" i="1"/>
  <c r="M1075" i="1"/>
  <c r="A1076" i="1"/>
  <c r="B1076" i="1"/>
  <c r="C1076" i="1"/>
  <c r="M1076" i="1"/>
  <c r="A1077" i="1"/>
  <c r="B1077" i="1"/>
  <c r="C1077" i="1"/>
  <c r="M1077" i="1"/>
  <c r="A1078" i="1"/>
  <c r="B1078" i="1"/>
  <c r="C1078" i="1"/>
  <c r="M1078" i="1"/>
  <c r="A1079" i="1"/>
  <c r="B1079" i="1"/>
  <c r="C1079" i="1"/>
  <c r="M1079" i="1"/>
  <c r="A1080" i="1"/>
  <c r="B1080" i="1"/>
  <c r="C1080" i="1"/>
  <c r="M1080" i="1"/>
  <c r="A1081" i="1"/>
  <c r="B1081" i="1"/>
  <c r="C1081" i="1"/>
  <c r="M1081" i="1"/>
  <c r="A1082" i="1"/>
  <c r="B1082" i="1"/>
  <c r="C1082" i="1"/>
  <c r="M1082" i="1"/>
  <c r="A1083" i="1"/>
  <c r="B1083" i="1"/>
  <c r="C1083" i="1"/>
  <c r="M1083" i="1"/>
  <c r="A1084" i="1"/>
  <c r="B1084" i="1"/>
  <c r="C1084" i="1"/>
  <c r="M1084" i="1"/>
  <c r="A1085" i="1"/>
  <c r="B1085" i="1"/>
  <c r="C1085" i="1"/>
  <c r="M1085" i="1"/>
  <c r="A1086" i="1"/>
  <c r="B1086" i="1"/>
  <c r="C1086" i="1"/>
  <c r="M1086" i="1"/>
  <c r="A1087" i="1"/>
  <c r="B1087" i="1"/>
  <c r="C1087" i="1"/>
  <c r="M1087" i="1"/>
  <c r="A1088" i="1"/>
  <c r="B1088" i="1"/>
  <c r="C1088" i="1"/>
  <c r="M1088" i="1"/>
  <c r="A1089" i="1"/>
  <c r="B1089" i="1"/>
  <c r="C1089" i="1"/>
  <c r="M1089" i="1"/>
  <c r="A1090" i="1"/>
  <c r="B1090" i="1"/>
  <c r="C1090" i="1"/>
  <c r="M1090" i="1"/>
  <c r="A1091" i="1"/>
  <c r="B1091" i="1"/>
  <c r="C1091" i="1"/>
  <c r="M1091" i="1"/>
  <c r="A1092" i="1"/>
  <c r="B1092" i="1"/>
  <c r="C1092" i="1"/>
  <c r="M1092" i="1"/>
  <c r="A1093" i="1"/>
  <c r="B1093" i="1"/>
  <c r="C1093" i="1"/>
  <c r="M1093" i="1"/>
  <c r="A1094" i="1"/>
  <c r="B1094" i="1"/>
  <c r="C1094" i="1"/>
  <c r="M1094" i="1"/>
  <c r="A1095" i="1"/>
  <c r="B1095" i="1"/>
  <c r="C1095" i="1"/>
  <c r="M1095" i="1"/>
  <c r="A1096" i="1"/>
  <c r="B1096" i="1"/>
  <c r="C1096" i="1"/>
  <c r="M1096" i="1"/>
  <c r="A1097" i="1"/>
  <c r="B1097" i="1"/>
  <c r="C1097" i="1"/>
  <c r="M1097" i="1"/>
  <c r="A1098" i="1"/>
  <c r="B1098" i="1"/>
  <c r="C1098" i="1"/>
  <c r="M1098" i="1"/>
  <c r="A1099" i="1"/>
  <c r="B1099" i="1"/>
  <c r="C1099" i="1"/>
  <c r="M1099" i="1"/>
  <c r="A1100" i="1"/>
  <c r="B1100" i="1"/>
  <c r="C1100" i="1"/>
  <c r="M1100" i="1"/>
  <c r="A1101" i="1"/>
  <c r="B1101" i="1"/>
  <c r="C1101" i="1"/>
  <c r="M1101" i="1"/>
  <c r="A1102" i="1"/>
  <c r="B1102" i="1"/>
  <c r="C1102" i="1"/>
  <c r="M1102" i="1"/>
  <c r="A1103" i="1"/>
  <c r="B1103" i="1"/>
  <c r="C1103" i="1"/>
  <c r="M1103" i="1"/>
  <c r="A1104" i="1"/>
  <c r="B1104" i="1"/>
  <c r="C1104" i="1"/>
  <c r="M1104" i="1"/>
  <c r="A1105" i="1"/>
  <c r="B1105" i="1"/>
  <c r="C1105" i="1"/>
  <c r="M1105" i="1"/>
  <c r="A1106" i="1"/>
  <c r="B1106" i="1"/>
  <c r="C1106" i="1"/>
  <c r="M1106" i="1"/>
  <c r="A1107" i="1"/>
  <c r="B1107" i="1"/>
  <c r="C1107" i="1"/>
  <c r="M1107" i="1"/>
  <c r="A1108" i="1"/>
  <c r="B1108" i="1"/>
  <c r="C1108" i="1"/>
  <c r="M1108" i="1"/>
  <c r="A1109" i="1"/>
  <c r="B1109" i="1"/>
  <c r="C1109" i="1"/>
  <c r="M1109" i="1"/>
  <c r="A1110" i="1"/>
  <c r="B1110" i="1"/>
  <c r="C1110" i="1"/>
  <c r="M1110" i="1"/>
  <c r="A1111" i="1"/>
  <c r="B1111" i="1"/>
  <c r="C1111" i="1"/>
  <c r="M1111" i="1"/>
  <c r="A1112" i="1"/>
  <c r="B1112" i="1"/>
  <c r="C1112" i="1"/>
  <c r="M1112" i="1"/>
  <c r="A1113" i="1"/>
  <c r="B1113" i="1"/>
  <c r="C1113" i="1"/>
  <c r="M1113" i="1"/>
  <c r="A1114" i="1"/>
  <c r="B1114" i="1"/>
  <c r="C1114" i="1"/>
  <c r="M1114" i="1"/>
  <c r="A1115" i="1"/>
  <c r="B1115" i="1"/>
  <c r="C1115" i="1"/>
  <c r="M1115" i="1"/>
  <c r="A1116" i="1"/>
  <c r="B1116" i="1"/>
  <c r="C1116" i="1"/>
  <c r="M1116" i="1"/>
  <c r="A1117" i="1"/>
  <c r="B1117" i="1"/>
  <c r="C1117" i="1"/>
  <c r="M1117" i="1"/>
  <c r="A1118" i="1"/>
  <c r="B1118" i="1"/>
  <c r="C1118" i="1"/>
  <c r="M1118" i="1"/>
  <c r="A1119" i="1"/>
  <c r="B1119" i="1"/>
  <c r="C1119" i="1"/>
  <c r="M1119" i="1"/>
  <c r="A1120" i="1"/>
  <c r="B1120" i="1"/>
  <c r="C1120" i="1"/>
  <c r="M1120" i="1"/>
  <c r="A1121" i="1"/>
  <c r="B1121" i="1"/>
  <c r="C1121" i="1"/>
  <c r="M1121" i="1"/>
  <c r="A1122" i="1"/>
  <c r="B1122" i="1"/>
  <c r="C1122" i="1"/>
  <c r="M1122" i="1"/>
  <c r="A1123" i="1"/>
  <c r="B1123" i="1"/>
  <c r="C1123" i="1"/>
  <c r="M1123" i="1"/>
  <c r="A1124" i="1"/>
  <c r="B1124" i="1"/>
  <c r="C1124" i="1"/>
  <c r="M1124" i="1"/>
  <c r="A1125" i="1"/>
  <c r="B1125" i="1"/>
  <c r="C1125" i="1"/>
  <c r="M1125" i="1"/>
  <c r="A1126" i="1"/>
  <c r="B1126" i="1"/>
  <c r="C1126" i="1"/>
  <c r="M1126" i="1"/>
  <c r="A1127" i="1"/>
  <c r="B1127" i="1"/>
  <c r="C1127" i="1"/>
  <c r="M1127" i="1"/>
  <c r="A1128" i="1"/>
  <c r="B1128" i="1"/>
  <c r="C1128" i="1"/>
  <c r="M1128" i="1"/>
  <c r="A1129" i="1"/>
  <c r="B1129" i="1"/>
  <c r="C1129" i="1"/>
  <c r="M1129" i="1"/>
  <c r="A1130" i="1"/>
  <c r="B1130" i="1"/>
  <c r="C1130" i="1"/>
  <c r="M1130" i="1"/>
  <c r="A1131" i="1"/>
  <c r="B1131" i="1"/>
  <c r="C1131" i="1"/>
  <c r="M1131" i="1"/>
  <c r="A1132" i="1"/>
  <c r="B1132" i="1"/>
  <c r="C1132" i="1"/>
  <c r="M1132" i="1"/>
  <c r="A1133" i="1"/>
  <c r="B1133" i="1"/>
  <c r="C1133" i="1"/>
  <c r="M1133" i="1"/>
  <c r="A1134" i="1"/>
  <c r="B1134" i="1"/>
  <c r="C1134" i="1"/>
  <c r="M1134" i="1"/>
  <c r="A1135" i="1"/>
  <c r="B1135" i="1"/>
  <c r="C1135" i="1"/>
  <c r="M1135" i="1"/>
  <c r="A1136" i="1"/>
  <c r="B1136" i="1"/>
  <c r="C1136" i="1"/>
  <c r="M1136" i="1"/>
  <c r="A1137" i="1"/>
  <c r="B1137" i="1"/>
  <c r="C1137" i="1"/>
  <c r="M1137" i="1"/>
  <c r="A1138" i="1"/>
  <c r="B1138" i="1"/>
  <c r="C1138" i="1"/>
  <c r="M1138" i="1"/>
  <c r="A1139" i="1"/>
  <c r="B1139" i="1"/>
  <c r="C1139" i="1"/>
  <c r="M1139" i="1"/>
  <c r="A1140" i="1"/>
  <c r="B1140" i="1"/>
  <c r="C1140" i="1"/>
  <c r="M1140" i="1"/>
  <c r="A1141" i="1"/>
  <c r="B1141" i="1"/>
  <c r="C1141" i="1"/>
  <c r="M1141" i="1"/>
  <c r="A1142" i="1"/>
  <c r="B1142" i="1"/>
  <c r="C1142" i="1"/>
  <c r="M1142" i="1"/>
  <c r="A1143" i="1"/>
  <c r="B1143" i="1"/>
  <c r="C1143" i="1"/>
  <c r="M1143" i="1"/>
  <c r="A1144" i="1"/>
  <c r="B1144" i="1"/>
  <c r="C1144" i="1"/>
  <c r="M1144" i="1"/>
  <c r="A1145" i="1"/>
  <c r="B1145" i="1"/>
  <c r="C1145" i="1"/>
  <c r="M1145" i="1"/>
  <c r="A1146" i="1"/>
  <c r="B1146" i="1"/>
  <c r="C1146" i="1"/>
  <c r="M1146" i="1"/>
  <c r="A1147" i="1"/>
  <c r="B1147" i="1"/>
  <c r="C1147" i="1"/>
  <c r="M1147" i="1"/>
  <c r="A1148" i="1"/>
  <c r="B1148" i="1"/>
  <c r="C1148" i="1"/>
  <c r="M1148" i="1"/>
  <c r="A1149" i="1"/>
  <c r="B1149" i="1"/>
  <c r="C1149" i="1"/>
  <c r="M1149" i="1"/>
  <c r="A1150" i="1"/>
  <c r="B1150" i="1"/>
  <c r="C1150" i="1"/>
  <c r="M1150" i="1"/>
  <c r="A1151" i="1"/>
  <c r="B1151" i="1"/>
  <c r="C1151" i="1"/>
  <c r="M1151" i="1"/>
  <c r="A1152" i="1"/>
  <c r="B1152" i="1"/>
  <c r="C1152" i="1"/>
  <c r="M1152" i="1"/>
  <c r="A1153" i="1"/>
  <c r="B1153" i="1"/>
  <c r="C1153" i="1"/>
  <c r="M1153" i="1"/>
  <c r="A1154" i="1"/>
  <c r="B1154" i="1"/>
  <c r="C1154" i="1"/>
  <c r="M1154" i="1"/>
  <c r="A1155" i="1"/>
  <c r="B1155" i="1"/>
  <c r="C1155" i="1"/>
  <c r="M1155" i="1"/>
  <c r="A1156" i="1"/>
  <c r="B1156" i="1"/>
  <c r="C1156" i="1"/>
  <c r="M1156" i="1"/>
  <c r="A1157" i="1"/>
  <c r="B1157" i="1"/>
  <c r="C1157" i="1"/>
  <c r="M1157" i="1"/>
  <c r="A1158" i="1"/>
  <c r="B1158" i="1"/>
  <c r="C1158" i="1"/>
  <c r="M1158" i="1"/>
  <c r="A1159" i="1"/>
  <c r="B1159" i="1"/>
  <c r="C1159" i="1"/>
  <c r="M1159" i="1"/>
  <c r="A1160" i="1"/>
  <c r="B1160" i="1"/>
  <c r="C1160" i="1"/>
  <c r="M1160" i="1"/>
  <c r="A1161" i="1"/>
  <c r="B1161" i="1"/>
  <c r="C1161" i="1"/>
  <c r="M1161" i="1"/>
  <c r="A1162" i="1"/>
  <c r="B1162" i="1"/>
  <c r="C1162" i="1"/>
  <c r="M1162" i="1"/>
  <c r="A1163" i="1"/>
  <c r="B1163" i="1"/>
  <c r="C1163" i="1"/>
  <c r="M1163" i="1"/>
  <c r="A1164" i="1"/>
  <c r="B1164" i="1"/>
  <c r="C1164" i="1"/>
  <c r="M1164" i="1"/>
  <c r="A1165" i="1"/>
  <c r="B1165" i="1"/>
  <c r="C1165" i="1"/>
  <c r="M1165" i="1"/>
  <c r="A1166" i="1"/>
  <c r="B1166" i="1"/>
  <c r="C1166" i="1"/>
  <c r="M1166" i="1"/>
  <c r="A1167" i="1"/>
  <c r="B1167" i="1"/>
  <c r="C1167" i="1"/>
  <c r="M1167" i="1"/>
  <c r="A1168" i="1"/>
  <c r="B1168" i="1"/>
  <c r="C1168" i="1"/>
  <c r="M1168" i="1"/>
  <c r="A1169" i="1"/>
  <c r="B1169" i="1"/>
  <c r="C1169" i="1"/>
  <c r="M1169" i="1"/>
  <c r="A1170" i="1"/>
  <c r="B1170" i="1"/>
  <c r="C1170" i="1"/>
  <c r="M1170" i="1"/>
  <c r="A1171" i="1"/>
  <c r="B1171" i="1"/>
  <c r="C1171" i="1"/>
  <c r="M1171" i="1"/>
  <c r="A1172" i="1"/>
  <c r="B1172" i="1"/>
  <c r="C1172" i="1"/>
  <c r="M1172" i="1"/>
  <c r="A1173" i="1"/>
  <c r="B1173" i="1"/>
  <c r="C1173" i="1"/>
  <c r="M1173" i="1"/>
  <c r="A1174" i="1"/>
  <c r="B1174" i="1"/>
  <c r="C1174" i="1"/>
  <c r="M1174" i="1"/>
  <c r="A1175" i="1"/>
  <c r="B1175" i="1"/>
  <c r="C1175" i="1"/>
  <c r="M1175" i="1"/>
  <c r="A1176" i="1"/>
  <c r="B1176" i="1"/>
  <c r="C1176" i="1"/>
  <c r="M1176" i="1"/>
  <c r="A1177" i="1"/>
  <c r="B1177" i="1"/>
  <c r="C1177" i="1"/>
  <c r="M1177" i="1"/>
  <c r="A1178" i="1"/>
  <c r="B1178" i="1"/>
  <c r="C1178" i="1"/>
  <c r="M1178" i="1"/>
  <c r="A1179" i="1"/>
  <c r="B1179" i="1"/>
  <c r="C1179" i="1"/>
  <c r="M1179" i="1"/>
  <c r="A1180" i="1"/>
  <c r="B1180" i="1"/>
  <c r="C1180" i="1"/>
  <c r="M1180" i="1"/>
  <c r="A1181" i="1"/>
  <c r="B1181" i="1"/>
  <c r="C1181" i="1"/>
  <c r="M1181" i="1"/>
  <c r="A1182" i="1"/>
  <c r="B1182" i="1"/>
  <c r="C1182" i="1"/>
  <c r="M1182" i="1"/>
  <c r="A1183" i="1"/>
  <c r="B1183" i="1"/>
  <c r="C1183" i="1"/>
  <c r="M1183" i="1"/>
  <c r="A1184" i="1"/>
  <c r="B1184" i="1"/>
  <c r="C1184" i="1"/>
  <c r="M1184" i="1"/>
  <c r="A1185" i="1"/>
  <c r="B1185" i="1"/>
  <c r="C1185" i="1"/>
  <c r="M1185" i="1"/>
  <c r="A1186" i="1"/>
  <c r="B1186" i="1"/>
  <c r="C1186" i="1"/>
  <c r="M1186" i="1"/>
  <c r="A1187" i="1"/>
  <c r="B1187" i="1"/>
  <c r="C1187" i="1"/>
  <c r="M1187" i="1"/>
  <c r="A1188" i="1"/>
  <c r="B1188" i="1"/>
  <c r="C1188" i="1"/>
  <c r="M1188" i="1"/>
  <c r="A1189" i="1"/>
  <c r="B1189" i="1"/>
  <c r="C1189" i="1"/>
  <c r="M1189" i="1"/>
  <c r="A1190" i="1"/>
  <c r="B1190" i="1"/>
  <c r="C1190" i="1"/>
  <c r="M1190" i="1"/>
  <c r="A1191" i="1"/>
  <c r="B1191" i="1"/>
  <c r="C1191" i="1"/>
  <c r="M1191" i="1"/>
  <c r="A1192" i="1"/>
  <c r="B1192" i="1"/>
  <c r="C1192" i="1"/>
  <c r="M1192" i="1"/>
  <c r="A1193" i="1"/>
  <c r="B1193" i="1"/>
  <c r="C1193" i="1"/>
  <c r="M1193" i="1"/>
  <c r="A1194" i="1"/>
  <c r="B1194" i="1"/>
  <c r="C1194" i="1"/>
  <c r="M1194" i="1"/>
  <c r="A1195" i="1"/>
  <c r="B1195" i="1"/>
  <c r="C1195" i="1"/>
  <c r="M1195" i="1"/>
  <c r="A1196" i="1"/>
  <c r="B1196" i="1"/>
  <c r="C1196" i="1"/>
  <c r="M1196" i="1"/>
  <c r="A1197" i="1"/>
  <c r="B1197" i="1"/>
  <c r="C1197" i="1"/>
  <c r="M1197" i="1"/>
  <c r="A1198" i="1"/>
  <c r="B1198" i="1"/>
  <c r="C1198" i="1"/>
  <c r="M1198" i="1"/>
  <c r="A1199" i="1"/>
  <c r="B1199" i="1"/>
  <c r="C1199" i="1"/>
  <c r="M1199" i="1"/>
  <c r="A1200" i="1"/>
  <c r="B1200" i="1"/>
  <c r="C1200" i="1"/>
  <c r="M1200" i="1"/>
  <c r="A1201" i="1"/>
  <c r="B1201" i="1"/>
  <c r="C1201" i="1"/>
  <c r="M1201" i="1"/>
  <c r="A1202" i="1"/>
  <c r="B1202" i="1"/>
  <c r="C1202" i="1"/>
  <c r="M1202" i="1"/>
  <c r="A1203" i="1"/>
  <c r="B1203" i="1"/>
  <c r="C1203" i="1"/>
  <c r="M1203" i="1"/>
  <c r="A1204" i="1"/>
  <c r="B1204" i="1"/>
  <c r="C1204" i="1"/>
  <c r="M1204" i="1"/>
  <c r="A1205" i="1"/>
  <c r="B1205" i="1"/>
  <c r="C1205" i="1"/>
  <c r="M1205" i="1"/>
  <c r="A1206" i="1"/>
  <c r="B1206" i="1"/>
  <c r="C1206" i="1"/>
  <c r="M1206" i="1"/>
  <c r="A1207" i="1"/>
  <c r="B1207" i="1"/>
  <c r="C1207" i="1"/>
  <c r="M1207" i="1"/>
  <c r="A1208" i="1"/>
  <c r="B1208" i="1"/>
  <c r="C1208" i="1"/>
  <c r="M1208" i="1"/>
  <c r="A1209" i="1"/>
  <c r="B1209" i="1"/>
  <c r="C1209" i="1"/>
  <c r="M1209" i="1"/>
  <c r="A1210" i="1"/>
  <c r="B1210" i="1"/>
  <c r="C1210" i="1"/>
  <c r="M1210" i="1"/>
  <c r="A1211" i="1"/>
  <c r="B1211" i="1"/>
  <c r="C1211" i="1"/>
  <c r="M1211" i="1"/>
  <c r="A1212" i="1"/>
  <c r="B1212" i="1"/>
  <c r="C1212" i="1"/>
  <c r="M1212" i="1"/>
  <c r="A1213" i="1"/>
  <c r="B1213" i="1"/>
  <c r="C1213" i="1"/>
  <c r="M1213" i="1"/>
  <c r="A1214" i="1"/>
  <c r="B1214" i="1"/>
  <c r="C1214" i="1"/>
  <c r="M1214" i="1"/>
  <c r="A1215" i="1"/>
  <c r="B1215" i="1"/>
  <c r="C1215" i="1"/>
  <c r="M1215" i="1"/>
  <c r="A1216" i="1"/>
  <c r="B1216" i="1"/>
  <c r="C1216" i="1"/>
  <c r="M1216" i="1"/>
  <c r="A1217" i="1"/>
  <c r="B1217" i="1"/>
  <c r="C1217" i="1"/>
  <c r="M1217" i="1"/>
  <c r="A1218" i="1"/>
  <c r="B1218" i="1"/>
  <c r="C1218" i="1"/>
  <c r="M1218" i="1"/>
  <c r="A1219" i="1"/>
  <c r="B1219" i="1"/>
  <c r="C1219" i="1"/>
  <c r="M1219" i="1"/>
  <c r="A1220" i="1"/>
  <c r="B1220" i="1"/>
  <c r="C1220" i="1"/>
  <c r="M1220" i="1"/>
  <c r="A1221" i="1"/>
  <c r="B1221" i="1"/>
  <c r="C1221" i="1"/>
  <c r="M1221" i="1"/>
  <c r="A1222" i="1"/>
  <c r="B1222" i="1"/>
  <c r="C1222" i="1"/>
  <c r="M1222" i="1"/>
  <c r="A1223" i="1"/>
  <c r="B1223" i="1"/>
  <c r="C1223" i="1"/>
  <c r="M1223" i="1"/>
  <c r="A1224" i="1"/>
  <c r="B1224" i="1"/>
  <c r="C1224" i="1"/>
  <c r="M1224" i="1"/>
  <c r="A1225" i="1"/>
  <c r="B1225" i="1"/>
  <c r="C1225" i="1"/>
  <c r="M1225" i="1"/>
  <c r="A1226" i="1"/>
  <c r="B1226" i="1"/>
  <c r="C1226" i="1"/>
  <c r="M1226" i="1"/>
  <c r="A1227" i="1"/>
  <c r="B1227" i="1"/>
  <c r="C1227" i="1"/>
  <c r="M1227" i="1"/>
  <c r="A1228" i="1"/>
  <c r="B1228" i="1"/>
  <c r="C1228" i="1"/>
  <c r="M1228" i="1"/>
  <c r="A1229" i="1"/>
  <c r="B1229" i="1"/>
  <c r="C1229" i="1"/>
  <c r="M1229" i="1"/>
  <c r="A1230" i="1"/>
  <c r="B1230" i="1"/>
  <c r="C1230" i="1"/>
  <c r="M1230" i="1"/>
  <c r="A1231" i="1"/>
  <c r="B1231" i="1"/>
  <c r="C1231" i="1"/>
  <c r="M1231" i="1"/>
  <c r="A1232" i="1"/>
  <c r="B1232" i="1"/>
  <c r="C1232" i="1"/>
  <c r="M1232" i="1"/>
  <c r="A1233" i="1"/>
  <c r="B1233" i="1"/>
  <c r="C1233" i="1"/>
  <c r="M1233" i="1"/>
  <c r="A1234" i="1"/>
  <c r="B1234" i="1"/>
  <c r="C1234" i="1"/>
  <c r="M1234" i="1"/>
  <c r="A1235" i="1"/>
  <c r="B1235" i="1"/>
  <c r="C1235" i="1"/>
  <c r="M1235" i="1"/>
  <c r="A1236" i="1"/>
  <c r="B1236" i="1"/>
  <c r="C1236" i="1"/>
  <c r="M1236" i="1"/>
  <c r="A1237" i="1"/>
  <c r="B1237" i="1"/>
  <c r="C1237" i="1"/>
  <c r="M1237" i="1"/>
  <c r="A1238" i="1"/>
  <c r="B1238" i="1"/>
  <c r="C1238" i="1"/>
  <c r="M1238" i="1"/>
  <c r="A1239" i="1"/>
  <c r="B1239" i="1"/>
  <c r="C1239" i="1"/>
  <c r="M1239" i="1"/>
  <c r="A1240" i="1"/>
  <c r="B1240" i="1"/>
  <c r="C1240" i="1"/>
  <c r="M1240" i="1"/>
  <c r="A1241" i="1"/>
  <c r="B1241" i="1"/>
  <c r="C1241" i="1"/>
  <c r="M1241" i="1"/>
  <c r="A1242" i="1"/>
  <c r="B1242" i="1"/>
  <c r="C1242" i="1"/>
  <c r="M1242" i="1"/>
  <c r="A1243" i="1"/>
  <c r="B1243" i="1"/>
  <c r="C1243" i="1"/>
  <c r="M1243" i="1"/>
  <c r="A1244" i="1"/>
  <c r="B1244" i="1"/>
  <c r="C1244" i="1"/>
  <c r="M1244" i="1"/>
  <c r="A1245" i="1"/>
  <c r="B1245" i="1"/>
  <c r="C1245" i="1"/>
  <c r="M1245" i="1"/>
  <c r="A1246" i="1"/>
  <c r="B1246" i="1"/>
  <c r="C1246" i="1"/>
  <c r="M1246" i="1"/>
  <c r="A1247" i="1"/>
  <c r="B1247" i="1"/>
  <c r="C1247" i="1"/>
  <c r="M1247" i="1"/>
  <c r="A1248" i="1"/>
  <c r="B1248" i="1"/>
  <c r="C1248" i="1"/>
  <c r="M1248" i="1"/>
  <c r="A1249" i="1"/>
  <c r="B1249" i="1"/>
  <c r="C1249" i="1"/>
  <c r="M1249" i="1"/>
  <c r="A1250" i="1"/>
  <c r="B1250" i="1"/>
  <c r="C1250" i="1"/>
  <c r="M1250" i="1"/>
  <c r="A1251" i="1"/>
  <c r="B1251" i="1"/>
  <c r="C1251" i="1"/>
  <c r="M1251" i="1"/>
  <c r="A1252" i="1"/>
  <c r="B1252" i="1"/>
  <c r="C1252" i="1"/>
  <c r="M1252" i="1"/>
  <c r="A1253" i="1"/>
  <c r="B1253" i="1"/>
  <c r="C1253" i="1"/>
  <c r="M1253" i="1"/>
  <c r="A1254" i="1"/>
  <c r="B1254" i="1"/>
  <c r="C1254" i="1"/>
  <c r="M1254" i="1"/>
  <c r="A1255" i="1"/>
  <c r="B1255" i="1"/>
  <c r="C1255" i="1"/>
  <c r="M1255" i="1"/>
  <c r="A1256" i="1"/>
  <c r="B1256" i="1"/>
  <c r="C1256" i="1"/>
  <c r="M1256" i="1"/>
  <c r="A1257" i="1"/>
  <c r="B1257" i="1"/>
  <c r="C1257" i="1"/>
  <c r="M1257" i="1"/>
  <c r="A1258" i="1"/>
  <c r="B1258" i="1"/>
  <c r="C1258" i="1"/>
  <c r="M1258" i="1"/>
  <c r="A1259" i="1"/>
  <c r="B1259" i="1"/>
  <c r="C1259" i="1"/>
  <c r="M1259" i="1"/>
  <c r="A1260" i="1"/>
  <c r="B1260" i="1"/>
  <c r="C1260" i="1"/>
  <c r="M1260" i="1"/>
  <c r="A1261" i="1"/>
  <c r="B1261" i="1"/>
  <c r="C1261" i="1"/>
  <c r="M1261" i="1"/>
  <c r="A1262" i="1"/>
  <c r="B1262" i="1"/>
  <c r="C1262" i="1"/>
  <c r="M1262" i="1"/>
  <c r="A1263" i="1"/>
  <c r="B1263" i="1"/>
  <c r="C1263" i="1"/>
  <c r="M1263" i="1"/>
  <c r="A1264" i="1"/>
  <c r="B1264" i="1"/>
  <c r="C1264" i="1"/>
  <c r="M1264" i="1"/>
  <c r="A1265" i="1"/>
  <c r="B1265" i="1"/>
  <c r="C1265" i="1"/>
  <c r="M1265" i="1"/>
  <c r="A1266" i="1"/>
  <c r="B1266" i="1"/>
  <c r="C1266" i="1"/>
  <c r="M1266" i="1"/>
  <c r="A1267" i="1"/>
  <c r="B1267" i="1"/>
  <c r="C1267" i="1"/>
  <c r="M1267" i="1"/>
  <c r="A1268" i="1"/>
  <c r="B1268" i="1"/>
  <c r="C1268" i="1"/>
  <c r="M1268" i="1"/>
  <c r="A1269" i="1"/>
  <c r="B1269" i="1"/>
  <c r="C1269" i="1"/>
  <c r="M1269" i="1"/>
  <c r="A1270" i="1"/>
  <c r="B1270" i="1"/>
  <c r="C1270" i="1"/>
  <c r="M1270" i="1"/>
  <c r="A1271" i="1"/>
  <c r="B1271" i="1"/>
  <c r="C1271" i="1"/>
  <c r="M1271" i="1"/>
  <c r="A1272" i="1"/>
  <c r="B1272" i="1"/>
  <c r="C1272" i="1"/>
  <c r="M1272" i="1"/>
  <c r="A1273" i="1"/>
  <c r="B1273" i="1"/>
  <c r="C1273" i="1"/>
  <c r="M1273" i="1"/>
  <c r="A1274" i="1"/>
  <c r="B1274" i="1"/>
  <c r="C1274" i="1"/>
  <c r="M1274" i="1"/>
  <c r="A1275" i="1"/>
  <c r="B1275" i="1"/>
  <c r="C1275" i="1"/>
  <c r="M1275" i="1"/>
  <c r="A1276" i="1"/>
  <c r="B1276" i="1"/>
  <c r="C1276" i="1"/>
  <c r="M1276" i="1"/>
  <c r="A1277" i="1"/>
  <c r="B1277" i="1"/>
  <c r="C1277" i="1"/>
  <c r="M1277" i="1"/>
  <c r="A1278" i="1"/>
  <c r="B1278" i="1"/>
  <c r="C1278" i="1"/>
  <c r="M1278" i="1"/>
  <c r="A1279" i="1"/>
  <c r="B1279" i="1"/>
  <c r="C1279" i="1"/>
  <c r="M1279" i="1"/>
  <c r="A1280" i="1"/>
  <c r="B1280" i="1"/>
  <c r="C1280" i="1"/>
  <c r="M1280" i="1"/>
  <c r="A1281" i="1"/>
  <c r="B1281" i="1"/>
  <c r="C1281" i="1"/>
  <c r="M1281" i="1"/>
  <c r="A1282" i="1"/>
  <c r="B1282" i="1"/>
  <c r="C1282" i="1"/>
  <c r="M1282" i="1"/>
  <c r="A1283" i="1"/>
  <c r="B1283" i="1"/>
  <c r="C1283" i="1"/>
  <c r="M1283" i="1"/>
  <c r="A1284" i="1"/>
  <c r="B1284" i="1"/>
  <c r="C1284" i="1"/>
  <c r="M1284" i="1"/>
  <c r="A1285" i="1"/>
  <c r="B1285" i="1"/>
  <c r="C1285" i="1"/>
  <c r="M1285" i="1"/>
  <c r="A1286" i="1"/>
  <c r="B1286" i="1"/>
  <c r="C1286" i="1"/>
  <c r="M1286" i="1"/>
  <c r="A1287" i="1"/>
  <c r="B1287" i="1"/>
  <c r="C1287" i="1"/>
  <c r="M1287" i="1"/>
  <c r="A1288" i="1"/>
  <c r="B1288" i="1"/>
  <c r="C1288" i="1"/>
  <c r="M1288" i="1"/>
  <c r="A1289" i="1"/>
  <c r="B1289" i="1"/>
  <c r="C1289" i="1"/>
  <c r="M1289" i="1"/>
  <c r="A1290" i="1"/>
  <c r="B1290" i="1"/>
  <c r="C1290" i="1"/>
  <c r="M1290" i="1"/>
  <c r="A1291" i="1"/>
  <c r="B1291" i="1"/>
  <c r="C1291" i="1"/>
  <c r="M1291" i="1"/>
  <c r="A1292" i="1"/>
  <c r="B1292" i="1"/>
  <c r="C1292" i="1"/>
  <c r="M1292" i="1"/>
  <c r="A1293" i="1"/>
  <c r="B1293" i="1"/>
  <c r="C1293" i="1"/>
  <c r="M1293" i="1"/>
  <c r="A1294" i="1"/>
  <c r="B1294" i="1"/>
  <c r="C1294" i="1"/>
  <c r="M1294" i="1"/>
  <c r="A1295" i="1"/>
  <c r="B1295" i="1"/>
  <c r="C1295" i="1"/>
  <c r="M1295" i="1"/>
  <c r="A1296" i="1"/>
  <c r="B1296" i="1"/>
  <c r="C1296" i="1"/>
  <c r="M1296" i="1"/>
  <c r="A1297" i="1"/>
  <c r="B1297" i="1"/>
  <c r="C1297" i="1"/>
  <c r="M1297" i="1"/>
  <c r="A1298" i="1"/>
  <c r="B1298" i="1"/>
  <c r="C1298" i="1"/>
  <c r="M1298" i="1"/>
  <c r="A1299" i="1"/>
  <c r="B1299" i="1"/>
  <c r="C1299" i="1"/>
  <c r="M1299" i="1"/>
  <c r="A1300" i="1"/>
  <c r="B1300" i="1"/>
  <c r="C1300" i="1"/>
  <c r="M1300" i="1"/>
  <c r="A1301" i="1"/>
  <c r="B1301" i="1"/>
  <c r="C1301" i="1"/>
  <c r="M1301" i="1"/>
  <c r="A1302" i="1"/>
  <c r="B1302" i="1"/>
  <c r="C1302" i="1"/>
  <c r="M1302" i="1"/>
  <c r="A1303" i="1"/>
  <c r="B1303" i="1"/>
  <c r="C1303" i="1"/>
  <c r="M1303" i="1"/>
  <c r="A1304" i="1"/>
  <c r="B1304" i="1"/>
  <c r="C1304" i="1"/>
  <c r="M1304" i="1"/>
  <c r="A1305" i="1"/>
  <c r="B1305" i="1"/>
  <c r="C1305" i="1"/>
  <c r="M1305" i="1"/>
  <c r="A1306" i="1"/>
  <c r="B1306" i="1"/>
  <c r="C1306" i="1"/>
  <c r="M1306" i="1"/>
  <c r="A1307" i="1"/>
  <c r="B1307" i="1"/>
  <c r="C1307" i="1"/>
  <c r="M1307" i="1"/>
  <c r="A1308" i="1"/>
  <c r="B1308" i="1"/>
  <c r="C1308" i="1"/>
  <c r="M1308" i="1"/>
  <c r="A1309" i="1"/>
  <c r="B1309" i="1"/>
  <c r="C1309" i="1"/>
  <c r="M1309" i="1"/>
  <c r="A1310" i="1"/>
  <c r="B1310" i="1"/>
  <c r="C1310" i="1"/>
  <c r="M1310" i="1"/>
  <c r="A1311" i="1"/>
  <c r="B1311" i="1"/>
  <c r="C1311" i="1"/>
  <c r="M1311" i="1"/>
  <c r="A1312" i="1"/>
  <c r="B1312" i="1"/>
  <c r="C1312" i="1"/>
  <c r="M1312" i="1"/>
  <c r="A1313" i="1"/>
  <c r="B1313" i="1"/>
  <c r="C1313" i="1"/>
  <c r="M1313" i="1"/>
  <c r="A1314" i="1"/>
  <c r="B1314" i="1"/>
  <c r="C1314" i="1"/>
  <c r="M1314" i="1"/>
  <c r="A1315" i="1"/>
  <c r="B1315" i="1"/>
  <c r="C1315" i="1"/>
  <c r="M1315" i="1"/>
  <c r="A1316" i="1"/>
  <c r="B1316" i="1"/>
  <c r="C1316" i="1"/>
  <c r="M1316" i="1"/>
  <c r="A1317" i="1"/>
  <c r="B1317" i="1"/>
  <c r="C1317" i="1"/>
  <c r="M1317" i="1"/>
  <c r="A1318" i="1"/>
  <c r="B1318" i="1"/>
  <c r="C1318" i="1"/>
  <c r="M1318" i="1"/>
  <c r="A1319" i="1"/>
  <c r="B1319" i="1"/>
  <c r="C1319" i="1"/>
  <c r="M1319" i="1"/>
  <c r="A1320" i="1"/>
  <c r="B1320" i="1"/>
  <c r="C1320" i="1"/>
  <c r="M1320" i="1"/>
  <c r="A1321" i="1"/>
  <c r="B1321" i="1"/>
  <c r="C1321" i="1"/>
  <c r="M1321" i="1"/>
  <c r="A1322" i="1"/>
  <c r="B1322" i="1"/>
  <c r="C1322" i="1"/>
  <c r="M1322" i="1"/>
  <c r="A1323" i="1"/>
  <c r="B1323" i="1"/>
  <c r="C1323" i="1"/>
  <c r="M1323" i="1"/>
  <c r="A1324" i="1"/>
  <c r="B1324" i="1"/>
  <c r="C1324" i="1"/>
  <c r="M1324" i="1"/>
  <c r="A1325" i="1"/>
  <c r="B1325" i="1"/>
  <c r="C1325" i="1"/>
  <c r="M1325" i="1"/>
  <c r="A1326" i="1"/>
  <c r="B1326" i="1"/>
  <c r="C1326" i="1"/>
  <c r="M1326" i="1"/>
  <c r="A1327" i="1"/>
  <c r="B1327" i="1"/>
  <c r="C1327" i="1"/>
  <c r="M1327" i="1"/>
  <c r="A1328" i="1"/>
  <c r="B1328" i="1"/>
  <c r="C1328" i="1"/>
  <c r="M1328" i="1"/>
  <c r="A1329" i="1"/>
  <c r="B1329" i="1"/>
  <c r="C1329" i="1"/>
  <c r="M1329" i="1"/>
  <c r="A1330" i="1"/>
  <c r="B1330" i="1"/>
  <c r="C1330" i="1"/>
  <c r="M1330" i="1"/>
  <c r="A1331" i="1"/>
  <c r="B1331" i="1"/>
  <c r="C1331" i="1"/>
  <c r="M1331" i="1"/>
  <c r="A1332" i="1"/>
  <c r="B1332" i="1"/>
  <c r="C1332" i="1"/>
  <c r="M1332" i="1"/>
  <c r="A1333" i="1"/>
  <c r="B1333" i="1"/>
  <c r="C1333" i="1"/>
  <c r="M1333" i="1"/>
  <c r="A1334" i="1"/>
  <c r="B1334" i="1"/>
  <c r="C1334" i="1"/>
  <c r="M1334" i="1"/>
  <c r="A1335" i="1"/>
  <c r="B1335" i="1"/>
  <c r="C1335" i="1"/>
  <c r="M1335" i="1"/>
  <c r="A1336" i="1"/>
  <c r="B1336" i="1"/>
  <c r="C1336" i="1"/>
  <c r="M1336" i="1"/>
  <c r="A1337" i="1"/>
  <c r="B1337" i="1"/>
  <c r="C1337" i="1"/>
  <c r="M1337" i="1"/>
  <c r="A1338" i="1"/>
  <c r="B1338" i="1"/>
  <c r="C1338" i="1"/>
  <c r="M1338" i="1"/>
  <c r="A1339" i="1"/>
  <c r="B1339" i="1"/>
  <c r="C1339" i="1"/>
  <c r="M1339" i="1"/>
  <c r="A1340" i="1"/>
  <c r="B1340" i="1"/>
  <c r="C1340" i="1"/>
  <c r="M1340" i="1"/>
  <c r="A1341" i="1"/>
  <c r="B1341" i="1"/>
  <c r="C1341" i="1"/>
  <c r="M1341" i="1"/>
  <c r="A1342" i="1"/>
  <c r="B1342" i="1"/>
  <c r="C1342" i="1"/>
  <c r="M1342" i="1"/>
  <c r="A1343" i="1"/>
  <c r="B1343" i="1"/>
  <c r="C1343" i="1"/>
  <c r="M1343" i="1"/>
  <c r="A1344" i="1"/>
  <c r="B1344" i="1"/>
  <c r="C1344" i="1"/>
  <c r="M1344" i="1"/>
  <c r="A1345" i="1"/>
  <c r="B1345" i="1"/>
  <c r="C1345" i="1"/>
  <c r="M1345" i="1"/>
  <c r="A1346" i="1"/>
  <c r="B1346" i="1"/>
  <c r="C1346" i="1"/>
  <c r="M1346" i="1"/>
  <c r="A1347" i="1"/>
  <c r="B1347" i="1"/>
  <c r="C1347" i="1"/>
  <c r="M1347" i="1"/>
  <c r="A1348" i="1"/>
  <c r="B1348" i="1"/>
  <c r="C1348" i="1"/>
  <c r="M1348" i="1"/>
  <c r="A1349" i="1"/>
  <c r="B1349" i="1"/>
  <c r="C1349" i="1"/>
  <c r="M1349" i="1"/>
  <c r="A1350" i="1"/>
  <c r="B1350" i="1"/>
  <c r="C1350" i="1"/>
  <c r="M1350" i="1"/>
  <c r="A1351" i="1"/>
  <c r="B1351" i="1"/>
  <c r="C1351" i="1"/>
  <c r="M1351" i="1"/>
  <c r="A1352" i="1"/>
  <c r="B1352" i="1"/>
  <c r="C1352" i="1"/>
  <c r="M1352" i="1"/>
  <c r="A1353" i="1"/>
  <c r="B1353" i="1"/>
  <c r="C1353" i="1"/>
  <c r="M1353" i="1"/>
  <c r="A1354" i="1"/>
  <c r="B1354" i="1"/>
  <c r="C1354" i="1"/>
  <c r="M1354" i="1"/>
  <c r="A1355" i="1"/>
  <c r="B1355" i="1"/>
  <c r="C1355" i="1"/>
  <c r="M1355" i="1"/>
  <c r="A1356" i="1"/>
  <c r="B1356" i="1"/>
  <c r="C1356" i="1"/>
  <c r="M1356" i="1"/>
  <c r="A1357" i="1"/>
  <c r="B1357" i="1"/>
  <c r="C1357" i="1"/>
  <c r="M1357" i="1"/>
  <c r="A1358" i="1"/>
  <c r="B1358" i="1"/>
  <c r="C1358" i="1"/>
  <c r="M1358" i="1"/>
  <c r="A1359" i="1"/>
  <c r="B1359" i="1"/>
  <c r="C1359" i="1"/>
  <c r="M1359" i="1"/>
  <c r="A1360" i="1"/>
  <c r="B1360" i="1"/>
  <c r="C1360" i="1"/>
  <c r="M1360" i="1"/>
  <c r="A1361" i="1"/>
  <c r="B1361" i="1"/>
  <c r="C1361" i="1"/>
  <c r="M1361" i="1"/>
  <c r="A1362" i="1"/>
  <c r="B1362" i="1"/>
  <c r="C1362" i="1"/>
  <c r="M1362" i="1"/>
  <c r="A1363" i="1"/>
  <c r="B1363" i="1"/>
  <c r="C1363" i="1"/>
  <c r="M1363" i="1"/>
  <c r="A1364" i="1"/>
  <c r="B1364" i="1"/>
  <c r="C1364" i="1"/>
  <c r="M1364" i="1"/>
  <c r="A1365" i="1"/>
  <c r="B1365" i="1"/>
  <c r="C1365" i="1"/>
  <c r="M1365" i="1"/>
  <c r="A1366" i="1"/>
  <c r="B1366" i="1"/>
  <c r="C1366" i="1"/>
  <c r="M1366" i="1"/>
  <c r="A1367" i="1"/>
  <c r="B1367" i="1"/>
  <c r="C1367" i="1"/>
  <c r="M1367" i="1"/>
  <c r="A1368" i="1"/>
  <c r="B1368" i="1"/>
  <c r="C1368" i="1"/>
  <c r="M1368" i="1"/>
  <c r="A1369" i="1"/>
  <c r="B1369" i="1"/>
  <c r="C1369" i="1"/>
  <c r="M1369" i="1"/>
  <c r="A1370" i="1"/>
  <c r="B1370" i="1"/>
  <c r="C1370" i="1"/>
  <c r="M1370" i="1"/>
  <c r="A1371" i="1"/>
  <c r="B1371" i="1"/>
  <c r="C1371" i="1"/>
  <c r="M1371" i="1"/>
  <c r="A1372" i="1"/>
  <c r="B1372" i="1"/>
  <c r="C1372" i="1"/>
  <c r="M1372" i="1"/>
  <c r="A1373" i="1"/>
  <c r="B1373" i="1"/>
  <c r="C1373" i="1"/>
  <c r="M1373" i="1"/>
  <c r="A1374" i="1"/>
  <c r="B1374" i="1"/>
  <c r="C1374" i="1"/>
  <c r="M1374" i="1"/>
  <c r="A1375" i="1"/>
  <c r="B1375" i="1"/>
  <c r="C1375" i="1"/>
  <c r="M1375" i="1"/>
  <c r="A1376" i="1"/>
  <c r="B1376" i="1"/>
  <c r="C1376" i="1"/>
  <c r="M1376" i="1"/>
  <c r="A1377" i="1"/>
  <c r="B1377" i="1"/>
  <c r="C1377" i="1"/>
  <c r="M1377" i="1"/>
  <c r="A1378" i="1"/>
  <c r="B1378" i="1"/>
  <c r="C1378" i="1"/>
  <c r="M1378" i="1"/>
  <c r="A1379" i="1"/>
  <c r="B1379" i="1"/>
  <c r="C1379" i="1"/>
  <c r="M1379" i="1"/>
  <c r="A1380" i="1"/>
  <c r="B1380" i="1"/>
  <c r="C1380" i="1"/>
  <c r="M1380" i="1"/>
  <c r="A1381" i="1"/>
  <c r="B1381" i="1"/>
  <c r="C1381" i="1"/>
  <c r="M1381" i="1"/>
  <c r="A1382" i="1"/>
  <c r="B1382" i="1"/>
  <c r="C1382" i="1"/>
  <c r="M1382" i="1"/>
  <c r="A1383" i="1"/>
  <c r="B1383" i="1"/>
  <c r="C1383" i="1"/>
  <c r="M1383" i="1"/>
  <c r="A1384" i="1"/>
  <c r="B1384" i="1"/>
  <c r="C1384" i="1"/>
  <c r="M1384" i="1"/>
  <c r="A1385" i="1"/>
  <c r="B1385" i="1"/>
  <c r="C1385" i="1"/>
  <c r="M1385" i="1"/>
  <c r="A1386" i="1"/>
  <c r="B1386" i="1"/>
  <c r="C1386" i="1"/>
  <c r="M1386" i="1"/>
  <c r="A1387" i="1"/>
  <c r="B1387" i="1"/>
  <c r="C1387" i="1"/>
  <c r="M1387" i="1"/>
  <c r="A1388" i="1"/>
  <c r="B1388" i="1"/>
  <c r="C1388" i="1"/>
  <c r="M1388" i="1"/>
  <c r="A1389" i="1"/>
  <c r="B1389" i="1"/>
  <c r="C1389" i="1"/>
  <c r="M1389" i="1"/>
  <c r="A1390" i="1"/>
  <c r="B1390" i="1"/>
  <c r="C1390" i="1"/>
  <c r="M1390" i="1"/>
  <c r="A1391" i="1"/>
  <c r="B1391" i="1"/>
  <c r="C1391" i="1"/>
  <c r="M1391" i="1"/>
  <c r="A1392" i="1"/>
  <c r="B1392" i="1"/>
  <c r="C1392" i="1"/>
  <c r="M1392" i="1"/>
  <c r="A1393" i="1"/>
  <c r="B1393" i="1"/>
  <c r="C1393" i="1"/>
  <c r="M1393" i="1"/>
  <c r="A1394" i="1"/>
  <c r="B1394" i="1"/>
  <c r="C1394" i="1"/>
  <c r="M1394" i="1"/>
  <c r="A1395" i="1"/>
  <c r="B1395" i="1"/>
  <c r="C1395" i="1"/>
  <c r="M1395" i="1"/>
  <c r="A1396" i="1"/>
  <c r="B1396" i="1"/>
  <c r="C1396" i="1"/>
  <c r="M1396" i="1"/>
  <c r="A1397" i="1"/>
  <c r="B1397" i="1"/>
  <c r="C1397" i="1"/>
  <c r="M1397" i="1"/>
  <c r="A1398" i="1"/>
  <c r="B1398" i="1"/>
  <c r="C1398" i="1"/>
  <c r="M1398" i="1"/>
  <c r="A1399" i="1"/>
  <c r="B1399" i="1"/>
  <c r="C1399" i="1"/>
  <c r="M1399" i="1"/>
  <c r="A1400" i="1"/>
  <c r="B1400" i="1"/>
  <c r="C1400" i="1"/>
  <c r="M1400" i="1"/>
  <c r="A1401" i="1"/>
  <c r="B1401" i="1"/>
  <c r="C1401" i="1"/>
  <c r="M1401" i="1"/>
  <c r="A1402" i="1"/>
  <c r="B1402" i="1"/>
  <c r="C1402" i="1"/>
  <c r="M1402" i="1"/>
  <c r="A1403" i="1"/>
  <c r="B1403" i="1"/>
  <c r="C1403" i="1"/>
  <c r="M1403" i="1"/>
  <c r="A1404" i="1"/>
  <c r="B1404" i="1"/>
  <c r="C1404" i="1"/>
  <c r="M1404" i="1"/>
  <c r="A1405" i="1"/>
  <c r="B1405" i="1"/>
  <c r="C1405" i="1"/>
  <c r="M1405" i="1"/>
  <c r="A1406" i="1"/>
  <c r="B1406" i="1"/>
  <c r="C1406" i="1"/>
  <c r="M1406" i="1"/>
  <c r="A1407" i="1"/>
  <c r="B1407" i="1"/>
  <c r="C1407" i="1"/>
  <c r="M1407" i="1"/>
  <c r="A1408" i="1"/>
  <c r="B1408" i="1"/>
  <c r="C1408" i="1"/>
  <c r="M1408" i="1"/>
  <c r="A1409" i="1"/>
  <c r="B1409" i="1"/>
  <c r="C1409" i="1"/>
  <c r="M1409" i="1"/>
  <c r="A1410" i="1"/>
  <c r="B1410" i="1"/>
  <c r="C1410" i="1"/>
  <c r="M1410" i="1"/>
  <c r="A1411" i="1"/>
  <c r="B1411" i="1"/>
  <c r="C1411" i="1"/>
  <c r="M1411" i="1"/>
  <c r="A1412" i="1"/>
  <c r="B1412" i="1"/>
  <c r="C1412" i="1"/>
  <c r="M1412" i="1"/>
  <c r="A1413" i="1"/>
  <c r="B1413" i="1"/>
  <c r="C1413" i="1"/>
  <c r="M1413" i="1"/>
  <c r="A1414" i="1"/>
  <c r="B1414" i="1"/>
  <c r="C1414" i="1"/>
  <c r="M1414" i="1"/>
  <c r="A1415" i="1"/>
  <c r="B1415" i="1"/>
  <c r="C1415" i="1"/>
  <c r="M1415" i="1"/>
  <c r="A1416" i="1"/>
  <c r="B1416" i="1"/>
  <c r="C1416" i="1"/>
  <c r="M1416" i="1"/>
  <c r="A1417" i="1"/>
  <c r="B1417" i="1"/>
  <c r="C1417" i="1"/>
  <c r="M1417" i="1"/>
  <c r="A1418" i="1"/>
  <c r="B1418" i="1"/>
  <c r="C1418" i="1"/>
  <c r="M1418" i="1"/>
  <c r="A1419" i="1"/>
  <c r="B1419" i="1"/>
  <c r="C1419" i="1"/>
  <c r="M1419" i="1"/>
  <c r="A1420" i="1"/>
  <c r="B1420" i="1"/>
  <c r="C1420" i="1"/>
  <c r="M1420" i="1"/>
  <c r="A1421" i="1"/>
  <c r="B1421" i="1"/>
  <c r="C1421" i="1"/>
  <c r="M1421" i="1"/>
  <c r="A1422" i="1"/>
  <c r="B1422" i="1"/>
  <c r="C1422" i="1"/>
  <c r="M1422" i="1"/>
  <c r="A1423" i="1"/>
  <c r="B1423" i="1"/>
  <c r="C1423" i="1"/>
  <c r="M1423" i="1"/>
  <c r="A1424" i="1"/>
  <c r="B1424" i="1"/>
  <c r="C1424" i="1"/>
  <c r="M1424" i="1"/>
  <c r="A1425" i="1"/>
  <c r="B1425" i="1"/>
  <c r="C1425" i="1"/>
  <c r="M1425" i="1"/>
  <c r="A1426" i="1"/>
  <c r="B1426" i="1"/>
  <c r="C1426" i="1"/>
  <c r="M1426" i="1"/>
  <c r="A1427" i="1"/>
  <c r="B1427" i="1"/>
  <c r="C1427" i="1"/>
  <c r="M1427" i="1"/>
  <c r="A1428" i="1"/>
  <c r="B1428" i="1"/>
  <c r="C1428" i="1"/>
  <c r="M1428" i="1"/>
  <c r="A1429" i="1"/>
  <c r="B1429" i="1"/>
  <c r="C1429" i="1"/>
  <c r="M1429" i="1"/>
  <c r="A1430" i="1"/>
  <c r="B1430" i="1"/>
  <c r="C1430" i="1"/>
  <c r="M1430" i="1"/>
  <c r="A1431" i="1"/>
  <c r="B1431" i="1"/>
  <c r="C1431" i="1"/>
  <c r="M1431" i="1"/>
  <c r="A1432" i="1"/>
  <c r="B1432" i="1"/>
  <c r="C1432" i="1"/>
  <c r="M1432" i="1"/>
  <c r="A1433" i="1"/>
  <c r="B1433" i="1"/>
  <c r="C1433" i="1"/>
  <c r="M1433" i="1"/>
  <c r="A1434" i="1"/>
  <c r="B1434" i="1"/>
  <c r="C1434" i="1"/>
  <c r="M1434" i="1"/>
  <c r="A1435" i="1"/>
  <c r="B1435" i="1"/>
  <c r="C1435" i="1"/>
  <c r="M1435" i="1"/>
  <c r="A1436" i="1"/>
  <c r="B1436" i="1"/>
  <c r="C1436" i="1"/>
  <c r="M1436" i="1"/>
  <c r="A1437" i="1"/>
  <c r="B1437" i="1"/>
  <c r="C1437" i="1"/>
  <c r="M1437" i="1"/>
  <c r="A1438" i="1"/>
  <c r="B1438" i="1"/>
  <c r="C1438" i="1"/>
  <c r="M1438" i="1"/>
  <c r="A1439" i="1"/>
  <c r="B1439" i="1"/>
  <c r="C1439" i="1"/>
  <c r="M1439" i="1"/>
  <c r="A1440" i="1"/>
  <c r="B1440" i="1"/>
  <c r="C1440" i="1"/>
  <c r="M1440" i="1"/>
  <c r="A1441" i="1"/>
  <c r="B1441" i="1"/>
  <c r="C1441" i="1"/>
  <c r="M1441" i="1"/>
  <c r="A1442" i="1"/>
  <c r="B1442" i="1"/>
  <c r="C1442" i="1"/>
  <c r="M1442" i="1"/>
  <c r="A1443" i="1"/>
  <c r="B1443" i="1"/>
  <c r="C1443" i="1"/>
  <c r="M1443" i="1"/>
  <c r="A1444" i="1"/>
  <c r="B1444" i="1"/>
  <c r="C1444" i="1"/>
  <c r="M1444" i="1"/>
  <c r="A1445" i="1"/>
  <c r="B1445" i="1"/>
  <c r="C1445" i="1"/>
  <c r="M1445" i="1"/>
  <c r="A1446" i="1"/>
  <c r="B1446" i="1"/>
  <c r="C1446" i="1"/>
  <c r="M1446" i="1"/>
  <c r="A1447" i="1"/>
  <c r="B1447" i="1"/>
  <c r="C1447" i="1"/>
  <c r="M1447" i="1"/>
  <c r="A1448" i="1"/>
  <c r="B1448" i="1"/>
  <c r="C1448" i="1"/>
  <c r="M1448" i="1"/>
  <c r="A1449" i="1"/>
  <c r="B1449" i="1"/>
  <c r="C1449" i="1"/>
  <c r="M1449" i="1"/>
  <c r="A1450" i="1"/>
  <c r="B1450" i="1"/>
  <c r="C1450" i="1"/>
  <c r="M1450" i="1"/>
  <c r="A1451" i="1"/>
  <c r="B1451" i="1"/>
  <c r="C1451" i="1"/>
  <c r="M1451" i="1"/>
  <c r="A1452" i="1"/>
  <c r="B1452" i="1"/>
  <c r="C1452" i="1"/>
  <c r="M1452" i="1"/>
  <c r="A1453" i="1"/>
  <c r="B1453" i="1"/>
  <c r="C1453" i="1"/>
  <c r="M1453" i="1"/>
  <c r="A1454" i="1"/>
  <c r="B1454" i="1"/>
  <c r="C1454" i="1"/>
  <c r="M1454" i="1"/>
  <c r="A1455" i="1"/>
  <c r="B1455" i="1"/>
  <c r="C1455" i="1"/>
  <c r="M1455" i="1"/>
  <c r="A1456" i="1"/>
  <c r="B1456" i="1"/>
  <c r="C1456" i="1"/>
  <c r="M1456" i="1"/>
  <c r="A1457" i="1"/>
  <c r="B1457" i="1"/>
  <c r="C1457" i="1"/>
  <c r="M1457" i="1"/>
  <c r="A1458" i="1"/>
  <c r="B1458" i="1"/>
  <c r="C1458" i="1"/>
  <c r="M1458" i="1"/>
  <c r="A1459" i="1"/>
  <c r="B1459" i="1"/>
  <c r="C1459" i="1"/>
  <c r="M1459" i="1"/>
  <c r="A1460" i="1"/>
  <c r="B1460" i="1"/>
  <c r="C1460" i="1"/>
  <c r="M1460" i="1"/>
  <c r="A1461" i="1"/>
  <c r="B1461" i="1"/>
  <c r="C1461" i="1"/>
  <c r="M1461" i="1"/>
  <c r="A1462" i="1"/>
  <c r="B1462" i="1"/>
  <c r="C1462" i="1"/>
  <c r="M1462" i="1"/>
  <c r="A1463" i="1"/>
  <c r="B1463" i="1"/>
  <c r="C1463" i="1"/>
  <c r="M1463" i="1"/>
  <c r="A1464" i="1"/>
  <c r="B1464" i="1"/>
  <c r="C1464" i="1"/>
  <c r="M1464" i="1"/>
  <c r="A1465" i="1"/>
  <c r="B1465" i="1"/>
  <c r="C1465" i="1"/>
  <c r="M1465" i="1"/>
  <c r="A1466" i="1"/>
  <c r="B1466" i="1"/>
  <c r="C1466" i="1"/>
  <c r="M1466" i="1"/>
  <c r="A1467" i="1"/>
  <c r="B1467" i="1"/>
  <c r="C1467" i="1"/>
  <c r="M1467" i="1"/>
  <c r="A1468" i="1"/>
  <c r="B1468" i="1"/>
  <c r="C1468" i="1"/>
  <c r="M1468" i="1"/>
  <c r="A1469" i="1"/>
  <c r="B1469" i="1"/>
  <c r="C1469" i="1"/>
  <c r="M1469" i="1"/>
  <c r="A1470" i="1"/>
  <c r="B1470" i="1"/>
  <c r="C1470" i="1"/>
  <c r="M1470" i="1"/>
  <c r="A1471" i="1"/>
  <c r="B1471" i="1"/>
  <c r="C1471" i="1"/>
  <c r="M1471" i="1"/>
  <c r="A1472" i="1"/>
  <c r="B1472" i="1"/>
  <c r="C1472" i="1"/>
  <c r="M1472" i="1"/>
  <c r="A1473" i="1"/>
  <c r="B1473" i="1"/>
  <c r="C1473" i="1"/>
  <c r="M1473" i="1"/>
  <c r="A1474" i="1"/>
  <c r="B1474" i="1"/>
  <c r="C1474" i="1"/>
  <c r="M1474" i="1"/>
  <c r="A1475" i="1"/>
  <c r="B1475" i="1"/>
  <c r="C1475" i="1"/>
  <c r="M1475" i="1"/>
  <c r="A1476" i="1"/>
  <c r="B1476" i="1"/>
  <c r="C1476" i="1"/>
  <c r="M1476" i="1"/>
  <c r="A1477" i="1"/>
  <c r="B1477" i="1"/>
  <c r="C1477" i="1"/>
  <c r="M1477" i="1"/>
  <c r="A1478" i="1"/>
  <c r="B1478" i="1"/>
  <c r="C1478" i="1"/>
  <c r="M1478" i="1"/>
  <c r="A1479" i="1"/>
  <c r="B1479" i="1"/>
  <c r="C1479" i="1"/>
  <c r="M1479" i="1"/>
  <c r="A1480" i="1"/>
  <c r="B1480" i="1"/>
  <c r="C1480" i="1"/>
  <c r="M1480" i="1"/>
  <c r="A1481" i="1"/>
  <c r="B1481" i="1"/>
  <c r="C1481" i="1"/>
  <c r="M1481" i="1"/>
  <c r="A1482" i="1"/>
  <c r="B1482" i="1"/>
  <c r="C1482" i="1"/>
  <c r="M1482" i="1"/>
  <c r="A1483" i="1"/>
  <c r="B1483" i="1"/>
  <c r="C1483" i="1"/>
  <c r="M1483" i="1"/>
  <c r="A1484" i="1"/>
  <c r="B1484" i="1"/>
  <c r="C1484" i="1"/>
  <c r="M1484" i="1"/>
  <c r="A1485" i="1"/>
  <c r="B1485" i="1"/>
  <c r="C1485" i="1"/>
  <c r="M1485" i="1"/>
  <c r="A1486" i="1"/>
  <c r="B1486" i="1"/>
  <c r="C1486" i="1"/>
  <c r="M1486" i="1"/>
  <c r="A1487" i="1"/>
  <c r="B1487" i="1"/>
  <c r="C1487" i="1"/>
  <c r="M1487" i="1"/>
  <c r="A1488" i="1"/>
  <c r="B1488" i="1"/>
  <c r="C1488" i="1"/>
  <c r="M1488" i="1"/>
  <c r="A1489" i="1"/>
  <c r="B1489" i="1"/>
  <c r="C1489" i="1"/>
  <c r="M1489" i="1"/>
  <c r="A1490" i="1"/>
  <c r="B1490" i="1"/>
  <c r="C1490" i="1"/>
  <c r="M1490" i="1"/>
  <c r="A1491" i="1"/>
  <c r="B1491" i="1"/>
  <c r="C1491" i="1"/>
  <c r="M1491" i="1"/>
  <c r="A1492" i="1"/>
  <c r="B1492" i="1"/>
  <c r="C1492" i="1"/>
  <c r="M1492" i="1"/>
  <c r="A1493" i="1"/>
  <c r="B1493" i="1"/>
  <c r="C1493" i="1"/>
  <c r="M1493" i="1"/>
  <c r="A1494" i="1"/>
  <c r="B1494" i="1"/>
  <c r="C1494" i="1"/>
  <c r="M1494" i="1"/>
  <c r="A1495" i="1"/>
  <c r="B1495" i="1"/>
  <c r="C1495" i="1"/>
  <c r="M1495" i="1"/>
  <c r="A1496" i="1"/>
  <c r="B1496" i="1"/>
  <c r="C1496" i="1"/>
  <c r="M1496" i="1"/>
  <c r="A1497" i="1"/>
  <c r="B1497" i="1"/>
  <c r="C1497" i="1"/>
  <c r="M1497" i="1"/>
  <c r="A1498" i="1"/>
  <c r="B1498" i="1"/>
  <c r="C1498" i="1"/>
  <c r="M1498" i="1"/>
  <c r="A1499" i="1"/>
  <c r="B1499" i="1"/>
  <c r="C1499" i="1"/>
  <c r="M1499" i="1"/>
  <c r="A1500" i="1"/>
  <c r="B1500" i="1"/>
  <c r="C1500" i="1"/>
  <c r="M1500" i="1"/>
  <c r="A1501" i="1"/>
  <c r="B1501" i="1"/>
  <c r="C1501" i="1"/>
  <c r="M1501" i="1"/>
  <c r="A1502" i="1"/>
  <c r="B1502" i="1"/>
  <c r="C1502" i="1"/>
  <c r="M1502" i="1"/>
  <c r="A1503" i="1"/>
  <c r="B1503" i="1"/>
  <c r="C1503" i="1"/>
  <c r="M1503" i="1"/>
  <c r="A1504" i="1"/>
  <c r="B1504" i="1"/>
  <c r="C1504" i="1"/>
  <c r="M1504" i="1"/>
  <c r="A1505" i="1"/>
  <c r="B1505" i="1"/>
  <c r="C1505" i="1"/>
  <c r="M1505" i="1"/>
  <c r="A1506" i="1"/>
  <c r="B1506" i="1"/>
  <c r="C1506" i="1"/>
  <c r="M1506" i="1"/>
  <c r="A1507" i="1"/>
  <c r="B1507" i="1"/>
  <c r="C1507" i="1"/>
  <c r="M1507" i="1"/>
  <c r="A1508" i="1"/>
  <c r="B1508" i="1"/>
  <c r="C1508" i="1"/>
  <c r="M1508" i="1"/>
  <c r="A1509" i="1"/>
  <c r="B1509" i="1"/>
  <c r="C1509" i="1"/>
  <c r="M1509" i="1"/>
  <c r="A1510" i="1"/>
  <c r="B1510" i="1"/>
  <c r="C1510" i="1"/>
  <c r="M1510" i="1"/>
  <c r="A1511" i="1"/>
  <c r="B1511" i="1"/>
  <c r="C1511" i="1"/>
  <c r="M1511" i="1"/>
  <c r="A1512" i="1"/>
  <c r="B1512" i="1"/>
  <c r="C1512" i="1"/>
  <c r="M1512" i="1"/>
  <c r="A1513" i="1"/>
  <c r="B1513" i="1"/>
  <c r="C1513" i="1"/>
  <c r="M1513" i="1"/>
  <c r="A1514" i="1"/>
  <c r="B1514" i="1"/>
  <c r="C1514" i="1"/>
  <c r="M1514" i="1"/>
  <c r="A1515" i="1"/>
  <c r="B1515" i="1"/>
  <c r="C1515" i="1"/>
  <c r="M1515" i="1"/>
  <c r="A1516" i="1"/>
  <c r="B1516" i="1"/>
  <c r="C1516" i="1"/>
  <c r="M1516" i="1"/>
  <c r="A1517" i="1"/>
  <c r="B1517" i="1"/>
  <c r="C1517" i="1"/>
  <c r="M1517" i="1"/>
  <c r="A1518" i="1"/>
  <c r="B1518" i="1"/>
  <c r="C1518" i="1"/>
  <c r="M1518" i="1"/>
  <c r="A1519" i="1"/>
  <c r="B1519" i="1"/>
  <c r="C1519" i="1"/>
  <c r="M1519" i="1"/>
  <c r="A1520" i="1"/>
  <c r="B1520" i="1"/>
  <c r="C1520" i="1"/>
  <c r="M1520" i="1"/>
  <c r="A1521" i="1"/>
  <c r="B1521" i="1"/>
  <c r="C1521" i="1"/>
  <c r="M1521" i="1"/>
  <c r="A1522" i="1"/>
  <c r="B1522" i="1"/>
  <c r="C1522" i="1"/>
  <c r="M1522" i="1"/>
  <c r="A1523" i="1"/>
  <c r="B1523" i="1"/>
  <c r="C1523" i="1"/>
  <c r="M1523" i="1"/>
  <c r="A1524" i="1"/>
  <c r="B1524" i="1"/>
  <c r="C1524" i="1"/>
  <c r="M1524" i="1"/>
  <c r="A1525" i="1"/>
  <c r="B1525" i="1"/>
  <c r="C1525" i="1"/>
  <c r="M1525" i="1"/>
  <c r="A1526" i="1"/>
  <c r="B1526" i="1"/>
  <c r="C1526" i="1"/>
  <c r="M1526" i="1"/>
  <c r="A1527" i="1"/>
  <c r="B1527" i="1"/>
  <c r="C1527" i="1"/>
  <c r="M1527" i="1"/>
  <c r="A1528" i="1"/>
  <c r="B1528" i="1"/>
  <c r="C1528" i="1"/>
  <c r="M1528" i="1"/>
  <c r="A1529" i="1"/>
  <c r="B1529" i="1"/>
  <c r="C1529" i="1"/>
  <c r="M1529" i="1"/>
  <c r="A1530" i="1"/>
  <c r="B1530" i="1"/>
  <c r="C1530" i="1"/>
  <c r="M1530" i="1"/>
  <c r="A1531" i="1"/>
  <c r="B1531" i="1"/>
  <c r="C1531" i="1"/>
  <c r="M1531" i="1"/>
  <c r="A1532" i="1"/>
  <c r="B1532" i="1"/>
  <c r="C1532" i="1"/>
  <c r="M1532" i="1"/>
  <c r="A1533" i="1"/>
  <c r="B1533" i="1"/>
  <c r="C1533" i="1"/>
  <c r="M1533" i="1"/>
  <c r="A1534" i="1"/>
  <c r="B1534" i="1"/>
  <c r="C1534" i="1"/>
  <c r="M1534" i="1"/>
  <c r="A1535" i="1"/>
  <c r="B1535" i="1"/>
  <c r="C1535" i="1"/>
  <c r="M1535" i="1"/>
  <c r="A1536" i="1"/>
  <c r="B1536" i="1"/>
  <c r="C1536" i="1"/>
  <c r="M1536" i="1"/>
  <c r="A1537" i="1"/>
  <c r="B1537" i="1"/>
  <c r="C1537" i="1"/>
  <c r="M1537" i="1"/>
  <c r="A1538" i="1"/>
  <c r="B1538" i="1"/>
  <c r="C1538" i="1"/>
  <c r="M1538" i="1"/>
  <c r="A1539" i="1"/>
  <c r="B1539" i="1"/>
  <c r="C1539" i="1"/>
  <c r="M1539" i="1"/>
  <c r="A1540" i="1"/>
  <c r="B1540" i="1"/>
  <c r="C1540" i="1"/>
  <c r="M1540" i="1"/>
  <c r="A1541" i="1"/>
  <c r="B1541" i="1"/>
  <c r="C1541" i="1"/>
  <c r="M1541" i="1"/>
  <c r="A1542" i="1"/>
  <c r="B1542" i="1"/>
  <c r="C1542" i="1"/>
  <c r="M1542" i="1"/>
  <c r="A1543" i="1"/>
  <c r="B1543" i="1"/>
  <c r="C1543" i="1"/>
  <c r="M1543" i="1"/>
  <c r="A1544" i="1"/>
  <c r="B1544" i="1"/>
  <c r="C1544" i="1"/>
  <c r="M1544" i="1"/>
  <c r="A1545" i="1"/>
  <c r="B1545" i="1"/>
  <c r="C1545" i="1"/>
  <c r="M1545" i="1"/>
  <c r="A1546" i="1"/>
  <c r="B1546" i="1"/>
  <c r="C1546" i="1"/>
  <c r="M1546" i="1"/>
  <c r="A1547" i="1"/>
  <c r="B1547" i="1"/>
  <c r="C1547" i="1"/>
  <c r="M1547" i="1"/>
  <c r="A1548" i="1"/>
  <c r="B1548" i="1"/>
  <c r="C1548" i="1"/>
  <c r="M1548" i="1"/>
  <c r="A1549" i="1"/>
  <c r="B1549" i="1"/>
  <c r="C1549" i="1"/>
  <c r="M1549" i="1"/>
  <c r="A1550" i="1"/>
  <c r="B1550" i="1"/>
  <c r="C1550" i="1"/>
  <c r="M1550" i="1"/>
  <c r="A1551" i="1"/>
  <c r="B1551" i="1"/>
  <c r="C1551" i="1"/>
  <c r="M1551" i="1"/>
  <c r="A1552" i="1"/>
  <c r="B1552" i="1"/>
  <c r="C1552" i="1"/>
  <c r="M1552" i="1"/>
  <c r="A1553" i="1"/>
  <c r="B1553" i="1"/>
  <c r="C1553" i="1"/>
  <c r="M1553" i="1"/>
  <c r="A1554" i="1"/>
  <c r="B1554" i="1"/>
  <c r="C1554" i="1"/>
  <c r="M1554" i="1"/>
  <c r="A1555" i="1"/>
  <c r="B1555" i="1"/>
  <c r="C1555" i="1"/>
  <c r="M1555" i="1"/>
  <c r="A1556" i="1"/>
  <c r="B1556" i="1"/>
  <c r="C1556" i="1"/>
  <c r="M1556" i="1"/>
  <c r="A1557" i="1"/>
  <c r="B1557" i="1"/>
  <c r="C1557" i="1"/>
  <c r="M1557" i="1"/>
  <c r="A1558" i="1"/>
  <c r="B1558" i="1"/>
  <c r="C1558" i="1"/>
  <c r="M1558" i="1"/>
  <c r="A1559" i="1"/>
  <c r="B1559" i="1"/>
  <c r="C1559" i="1"/>
  <c r="M1559" i="1"/>
  <c r="A1560" i="1"/>
  <c r="B1560" i="1"/>
  <c r="C1560" i="1"/>
  <c r="M1560" i="1"/>
  <c r="A1561" i="1"/>
  <c r="B1561" i="1"/>
  <c r="C1561" i="1"/>
  <c r="M1561" i="1"/>
  <c r="A1562" i="1"/>
  <c r="B1562" i="1"/>
  <c r="C1562" i="1"/>
  <c r="M1562" i="1"/>
  <c r="A1563" i="1"/>
  <c r="B1563" i="1"/>
  <c r="C1563" i="1"/>
  <c r="M1563" i="1"/>
  <c r="A1564" i="1"/>
  <c r="B1564" i="1"/>
  <c r="C1564" i="1"/>
  <c r="M1564" i="1"/>
  <c r="A1565" i="1"/>
  <c r="B1565" i="1"/>
  <c r="C1565" i="1"/>
  <c r="M1565" i="1"/>
  <c r="A1566" i="1"/>
  <c r="B1566" i="1"/>
  <c r="C1566" i="1"/>
  <c r="M1566" i="1"/>
  <c r="A1567" i="1"/>
  <c r="B1567" i="1"/>
  <c r="C1567" i="1"/>
  <c r="M1567" i="1"/>
  <c r="A1568" i="1"/>
  <c r="B1568" i="1"/>
  <c r="C1568" i="1"/>
  <c r="M1568" i="1"/>
  <c r="A1569" i="1"/>
  <c r="B1569" i="1"/>
  <c r="C1569" i="1"/>
  <c r="M1569" i="1"/>
  <c r="A1570" i="1"/>
  <c r="B1570" i="1"/>
  <c r="C1570" i="1"/>
  <c r="M1570" i="1"/>
  <c r="A1571" i="1"/>
  <c r="B1571" i="1"/>
  <c r="C1571" i="1"/>
  <c r="M1571" i="1"/>
  <c r="A1572" i="1"/>
  <c r="B1572" i="1"/>
  <c r="C1572" i="1"/>
  <c r="M1572" i="1"/>
  <c r="A1573" i="1"/>
  <c r="B1573" i="1"/>
  <c r="C1573" i="1"/>
  <c r="M1573" i="1"/>
  <c r="A1574" i="1"/>
  <c r="B1574" i="1"/>
  <c r="C1574" i="1"/>
  <c r="M1574" i="1"/>
  <c r="A1575" i="1"/>
  <c r="B1575" i="1"/>
  <c r="C1575" i="1"/>
  <c r="M1575" i="1"/>
  <c r="A1576" i="1"/>
  <c r="B1576" i="1"/>
  <c r="C1576" i="1"/>
  <c r="M1576" i="1"/>
  <c r="A1577" i="1"/>
  <c r="B1577" i="1"/>
  <c r="C1577" i="1"/>
  <c r="M1577" i="1"/>
  <c r="A1578" i="1"/>
  <c r="B1578" i="1"/>
  <c r="C1578" i="1"/>
  <c r="M1578" i="1"/>
  <c r="A1579" i="1"/>
  <c r="B1579" i="1"/>
  <c r="C1579" i="1"/>
  <c r="M1579" i="1"/>
  <c r="A1580" i="1"/>
  <c r="B1580" i="1"/>
  <c r="C1580" i="1"/>
  <c r="M1580" i="1"/>
  <c r="A1581" i="1"/>
  <c r="B1581" i="1"/>
  <c r="C1581" i="1"/>
  <c r="M1581" i="1"/>
  <c r="A1582" i="1"/>
  <c r="B1582" i="1"/>
  <c r="C1582" i="1"/>
  <c r="M1582" i="1"/>
  <c r="A1583" i="1"/>
  <c r="B1583" i="1"/>
  <c r="C1583" i="1"/>
  <c r="M1583" i="1"/>
  <c r="A1584" i="1"/>
  <c r="B1584" i="1"/>
  <c r="C1584" i="1"/>
  <c r="M1584" i="1"/>
  <c r="A1585" i="1"/>
  <c r="B1585" i="1"/>
  <c r="C1585" i="1"/>
  <c r="M1585" i="1"/>
  <c r="A1586" i="1"/>
  <c r="B1586" i="1"/>
  <c r="C1586" i="1"/>
  <c r="M1586" i="1"/>
  <c r="A1587" i="1"/>
  <c r="B1587" i="1"/>
  <c r="C1587" i="1"/>
  <c r="M1587" i="1"/>
  <c r="A1588" i="1"/>
  <c r="B1588" i="1"/>
  <c r="C1588" i="1"/>
  <c r="M1588" i="1"/>
  <c r="A1589" i="1"/>
  <c r="B1589" i="1"/>
  <c r="C1589" i="1"/>
  <c r="M1589" i="1"/>
  <c r="A1590" i="1"/>
  <c r="B1590" i="1"/>
  <c r="C1590" i="1"/>
  <c r="M1590" i="1"/>
  <c r="A1591" i="1"/>
  <c r="B1591" i="1"/>
  <c r="C1591" i="1"/>
  <c r="M1591" i="1"/>
  <c r="A1592" i="1"/>
  <c r="B1592" i="1"/>
  <c r="C1592" i="1"/>
  <c r="M1592" i="1"/>
  <c r="A1593" i="1"/>
  <c r="B1593" i="1"/>
  <c r="C1593" i="1"/>
  <c r="M1593" i="1"/>
  <c r="A1594" i="1"/>
  <c r="B1594" i="1"/>
  <c r="C1594" i="1"/>
  <c r="M1594" i="1"/>
  <c r="A1595" i="1"/>
  <c r="B1595" i="1"/>
  <c r="C1595" i="1"/>
  <c r="M1595" i="1"/>
  <c r="A1596" i="1"/>
  <c r="B1596" i="1"/>
  <c r="C1596" i="1"/>
  <c r="M1596" i="1"/>
  <c r="A1597" i="1"/>
  <c r="B1597" i="1"/>
  <c r="C1597" i="1"/>
  <c r="M1597" i="1"/>
  <c r="A1598" i="1"/>
  <c r="B1598" i="1"/>
  <c r="C1598" i="1"/>
  <c r="M1598" i="1"/>
  <c r="A1599" i="1"/>
  <c r="B1599" i="1"/>
  <c r="C1599" i="1"/>
  <c r="M1599" i="1"/>
  <c r="A1600" i="1"/>
  <c r="B1600" i="1"/>
  <c r="C1600" i="1"/>
  <c r="M1600" i="1"/>
  <c r="A1601" i="1"/>
  <c r="B1601" i="1"/>
  <c r="C1601" i="1"/>
  <c r="M1601" i="1"/>
  <c r="A1602" i="1"/>
  <c r="B1602" i="1"/>
  <c r="C1602" i="1"/>
  <c r="M1602" i="1"/>
  <c r="A1603" i="1"/>
  <c r="B1603" i="1"/>
  <c r="C1603" i="1"/>
  <c r="M1603" i="1"/>
  <c r="A1604" i="1"/>
  <c r="B1604" i="1"/>
  <c r="C1604" i="1"/>
  <c r="M1604" i="1"/>
  <c r="A1605" i="1"/>
  <c r="B1605" i="1"/>
  <c r="C1605" i="1"/>
  <c r="M1605" i="1"/>
  <c r="A1606" i="1"/>
  <c r="B1606" i="1"/>
  <c r="C1606" i="1"/>
  <c r="M1606" i="1"/>
  <c r="A1607" i="1"/>
  <c r="B1607" i="1"/>
  <c r="C1607" i="1"/>
  <c r="M1607" i="1"/>
  <c r="A1608" i="1"/>
  <c r="B1608" i="1"/>
  <c r="C1608" i="1"/>
  <c r="M1608" i="1"/>
  <c r="A1609" i="1"/>
  <c r="B1609" i="1"/>
  <c r="C1609" i="1"/>
  <c r="M1609" i="1"/>
  <c r="A1610" i="1"/>
  <c r="B1610" i="1"/>
  <c r="C1610" i="1"/>
  <c r="M1610" i="1"/>
  <c r="A1611" i="1"/>
  <c r="B1611" i="1"/>
  <c r="C1611" i="1"/>
  <c r="M1611" i="1"/>
  <c r="A1612" i="1"/>
  <c r="B1612" i="1"/>
  <c r="C1612" i="1"/>
  <c r="M1612" i="1"/>
  <c r="A1613" i="1"/>
  <c r="B1613" i="1"/>
  <c r="C1613" i="1"/>
  <c r="M1613" i="1"/>
  <c r="A1614" i="1"/>
  <c r="B1614" i="1"/>
  <c r="C1614" i="1"/>
  <c r="M1614" i="1"/>
  <c r="A1615" i="1"/>
  <c r="B1615" i="1"/>
  <c r="C1615" i="1"/>
  <c r="M1615" i="1"/>
  <c r="A1616" i="1"/>
  <c r="B1616" i="1"/>
  <c r="C1616" i="1"/>
  <c r="M1616" i="1"/>
  <c r="A1617" i="1"/>
  <c r="B1617" i="1"/>
  <c r="C1617" i="1"/>
  <c r="M1617" i="1"/>
  <c r="A1618" i="1"/>
  <c r="B1618" i="1"/>
  <c r="C1618" i="1"/>
  <c r="M1618" i="1"/>
  <c r="A1619" i="1"/>
  <c r="B1619" i="1"/>
  <c r="C1619" i="1"/>
  <c r="M1619" i="1"/>
  <c r="A1620" i="1"/>
  <c r="B1620" i="1"/>
  <c r="C1620" i="1"/>
  <c r="M1620" i="1"/>
  <c r="A1621" i="1"/>
  <c r="B1621" i="1"/>
  <c r="C1621" i="1"/>
  <c r="M1621" i="1"/>
  <c r="A1622" i="1"/>
  <c r="B1622" i="1"/>
  <c r="C1622" i="1"/>
  <c r="M1622" i="1"/>
  <c r="A1623" i="1"/>
  <c r="B1623" i="1"/>
  <c r="C1623" i="1"/>
  <c r="M1623" i="1"/>
  <c r="A1624" i="1"/>
  <c r="B1624" i="1"/>
  <c r="C1624" i="1"/>
  <c r="M1624" i="1"/>
  <c r="A1625" i="1"/>
  <c r="B1625" i="1"/>
  <c r="C1625" i="1"/>
  <c r="M1625" i="1"/>
  <c r="A1626" i="1"/>
  <c r="B1626" i="1"/>
  <c r="C1626" i="1"/>
  <c r="M1626" i="1"/>
  <c r="A1627" i="1"/>
  <c r="B1627" i="1"/>
  <c r="C1627" i="1"/>
  <c r="M1627" i="1"/>
  <c r="A1628" i="1"/>
  <c r="B1628" i="1"/>
  <c r="C1628" i="1"/>
  <c r="M1628" i="1"/>
  <c r="A1629" i="1"/>
  <c r="B1629" i="1"/>
  <c r="C1629" i="1"/>
  <c r="M1629" i="1"/>
  <c r="A1630" i="1"/>
  <c r="B1630" i="1"/>
  <c r="C1630" i="1"/>
  <c r="M1630" i="1"/>
  <c r="A1631" i="1"/>
  <c r="B1631" i="1"/>
  <c r="C1631" i="1"/>
  <c r="M1631" i="1"/>
  <c r="A1632" i="1"/>
  <c r="B1632" i="1"/>
  <c r="C1632" i="1"/>
  <c r="M1632" i="1"/>
  <c r="A1633" i="1"/>
  <c r="B1633" i="1"/>
  <c r="C1633" i="1"/>
  <c r="M1633" i="1"/>
  <c r="A1634" i="1"/>
  <c r="B1634" i="1"/>
  <c r="C1634" i="1"/>
  <c r="M1634" i="1"/>
  <c r="A1635" i="1"/>
  <c r="B1635" i="1"/>
  <c r="C1635" i="1"/>
  <c r="M1635" i="1"/>
  <c r="A1636" i="1"/>
  <c r="B1636" i="1"/>
  <c r="C1636" i="1"/>
  <c r="M1636" i="1"/>
  <c r="A1637" i="1"/>
  <c r="B1637" i="1"/>
  <c r="C1637" i="1"/>
  <c r="M1637" i="1"/>
  <c r="A1638" i="1"/>
  <c r="B1638" i="1"/>
  <c r="C1638" i="1"/>
  <c r="M1638" i="1"/>
  <c r="A1639" i="1"/>
  <c r="B1639" i="1"/>
  <c r="C1639" i="1"/>
  <c r="M1639" i="1"/>
  <c r="A1640" i="1"/>
  <c r="B1640" i="1"/>
  <c r="C1640" i="1"/>
  <c r="M1640" i="1"/>
  <c r="A1641" i="1"/>
  <c r="B1641" i="1"/>
  <c r="C1641" i="1"/>
  <c r="M1641" i="1"/>
  <c r="A1642" i="1"/>
  <c r="B1642" i="1"/>
  <c r="C1642" i="1"/>
  <c r="M1642" i="1"/>
  <c r="A1643" i="1"/>
  <c r="B1643" i="1"/>
  <c r="C1643" i="1"/>
  <c r="M1643" i="1"/>
  <c r="A1644" i="1"/>
  <c r="B1644" i="1"/>
  <c r="C1644" i="1"/>
  <c r="M1644" i="1"/>
  <c r="A1645" i="1"/>
  <c r="B1645" i="1"/>
  <c r="C1645" i="1"/>
  <c r="M1645" i="1"/>
  <c r="A1646" i="1"/>
  <c r="B1646" i="1"/>
  <c r="C1646" i="1"/>
  <c r="M1646" i="1"/>
  <c r="A1647" i="1"/>
  <c r="B1647" i="1"/>
  <c r="C1647" i="1"/>
  <c r="M1647" i="1"/>
  <c r="A1648" i="1"/>
  <c r="B1648" i="1"/>
  <c r="C1648" i="1"/>
  <c r="M1648" i="1"/>
  <c r="A1649" i="1"/>
  <c r="B1649" i="1"/>
  <c r="C1649" i="1"/>
  <c r="M1649" i="1"/>
  <c r="A1650" i="1"/>
  <c r="B1650" i="1"/>
  <c r="C1650" i="1"/>
  <c r="M1650" i="1"/>
  <c r="A1651" i="1"/>
  <c r="B1651" i="1"/>
  <c r="C1651" i="1"/>
  <c r="M1651" i="1"/>
  <c r="A1652" i="1"/>
  <c r="B1652" i="1"/>
  <c r="C1652" i="1"/>
  <c r="M1652" i="1"/>
  <c r="A1653" i="1"/>
  <c r="B1653" i="1"/>
  <c r="C1653" i="1"/>
  <c r="M1653" i="1"/>
  <c r="A1654" i="1"/>
  <c r="B1654" i="1"/>
  <c r="C1654" i="1"/>
  <c r="M1654" i="1"/>
  <c r="A1655" i="1"/>
  <c r="B1655" i="1"/>
  <c r="C1655" i="1"/>
  <c r="M1655" i="1"/>
  <c r="A1656" i="1"/>
  <c r="B1656" i="1"/>
  <c r="C1656" i="1"/>
  <c r="M1656" i="1"/>
  <c r="A1657" i="1"/>
  <c r="B1657" i="1"/>
  <c r="C1657" i="1"/>
  <c r="M1657" i="1"/>
  <c r="A1658" i="1"/>
  <c r="B1658" i="1"/>
  <c r="C1658" i="1"/>
  <c r="M1658" i="1"/>
  <c r="A1659" i="1"/>
  <c r="B1659" i="1"/>
  <c r="C1659" i="1"/>
  <c r="M1659" i="1"/>
  <c r="A1660" i="1"/>
  <c r="B1660" i="1"/>
  <c r="C1660" i="1"/>
  <c r="M1660" i="1"/>
  <c r="A1661" i="1"/>
  <c r="B1661" i="1"/>
  <c r="C1661" i="1"/>
  <c r="M1661" i="1"/>
  <c r="A1662" i="1"/>
  <c r="B1662" i="1"/>
  <c r="C1662" i="1"/>
  <c r="M1662" i="1"/>
  <c r="A1663" i="1"/>
  <c r="B1663" i="1"/>
  <c r="C1663" i="1"/>
  <c r="M1663" i="1"/>
  <c r="A1664" i="1"/>
  <c r="B1664" i="1"/>
  <c r="C1664" i="1"/>
  <c r="M1664" i="1"/>
  <c r="A1665" i="1"/>
  <c r="B1665" i="1"/>
  <c r="C1665" i="1"/>
  <c r="M1665" i="1"/>
  <c r="A1666" i="1"/>
  <c r="B1666" i="1"/>
  <c r="C1666" i="1"/>
  <c r="M1666" i="1"/>
  <c r="A1667" i="1"/>
  <c r="B1667" i="1"/>
  <c r="C1667" i="1"/>
  <c r="M1667" i="1"/>
  <c r="A1668" i="1"/>
  <c r="B1668" i="1"/>
  <c r="C1668" i="1"/>
  <c r="M1668" i="1"/>
  <c r="A1669" i="1"/>
  <c r="B1669" i="1"/>
  <c r="C1669" i="1"/>
  <c r="M1669" i="1"/>
  <c r="A1670" i="1"/>
  <c r="B1670" i="1"/>
  <c r="C1670" i="1"/>
  <c r="M1670" i="1"/>
  <c r="A1671" i="1"/>
  <c r="B1671" i="1"/>
  <c r="C1671" i="1"/>
  <c r="M1671" i="1"/>
  <c r="A1672" i="1"/>
  <c r="B1672" i="1"/>
  <c r="C1672" i="1"/>
  <c r="M1672" i="1"/>
  <c r="A1673" i="1"/>
  <c r="B1673" i="1"/>
  <c r="C1673" i="1"/>
  <c r="M1673" i="1"/>
  <c r="A1674" i="1"/>
  <c r="B1674" i="1"/>
  <c r="C1674" i="1"/>
  <c r="M1674" i="1"/>
  <c r="A1675" i="1"/>
  <c r="B1675" i="1"/>
  <c r="C1675" i="1"/>
  <c r="M1675" i="1"/>
  <c r="A1676" i="1"/>
  <c r="B1676" i="1"/>
  <c r="C1676" i="1"/>
  <c r="M1676" i="1"/>
  <c r="A1677" i="1"/>
  <c r="B1677" i="1"/>
  <c r="C1677" i="1"/>
  <c r="M1677" i="1"/>
  <c r="A1678" i="1"/>
  <c r="B1678" i="1"/>
  <c r="C1678" i="1"/>
  <c r="M1678" i="1"/>
  <c r="A1679" i="1"/>
  <c r="B1679" i="1"/>
  <c r="C1679" i="1"/>
  <c r="M1679" i="1"/>
  <c r="A1680" i="1"/>
  <c r="B1680" i="1"/>
  <c r="C1680" i="1"/>
  <c r="M1680" i="1"/>
  <c r="A1681" i="1"/>
  <c r="B1681" i="1"/>
  <c r="C1681" i="1"/>
  <c r="M1681" i="1"/>
  <c r="A1682" i="1"/>
  <c r="B1682" i="1"/>
  <c r="C1682" i="1"/>
  <c r="M1682" i="1"/>
  <c r="A1683" i="1"/>
  <c r="B1683" i="1"/>
  <c r="C1683" i="1"/>
  <c r="M1683" i="1"/>
  <c r="A1684" i="1"/>
  <c r="B1684" i="1"/>
  <c r="C1684" i="1"/>
  <c r="M1684" i="1"/>
  <c r="A1685" i="1"/>
  <c r="B1685" i="1"/>
  <c r="C1685" i="1"/>
  <c r="M1685" i="1"/>
  <c r="A1686" i="1"/>
  <c r="B1686" i="1"/>
  <c r="C1686" i="1"/>
  <c r="M1686" i="1"/>
  <c r="A1687" i="1"/>
  <c r="B1687" i="1"/>
  <c r="C1687" i="1"/>
  <c r="M1687" i="1"/>
  <c r="A1688" i="1"/>
  <c r="B1688" i="1"/>
  <c r="C1688" i="1"/>
  <c r="M1688" i="1"/>
  <c r="A1689" i="1"/>
  <c r="B1689" i="1"/>
  <c r="C1689" i="1"/>
  <c r="M1689" i="1"/>
  <c r="A1690" i="1"/>
  <c r="B1690" i="1"/>
  <c r="C1690" i="1"/>
  <c r="M1690" i="1"/>
  <c r="A1691" i="1"/>
  <c r="B1691" i="1"/>
  <c r="C1691" i="1"/>
  <c r="M1691" i="1"/>
  <c r="A1692" i="1"/>
  <c r="B1692" i="1"/>
  <c r="C1692" i="1"/>
  <c r="M1692" i="1"/>
  <c r="A1693" i="1"/>
  <c r="B1693" i="1"/>
  <c r="C1693" i="1"/>
  <c r="M1693" i="1"/>
  <c r="A1694" i="1"/>
  <c r="B1694" i="1"/>
  <c r="C1694" i="1"/>
  <c r="M1694" i="1"/>
  <c r="A1695" i="1"/>
  <c r="B1695" i="1"/>
  <c r="C1695" i="1"/>
  <c r="M1695" i="1"/>
  <c r="A1696" i="1"/>
  <c r="B1696" i="1"/>
  <c r="C1696" i="1"/>
  <c r="M1696" i="1"/>
  <c r="A1697" i="1"/>
  <c r="B1697" i="1"/>
  <c r="C1697" i="1"/>
  <c r="M1697" i="1"/>
  <c r="A1698" i="1"/>
  <c r="B1698" i="1"/>
  <c r="C1698" i="1"/>
  <c r="M1698" i="1"/>
  <c r="A1699" i="1"/>
  <c r="B1699" i="1"/>
  <c r="C1699" i="1"/>
  <c r="M1699" i="1"/>
  <c r="A1700" i="1"/>
  <c r="B1700" i="1"/>
  <c r="C1700" i="1"/>
  <c r="M1700" i="1"/>
  <c r="A1701" i="1"/>
  <c r="B1701" i="1"/>
  <c r="C1701" i="1"/>
  <c r="M1701" i="1"/>
  <c r="A1702" i="1"/>
  <c r="B1702" i="1"/>
  <c r="C1702" i="1"/>
  <c r="M1702" i="1"/>
  <c r="A1703" i="1"/>
  <c r="B1703" i="1"/>
  <c r="C1703" i="1"/>
  <c r="M1703" i="1"/>
  <c r="A1704" i="1"/>
  <c r="B1704" i="1"/>
  <c r="C1704" i="1"/>
  <c r="M1704" i="1"/>
  <c r="A1705" i="1"/>
  <c r="B1705" i="1"/>
  <c r="C1705" i="1"/>
  <c r="M1705" i="1"/>
  <c r="A1706" i="1"/>
  <c r="B1706" i="1"/>
  <c r="C1706" i="1"/>
  <c r="M1706" i="1"/>
  <c r="A1707" i="1"/>
  <c r="B1707" i="1"/>
  <c r="C1707" i="1"/>
  <c r="M1707" i="1"/>
  <c r="A1708" i="1"/>
  <c r="B1708" i="1"/>
  <c r="C1708" i="1"/>
  <c r="M1708" i="1"/>
  <c r="A1709" i="1"/>
  <c r="B1709" i="1"/>
  <c r="C1709" i="1"/>
  <c r="M1709" i="1"/>
  <c r="A1710" i="1"/>
  <c r="B1710" i="1"/>
  <c r="C1710" i="1"/>
  <c r="M1710" i="1"/>
  <c r="A1711" i="1"/>
  <c r="B1711" i="1"/>
  <c r="C1711" i="1"/>
  <c r="M1711" i="1"/>
  <c r="A1712" i="1"/>
  <c r="B1712" i="1"/>
  <c r="C1712" i="1"/>
  <c r="M1712" i="1"/>
  <c r="A1713" i="1"/>
  <c r="B1713" i="1"/>
  <c r="C1713" i="1"/>
  <c r="M1713" i="1"/>
  <c r="A1714" i="1"/>
  <c r="B1714" i="1"/>
  <c r="C1714" i="1"/>
  <c r="M1714" i="1"/>
  <c r="A1715" i="1"/>
  <c r="B1715" i="1"/>
  <c r="C1715" i="1"/>
  <c r="M1715" i="1"/>
  <c r="A1716" i="1"/>
  <c r="B1716" i="1"/>
  <c r="C1716" i="1"/>
  <c r="M1716" i="1"/>
  <c r="A1717" i="1"/>
  <c r="B1717" i="1"/>
  <c r="C1717" i="1"/>
  <c r="M1717" i="1"/>
  <c r="A1718" i="1"/>
  <c r="B1718" i="1"/>
  <c r="C1718" i="1"/>
  <c r="M1718" i="1"/>
  <c r="A1719" i="1"/>
  <c r="B1719" i="1"/>
  <c r="C1719" i="1"/>
  <c r="M1719" i="1"/>
  <c r="A1720" i="1"/>
  <c r="B1720" i="1"/>
  <c r="C1720" i="1"/>
  <c r="M1720" i="1"/>
  <c r="A1721" i="1"/>
  <c r="B1721" i="1"/>
  <c r="C1721" i="1"/>
  <c r="M1721" i="1"/>
  <c r="A1722" i="1"/>
  <c r="B1722" i="1"/>
  <c r="C1722" i="1"/>
  <c r="M1722" i="1"/>
  <c r="A1723" i="1"/>
  <c r="B1723" i="1"/>
  <c r="C1723" i="1"/>
  <c r="M1723" i="1"/>
  <c r="A1724" i="1"/>
  <c r="B1724" i="1"/>
  <c r="C1724" i="1"/>
  <c r="M1724" i="1"/>
  <c r="A1725" i="1"/>
  <c r="B1725" i="1"/>
  <c r="C1725" i="1"/>
  <c r="M1725" i="1"/>
  <c r="A1726" i="1"/>
  <c r="B1726" i="1"/>
  <c r="C1726" i="1"/>
  <c r="M1726" i="1"/>
  <c r="A1727" i="1"/>
  <c r="B1727" i="1"/>
  <c r="C1727" i="1"/>
  <c r="M1727" i="1"/>
  <c r="A1728" i="1"/>
  <c r="B1728" i="1"/>
  <c r="C1728" i="1"/>
  <c r="M1728" i="1"/>
  <c r="A1729" i="1"/>
  <c r="B1729" i="1"/>
  <c r="C1729" i="1"/>
  <c r="M1729" i="1"/>
  <c r="A1730" i="1"/>
  <c r="B1730" i="1"/>
  <c r="C1730" i="1"/>
  <c r="M1730" i="1"/>
  <c r="A1731" i="1"/>
  <c r="B1731" i="1"/>
  <c r="C1731" i="1"/>
  <c r="M1731" i="1"/>
  <c r="A1732" i="1"/>
  <c r="B1732" i="1"/>
  <c r="C1732" i="1"/>
  <c r="M1732" i="1"/>
  <c r="A1733" i="1"/>
  <c r="B1733" i="1"/>
  <c r="C1733" i="1"/>
  <c r="M1733" i="1"/>
  <c r="A1734" i="1"/>
  <c r="B1734" i="1"/>
  <c r="C1734" i="1"/>
  <c r="M1734" i="1"/>
  <c r="A1735" i="1"/>
  <c r="B1735" i="1"/>
  <c r="C1735" i="1"/>
  <c r="M1735" i="1"/>
  <c r="A1736" i="1"/>
  <c r="B1736" i="1"/>
  <c r="C1736" i="1"/>
  <c r="M1736" i="1"/>
  <c r="A1737" i="1"/>
  <c r="B1737" i="1"/>
  <c r="C1737" i="1"/>
  <c r="M1737" i="1"/>
  <c r="A1738" i="1"/>
  <c r="B1738" i="1"/>
  <c r="C1738" i="1"/>
  <c r="M1738" i="1"/>
  <c r="A1739" i="1"/>
  <c r="B1739" i="1"/>
  <c r="C1739" i="1"/>
  <c r="M1739" i="1"/>
  <c r="A1740" i="1"/>
  <c r="B1740" i="1"/>
  <c r="C1740" i="1"/>
  <c r="M1740" i="1"/>
  <c r="A1741" i="1"/>
  <c r="B1741" i="1"/>
  <c r="C1741" i="1"/>
  <c r="M1741" i="1"/>
  <c r="A1742" i="1"/>
  <c r="B1742" i="1"/>
  <c r="C1742" i="1"/>
  <c r="M1742" i="1"/>
  <c r="A1743" i="1"/>
  <c r="B1743" i="1"/>
  <c r="C1743" i="1"/>
  <c r="M1743" i="1"/>
  <c r="A1744" i="1"/>
  <c r="B1744" i="1"/>
  <c r="C1744" i="1"/>
  <c r="M1744" i="1"/>
  <c r="A1745" i="1"/>
  <c r="B1745" i="1"/>
  <c r="C1745" i="1"/>
  <c r="M1745" i="1"/>
  <c r="A1746" i="1"/>
  <c r="B1746" i="1"/>
  <c r="C1746" i="1"/>
  <c r="M1746" i="1"/>
  <c r="A1747" i="1"/>
  <c r="B1747" i="1"/>
  <c r="C1747" i="1"/>
  <c r="M1747" i="1"/>
  <c r="A1748" i="1"/>
  <c r="B1748" i="1"/>
  <c r="C1748" i="1"/>
  <c r="M1748" i="1"/>
  <c r="A1749" i="1"/>
  <c r="B1749" i="1"/>
  <c r="C1749" i="1"/>
  <c r="M1749" i="1"/>
  <c r="A1750" i="1"/>
  <c r="B1750" i="1"/>
  <c r="C1750" i="1"/>
  <c r="M1750" i="1"/>
  <c r="A1751" i="1"/>
  <c r="B1751" i="1"/>
  <c r="C1751" i="1"/>
  <c r="M1751" i="1"/>
  <c r="A1752" i="1"/>
  <c r="B1752" i="1"/>
  <c r="C1752" i="1"/>
  <c r="M1752" i="1"/>
  <c r="A1753" i="1"/>
  <c r="B1753" i="1"/>
  <c r="C1753" i="1"/>
  <c r="M1753" i="1"/>
  <c r="A1754" i="1"/>
  <c r="B1754" i="1"/>
  <c r="C1754" i="1"/>
  <c r="M1754" i="1"/>
  <c r="A1755" i="1"/>
  <c r="B1755" i="1"/>
  <c r="C1755" i="1"/>
  <c r="M1755" i="1"/>
  <c r="A1756" i="1"/>
  <c r="B1756" i="1"/>
  <c r="C1756" i="1"/>
  <c r="M1756" i="1"/>
  <c r="A1757" i="1"/>
  <c r="B1757" i="1"/>
  <c r="C1757" i="1"/>
  <c r="M1757" i="1"/>
  <c r="A1758" i="1"/>
  <c r="B1758" i="1"/>
  <c r="C1758" i="1"/>
  <c r="M1758" i="1"/>
  <c r="A1759" i="1"/>
  <c r="B1759" i="1"/>
  <c r="C1759" i="1"/>
  <c r="M1759" i="1"/>
  <c r="A1760" i="1"/>
  <c r="B1760" i="1"/>
  <c r="C1760" i="1"/>
  <c r="M1760" i="1"/>
  <c r="A1761" i="1"/>
  <c r="B1761" i="1"/>
  <c r="C1761" i="1"/>
  <c r="M1761" i="1"/>
  <c r="A1762" i="1"/>
  <c r="B1762" i="1"/>
  <c r="C1762" i="1"/>
  <c r="M1762" i="1"/>
  <c r="A1763" i="1"/>
  <c r="B1763" i="1"/>
  <c r="C1763" i="1"/>
  <c r="M1763" i="1"/>
  <c r="A1764" i="1"/>
  <c r="B1764" i="1"/>
  <c r="C1764" i="1"/>
  <c r="M1764" i="1"/>
  <c r="A1765" i="1"/>
  <c r="B1765" i="1"/>
  <c r="C1765" i="1"/>
  <c r="M1765" i="1"/>
  <c r="A1766" i="1"/>
  <c r="B1766" i="1"/>
  <c r="C1766" i="1"/>
  <c r="M1766" i="1"/>
  <c r="A1767" i="1"/>
  <c r="B1767" i="1"/>
  <c r="C1767" i="1"/>
  <c r="M1767" i="1"/>
  <c r="A1768" i="1"/>
  <c r="B1768" i="1"/>
  <c r="C1768" i="1"/>
  <c r="M1768" i="1"/>
  <c r="A1769" i="1"/>
  <c r="B1769" i="1"/>
  <c r="C1769" i="1"/>
  <c r="M1769" i="1"/>
  <c r="A1770" i="1"/>
  <c r="B1770" i="1"/>
  <c r="C1770" i="1"/>
  <c r="M1770" i="1"/>
  <c r="A1771" i="1"/>
  <c r="B1771" i="1"/>
  <c r="C1771" i="1"/>
  <c r="M1771" i="1"/>
  <c r="A1772" i="1"/>
  <c r="B1772" i="1"/>
  <c r="C1772" i="1"/>
  <c r="M1772" i="1"/>
  <c r="A1773" i="1"/>
  <c r="B1773" i="1"/>
  <c r="C1773" i="1"/>
  <c r="M1773" i="1"/>
  <c r="A1774" i="1"/>
  <c r="B1774" i="1"/>
  <c r="C1774" i="1"/>
  <c r="M1774" i="1"/>
  <c r="A1775" i="1"/>
  <c r="B1775" i="1"/>
  <c r="C1775" i="1"/>
  <c r="M1775" i="1"/>
  <c r="A1776" i="1"/>
  <c r="B1776" i="1"/>
  <c r="C1776" i="1"/>
  <c r="M1776" i="1"/>
  <c r="A1777" i="1"/>
  <c r="B1777" i="1"/>
  <c r="C1777" i="1"/>
  <c r="M1777" i="1"/>
  <c r="A1778" i="1"/>
  <c r="B1778" i="1"/>
  <c r="C1778" i="1"/>
  <c r="M1778" i="1"/>
  <c r="A1779" i="1"/>
  <c r="B1779" i="1"/>
  <c r="C1779" i="1"/>
  <c r="M1779" i="1"/>
  <c r="A1780" i="1"/>
  <c r="B1780" i="1"/>
  <c r="C1780" i="1"/>
  <c r="M1780" i="1"/>
  <c r="A1781" i="1"/>
  <c r="B1781" i="1"/>
  <c r="C1781" i="1"/>
  <c r="M1781" i="1"/>
  <c r="A1782" i="1"/>
  <c r="B1782" i="1"/>
  <c r="C1782" i="1"/>
  <c r="M1782" i="1"/>
  <c r="A1783" i="1"/>
  <c r="B1783" i="1"/>
  <c r="C1783" i="1"/>
  <c r="M1783" i="1"/>
  <c r="A1784" i="1"/>
  <c r="B1784" i="1"/>
  <c r="C1784" i="1"/>
  <c r="M1784" i="1"/>
  <c r="A1785" i="1"/>
  <c r="B1785" i="1"/>
  <c r="C1785" i="1"/>
  <c r="M1785" i="1"/>
  <c r="A1786" i="1"/>
  <c r="B1786" i="1"/>
  <c r="C1786" i="1"/>
  <c r="M1786" i="1"/>
  <c r="A1787" i="1"/>
  <c r="B1787" i="1"/>
  <c r="C1787" i="1"/>
  <c r="M1787" i="1"/>
  <c r="A1788" i="1"/>
  <c r="B1788" i="1"/>
  <c r="C1788" i="1"/>
  <c r="M1788" i="1"/>
  <c r="A1789" i="1"/>
  <c r="B1789" i="1"/>
  <c r="C1789" i="1"/>
  <c r="M1789" i="1"/>
  <c r="A1790" i="1"/>
  <c r="B1790" i="1"/>
  <c r="C1790" i="1"/>
  <c r="M1790" i="1"/>
  <c r="A1791" i="1"/>
  <c r="B1791" i="1"/>
  <c r="C1791" i="1"/>
  <c r="M1791" i="1"/>
  <c r="A1792" i="1"/>
  <c r="B1792" i="1"/>
  <c r="C1792" i="1"/>
  <c r="M1792" i="1"/>
  <c r="A1793" i="1"/>
  <c r="B1793" i="1"/>
  <c r="C1793" i="1"/>
  <c r="M1793" i="1"/>
  <c r="A1794" i="1"/>
  <c r="B1794" i="1"/>
  <c r="C1794" i="1"/>
  <c r="M1794" i="1"/>
  <c r="A1795" i="1"/>
  <c r="B1795" i="1"/>
  <c r="C1795" i="1"/>
  <c r="M1795" i="1"/>
  <c r="A1796" i="1"/>
  <c r="B1796" i="1"/>
  <c r="C1796" i="1"/>
  <c r="M1796" i="1"/>
  <c r="A1797" i="1"/>
  <c r="B1797" i="1"/>
  <c r="C1797" i="1"/>
  <c r="M1797" i="1"/>
  <c r="A1798" i="1"/>
  <c r="B1798" i="1"/>
  <c r="C1798" i="1"/>
  <c r="M1798" i="1"/>
  <c r="A1799" i="1"/>
  <c r="B1799" i="1"/>
  <c r="C1799" i="1"/>
  <c r="M1799" i="1"/>
  <c r="A1800" i="1"/>
  <c r="B1800" i="1"/>
  <c r="C1800" i="1"/>
  <c r="M1800" i="1"/>
  <c r="A1801" i="1"/>
  <c r="B1801" i="1"/>
  <c r="C1801" i="1"/>
  <c r="M1801" i="1"/>
  <c r="A1802" i="1"/>
  <c r="B1802" i="1"/>
  <c r="C1802" i="1"/>
  <c r="M1802" i="1"/>
  <c r="A1803" i="1"/>
  <c r="B1803" i="1"/>
  <c r="C1803" i="1"/>
  <c r="M1803" i="1"/>
  <c r="A1804" i="1"/>
  <c r="B1804" i="1"/>
  <c r="C1804" i="1"/>
  <c r="M1804" i="1"/>
  <c r="A1805" i="1"/>
  <c r="B1805" i="1"/>
  <c r="C1805" i="1"/>
  <c r="M1805" i="1"/>
  <c r="A1806" i="1"/>
  <c r="B1806" i="1"/>
  <c r="C1806" i="1"/>
  <c r="M1806" i="1"/>
  <c r="A1807" i="1"/>
  <c r="B1807" i="1"/>
  <c r="C1807" i="1"/>
  <c r="M1807" i="1"/>
  <c r="A1808" i="1"/>
  <c r="B1808" i="1"/>
  <c r="C1808" i="1"/>
  <c r="M1808" i="1"/>
  <c r="A1809" i="1"/>
  <c r="B1809" i="1"/>
  <c r="C1809" i="1"/>
  <c r="M1809" i="1"/>
  <c r="A1810" i="1"/>
  <c r="B1810" i="1"/>
  <c r="C1810" i="1"/>
  <c r="M1810" i="1"/>
  <c r="A1811" i="1"/>
  <c r="B1811" i="1"/>
  <c r="C1811" i="1"/>
  <c r="M1811" i="1"/>
  <c r="A1812" i="1"/>
  <c r="B1812" i="1"/>
  <c r="C1812" i="1"/>
  <c r="M1812" i="1"/>
  <c r="A1813" i="1"/>
  <c r="B1813" i="1"/>
  <c r="C1813" i="1"/>
  <c r="M1813" i="1"/>
  <c r="A1814" i="1"/>
  <c r="B1814" i="1"/>
  <c r="C1814" i="1"/>
  <c r="M1814" i="1"/>
  <c r="A1815" i="1"/>
  <c r="B1815" i="1"/>
  <c r="C1815" i="1"/>
  <c r="M1815" i="1"/>
  <c r="A1816" i="1"/>
  <c r="B1816" i="1"/>
  <c r="C1816" i="1"/>
  <c r="M1816" i="1"/>
  <c r="A1817" i="1"/>
  <c r="B1817" i="1"/>
  <c r="C1817" i="1"/>
  <c r="M1817" i="1"/>
  <c r="A1818" i="1"/>
  <c r="B1818" i="1"/>
  <c r="C1818" i="1"/>
  <c r="M1818" i="1"/>
  <c r="A1819" i="1"/>
  <c r="B1819" i="1"/>
  <c r="C1819" i="1"/>
  <c r="M1819" i="1"/>
  <c r="A1820" i="1"/>
  <c r="B1820" i="1"/>
  <c r="C1820" i="1"/>
  <c r="M1820" i="1"/>
  <c r="A1821" i="1"/>
  <c r="B1821" i="1"/>
  <c r="C1821" i="1"/>
  <c r="M1821" i="1"/>
  <c r="A1822" i="1"/>
  <c r="B1822" i="1"/>
  <c r="C1822" i="1"/>
  <c r="M1822" i="1"/>
  <c r="A1823" i="1"/>
  <c r="B1823" i="1"/>
  <c r="C1823" i="1"/>
  <c r="M1823" i="1"/>
  <c r="A1824" i="1"/>
  <c r="B1824" i="1"/>
  <c r="C1824" i="1"/>
  <c r="M1824" i="1"/>
  <c r="A1825" i="1"/>
  <c r="B1825" i="1"/>
  <c r="C1825" i="1"/>
  <c r="M1825" i="1"/>
  <c r="A1826" i="1"/>
  <c r="B1826" i="1"/>
  <c r="C1826" i="1"/>
  <c r="M1826" i="1"/>
  <c r="A1827" i="1"/>
  <c r="B1827" i="1"/>
  <c r="C1827" i="1"/>
  <c r="M1827" i="1"/>
  <c r="A1828" i="1"/>
  <c r="B1828" i="1"/>
  <c r="C1828" i="1"/>
  <c r="M1828" i="1"/>
  <c r="A1829" i="1"/>
  <c r="B1829" i="1"/>
  <c r="C1829" i="1"/>
  <c r="M1829" i="1"/>
  <c r="A1830" i="1"/>
  <c r="B1830" i="1"/>
  <c r="C1830" i="1"/>
  <c r="M1830" i="1"/>
  <c r="A1831" i="1"/>
  <c r="B1831" i="1"/>
  <c r="C1831" i="1"/>
  <c r="M1831" i="1"/>
  <c r="A1832" i="1"/>
  <c r="B1832" i="1"/>
  <c r="C1832" i="1"/>
  <c r="M1832" i="1"/>
  <c r="A1833" i="1"/>
  <c r="B1833" i="1"/>
  <c r="C1833" i="1"/>
  <c r="M1833" i="1"/>
  <c r="A1834" i="1"/>
  <c r="B1834" i="1"/>
  <c r="C1834" i="1"/>
  <c r="M1834" i="1"/>
  <c r="A1835" i="1"/>
  <c r="B1835" i="1"/>
  <c r="C1835" i="1"/>
  <c r="M1835" i="1"/>
  <c r="A1836" i="1"/>
  <c r="B1836" i="1"/>
  <c r="C1836" i="1"/>
  <c r="M1836" i="1"/>
  <c r="A1837" i="1"/>
  <c r="B1837" i="1"/>
  <c r="C1837" i="1"/>
  <c r="M1837" i="1"/>
  <c r="A1838" i="1"/>
  <c r="B1838" i="1"/>
  <c r="C1838" i="1"/>
  <c r="M1838" i="1"/>
  <c r="A1839" i="1"/>
  <c r="B1839" i="1"/>
  <c r="C1839" i="1"/>
  <c r="M1839" i="1"/>
  <c r="A1840" i="1"/>
  <c r="B1840" i="1"/>
  <c r="C1840" i="1"/>
  <c r="M1840" i="1"/>
  <c r="A1841" i="1"/>
  <c r="B1841" i="1"/>
  <c r="C1841" i="1"/>
  <c r="M1841" i="1"/>
  <c r="A1842" i="1"/>
  <c r="B1842" i="1"/>
  <c r="C1842" i="1"/>
  <c r="M1842" i="1"/>
  <c r="A1843" i="1"/>
  <c r="B1843" i="1"/>
  <c r="C1843" i="1"/>
  <c r="M1843" i="1"/>
  <c r="A1844" i="1"/>
  <c r="B1844" i="1"/>
  <c r="C1844" i="1"/>
  <c r="M1844" i="1"/>
  <c r="A1845" i="1"/>
  <c r="B1845" i="1"/>
  <c r="C1845" i="1"/>
  <c r="M1845" i="1"/>
  <c r="A1846" i="1"/>
  <c r="B1846" i="1"/>
  <c r="C1846" i="1"/>
  <c r="M1846" i="1"/>
  <c r="A1847" i="1"/>
  <c r="B1847" i="1"/>
  <c r="C1847" i="1"/>
  <c r="M1847" i="1"/>
  <c r="A1848" i="1"/>
  <c r="B1848" i="1"/>
  <c r="C1848" i="1"/>
  <c r="M1848" i="1"/>
  <c r="A1849" i="1"/>
  <c r="B1849" i="1"/>
  <c r="C1849" i="1"/>
  <c r="M1849" i="1"/>
  <c r="A1850" i="1"/>
  <c r="B1850" i="1"/>
  <c r="C1850" i="1"/>
  <c r="M1850" i="1"/>
  <c r="A1851" i="1"/>
  <c r="B1851" i="1"/>
  <c r="C1851" i="1"/>
  <c r="M1851" i="1"/>
  <c r="A1852" i="1"/>
  <c r="B1852" i="1"/>
  <c r="C1852" i="1"/>
  <c r="M1852" i="1"/>
  <c r="A1853" i="1"/>
  <c r="B1853" i="1"/>
  <c r="C1853" i="1"/>
  <c r="M1853" i="1"/>
  <c r="A1854" i="1"/>
  <c r="B1854" i="1"/>
  <c r="C1854" i="1"/>
  <c r="M1854" i="1"/>
  <c r="A1855" i="1"/>
  <c r="B1855" i="1"/>
  <c r="C1855" i="1"/>
  <c r="M1855" i="1"/>
  <c r="A1856" i="1"/>
  <c r="B1856" i="1"/>
  <c r="C1856" i="1"/>
  <c r="M1856" i="1"/>
  <c r="A1857" i="1"/>
  <c r="B1857" i="1"/>
  <c r="C1857" i="1"/>
  <c r="M1857" i="1"/>
  <c r="A1858" i="1"/>
  <c r="B1858" i="1"/>
  <c r="C1858" i="1"/>
  <c r="M1858" i="1"/>
  <c r="A1859" i="1"/>
  <c r="B1859" i="1"/>
  <c r="C1859" i="1"/>
  <c r="M1859" i="1"/>
  <c r="A1860" i="1"/>
  <c r="B1860" i="1"/>
  <c r="C1860" i="1"/>
  <c r="M1860" i="1"/>
  <c r="A1861" i="1"/>
  <c r="B1861" i="1"/>
  <c r="C1861" i="1"/>
  <c r="M1861" i="1"/>
  <c r="A1862" i="1"/>
  <c r="B1862" i="1"/>
  <c r="C1862" i="1"/>
  <c r="M1862" i="1"/>
  <c r="A1863" i="1"/>
  <c r="B1863" i="1"/>
  <c r="C1863" i="1"/>
  <c r="M1863" i="1"/>
  <c r="A1864" i="1"/>
  <c r="B1864" i="1"/>
  <c r="C1864" i="1"/>
  <c r="M1864" i="1"/>
  <c r="A1865" i="1"/>
  <c r="B1865" i="1"/>
  <c r="C1865" i="1"/>
  <c r="M1865" i="1"/>
  <c r="A1866" i="1"/>
  <c r="B1866" i="1"/>
  <c r="C1866" i="1"/>
  <c r="M1866" i="1"/>
  <c r="A1867" i="1"/>
  <c r="B1867" i="1"/>
  <c r="C1867" i="1"/>
  <c r="M1867" i="1"/>
  <c r="A1868" i="1"/>
  <c r="B1868" i="1"/>
  <c r="C1868" i="1"/>
  <c r="M1868" i="1"/>
  <c r="A1869" i="1"/>
  <c r="B1869" i="1"/>
  <c r="C1869" i="1"/>
  <c r="M1869" i="1"/>
  <c r="A1870" i="1"/>
  <c r="B1870" i="1"/>
  <c r="C1870" i="1"/>
  <c r="M1870" i="1"/>
  <c r="A1871" i="1"/>
  <c r="B1871" i="1"/>
  <c r="C1871" i="1"/>
  <c r="M1871" i="1"/>
  <c r="A1872" i="1"/>
  <c r="B1872" i="1"/>
  <c r="C1872" i="1"/>
  <c r="M1872" i="1"/>
  <c r="A1873" i="1"/>
  <c r="B1873" i="1"/>
  <c r="C1873" i="1"/>
  <c r="M1873" i="1"/>
  <c r="A1874" i="1"/>
  <c r="B1874" i="1"/>
  <c r="C1874" i="1"/>
  <c r="M1874" i="1"/>
  <c r="A1875" i="1"/>
  <c r="B1875" i="1"/>
  <c r="C1875" i="1"/>
  <c r="M1875" i="1"/>
  <c r="A1876" i="1"/>
  <c r="B1876" i="1"/>
  <c r="C1876" i="1"/>
  <c r="M1876" i="1"/>
  <c r="A1877" i="1"/>
  <c r="B1877" i="1"/>
  <c r="C1877" i="1"/>
  <c r="M1877" i="1"/>
  <c r="A1878" i="1"/>
  <c r="B1878" i="1"/>
  <c r="C1878" i="1"/>
  <c r="M1878" i="1"/>
  <c r="A1879" i="1"/>
  <c r="B1879" i="1"/>
  <c r="C1879" i="1"/>
  <c r="M1879" i="1"/>
  <c r="A1880" i="1"/>
  <c r="B1880" i="1"/>
  <c r="C1880" i="1"/>
  <c r="M1880" i="1"/>
  <c r="A1881" i="1"/>
  <c r="B1881" i="1"/>
  <c r="C1881" i="1"/>
  <c r="M1881" i="1"/>
  <c r="A1882" i="1"/>
  <c r="B1882" i="1"/>
  <c r="C1882" i="1"/>
  <c r="M1882" i="1"/>
  <c r="A1883" i="1"/>
  <c r="B1883" i="1"/>
  <c r="C1883" i="1"/>
  <c r="M1883" i="1"/>
  <c r="A1884" i="1"/>
  <c r="B1884" i="1"/>
  <c r="C1884" i="1"/>
  <c r="M1884" i="1"/>
  <c r="A1885" i="1"/>
  <c r="B1885" i="1"/>
  <c r="C1885" i="1"/>
  <c r="M1885" i="1"/>
  <c r="A1886" i="1"/>
  <c r="B1886" i="1"/>
  <c r="C1886" i="1"/>
  <c r="M1886" i="1"/>
  <c r="A1887" i="1"/>
  <c r="B1887" i="1"/>
  <c r="C1887" i="1"/>
  <c r="M1887" i="1"/>
  <c r="A1888" i="1"/>
  <c r="B1888" i="1"/>
  <c r="C1888" i="1"/>
  <c r="M1888" i="1"/>
  <c r="A1889" i="1"/>
  <c r="B1889" i="1"/>
  <c r="C1889" i="1"/>
  <c r="M1889" i="1"/>
  <c r="A1890" i="1"/>
  <c r="B1890" i="1"/>
  <c r="C1890" i="1"/>
  <c r="M1890" i="1"/>
  <c r="A1891" i="1"/>
  <c r="B1891" i="1"/>
  <c r="C1891" i="1"/>
  <c r="M1891" i="1"/>
  <c r="A1892" i="1"/>
  <c r="B1892" i="1"/>
  <c r="C1892" i="1"/>
  <c r="M1892" i="1"/>
  <c r="A1893" i="1"/>
  <c r="B1893" i="1"/>
  <c r="C1893" i="1"/>
  <c r="M1893" i="1"/>
  <c r="A1894" i="1"/>
  <c r="B1894" i="1"/>
  <c r="C1894" i="1"/>
  <c r="M1894" i="1"/>
  <c r="A1895" i="1"/>
  <c r="B1895" i="1"/>
  <c r="C1895" i="1"/>
  <c r="M1895" i="1"/>
  <c r="A1896" i="1"/>
  <c r="B1896" i="1"/>
  <c r="C1896" i="1"/>
  <c r="M1896" i="1"/>
  <c r="A1897" i="1"/>
  <c r="B1897" i="1"/>
  <c r="C1897" i="1"/>
  <c r="M1897" i="1"/>
  <c r="A1898" i="1"/>
  <c r="B1898" i="1"/>
  <c r="C1898" i="1"/>
  <c r="M1898" i="1"/>
  <c r="A1899" i="1"/>
  <c r="B1899" i="1"/>
  <c r="C1899" i="1"/>
  <c r="M1899" i="1"/>
  <c r="A1900" i="1"/>
  <c r="B1900" i="1"/>
  <c r="C1900" i="1"/>
  <c r="M1900" i="1"/>
  <c r="A1901" i="1"/>
  <c r="B1901" i="1"/>
  <c r="C1901" i="1"/>
  <c r="M1901" i="1"/>
  <c r="A1902" i="1"/>
  <c r="B1902" i="1"/>
  <c r="C1902" i="1"/>
  <c r="M1902" i="1"/>
  <c r="A1903" i="1"/>
  <c r="B1903" i="1"/>
  <c r="C1903" i="1"/>
  <c r="M1903" i="1"/>
  <c r="A1904" i="1"/>
  <c r="B1904" i="1"/>
  <c r="C1904" i="1"/>
  <c r="M1904" i="1"/>
  <c r="A1905" i="1"/>
  <c r="B1905" i="1"/>
  <c r="C1905" i="1"/>
  <c r="M1905" i="1"/>
  <c r="A1906" i="1"/>
  <c r="B1906" i="1"/>
  <c r="C1906" i="1"/>
  <c r="M1906" i="1"/>
  <c r="A1907" i="1"/>
  <c r="B1907" i="1"/>
  <c r="C1907" i="1"/>
  <c r="M1907" i="1"/>
  <c r="A1908" i="1"/>
  <c r="B1908" i="1"/>
  <c r="C1908" i="1"/>
  <c r="M1908" i="1"/>
  <c r="A1909" i="1"/>
  <c r="B1909" i="1"/>
  <c r="C1909" i="1"/>
  <c r="M1909" i="1"/>
  <c r="A1910" i="1"/>
  <c r="B1910" i="1"/>
  <c r="C1910" i="1"/>
  <c r="M1910" i="1"/>
  <c r="A1911" i="1"/>
  <c r="B1911" i="1"/>
  <c r="C1911" i="1"/>
  <c r="M1911" i="1"/>
  <c r="A1912" i="1"/>
  <c r="B1912" i="1"/>
  <c r="C1912" i="1"/>
  <c r="M1912" i="1"/>
  <c r="A1913" i="1"/>
  <c r="B1913" i="1"/>
  <c r="C1913" i="1"/>
  <c r="M1913" i="1"/>
  <c r="A1914" i="1"/>
  <c r="B1914" i="1"/>
  <c r="C1914" i="1"/>
  <c r="M1914" i="1"/>
  <c r="A1915" i="1"/>
  <c r="B1915" i="1"/>
  <c r="C1915" i="1"/>
  <c r="M1915" i="1"/>
  <c r="A1916" i="1"/>
  <c r="B1916" i="1"/>
  <c r="C1916" i="1"/>
  <c r="M1916" i="1"/>
  <c r="A1917" i="1"/>
  <c r="B1917" i="1"/>
  <c r="C1917" i="1"/>
  <c r="M1917" i="1"/>
  <c r="A1918" i="1"/>
  <c r="B1918" i="1"/>
  <c r="C1918" i="1"/>
  <c r="M1918" i="1"/>
  <c r="A1919" i="1"/>
  <c r="B1919" i="1"/>
  <c r="C1919" i="1"/>
  <c r="M1919" i="1"/>
  <c r="A1920" i="1"/>
  <c r="B1920" i="1"/>
  <c r="C1920" i="1"/>
  <c r="M1920" i="1"/>
  <c r="A1921" i="1"/>
  <c r="B1921" i="1"/>
  <c r="C1921" i="1"/>
  <c r="M1921" i="1"/>
  <c r="A1922" i="1"/>
  <c r="B1922" i="1"/>
  <c r="C1922" i="1"/>
  <c r="M1922" i="1"/>
  <c r="A1923" i="1"/>
  <c r="B1923" i="1"/>
  <c r="C1923" i="1"/>
  <c r="M1923" i="1"/>
  <c r="A1924" i="1"/>
  <c r="B1924" i="1"/>
  <c r="C1924" i="1"/>
  <c r="M1924" i="1"/>
  <c r="A1925" i="1"/>
  <c r="B1925" i="1"/>
  <c r="C1925" i="1"/>
  <c r="M1925" i="1"/>
  <c r="A1926" i="1"/>
  <c r="B1926" i="1"/>
  <c r="C1926" i="1"/>
  <c r="M1926" i="1"/>
  <c r="A1927" i="1"/>
  <c r="B1927" i="1"/>
  <c r="C1927" i="1"/>
  <c r="M1927" i="1"/>
  <c r="A1928" i="1"/>
  <c r="B1928" i="1"/>
  <c r="C1928" i="1"/>
  <c r="M1928" i="1"/>
  <c r="A1929" i="1"/>
  <c r="B1929" i="1"/>
  <c r="C1929" i="1"/>
  <c r="M1929" i="1"/>
  <c r="A1930" i="1"/>
  <c r="B1930" i="1"/>
  <c r="C1930" i="1"/>
  <c r="M1930" i="1"/>
  <c r="A1931" i="1"/>
  <c r="B1931" i="1"/>
  <c r="C1931" i="1"/>
  <c r="M1931" i="1"/>
  <c r="A1932" i="1"/>
  <c r="B1932" i="1"/>
  <c r="C1932" i="1"/>
  <c r="M1932" i="1"/>
  <c r="A1933" i="1"/>
  <c r="B1933" i="1"/>
  <c r="C1933" i="1"/>
  <c r="M1933" i="1"/>
  <c r="A1934" i="1"/>
  <c r="B1934" i="1"/>
  <c r="C1934" i="1"/>
  <c r="M1934" i="1"/>
  <c r="A1935" i="1"/>
  <c r="B1935" i="1"/>
  <c r="C1935" i="1"/>
  <c r="M1935" i="1"/>
  <c r="A1936" i="1"/>
  <c r="B1936" i="1"/>
  <c r="C1936" i="1"/>
  <c r="M1936" i="1"/>
  <c r="A1937" i="1"/>
  <c r="B1937" i="1"/>
  <c r="C1937" i="1"/>
  <c r="M1937" i="1"/>
  <c r="A1938" i="1"/>
  <c r="B1938" i="1"/>
  <c r="C1938" i="1"/>
  <c r="M1938" i="1"/>
  <c r="A1939" i="1"/>
  <c r="B1939" i="1"/>
  <c r="C1939" i="1"/>
  <c r="M1939" i="1"/>
  <c r="A1940" i="1"/>
  <c r="B1940" i="1"/>
  <c r="C1940" i="1"/>
  <c r="M1940" i="1"/>
  <c r="A1941" i="1"/>
  <c r="B1941" i="1"/>
  <c r="C1941" i="1"/>
  <c r="M1941" i="1"/>
  <c r="A1942" i="1"/>
  <c r="B1942" i="1"/>
  <c r="C1942" i="1"/>
  <c r="M1942" i="1"/>
  <c r="A1943" i="1"/>
  <c r="B1943" i="1"/>
  <c r="C1943" i="1"/>
  <c r="M1943" i="1"/>
  <c r="A1944" i="1"/>
  <c r="B1944" i="1"/>
  <c r="C1944" i="1"/>
  <c r="M1944" i="1"/>
  <c r="A1945" i="1"/>
  <c r="B1945" i="1"/>
  <c r="C1945" i="1"/>
  <c r="M1945" i="1"/>
  <c r="A1946" i="1"/>
  <c r="B1946" i="1"/>
  <c r="C1946" i="1"/>
  <c r="M1946" i="1"/>
  <c r="A1947" i="1"/>
  <c r="B1947" i="1"/>
  <c r="C1947" i="1"/>
  <c r="M1947" i="1"/>
  <c r="A1948" i="1"/>
  <c r="B1948" i="1"/>
  <c r="C1948" i="1"/>
  <c r="M1948" i="1"/>
  <c r="A1949" i="1"/>
  <c r="B1949" i="1"/>
  <c r="C1949" i="1"/>
  <c r="M1949" i="1"/>
  <c r="A1950" i="1"/>
  <c r="B1950" i="1"/>
  <c r="C1950" i="1"/>
  <c r="M1950" i="1"/>
  <c r="A1951" i="1"/>
  <c r="B1951" i="1"/>
  <c r="C1951" i="1"/>
  <c r="M1951" i="1"/>
  <c r="A1952" i="1"/>
  <c r="B1952" i="1"/>
  <c r="C1952" i="1"/>
  <c r="M1952" i="1"/>
  <c r="A1953" i="1"/>
  <c r="B1953" i="1"/>
  <c r="C1953" i="1"/>
  <c r="M1953" i="1"/>
  <c r="A1954" i="1"/>
  <c r="B1954" i="1"/>
  <c r="C1954" i="1"/>
  <c r="M1954" i="1"/>
  <c r="A1955" i="1"/>
  <c r="B1955" i="1"/>
  <c r="C1955" i="1"/>
  <c r="M1955" i="1"/>
  <c r="A1956" i="1"/>
  <c r="B1956" i="1"/>
  <c r="C1956" i="1"/>
  <c r="M1956" i="1"/>
  <c r="A1957" i="1"/>
  <c r="B1957" i="1"/>
  <c r="C1957" i="1"/>
  <c r="M1957" i="1"/>
  <c r="A1958" i="1"/>
  <c r="B1958" i="1"/>
  <c r="C1958" i="1"/>
  <c r="M1958" i="1"/>
  <c r="A1959" i="1"/>
  <c r="B1959" i="1"/>
  <c r="C1959" i="1"/>
  <c r="M1959" i="1"/>
  <c r="A1960" i="1"/>
  <c r="B1960" i="1"/>
  <c r="C1960" i="1"/>
  <c r="M1960" i="1"/>
  <c r="A1961" i="1"/>
  <c r="B1961" i="1"/>
  <c r="C1961" i="1"/>
  <c r="M1961" i="1"/>
  <c r="A1962" i="1"/>
  <c r="B1962" i="1"/>
  <c r="C1962" i="1"/>
  <c r="M1962" i="1"/>
  <c r="A1963" i="1"/>
  <c r="B1963" i="1"/>
  <c r="C1963" i="1"/>
  <c r="M1963" i="1"/>
  <c r="A1964" i="1"/>
  <c r="B1964" i="1"/>
  <c r="C1964" i="1"/>
  <c r="M1964" i="1"/>
  <c r="A1965" i="1"/>
  <c r="B1965" i="1"/>
  <c r="C1965" i="1"/>
  <c r="M1965" i="1"/>
  <c r="A1966" i="1"/>
  <c r="B1966" i="1"/>
  <c r="C1966" i="1"/>
  <c r="M1966" i="1"/>
  <c r="A1967" i="1"/>
  <c r="B1967" i="1"/>
  <c r="C1967" i="1"/>
  <c r="M1967" i="1"/>
  <c r="A1968" i="1"/>
  <c r="B1968" i="1"/>
  <c r="C1968" i="1"/>
  <c r="M1968" i="1"/>
  <c r="A1969" i="1"/>
  <c r="B1969" i="1"/>
  <c r="C1969" i="1"/>
  <c r="M1969" i="1"/>
  <c r="A1970" i="1"/>
  <c r="B1970" i="1"/>
  <c r="C1970" i="1"/>
  <c r="M1970" i="1"/>
  <c r="A1971" i="1"/>
  <c r="B1971" i="1"/>
  <c r="C1971" i="1"/>
  <c r="M1971" i="1"/>
  <c r="A1972" i="1"/>
  <c r="B1972" i="1"/>
  <c r="C1972" i="1"/>
  <c r="M1972" i="1"/>
  <c r="A1973" i="1"/>
  <c r="B1973" i="1"/>
  <c r="C1973" i="1"/>
  <c r="M1973" i="1"/>
  <c r="A1974" i="1"/>
  <c r="B1974" i="1"/>
  <c r="C1974" i="1"/>
  <c r="M1974" i="1"/>
  <c r="A1975" i="1"/>
  <c r="B1975" i="1"/>
  <c r="C1975" i="1"/>
  <c r="M1975" i="1"/>
  <c r="A1976" i="1"/>
  <c r="B1976" i="1"/>
  <c r="C1976" i="1"/>
  <c r="M1976" i="1"/>
  <c r="A1977" i="1"/>
  <c r="B1977" i="1"/>
  <c r="C1977" i="1"/>
  <c r="M1977" i="1"/>
  <c r="A1978" i="1"/>
  <c r="B1978" i="1"/>
  <c r="C1978" i="1"/>
  <c r="M1978" i="1"/>
  <c r="A1979" i="1"/>
  <c r="B1979" i="1"/>
  <c r="C1979" i="1"/>
  <c r="M1979" i="1"/>
  <c r="A1980" i="1"/>
  <c r="B1980" i="1"/>
  <c r="C1980" i="1"/>
  <c r="M1980" i="1"/>
  <c r="A1981" i="1"/>
  <c r="B1981" i="1"/>
  <c r="C1981" i="1"/>
  <c r="M1981" i="1"/>
  <c r="A1982" i="1"/>
  <c r="B1982" i="1"/>
  <c r="C1982" i="1"/>
  <c r="M1982" i="1"/>
  <c r="A1983" i="1"/>
  <c r="B1983" i="1"/>
  <c r="C1983" i="1"/>
  <c r="M1983" i="1"/>
  <c r="A1984" i="1"/>
  <c r="B1984" i="1"/>
  <c r="C1984" i="1"/>
  <c r="M1984" i="1"/>
  <c r="A1985" i="1"/>
  <c r="B1985" i="1"/>
  <c r="C1985" i="1"/>
  <c r="M1985" i="1"/>
  <c r="A1986" i="1"/>
  <c r="B1986" i="1"/>
  <c r="C1986" i="1"/>
  <c r="M1986" i="1"/>
  <c r="A1987" i="1"/>
  <c r="B1987" i="1"/>
  <c r="C1987" i="1"/>
  <c r="M1987" i="1"/>
  <c r="A1988" i="1"/>
  <c r="B1988" i="1"/>
  <c r="C1988" i="1"/>
  <c r="M1988" i="1"/>
  <c r="A1989" i="1"/>
  <c r="B1989" i="1"/>
  <c r="C1989" i="1"/>
  <c r="M1989" i="1"/>
  <c r="A1990" i="1"/>
  <c r="B1990" i="1"/>
  <c r="C1990" i="1"/>
  <c r="M1990" i="1"/>
  <c r="A1991" i="1"/>
  <c r="B1991" i="1"/>
  <c r="C1991" i="1"/>
  <c r="M1991" i="1"/>
  <c r="A1992" i="1"/>
  <c r="B1992" i="1"/>
  <c r="C1992" i="1"/>
  <c r="M1992" i="1"/>
  <c r="A1993" i="1"/>
  <c r="B1993" i="1"/>
  <c r="C1993" i="1"/>
  <c r="M1993" i="1"/>
  <c r="A1994" i="1"/>
  <c r="B1994" i="1"/>
  <c r="C1994" i="1"/>
  <c r="M1994" i="1"/>
  <c r="A1995" i="1"/>
  <c r="B1995" i="1"/>
  <c r="C1995" i="1"/>
  <c r="M1995" i="1"/>
  <c r="A1996" i="1"/>
  <c r="B1996" i="1"/>
  <c r="C1996" i="1"/>
  <c r="M1996" i="1"/>
  <c r="A1997" i="1"/>
  <c r="B1997" i="1"/>
  <c r="C1997" i="1"/>
  <c r="M1997" i="1"/>
  <c r="A1998" i="1"/>
  <c r="B1998" i="1"/>
  <c r="C1998" i="1"/>
  <c r="M1998" i="1"/>
  <c r="A1999" i="1"/>
  <c r="B1999" i="1"/>
  <c r="C1999" i="1"/>
  <c r="M1999" i="1"/>
  <c r="A2000" i="1"/>
  <c r="B2000" i="1"/>
  <c r="C2000" i="1"/>
  <c r="M2000" i="1"/>
  <c r="A2001" i="1"/>
  <c r="B2001" i="1"/>
  <c r="C2001" i="1"/>
  <c r="M2001" i="1"/>
  <c r="A2002" i="1"/>
  <c r="B2002" i="1"/>
  <c r="C2002" i="1"/>
  <c r="M2002" i="1"/>
  <c r="A2003" i="1"/>
  <c r="B2003" i="1"/>
  <c r="C2003" i="1"/>
  <c r="M2003" i="1"/>
  <c r="A2004" i="1"/>
  <c r="B2004" i="1"/>
  <c r="C2004" i="1"/>
  <c r="M2004" i="1"/>
  <c r="A2005" i="1"/>
  <c r="B2005" i="1"/>
  <c r="C2005" i="1"/>
  <c r="M2005" i="1"/>
  <c r="A2006" i="1"/>
  <c r="B2006" i="1"/>
  <c r="C2006" i="1"/>
  <c r="M2006" i="1"/>
  <c r="A2007" i="1"/>
  <c r="B2007" i="1"/>
  <c r="C2007" i="1"/>
  <c r="M2007" i="1"/>
  <c r="A2008" i="1"/>
  <c r="B2008" i="1"/>
  <c r="C2008" i="1"/>
  <c r="M2008" i="1"/>
  <c r="A2009" i="1"/>
  <c r="B2009" i="1"/>
  <c r="C2009" i="1"/>
  <c r="M2009" i="1"/>
  <c r="A2010" i="1"/>
  <c r="B2010" i="1"/>
  <c r="C2010" i="1"/>
  <c r="M2010" i="1"/>
  <c r="A2011" i="1"/>
  <c r="B2011" i="1"/>
  <c r="C2011" i="1"/>
  <c r="M2011" i="1"/>
  <c r="A2012" i="1"/>
  <c r="B2012" i="1"/>
  <c r="C2012" i="1"/>
  <c r="M2012" i="1"/>
  <c r="A2013" i="1"/>
  <c r="B2013" i="1"/>
  <c r="C2013" i="1"/>
  <c r="M2013" i="1"/>
  <c r="A2014" i="1"/>
  <c r="B2014" i="1"/>
  <c r="C2014" i="1"/>
  <c r="M2014" i="1"/>
  <c r="A2015" i="1"/>
  <c r="B2015" i="1"/>
  <c r="C2015" i="1"/>
  <c r="M2015" i="1"/>
  <c r="A2016" i="1"/>
  <c r="B2016" i="1"/>
  <c r="C2016" i="1"/>
  <c r="M2016" i="1"/>
  <c r="A2017" i="1"/>
  <c r="B2017" i="1"/>
  <c r="C2017" i="1"/>
  <c r="M2017" i="1"/>
  <c r="A2018" i="1"/>
  <c r="B2018" i="1"/>
  <c r="C2018" i="1"/>
  <c r="M2018" i="1"/>
  <c r="A2019" i="1"/>
  <c r="B2019" i="1"/>
  <c r="C2019" i="1"/>
  <c r="M2019" i="1"/>
  <c r="A2020" i="1"/>
  <c r="B2020" i="1"/>
  <c r="C2020" i="1"/>
  <c r="M2020" i="1"/>
  <c r="A2021" i="1"/>
  <c r="B2021" i="1"/>
  <c r="C2021" i="1"/>
  <c r="M2021" i="1"/>
  <c r="A2022" i="1"/>
  <c r="B2022" i="1"/>
  <c r="C2022" i="1"/>
  <c r="M2022" i="1"/>
  <c r="A2023" i="1"/>
  <c r="B2023" i="1"/>
  <c r="C2023" i="1"/>
  <c r="M2023" i="1"/>
  <c r="A2024" i="1"/>
  <c r="B2024" i="1"/>
  <c r="C2024" i="1"/>
  <c r="M2024" i="1"/>
  <c r="A2025" i="1"/>
  <c r="B2025" i="1"/>
  <c r="C2025" i="1"/>
  <c r="M2025" i="1"/>
  <c r="A2026" i="1"/>
  <c r="B2026" i="1"/>
  <c r="C2026" i="1"/>
  <c r="M2026" i="1"/>
  <c r="A2027" i="1"/>
  <c r="B2027" i="1"/>
  <c r="C2027" i="1"/>
  <c r="M2027" i="1"/>
  <c r="A2028" i="1"/>
  <c r="B2028" i="1"/>
  <c r="C2028" i="1"/>
  <c r="M2028" i="1"/>
  <c r="A2029" i="1"/>
  <c r="B2029" i="1"/>
  <c r="C2029" i="1"/>
  <c r="M2029" i="1"/>
  <c r="A2030" i="1"/>
  <c r="B2030" i="1"/>
  <c r="C2030" i="1"/>
  <c r="M2030" i="1"/>
  <c r="A2031" i="1"/>
  <c r="B2031" i="1"/>
  <c r="C2031" i="1"/>
  <c r="M2031" i="1"/>
  <c r="A2032" i="1"/>
  <c r="B2032" i="1"/>
  <c r="C2032" i="1"/>
  <c r="M2032" i="1"/>
  <c r="A2033" i="1"/>
  <c r="B2033" i="1"/>
  <c r="C2033" i="1"/>
  <c r="M2033" i="1"/>
  <c r="A2034" i="1"/>
  <c r="B2034" i="1"/>
  <c r="C2034" i="1"/>
  <c r="M2034" i="1"/>
  <c r="A2035" i="1"/>
  <c r="B2035" i="1"/>
  <c r="C2035" i="1"/>
  <c r="M2035" i="1"/>
  <c r="A2036" i="1"/>
  <c r="B2036" i="1"/>
  <c r="C2036" i="1"/>
  <c r="M2036" i="1"/>
  <c r="A2037" i="1"/>
  <c r="B2037" i="1"/>
  <c r="C2037" i="1"/>
  <c r="M2037" i="1"/>
  <c r="A2038" i="1"/>
  <c r="B2038" i="1"/>
  <c r="C2038" i="1"/>
  <c r="M2038" i="1"/>
  <c r="A2039" i="1"/>
  <c r="B2039" i="1"/>
  <c r="C2039" i="1"/>
  <c r="M2039" i="1"/>
  <c r="A2040" i="1"/>
  <c r="B2040" i="1"/>
  <c r="C2040" i="1"/>
  <c r="M2040" i="1"/>
  <c r="A2041" i="1"/>
  <c r="B2041" i="1"/>
  <c r="C2041" i="1"/>
  <c r="M2041" i="1"/>
  <c r="A2042" i="1"/>
  <c r="B2042" i="1"/>
  <c r="C2042" i="1"/>
  <c r="M2042" i="1"/>
  <c r="A2043" i="1"/>
  <c r="B2043" i="1"/>
  <c r="C2043" i="1"/>
  <c r="M2043" i="1"/>
  <c r="A2044" i="1"/>
  <c r="B2044" i="1"/>
  <c r="C2044" i="1"/>
  <c r="M2044" i="1"/>
  <c r="A2045" i="1"/>
  <c r="B2045" i="1"/>
  <c r="C2045" i="1"/>
  <c r="M2045" i="1"/>
  <c r="A2046" i="1"/>
  <c r="B2046" i="1"/>
  <c r="C2046" i="1"/>
  <c r="M2046" i="1"/>
  <c r="A2047" i="1"/>
  <c r="B2047" i="1"/>
  <c r="C2047" i="1"/>
  <c r="M2047" i="1"/>
  <c r="A2048" i="1"/>
  <c r="B2048" i="1"/>
  <c r="C2048" i="1"/>
  <c r="M2048" i="1"/>
  <c r="A2049" i="1"/>
  <c r="B2049" i="1"/>
  <c r="C2049" i="1"/>
  <c r="M2049" i="1"/>
  <c r="A2050" i="1"/>
  <c r="B2050" i="1"/>
  <c r="C2050" i="1"/>
  <c r="M2050" i="1"/>
  <c r="A2051" i="1"/>
  <c r="B2051" i="1"/>
  <c r="C2051" i="1"/>
  <c r="M2051" i="1"/>
  <c r="A2052" i="1"/>
  <c r="B2052" i="1"/>
  <c r="C2052" i="1"/>
  <c r="M2052" i="1"/>
  <c r="A2053" i="1"/>
  <c r="B2053" i="1"/>
  <c r="C2053" i="1"/>
  <c r="M2053" i="1"/>
  <c r="A2054" i="1"/>
  <c r="B2054" i="1"/>
  <c r="C2054" i="1"/>
  <c r="M2054" i="1"/>
  <c r="A2055" i="1"/>
  <c r="B2055" i="1"/>
  <c r="C2055" i="1"/>
  <c r="M2055" i="1"/>
  <c r="A2056" i="1"/>
  <c r="B2056" i="1"/>
  <c r="C2056" i="1"/>
  <c r="M2056" i="1"/>
  <c r="A2057" i="1"/>
  <c r="B2057" i="1"/>
  <c r="C2057" i="1"/>
  <c r="M2057" i="1"/>
  <c r="A2058" i="1"/>
  <c r="B2058" i="1"/>
  <c r="C2058" i="1"/>
  <c r="M2058" i="1"/>
  <c r="A2059" i="1"/>
  <c r="B2059" i="1"/>
  <c r="C2059" i="1"/>
  <c r="M2059" i="1"/>
  <c r="A2060" i="1"/>
  <c r="B2060" i="1"/>
  <c r="C2060" i="1"/>
  <c r="M2060" i="1"/>
  <c r="A2061" i="1"/>
  <c r="B2061" i="1"/>
  <c r="C2061" i="1"/>
  <c r="M2061" i="1"/>
  <c r="A2062" i="1"/>
  <c r="B2062" i="1"/>
  <c r="C2062" i="1"/>
  <c r="M2062" i="1"/>
  <c r="A2063" i="1"/>
  <c r="B2063" i="1"/>
  <c r="C2063" i="1"/>
  <c r="M2063" i="1"/>
  <c r="A2064" i="1"/>
  <c r="B2064" i="1"/>
  <c r="C2064" i="1"/>
  <c r="M2064" i="1"/>
  <c r="A2065" i="1"/>
  <c r="B2065" i="1"/>
  <c r="C2065" i="1"/>
  <c r="M2065" i="1"/>
  <c r="A2066" i="1"/>
  <c r="B2066" i="1"/>
  <c r="C2066" i="1"/>
  <c r="M2066" i="1"/>
  <c r="A2067" i="1"/>
  <c r="B2067" i="1"/>
  <c r="C2067" i="1"/>
  <c r="M2067" i="1"/>
  <c r="A2068" i="1"/>
  <c r="B2068" i="1"/>
  <c r="C2068" i="1"/>
  <c r="M2068" i="1"/>
  <c r="A2069" i="1"/>
  <c r="B2069" i="1"/>
  <c r="C2069" i="1"/>
  <c r="M2069" i="1"/>
  <c r="A2070" i="1"/>
  <c r="B2070" i="1"/>
  <c r="C2070" i="1"/>
  <c r="M2070" i="1"/>
  <c r="A2071" i="1"/>
  <c r="B2071" i="1"/>
  <c r="C2071" i="1"/>
  <c r="M2071" i="1"/>
  <c r="A2072" i="1"/>
  <c r="B2072" i="1"/>
  <c r="C2072" i="1"/>
  <c r="M2072" i="1"/>
  <c r="A2073" i="1"/>
  <c r="B2073" i="1"/>
  <c r="C2073" i="1"/>
  <c r="M2073" i="1"/>
  <c r="A2074" i="1"/>
  <c r="B2074" i="1"/>
  <c r="C2074" i="1"/>
  <c r="M2074" i="1"/>
  <c r="A2075" i="1"/>
  <c r="B2075" i="1"/>
  <c r="C2075" i="1"/>
  <c r="M2075" i="1"/>
  <c r="A2076" i="1"/>
  <c r="B2076" i="1"/>
  <c r="C2076" i="1"/>
  <c r="M2076" i="1"/>
  <c r="A2077" i="1"/>
  <c r="B2077" i="1"/>
  <c r="C2077" i="1"/>
  <c r="M2077" i="1"/>
  <c r="A2078" i="1"/>
  <c r="B2078" i="1"/>
  <c r="C2078" i="1"/>
  <c r="M2078" i="1"/>
  <c r="A2079" i="1"/>
  <c r="B2079" i="1"/>
  <c r="C2079" i="1"/>
  <c r="M2079" i="1"/>
  <c r="A2080" i="1"/>
  <c r="B2080" i="1"/>
  <c r="C2080" i="1"/>
  <c r="M2080" i="1"/>
  <c r="A2081" i="1"/>
  <c r="B2081" i="1"/>
  <c r="C2081" i="1"/>
  <c r="M2081" i="1"/>
  <c r="A2082" i="1"/>
  <c r="B2082" i="1"/>
  <c r="C2082" i="1"/>
  <c r="M2082" i="1"/>
  <c r="A2083" i="1"/>
  <c r="B2083" i="1"/>
  <c r="C2083" i="1"/>
  <c r="M2083" i="1"/>
  <c r="A2084" i="1"/>
  <c r="B2084" i="1"/>
  <c r="C2084" i="1"/>
  <c r="M2084" i="1"/>
  <c r="A2085" i="1"/>
  <c r="B2085" i="1"/>
  <c r="C2085" i="1"/>
  <c r="M2085" i="1"/>
  <c r="A2086" i="1"/>
  <c r="B2086" i="1"/>
  <c r="C2086" i="1"/>
  <c r="M2086" i="1"/>
  <c r="A2087" i="1"/>
  <c r="B2087" i="1"/>
  <c r="C2087" i="1"/>
  <c r="M2087" i="1"/>
  <c r="A2088" i="1"/>
  <c r="B2088" i="1"/>
  <c r="C2088" i="1"/>
  <c r="M2088" i="1"/>
  <c r="A2089" i="1"/>
  <c r="B2089" i="1"/>
  <c r="C2089" i="1"/>
  <c r="M2089" i="1"/>
  <c r="A2090" i="1"/>
  <c r="B2090" i="1"/>
  <c r="C2090" i="1"/>
  <c r="M2090" i="1"/>
  <c r="A2091" i="1"/>
  <c r="B2091" i="1"/>
  <c r="C2091" i="1"/>
  <c r="M2091" i="1"/>
  <c r="A2092" i="1"/>
  <c r="B2092" i="1"/>
  <c r="C2092" i="1"/>
  <c r="M2092" i="1"/>
  <c r="A2093" i="1"/>
  <c r="B2093" i="1"/>
  <c r="C2093" i="1"/>
  <c r="M2093" i="1"/>
  <c r="A2094" i="1"/>
  <c r="B2094" i="1"/>
  <c r="C2094" i="1"/>
  <c r="M2094" i="1"/>
  <c r="A2095" i="1"/>
  <c r="B2095" i="1"/>
  <c r="C2095" i="1"/>
  <c r="M2095" i="1"/>
  <c r="A2096" i="1"/>
  <c r="B2096" i="1"/>
  <c r="C2096" i="1"/>
  <c r="M2096" i="1"/>
  <c r="A2097" i="1"/>
  <c r="B2097" i="1"/>
  <c r="C2097" i="1"/>
  <c r="M2097" i="1"/>
  <c r="A2098" i="1"/>
  <c r="B2098" i="1"/>
  <c r="C2098" i="1"/>
  <c r="M2098" i="1"/>
  <c r="A2099" i="1"/>
  <c r="B2099" i="1"/>
  <c r="C2099" i="1"/>
  <c r="M2099" i="1"/>
  <c r="A2100" i="1"/>
  <c r="B2100" i="1"/>
  <c r="C2100" i="1"/>
  <c r="M2100" i="1"/>
  <c r="A2101" i="1"/>
  <c r="B2101" i="1"/>
  <c r="C2101" i="1"/>
  <c r="M2101" i="1"/>
  <c r="A2102" i="1"/>
  <c r="B2102" i="1"/>
  <c r="C2102" i="1"/>
  <c r="M2102" i="1"/>
  <c r="A2103" i="1"/>
  <c r="B2103" i="1"/>
  <c r="C2103" i="1"/>
  <c r="M2103" i="1"/>
  <c r="A2104" i="1"/>
  <c r="B2104" i="1"/>
  <c r="C2104" i="1"/>
  <c r="M2104" i="1"/>
  <c r="A2105" i="1"/>
  <c r="B2105" i="1"/>
  <c r="C2105" i="1"/>
  <c r="M2105" i="1"/>
  <c r="A2106" i="1"/>
  <c r="B2106" i="1"/>
  <c r="C2106" i="1"/>
  <c r="M2106" i="1"/>
  <c r="A2107" i="1"/>
  <c r="B2107" i="1"/>
  <c r="C2107" i="1"/>
  <c r="M2107" i="1"/>
  <c r="A2108" i="1"/>
  <c r="B2108" i="1"/>
  <c r="C2108" i="1"/>
  <c r="M2108" i="1"/>
  <c r="A2109" i="1"/>
  <c r="B2109" i="1"/>
  <c r="C2109" i="1"/>
  <c r="M2109" i="1"/>
  <c r="A2110" i="1"/>
  <c r="B2110" i="1"/>
  <c r="C2110" i="1"/>
  <c r="M2110" i="1"/>
  <c r="A2111" i="1"/>
  <c r="B2111" i="1"/>
  <c r="C2111" i="1"/>
  <c r="M2111" i="1"/>
  <c r="A2112" i="1"/>
  <c r="B2112" i="1"/>
  <c r="C2112" i="1"/>
  <c r="M2112" i="1"/>
  <c r="A2113" i="1"/>
  <c r="B2113" i="1"/>
  <c r="C2113" i="1"/>
  <c r="M2113" i="1"/>
  <c r="A2114" i="1"/>
  <c r="B2114" i="1"/>
  <c r="C2114" i="1"/>
  <c r="M2114" i="1"/>
  <c r="A2115" i="1"/>
  <c r="B2115" i="1"/>
  <c r="C2115" i="1"/>
  <c r="M2115" i="1"/>
  <c r="A2116" i="1"/>
  <c r="B2116" i="1"/>
  <c r="C2116" i="1"/>
  <c r="M2116" i="1"/>
  <c r="A2117" i="1"/>
  <c r="B2117" i="1"/>
  <c r="C2117" i="1"/>
  <c r="M2117" i="1"/>
  <c r="A2118" i="1"/>
  <c r="B2118" i="1"/>
  <c r="C2118" i="1"/>
  <c r="M2118" i="1"/>
  <c r="A2119" i="1"/>
  <c r="B2119" i="1"/>
  <c r="C2119" i="1"/>
  <c r="M2119" i="1"/>
  <c r="A2120" i="1"/>
  <c r="B2120" i="1"/>
  <c r="C2120" i="1"/>
  <c r="M2120" i="1"/>
  <c r="A2121" i="1"/>
  <c r="B2121" i="1"/>
  <c r="C2121" i="1"/>
  <c r="M2121" i="1"/>
  <c r="A2122" i="1"/>
  <c r="B2122" i="1"/>
  <c r="C2122" i="1"/>
  <c r="M2122" i="1"/>
  <c r="A2123" i="1"/>
  <c r="B2123" i="1"/>
  <c r="C2123" i="1"/>
  <c r="M2123" i="1"/>
  <c r="A2124" i="1"/>
  <c r="B2124" i="1"/>
  <c r="C2124" i="1"/>
  <c r="M2124" i="1"/>
  <c r="A2125" i="1"/>
  <c r="B2125" i="1"/>
  <c r="C2125" i="1"/>
  <c r="M2125" i="1"/>
  <c r="A2126" i="1"/>
  <c r="B2126" i="1"/>
  <c r="C2126" i="1"/>
  <c r="M2126" i="1"/>
  <c r="A2127" i="1"/>
  <c r="B2127" i="1"/>
  <c r="C2127" i="1"/>
  <c r="M2127" i="1"/>
  <c r="A2128" i="1"/>
  <c r="B2128" i="1"/>
  <c r="C2128" i="1"/>
  <c r="M2128" i="1"/>
  <c r="A2129" i="1"/>
  <c r="B2129" i="1"/>
  <c r="C2129" i="1"/>
  <c r="M2129" i="1"/>
  <c r="A2130" i="1"/>
  <c r="B2130" i="1"/>
  <c r="C2130" i="1"/>
  <c r="M2130" i="1"/>
  <c r="A2131" i="1"/>
  <c r="B2131" i="1"/>
  <c r="C2131" i="1"/>
  <c r="M2131" i="1"/>
  <c r="A2132" i="1"/>
  <c r="B2132" i="1"/>
  <c r="C2132" i="1"/>
  <c r="M2132" i="1"/>
  <c r="A2133" i="1"/>
  <c r="B2133" i="1"/>
  <c r="C2133" i="1"/>
  <c r="M2133" i="1"/>
  <c r="A2134" i="1"/>
  <c r="B2134" i="1"/>
  <c r="C2134" i="1"/>
  <c r="M2134" i="1"/>
  <c r="A2135" i="1"/>
  <c r="B2135" i="1"/>
  <c r="C2135" i="1"/>
  <c r="M2135" i="1"/>
  <c r="A2136" i="1"/>
  <c r="B2136" i="1"/>
  <c r="C2136" i="1"/>
  <c r="M2136" i="1"/>
  <c r="A2137" i="1"/>
  <c r="B2137" i="1"/>
  <c r="C2137" i="1"/>
  <c r="M2137" i="1"/>
  <c r="A2138" i="1"/>
  <c r="B2138" i="1"/>
  <c r="C2138" i="1"/>
  <c r="M2138" i="1"/>
  <c r="A2139" i="1"/>
  <c r="B2139" i="1"/>
  <c r="C2139" i="1"/>
  <c r="M2139" i="1"/>
  <c r="A2140" i="1"/>
  <c r="B2140" i="1"/>
  <c r="C2140" i="1"/>
  <c r="M2140" i="1"/>
  <c r="A2141" i="1"/>
  <c r="B2141" i="1"/>
  <c r="C2141" i="1"/>
  <c r="M2141" i="1"/>
  <c r="A2142" i="1"/>
  <c r="B2142" i="1"/>
  <c r="C2142" i="1"/>
  <c r="M2142" i="1"/>
  <c r="A2143" i="1"/>
  <c r="B2143" i="1"/>
  <c r="C2143" i="1"/>
  <c r="M2143" i="1"/>
  <c r="A2144" i="1"/>
  <c r="B2144" i="1"/>
  <c r="C2144" i="1"/>
  <c r="M2144" i="1"/>
  <c r="A2145" i="1"/>
  <c r="B2145" i="1"/>
  <c r="C2145" i="1"/>
  <c r="M2145" i="1"/>
  <c r="A2146" i="1"/>
  <c r="B2146" i="1"/>
  <c r="C2146" i="1"/>
  <c r="M2146" i="1"/>
  <c r="A2147" i="1"/>
  <c r="B2147" i="1"/>
  <c r="C2147" i="1"/>
  <c r="M2147" i="1"/>
  <c r="A2148" i="1"/>
  <c r="B2148" i="1"/>
  <c r="C2148" i="1"/>
  <c r="M2148" i="1"/>
  <c r="A2149" i="1"/>
  <c r="B2149" i="1"/>
  <c r="C2149" i="1"/>
  <c r="M2149" i="1"/>
  <c r="A2150" i="1"/>
  <c r="B2150" i="1"/>
  <c r="C2150" i="1"/>
  <c r="M2150" i="1"/>
  <c r="A2151" i="1"/>
  <c r="B2151" i="1"/>
  <c r="C2151" i="1"/>
  <c r="M2151" i="1"/>
  <c r="A2152" i="1"/>
  <c r="B2152" i="1"/>
  <c r="C2152" i="1"/>
  <c r="M2152" i="1"/>
  <c r="A2153" i="1"/>
  <c r="B2153" i="1"/>
  <c r="C2153" i="1"/>
  <c r="M2153" i="1"/>
  <c r="A2154" i="1"/>
  <c r="B2154" i="1"/>
  <c r="C2154" i="1"/>
  <c r="M2154" i="1"/>
  <c r="A2155" i="1"/>
  <c r="B2155" i="1"/>
  <c r="C2155" i="1"/>
  <c r="M2155" i="1"/>
  <c r="A2156" i="1"/>
  <c r="B2156" i="1"/>
  <c r="C2156" i="1"/>
  <c r="M2156" i="1"/>
  <c r="A2157" i="1"/>
  <c r="B2157" i="1"/>
  <c r="C2157" i="1"/>
  <c r="M2157" i="1"/>
  <c r="A2158" i="1"/>
  <c r="B2158" i="1"/>
  <c r="C2158" i="1"/>
  <c r="M2158" i="1"/>
  <c r="A2159" i="1"/>
  <c r="B2159" i="1"/>
  <c r="C2159" i="1"/>
  <c r="M2159" i="1"/>
  <c r="A2160" i="1"/>
  <c r="B2160" i="1"/>
  <c r="C2160" i="1"/>
  <c r="M2160" i="1"/>
  <c r="A2161" i="1"/>
  <c r="B2161" i="1"/>
  <c r="C2161" i="1"/>
  <c r="M2161" i="1"/>
  <c r="A2162" i="1"/>
  <c r="B2162" i="1"/>
  <c r="C2162" i="1"/>
  <c r="M2162" i="1"/>
  <c r="A2163" i="1"/>
  <c r="B2163" i="1"/>
  <c r="C2163" i="1"/>
  <c r="M2163" i="1"/>
  <c r="A2164" i="1"/>
  <c r="B2164" i="1"/>
  <c r="C2164" i="1"/>
  <c r="M2164" i="1"/>
  <c r="A2165" i="1"/>
  <c r="B2165" i="1"/>
  <c r="C2165" i="1"/>
  <c r="M2165" i="1"/>
  <c r="A2166" i="1"/>
  <c r="B2166" i="1"/>
  <c r="C2166" i="1"/>
  <c r="M2166" i="1"/>
  <c r="A2167" i="1"/>
  <c r="B2167" i="1"/>
  <c r="C2167" i="1"/>
  <c r="M2167" i="1"/>
  <c r="A2168" i="1"/>
  <c r="B2168" i="1"/>
  <c r="C2168" i="1"/>
  <c r="M2168" i="1"/>
  <c r="A2169" i="1"/>
  <c r="B2169" i="1"/>
  <c r="C2169" i="1"/>
  <c r="M2169" i="1"/>
  <c r="A2170" i="1"/>
  <c r="B2170" i="1"/>
  <c r="C2170" i="1"/>
  <c r="M2170" i="1"/>
  <c r="A2171" i="1"/>
  <c r="B2171" i="1"/>
  <c r="C2171" i="1"/>
  <c r="M2171" i="1"/>
  <c r="A2172" i="1"/>
  <c r="B2172" i="1"/>
  <c r="C2172" i="1"/>
  <c r="M2172" i="1"/>
  <c r="A2173" i="1"/>
  <c r="B2173" i="1"/>
  <c r="C2173" i="1"/>
  <c r="M2173" i="1"/>
  <c r="A2174" i="1"/>
  <c r="B2174" i="1"/>
  <c r="C2174" i="1"/>
  <c r="M2174" i="1"/>
  <c r="A2175" i="1"/>
  <c r="B2175" i="1"/>
  <c r="C2175" i="1"/>
  <c r="M2175" i="1"/>
  <c r="A2176" i="1"/>
  <c r="B2176" i="1"/>
  <c r="C2176" i="1"/>
  <c r="M2176" i="1"/>
  <c r="A2177" i="1"/>
  <c r="B2177" i="1"/>
  <c r="C2177" i="1"/>
  <c r="M2177" i="1"/>
  <c r="A2178" i="1"/>
  <c r="B2178" i="1"/>
  <c r="C2178" i="1"/>
  <c r="M2178" i="1"/>
  <c r="A2179" i="1"/>
  <c r="B2179" i="1"/>
  <c r="C2179" i="1"/>
  <c r="M2179" i="1"/>
  <c r="A2180" i="1"/>
  <c r="B2180" i="1"/>
  <c r="C2180" i="1"/>
  <c r="M2180" i="1"/>
  <c r="A2181" i="1"/>
  <c r="B2181" i="1"/>
  <c r="C2181" i="1"/>
  <c r="M2181" i="1"/>
  <c r="A2182" i="1"/>
  <c r="B2182" i="1"/>
  <c r="C2182" i="1"/>
  <c r="M2182" i="1"/>
  <c r="A2183" i="1"/>
  <c r="B2183" i="1"/>
  <c r="C2183" i="1"/>
  <c r="M2183" i="1"/>
  <c r="A2184" i="1"/>
  <c r="B2184" i="1"/>
  <c r="C2184" i="1"/>
  <c r="M2184" i="1"/>
  <c r="A2185" i="1"/>
  <c r="B2185" i="1"/>
  <c r="C2185" i="1"/>
  <c r="M2185" i="1"/>
  <c r="A2186" i="1"/>
  <c r="B2186" i="1"/>
  <c r="C2186" i="1"/>
  <c r="M2186" i="1"/>
  <c r="A2187" i="1"/>
  <c r="B2187" i="1"/>
  <c r="C2187" i="1"/>
  <c r="M2187" i="1"/>
  <c r="A2188" i="1"/>
  <c r="B2188" i="1"/>
  <c r="C2188" i="1"/>
  <c r="M2188" i="1"/>
  <c r="A2189" i="1"/>
  <c r="B2189" i="1"/>
  <c r="C2189" i="1"/>
  <c r="M2189" i="1"/>
  <c r="A2190" i="1"/>
  <c r="B2190" i="1"/>
  <c r="C2190" i="1"/>
  <c r="M2190" i="1"/>
  <c r="A2191" i="1"/>
  <c r="B2191" i="1"/>
  <c r="C2191" i="1"/>
  <c r="M2191" i="1"/>
  <c r="A2192" i="1"/>
  <c r="B2192" i="1"/>
  <c r="C2192" i="1"/>
  <c r="M2192" i="1"/>
  <c r="A2193" i="1"/>
  <c r="B2193" i="1"/>
  <c r="C2193" i="1"/>
  <c r="M2193" i="1"/>
  <c r="A2194" i="1"/>
  <c r="B2194" i="1"/>
  <c r="C2194" i="1"/>
  <c r="M2194" i="1"/>
  <c r="A2195" i="1"/>
  <c r="B2195" i="1"/>
  <c r="C2195" i="1"/>
  <c r="M2195" i="1"/>
  <c r="A2196" i="1"/>
  <c r="B2196" i="1"/>
  <c r="C2196" i="1"/>
  <c r="M2196" i="1"/>
  <c r="A2197" i="1"/>
  <c r="B2197" i="1"/>
  <c r="C2197" i="1"/>
  <c r="M2197" i="1"/>
  <c r="A2198" i="1"/>
  <c r="B2198" i="1"/>
  <c r="C2198" i="1"/>
  <c r="M2198" i="1"/>
  <c r="A2199" i="1"/>
  <c r="B2199" i="1"/>
  <c r="C2199" i="1"/>
  <c r="M2199" i="1"/>
  <c r="A2200" i="1"/>
  <c r="B2200" i="1"/>
  <c r="C2200" i="1"/>
  <c r="M2200" i="1"/>
  <c r="A2201" i="1"/>
  <c r="B2201" i="1"/>
  <c r="C2201" i="1"/>
  <c r="M2201" i="1"/>
  <c r="A2202" i="1"/>
  <c r="B2202" i="1"/>
  <c r="C2202" i="1"/>
  <c r="M2202" i="1"/>
  <c r="A2203" i="1"/>
  <c r="B2203" i="1"/>
  <c r="C2203" i="1"/>
  <c r="M2203" i="1"/>
  <c r="A2204" i="1"/>
  <c r="B2204" i="1"/>
  <c r="C2204" i="1"/>
  <c r="M2204" i="1"/>
  <c r="A2205" i="1"/>
  <c r="B2205" i="1"/>
  <c r="C2205" i="1"/>
  <c r="M2205" i="1"/>
  <c r="A2206" i="1"/>
  <c r="B2206" i="1"/>
  <c r="C2206" i="1"/>
  <c r="M2206" i="1"/>
  <c r="A2207" i="1"/>
  <c r="B2207" i="1"/>
  <c r="C2207" i="1"/>
  <c r="M2207" i="1"/>
  <c r="A2208" i="1"/>
  <c r="B2208" i="1"/>
  <c r="C2208" i="1"/>
  <c r="M2208" i="1"/>
  <c r="A2209" i="1"/>
  <c r="B2209" i="1"/>
  <c r="C2209" i="1"/>
  <c r="M2209" i="1"/>
  <c r="A2210" i="1"/>
  <c r="B2210" i="1"/>
  <c r="C2210" i="1"/>
  <c r="M2210" i="1"/>
  <c r="A2211" i="1"/>
  <c r="B2211" i="1"/>
  <c r="C2211" i="1"/>
  <c r="M2211" i="1"/>
  <c r="A2212" i="1"/>
  <c r="B2212" i="1"/>
  <c r="C2212" i="1"/>
  <c r="M2212" i="1"/>
  <c r="A2213" i="1"/>
  <c r="B2213" i="1"/>
  <c r="C2213" i="1"/>
  <c r="M2213" i="1"/>
  <c r="A2214" i="1"/>
  <c r="B2214" i="1"/>
  <c r="C2214" i="1"/>
  <c r="M2214" i="1"/>
  <c r="A2215" i="1"/>
  <c r="B2215" i="1"/>
  <c r="C2215" i="1"/>
  <c r="M2215" i="1"/>
  <c r="A2216" i="1"/>
  <c r="B2216" i="1"/>
  <c r="C2216" i="1"/>
  <c r="M2216" i="1"/>
  <c r="A2217" i="1"/>
  <c r="B2217" i="1"/>
  <c r="C2217" i="1"/>
  <c r="M2217" i="1"/>
  <c r="A2218" i="1"/>
  <c r="B2218" i="1"/>
  <c r="C2218" i="1"/>
  <c r="M2218" i="1"/>
  <c r="A2219" i="1"/>
  <c r="B2219" i="1"/>
  <c r="C2219" i="1"/>
  <c r="M2219" i="1"/>
  <c r="A2220" i="1"/>
  <c r="B2220" i="1"/>
  <c r="C2220" i="1"/>
  <c r="M2220" i="1"/>
  <c r="A2221" i="1"/>
  <c r="B2221" i="1"/>
  <c r="C2221" i="1"/>
  <c r="M2221" i="1"/>
  <c r="A2222" i="1"/>
  <c r="B2222" i="1"/>
  <c r="C2222" i="1"/>
  <c r="M2222" i="1"/>
  <c r="A2223" i="1"/>
  <c r="B2223" i="1"/>
  <c r="C2223" i="1"/>
  <c r="M2223" i="1"/>
  <c r="A2224" i="1"/>
  <c r="B2224" i="1"/>
  <c r="C2224" i="1"/>
  <c r="M2224" i="1"/>
  <c r="A2225" i="1"/>
  <c r="B2225" i="1"/>
  <c r="C2225" i="1"/>
  <c r="M2225" i="1"/>
  <c r="A2226" i="1"/>
  <c r="B2226" i="1"/>
  <c r="C2226" i="1"/>
  <c r="M2226" i="1"/>
  <c r="A2227" i="1"/>
  <c r="B2227" i="1"/>
  <c r="C2227" i="1"/>
  <c r="M2227" i="1"/>
  <c r="A2228" i="1"/>
  <c r="B2228" i="1"/>
  <c r="C2228" i="1"/>
  <c r="M2228" i="1"/>
  <c r="A2229" i="1"/>
  <c r="B2229" i="1"/>
  <c r="C2229" i="1"/>
  <c r="M2229" i="1"/>
  <c r="A2230" i="1"/>
  <c r="B2230" i="1"/>
  <c r="C2230" i="1"/>
  <c r="M2230" i="1"/>
  <c r="A2231" i="1"/>
  <c r="B2231" i="1"/>
  <c r="C2231" i="1"/>
  <c r="M2231" i="1"/>
  <c r="A2232" i="1"/>
  <c r="B2232" i="1"/>
  <c r="C2232" i="1"/>
  <c r="M2232" i="1"/>
  <c r="A2233" i="1"/>
  <c r="B2233" i="1"/>
  <c r="C2233" i="1"/>
  <c r="M2233" i="1"/>
  <c r="A2234" i="1"/>
  <c r="B2234" i="1"/>
  <c r="C2234" i="1"/>
  <c r="M2234" i="1"/>
  <c r="A2235" i="1"/>
  <c r="B2235" i="1"/>
  <c r="C2235" i="1"/>
  <c r="M2235" i="1"/>
  <c r="A2236" i="1"/>
  <c r="B2236" i="1"/>
  <c r="C2236" i="1"/>
  <c r="M2236" i="1"/>
  <c r="A2237" i="1"/>
  <c r="B2237" i="1"/>
  <c r="C2237" i="1"/>
  <c r="M2237" i="1"/>
  <c r="A2238" i="1"/>
  <c r="B2238" i="1"/>
  <c r="C2238" i="1"/>
  <c r="M2238" i="1"/>
  <c r="A2239" i="1"/>
  <c r="B2239" i="1"/>
  <c r="C2239" i="1"/>
  <c r="M2239" i="1"/>
  <c r="A2240" i="1"/>
  <c r="B2240" i="1"/>
  <c r="C2240" i="1"/>
  <c r="M2240" i="1"/>
  <c r="A2241" i="1"/>
  <c r="B2241" i="1"/>
  <c r="C2241" i="1"/>
  <c r="M2241" i="1"/>
  <c r="A2242" i="1"/>
  <c r="B2242" i="1"/>
  <c r="C2242" i="1"/>
  <c r="M2242" i="1"/>
  <c r="A2243" i="1"/>
  <c r="B2243" i="1"/>
  <c r="C2243" i="1"/>
  <c r="M2243" i="1"/>
  <c r="A2244" i="1"/>
  <c r="B2244" i="1"/>
  <c r="C2244" i="1"/>
  <c r="M2244" i="1"/>
  <c r="A2245" i="1"/>
  <c r="B2245" i="1"/>
  <c r="C2245" i="1"/>
  <c r="M2245" i="1"/>
  <c r="A2246" i="1"/>
  <c r="B2246" i="1"/>
  <c r="C2246" i="1"/>
  <c r="M2246" i="1"/>
  <c r="A2247" i="1"/>
  <c r="B2247" i="1"/>
  <c r="C2247" i="1"/>
  <c r="M2247" i="1"/>
  <c r="A2248" i="1"/>
  <c r="B2248" i="1"/>
  <c r="C2248" i="1"/>
  <c r="M2248" i="1"/>
  <c r="A2249" i="1"/>
  <c r="B2249" i="1"/>
  <c r="C2249" i="1"/>
  <c r="M2249" i="1"/>
  <c r="A2250" i="1"/>
  <c r="B2250" i="1"/>
  <c r="C2250" i="1"/>
  <c r="M2250" i="1"/>
  <c r="A2251" i="1"/>
  <c r="B2251" i="1"/>
  <c r="C2251" i="1"/>
  <c r="M2251" i="1"/>
  <c r="A2252" i="1"/>
  <c r="B2252" i="1"/>
  <c r="C2252" i="1"/>
  <c r="M2252" i="1"/>
  <c r="A2253" i="1"/>
  <c r="B2253" i="1"/>
  <c r="C2253" i="1"/>
  <c r="M2253" i="1"/>
  <c r="A2254" i="1"/>
  <c r="B2254" i="1"/>
  <c r="C2254" i="1"/>
  <c r="M2254" i="1"/>
  <c r="A2255" i="1"/>
  <c r="B2255" i="1"/>
  <c r="C2255" i="1"/>
  <c r="M2255" i="1"/>
  <c r="A2256" i="1"/>
  <c r="B2256" i="1"/>
  <c r="C2256" i="1"/>
  <c r="M2256" i="1"/>
  <c r="A2257" i="1"/>
  <c r="B2257" i="1"/>
  <c r="C2257" i="1"/>
  <c r="M2257" i="1"/>
  <c r="A2258" i="1"/>
  <c r="B2258" i="1"/>
  <c r="C2258" i="1"/>
  <c r="M2258" i="1"/>
  <c r="A2259" i="1"/>
  <c r="B2259" i="1"/>
  <c r="C2259" i="1"/>
  <c r="M2259" i="1"/>
  <c r="A2260" i="1"/>
  <c r="B2260" i="1"/>
  <c r="C2260" i="1"/>
  <c r="M2260" i="1"/>
  <c r="A2261" i="1"/>
  <c r="B2261" i="1"/>
  <c r="C2261" i="1"/>
  <c r="M2261" i="1"/>
  <c r="A2262" i="1"/>
  <c r="B2262" i="1"/>
  <c r="C2262" i="1"/>
  <c r="M2262" i="1"/>
  <c r="A2263" i="1"/>
  <c r="B2263" i="1"/>
  <c r="C2263" i="1"/>
  <c r="M2263" i="1"/>
  <c r="A2264" i="1"/>
  <c r="B2264" i="1"/>
  <c r="C2264" i="1"/>
  <c r="M2264" i="1"/>
  <c r="A2265" i="1"/>
  <c r="B2265" i="1"/>
  <c r="C2265" i="1"/>
  <c r="M2265" i="1"/>
  <c r="A2266" i="1"/>
  <c r="B2266" i="1"/>
  <c r="C2266" i="1"/>
  <c r="M2266" i="1"/>
  <c r="A2267" i="1"/>
  <c r="B2267" i="1"/>
  <c r="C2267" i="1"/>
  <c r="M2267" i="1"/>
  <c r="A2268" i="1"/>
  <c r="B2268" i="1"/>
  <c r="C2268" i="1"/>
  <c r="M2268" i="1"/>
  <c r="A2269" i="1"/>
  <c r="B2269" i="1"/>
  <c r="C2269" i="1"/>
  <c r="M2269" i="1"/>
  <c r="A2270" i="1"/>
  <c r="B2270" i="1"/>
  <c r="C2270" i="1"/>
  <c r="M2270" i="1"/>
  <c r="A2271" i="1"/>
  <c r="B2271" i="1"/>
  <c r="C2271" i="1"/>
  <c r="M2271" i="1"/>
  <c r="A2272" i="1"/>
  <c r="B2272" i="1"/>
  <c r="C2272" i="1"/>
  <c r="M2272" i="1"/>
  <c r="A2273" i="1"/>
  <c r="B2273" i="1"/>
  <c r="C2273" i="1"/>
  <c r="M2273" i="1"/>
  <c r="A2274" i="1"/>
  <c r="B2274" i="1"/>
  <c r="C2274" i="1"/>
  <c r="M2274" i="1"/>
  <c r="A2275" i="1"/>
  <c r="B2275" i="1"/>
  <c r="C2275" i="1"/>
  <c r="M2275" i="1"/>
  <c r="A2276" i="1"/>
  <c r="B2276" i="1"/>
  <c r="C2276" i="1"/>
  <c r="M2276" i="1"/>
  <c r="A2277" i="1"/>
  <c r="B2277" i="1"/>
  <c r="C2277" i="1"/>
  <c r="M2277" i="1"/>
  <c r="A2278" i="1"/>
  <c r="B2278" i="1"/>
  <c r="C2278" i="1"/>
  <c r="M2278" i="1"/>
  <c r="A2279" i="1"/>
  <c r="B2279" i="1"/>
  <c r="C2279" i="1"/>
  <c r="M2279" i="1"/>
  <c r="A2280" i="1"/>
  <c r="B2280" i="1"/>
  <c r="C2280" i="1"/>
  <c r="M2280" i="1"/>
  <c r="A2281" i="1"/>
  <c r="B2281" i="1"/>
  <c r="C2281" i="1"/>
  <c r="M2281" i="1"/>
  <c r="A2282" i="1"/>
  <c r="B2282" i="1"/>
  <c r="C2282" i="1"/>
  <c r="M2282" i="1"/>
  <c r="A2283" i="1"/>
  <c r="B2283" i="1"/>
  <c r="C2283" i="1"/>
  <c r="M2283" i="1"/>
  <c r="A2284" i="1"/>
  <c r="B2284" i="1"/>
  <c r="C2284" i="1"/>
  <c r="M2284" i="1"/>
  <c r="A2285" i="1"/>
  <c r="B2285" i="1"/>
  <c r="C2285" i="1"/>
  <c r="M2285" i="1"/>
  <c r="A2286" i="1"/>
  <c r="B2286" i="1"/>
  <c r="C2286" i="1"/>
  <c r="M2286" i="1"/>
  <c r="A2287" i="1"/>
  <c r="B2287" i="1"/>
  <c r="C2287" i="1"/>
  <c r="M2287" i="1"/>
  <c r="A2288" i="1"/>
  <c r="B2288" i="1"/>
  <c r="C2288" i="1"/>
  <c r="M2288" i="1"/>
  <c r="A2289" i="1"/>
  <c r="B2289" i="1"/>
  <c r="C2289" i="1"/>
  <c r="M2289" i="1"/>
  <c r="A2290" i="1"/>
  <c r="B2290" i="1"/>
  <c r="C2290" i="1"/>
  <c r="M2290" i="1"/>
  <c r="A2291" i="1"/>
  <c r="B2291" i="1"/>
  <c r="C2291" i="1"/>
  <c r="M2291" i="1"/>
  <c r="A2292" i="1"/>
  <c r="B2292" i="1"/>
  <c r="C2292" i="1"/>
  <c r="M2292" i="1"/>
  <c r="A2293" i="1"/>
  <c r="B2293" i="1"/>
  <c r="C2293" i="1"/>
  <c r="M2293" i="1"/>
  <c r="A2294" i="1"/>
  <c r="B2294" i="1"/>
  <c r="C2294" i="1"/>
  <c r="M2294" i="1"/>
  <c r="A2295" i="1"/>
  <c r="B2295" i="1"/>
  <c r="C2295" i="1"/>
  <c r="M2295" i="1"/>
  <c r="A2296" i="1"/>
  <c r="B2296" i="1"/>
  <c r="C2296" i="1"/>
  <c r="M2296" i="1"/>
  <c r="A2297" i="1"/>
  <c r="B2297" i="1"/>
  <c r="C2297" i="1"/>
  <c r="M2297" i="1"/>
  <c r="A2298" i="1"/>
  <c r="B2298" i="1"/>
  <c r="C2298" i="1"/>
  <c r="M2298" i="1"/>
  <c r="A2299" i="1"/>
  <c r="B2299" i="1"/>
  <c r="C2299" i="1"/>
  <c r="M2299" i="1"/>
  <c r="A2300" i="1"/>
  <c r="B2300" i="1"/>
  <c r="C2300" i="1"/>
  <c r="M2300" i="1"/>
  <c r="A2301" i="1"/>
  <c r="B2301" i="1"/>
  <c r="C2301" i="1"/>
  <c r="M2301" i="1"/>
  <c r="A2302" i="1"/>
  <c r="B2302" i="1"/>
  <c r="C2302" i="1"/>
  <c r="M2302" i="1"/>
  <c r="A2303" i="1"/>
  <c r="B2303" i="1"/>
  <c r="C2303" i="1"/>
  <c r="M2303" i="1"/>
  <c r="A2304" i="1"/>
  <c r="B2304" i="1"/>
  <c r="C2304" i="1"/>
  <c r="M2304" i="1"/>
  <c r="A2305" i="1"/>
  <c r="B2305" i="1"/>
  <c r="C2305" i="1"/>
  <c r="M2305" i="1"/>
  <c r="A2306" i="1"/>
  <c r="B2306" i="1"/>
  <c r="C2306" i="1"/>
  <c r="M2306" i="1"/>
  <c r="A2307" i="1"/>
  <c r="B2307" i="1"/>
  <c r="C2307" i="1"/>
  <c r="M2307" i="1"/>
  <c r="A2308" i="1"/>
  <c r="B2308" i="1"/>
  <c r="C2308" i="1"/>
  <c r="M2308" i="1"/>
  <c r="A2309" i="1"/>
  <c r="B2309" i="1"/>
  <c r="C2309" i="1"/>
  <c r="M2309" i="1"/>
  <c r="A2310" i="1"/>
  <c r="B2310" i="1"/>
  <c r="C2310" i="1"/>
  <c r="M2310" i="1"/>
  <c r="A2311" i="1"/>
  <c r="B2311" i="1"/>
  <c r="C2311" i="1"/>
  <c r="M2311" i="1"/>
  <c r="A2312" i="1"/>
  <c r="B2312" i="1"/>
  <c r="C2312" i="1"/>
  <c r="M2312" i="1"/>
  <c r="A2313" i="1"/>
  <c r="B2313" i="1"/>
  <c r="C2313" i="1"/>
  <c r="M2313" i="1"/>
  <c r="A2314" i="1"/>
  <c r="B2314" i="1"/>
  <c r="C2314" i="1"/>
  <c r="M2314" i="1"/>
  <c r="A2315" i="1"/>
  <c r="B2315" i="1"/>
  <c r="C2315" i="1"/>
  <c r="M2315" i="1"/>
  <c r="A2316" i="1"/>
  <c r="B2316" i="1"/>
  <c r="C2316" i="1"/>
  <c r="M2316" i="1"/>
  <c r="A2317" i="1"/>
  <c r="B2317" i="1"/>
  <c r="C2317" i="1"/>
  <c r="M2317" i="1"/>
  <c r="A2318" i="1"/>
  <c r="B2318" i="1"/>
  <c r="C2318" i="1"/>
  <c r="M2318" i="1"/>
  <c r="A2319" i="1"/>
  <c r="B2319" i="1"/>
  <c r="C2319" i="1"/>
  <c r="M2319" i="1"/>
  <c r="A2320" i="1"/>
  <c r="B2320" i="1"/>
  <c r="C2320" i="1"/>
  <c r="M2320" i="1"/>
  <c r="A2321" i="1"/>
  <c r="B2321" i="1"/>
  <c r="C2321" i="1"/>
  <c r="M2321" i="1"/>
  <c r="A2322" i="1"/>
  <c r="B2322" i="1"/>
  <c r="C2322" i="1"/>
  <c r="M2322" i="1"/>
  <c r="A2323" i="1"/>
  <c r="B2323" i="1"/>
  <c r="C2323" i="1"/>
  <c r="M2323" i="1"/>
  <c r="A2324" i="1"/>
  <c r="B2324" i="1"/>
  <c r="C2324" i="1"/>
  <c r="M2324" i="1"/>
  <c r="A2325" i="1"/>
  <c r="B2325" i="1"/>
  <c r="C2325" i="1"/>
  <c r="M2325" i="1"/>
  <c r="A2326" i="1"/>
  <c r="B2326" i="1"/>
  <c r="C2326" i="1"/>
  <c r="M2326" i="1"/>
  <c r="A2327" i="1"/>
  <c r="B2327" i="1"/>
  <c r="C2327" i="1"/>
  <c r="M2327" i="1"/>
  <c r="A2328" i="1"/>
  <c r="B2328" i="1"/>
  <c r="C2328" i="1"/>
  <c r="M2328" i="1"/>
  <c r="A2329" i="1"/>
  <c r="B2329" i="1"/>
  <c r="C2329" i="1"/>
  <c r="M2329" i="1"/>
  <c r="A2330" i="1"/>
  <c r="B2330" i="1"/>
  <c r="C2330" i="1"/>
  <c r="M2330" i="1"/>
  <c r="A2331" i="1"/>
  <c r="B2331" i="1"/>
  <c r="C2331" i="1"/>
  <c r="M2331" i="1"/>
  <c r="A2332" i="1"/>
  <c r="B2332" i="1"/>
  <c r="C2332" i="1"/>
  <c r="M2332" i="1"/>
  <c r="A2333" i="1"/>
  <c r="B2333" i="1"/>
  <c r="C2333" i="1"/>
  <c r="M2333" i="1"/>
  <c r="A2334" i="1"/>
  <c r="B2334" i="1"/>
  <c r="C2334" i="1"/>
  <c r="M2334" i="1"/>
  <c r="A2335" i="1"/>
  <c r="B2335" i="1"/>
  <c r="C2335" i="1"/>
  <c r="M2335" i="1"/>
  <c r="A2336" i="1"/>
  <c r="B2336" i="1"/>
  <c r="C2336" i="1"/>
  <c r="M2336" i="1"/>
  <c r="A2337" i="1"/>
  <c r="B2337" i="1"/>
  <c r="C2337" i="1"/>
  <c r="M2337" i="1"/>
  <c r="A2338" i="1"/>
  <c r="B2338" i="1"/>
  <c r="C2338" i="1"/>
  <c r="M2338" i="1"/>
  <c r="A2339" i="1"/>
  <c r="B2339" i="1"/>
  <c r="C2339" i="1"/>
  <c r="M2339" i="1"/>
  <c r="A2340" i="1"/>
  <c r="B2340" i="1"/>
  <c r="C2340" i="1"/>
  <c r="M2340" i="1"/>
  <c r="A2341" i="1"/>
  <c r="B2341" i="1"/>
  <c r="C2341" i="1"/>
  <c r="M2341" i="1"/>
  <c r="A2342" i="1"/>
  <c r="B2342" i="1"/>
  <c r="C2342" i="1"/>
  <c r="M2342" i="1"/>
  <c r="A2343" i="1"/>
  <c r="B2343" i="1"/>
  <c r="C2343" i="1"/>
  <c r="M2343" i="1"/>
  <c r="A2344" i="1"/>
  <c r="B2344" i="1"/>
  <c r="C2344" i="1"/>
  <c r="M2344" i="1"/>
  <c r="A2345" i="1"/>
  <c r="B2345" i="1"/>
  <c r="C2345" i="1"/>
  <c r="M2345" i="1"/>
  <c r="A2346" i="1"/>
  <c r="B2346" i="1"/>
  <c r="C2346" i="1"/>
  <c r="M2346" i="1"/>
  <c r="A2347" i="1"/>
  <c r="B2347" i="1"/>
  <c r="C2347" i="1"/>
  <c r="M2347" i="1"/>
  <c r="A2348" i="1"/>
  <c r="B2348" i="1"/>
  <c r="C2348" i="1"/>
  <c r="M2348" i="1"/>
  <c r="A2349" i="1"/>
  <c r="B2349" i="1"/>
  <c r="C2349" i="1"/>
  <c r="M2349" i="1"/>
  <c r="A2350" i="1"/>
  <c r="B2350" i="1"/>
  <c r="C2350" i="1"/>
  <c r="M2350" i="1"/>
  <c r="A2351" i="1"/>
  <c r="B2351" i="1"/>
  <c r="C2351" i="1"/>
  <c r="M2351" i="1"/>
  <c r="A2352" i="1"/>
  <c r="B2352" i="1"/>
  <c r="C2352" i="1"/>
  <c r="M2352" i="1"/>
  <c r="A2353" i="1"/>
  <c r="B2353" i="1"/>
  <c r="C2353" i="1"/>
  <c r="M2353" i="1"/>
  <c r="A2354" i="1"/>
  <c r="B2354" i="1"/>
  <c r="C2354" i="1"/>
  <c r="M2354" i="1"/>
  <c r="A2355" i="1"/>
  <c r="B2355" i="1"/>
  <c r="C2355" i="1"/>
  <c r="M2355" i="1"/>
  <c r="A2356" i="1"/>
  <c r="B2356" i="1"/>
  <c r="C2356" i="1"/>
  <c r="M2356" i="1"/>
  <c r="A2357" i="1"/>
  <c r="B2357" i="1"/>
  <c r="C2357" i="1"/>
  <c r="M2357" i="1"/>
  <c r="A2358" i="1"/>
  <c r="B2358" i="1"/>
  <c r="C2358" i="1"/>
  <c r="M2358" i="1"/>
  <c r="A2359" i="1"/>
  <c r="B2359" i="1"/>
  <c r="C2359" i="1"/>
  <c r="M2359" i="1"/>
  <c r="A2360" i="1"/>
  <c r="B2360" i="1"/>
  <c r="C2360" i="1"/>
  <c r="M2360" i="1"/>
  <c r="A2361" i="1"/>
  <c r="B2361" i="1"/>
  <c r="C2361" i="1"/>
  <c r="M2361" i="1"/>
  <c r="A2362" i="1"/>
  <c r="B2362" i="1"/>
  <c r="C2362" i="1"/>
  <c r="M2362" i="1"/>
  <c r="A2363" i="1"/>
  <c r="B2363" i="1"/>
  <c r="C2363" i="1"/>
  <c r="M2363" i="1"/>
  <c r="A2364" i="1"/>
  <c r="B2364" i="1"/>
  <c r="C2364" i="1"/>
  <c r="M2364" i="1"/>
  <c r="A2365" i="1"/>
  <c r="B2365" i="1"/>
  <c r="C2365" i="1"/>
  <c r="M2365" i="1"/>
  <c r="A2366" i="1"/>
  <c r="B2366" i="1"/>
  <c r="C2366" i="1"/>
  <c r="M2366" i="1"/>
  <c r="A2367" i="1"/>
  <c r="B2367" i="1"/>
  <c r="C2367" i="1"/>
  <c r="M2367" i="1"/>
  <c r="A2368" i="1"/>
  <c r="B2368" i="1"/>
  <c r="C2368" i="1"/>
  <c r="M2368" i="1"/>
  <c r="A2369" i="1"/>
  <c r="B2369" i="1"/>
  <c r="C2369" i="1"/>
  <c r="M2369" i="1"/>
  <c r="A2370" i="1"/>
  <c r="B2370" i="1"/>
  <c r="C2370" i="1"/>
  <c r="M2370" i="1"/>
  <c r="A2371" i="1"/>
  <c r="B2371" i="1"/>
  <c r="C2371" i="1"/>
  <c r="M2371" i="1"/>
  <c r="A2372" i="1"/>
  <c r="B2372" i="1"/>
  <c r="C2372" i="1"/>
  <c r="M2372" i="1"/>
  <c r="A2373" i="1"/>
  <c r="B2373" i="1"/>
  <c r="C2373" i="1"/>
  <c r="M2373" i="1"/>
  <c r="A2374" i="1"/>
  <c r="B2374" i="1"/>
  <c r="C2374" i="1"/>
  <c r="M2374" i="1"/>
  <c r="A2375" i="1"/>
  <c r="B2375" i="1"/>
  <c r="C2375" i="1"/>
  <c r="M2375" i="1"/>
  <c r="A2376" i="1"/>
  <c r="B2376" i="1"/>
  <c r="C2376" i="1"/>
  <c r="M2376" i="1"/>
  <c r="A2377" i="1"/>
  <c r="B2377" i="1"/>
  <c r="C2377" i="1"/>
  <c r="M2377" i="1"/>
  <c r="A2378" i="1"/>
  <c r="B2378" i="1"/>
  <c r="C2378" i="1"/>
  <c r="M2378" i="1"/>
  <c r="A2379" i="1"/>
  <c r="B2379" i="1"/>
  <c r="C2379" i="1"/>
  <c r="M2379" i="1"/>
  <c r="A2380" i="1"/>
  <c r="B2380" i="1"/>
  <c r="C2380" i="1"/>
  <c r="M2380" i="1"/>
  <c r="A2381" i="1"/>
  <c r="B2381" i="1"/>
  <c r="C2381" i="1"/>
  <c r="M2381" i="1"/>
  <c r="A2382" i="1"/>
  <c r="B2382" i="1"/>
  <c r="C2382" i="1"/>
  <c r="M2382" i="1"/>
  <c r="A2383" i="1"/>
  <c r="B2383" i="1"/>
  <c r="C2383" i="1"/>
  <c r="M2383" i="1"/>
  <c r="A2384" i="1"/>
  <c r="B2384" i="1"/>
  <c r="C2384" i="1"/>
  <c r="M2384" i="1"/>
  <c r="A2385" i="1"/>
  <c r="B2385" i="1"/>
  <c r="C2385" i="1"/>
  <c r="M2385" i="1"/>
  <c r="A2386" i="1"/>
  <c r="B2386" i="1"/>
  <c r="C2386" i="1"/>
  <c r="M2386" i="1"/>
  <c r="A2387" i="1"/>
  <c r="B2387" i="1"/>
  <c r="C2387" i="1"/>
  <c r="M2387" i="1"/>
  <c r="A2388" i="1"/>
  <c r="B2388" i="1"/>
  <c r="C2388" i="1"/>
  <c r="M2388" i="1"/>
  <c r="A2389" i="1"/>
  <c r="B2389" i="1"/>
  <c r="C2389" i="1"/>
  <c r="M2389" i="1"/>
  <c r="A2390" i="1"/>
  <c r="B2390" i="1"/>
  <c r="C2390" i="1"/>
  <c r="M2390" i="1"/>
  <c r="A2391" i="1"/>
  <c r="B2391" i="1"/>
  <c r="C2391" i="1"/>
  <c r="M2391" i="1"/>
  <c r="A2392" i="1"/>
  <c r="B2392" i="1"/>
  <c r="C2392" i="1"/>
  <c r="M2392" i="1"/>
  <c r="A2393" i="1"/>
  <c r="B2393" i="1"/>
  <c r="C2393" i="1"/>
  <c r="M2393" i="1"/>
  <c r="A2394" i="1"/>
  <c r="B2394" i="1"/>
  <c r="C2394" i="1"/>
  <c r="M2394" i="1"/>
  <c r="A2395" i="1"/>
  <c r="B2395" i="1"/>
  <c r="C2395" i="1"/>
  <c r="M2395" i="1"/>
  <c r="A2396" i="1"/>
  <c r="B2396" i="1"/>
  <c r="C2396" i="1"/>
  <c r="M2396" i="1"/>
  <c r="A2397" i="1"/>
  <c r="B2397" i="1"/>
  <c r="C2397" i="1"/>
  <c r="M2397" i="1"/>
  <c r="A2398" i="1"/>
  <c r="B2398" i="1"/>
  <c r="C2398" i="1"/>
  <c r="M2398" i="1"/>
  <c r="A2399" i="1"/>
  <c r="B2399" i="1"/>
  <c r="C2399" i="1"/>
  <c r="M2399" i="1"/>
  <c r="A2400" i="1"/>
  <c r="B2400" i="1"/>
  <c r="C2400" i="1"/>
  <c r="M2400" i="1"/>
  <c r="A2401" i="1"/>
  <c r="B2401" i="1"/>
  <c r="C2401" i="1"/>
  <c r="M2401" i="1"/>
  <c r="A2402" i="1"/>
  <c r="B2402" i="1"/>
  <c r="C2402" i="1"/>
  <c r="M2402" i="1"/>
  <c r="A2403" i="1"/>
  <c r="B2403" i="1"/>
  <c r="C2403" i="1"/>
  <c r="M2403" i="1"/>
  <c r="A2404" i="1"/>
  <c r="B2404" i="1"/>
  <c r="C2404" i="1"/>
  <c r="M2404" i="1"/>
  <c r="A2405" i="1"/>
  <c r="B2405" i="1"/>
  <c r="C2405" i="1"/>
  <c r="M2405" i="1"/>
  <c r="A2406" i="1"/>
  <c r="B2406" i="1"/>
  <c r="C2406" i="1"/>
  <c r="M2406" i="1"/>
  <c r="A2407" i="1"/>
  <c r="B2407" i="1"/>
  <c r="C2407" i="1"/>
  <c r="M2407" i="1"/>
  <c r="A2408" i="1"/>
  <c r="B2408" i="1"/>
  <c r="C2408" i="1"/>
  <c r="M2408" i="1"/>
  <c r="A2409" i="1"/>
  <c r="B2409" i="1"/>
  <c r="C2409" i="1"/>
  <c r="M2409" i="1"/>
  <c r="A2410" i="1"/>
  <c r="B2410" i="1"/>
  <c r="C2410" i="1"/>
  <c r="M2410" i="1"/>
  <c r="A2411" i="1"/>
  <c r="B2411" i="1"/>
  <c r="C2411" i="1"/>
  <c r="M2411" i="1"/>
  <c r="A2412" i="1"/>
  <c r="B2412" i="1"/>
  <c r="C2412" i="1"/>
  <c r="M2412" i="1"/>
  <c r="A2413" i="1"/>
  <c r="B2413" i="1"/>
  <c r="C2413" i="1"/>
  <c r="M2413" i="1"/>
  <c r="A2414" i="1"/>
  <c r="B2414" i="1"/>
  <c r="C2414" i="1"/>
  <c r="M2414" i="1"/>
  <c r="A2415" i="1"/>
  <c r="B2415" i="1"/>
  <c r="C2415" i="1"/>
  <c r="M2415" i="1"/>
  <c r="A2416" i="1"/>
  <c r="B2416" i="1"/>
  <c r="C2416" i="1"/>
  <c r="M2416" i="1"/>
  <c r="A2417" i="1"/>
  <c r="B2417" i="1"/>
  <c r="C2417" i="1"/>
  <c r="M2417" i="1"/>
  <c r="A2418" i="1"/>
  <c r="B2418" i="1"/>
  <c r="C2418" i="1"/>
  <c r="M2418" i="1"/>
  <c r="A2419" i="1"/>
  <c r="B2419" i="1"/>
  <c r="C2419" i="1"/>
  <c r="M2419" i="1"/>
  <c r="A2420" i="1"/>
  <c r="B2420" i="1"/>
  <c r="C2420" i="1"/>
  <c r="M2420" i="1"/>
  <c r="A2421" i="1"/>
  <c r="B2421" i="1"/>
  <c r="C2421" i="1"/>
  <c r="M2421" i="1"/>
  <c r="A2422" i="1"/>
  <c r="B2422" i="1"/>
  <c r="C2422" i="1"/>
  <c r="M2422" i="1"/>
  <c r="A2423" i="1"/>
  <c r="B2423" i="1"/>
  <c r="C2423" i="1"/>
  <c r="M2423" i="1"/>
  <c r="A2424" i="1"/>
  <c r="B2424" i="1"/>
  <c r="C2424" i="1"/>
  <c r="M2424" i="1"/>
  <c r="A2425" i="1"/>
  <c r="B2425" i="1"/>
  <c r="C2425" i="1"/>
  <c r="M2425" i="1"/>
  <c r="A2426" i="1"/>
  <c r="B2426" i="1"/>
  <c r="C2426" i="1"/>
  <c r="M2426" i="1"/>
  <c r="A2427" i="1"/>
  <c r="B2427" i="1"/>
  <c r="C2427" i="1"/>
  <c r="M2427" i="1"/>
  <c r="A2428" i="1"/>
  <c r="B2428" i="1"/>
  <c r="C2428" i="1"/>
  <c r="M2428" i="1"/>
  <c r="A2429" i="1"/>
  <c r="B2429" i="1"/>
  <c r="C2429" i="1"/>
  <c r="M2429" i="1"/>
  <c r="A2430" i="1"/>
  <c r="B2430" i="1"/>
  <c r="C2430" i="1"/>
  <c r="M2430" i="1"/>
  <c r="A2431" i="1"/>
  <c r="B2431" i="1"/>
  <c r="C2431" i="1"/>
  <c r="M2431" i="1"/>
  <c r="A2432" i="1"/>
  <c r="B2432" i="1"/>
  <c r="C2432" i="1"/>
  <c r="M2432" i="1"/>
  <c r="A2433" i="1"/>
  <c r="B2433" i="1"/>
  <c r="C2433" i="1"/>
  <c r="M2433" i="1"/>
  <c r="A2434" i="1"/>
  <c r="B2434" i="1"/>
  <c r="C2434" i="1"/>
  <c r="M2434" i="1"/>
  <c r="A2435" i="1"/>
  <c r="B2435" i="1"/>
  <c r="C2435" i="1"/>
  <c r="M2435" i="1"/>
  <c r="A2436" i="1"/>
  <c r="B2436" i="1"/>
  <c r="C2436" i="1"/>
  <c r="M2436" i="1"/>
  <c r="A2437" i="1"/>
  <c r="B2437" i="1"/>
  <c r="C2437" i="1"/>
  <c r="M2437" i="1"/>
  <c r="A2438" i="1"/>
  <c r="B2438" i="1"/>
  <c r="C2438" i="1"/>
  <c r="M2438" i="1"/>
  <c r="A2439" i="1"/>
  <c r="B2439" i="1"/>
  <c r="C2439" i="1"/>
  <c r="M2439" i="1"/>
  <c r="A2440" i="1"/>
  <c r="B2440" i="1"/>
  <c r="C2440" i="1"/>
  <c r="M2440" i="1"/>
  <c r="A2441" i="1"/>
  <c r="B2441" i="1"/>
  <c r="C2441" i="1"/>
  <c r="M2441" i="1"/>
  <c r="A2442" i="1"/>
  <c r="B2442" i="1"/>
  <c r="C2442" i="1"/>
  <c r="M2442" i="1"/>
  <c r="A2443" i="1"/>
  <c r="B2443" i="1"/>
  <c r="C2443" i="1"/>
  <c r="M2443" i="1"/>
  <c r="A2444" i="1"/>
  <c r="B2444" i="1"/>
  <c r="C2444" i="1"/>
  <c r="M2444" i="1"/>
  <c r="A2445" i="1"/>
  <c r="B2445" i="1"/>
  <c r="C2445" i="1"/>
  <c r="M2445" i="1"/>
  <c r="A2446" i="1"/>
  <c r="B2446" i="1"/>
  <c r="C2446" i="1"/>
  <c r="M2446" i="1"/>
  <c r="A2447" i="1"/>
  <c r="B2447" i="1"/>
  <c r="C2447" i="1"/>
  <c r="M2447" i="1"/>
  <c r="A2448" i="1"/>
  <c r="B2448" i="1"/>
  <c r="C2448" i="1"/>
  <c r="M2448" i="1"/>
  <c r="A2449" i="1"/>
  <c r="B2449" i="1"/>
  <c r="C2449" i="1"/>
  <c r="M2449" i="1"/>
  <c r="A2450" i="1"/>
  <c r="B2450" i="1"/>
  <c r="C2450" i="1"/>
  <c r="M2450" i="1"/>
  <c r="A2451" i="1"/>
  <c r="B2451" i="1"/>
  <c r="C2451" i="1"/>
  <c r="M2451" i="1"/>
  <c r="A2452" i="1"/>
  <c r="B2452" i="1"/>
  <c r="C2452" i="1"/>
  <c r="M2452" i="1"/>
  <c r="A2453" i="1"/>
  <c r="B2453" i="1"/>
  <c r="C2453" i="1"/>
  <c r="M2453" i="1"/>
  <c r="A2454" i="1"/>
  <c r="B2454" i="1"/>
  <c r="C2454" i="1"/>
  <c r="M2454" i="1"/>
  <c r="A2455" i="1"/>
  <c r="B2455" i="1"/>
  <c r="C2455" i="1"/>
  <c r="M2455" i="1"/>
  <c r="A2456" i="1"/>
  <c r="B2456" i="1"/>
  <c r="C2456" i="1"/>
  <c r="M2456" i="1"/>
  <c r="A2457" i="1"/>
  <c r="B2457" i="1"/>
  <c r="C2457" i="1"/>
  <c r="M2457" i="1"/>
  <c r="A2458" i="1"/>
  <c r="B2458" i="1"/>
  <c r="C2458" i="1"/>
  <c r="M2458" i="1"/>
  <c r="A2459" i="1"/>
  <c r="B2459" i="1"/>
  <c r="C2459" i="1"/>
  <c r="M2459" i="1"/>
  <c r="A2460" i="1"/>
  <c r="B2460" i="1"/>
  <c r="C2460" i="1"/>
  <c r="M2460" i="1"/>
  <c r="A2461" i="1"/>
  <c r="B2461" i="1"/>
  <c r="C2461" i="1"/>
  <c r="M2461" i="1"/>
  <c r="A2462" i="1"/>
  <c r="B2462" i="1"/>
  <c r="C2462" i="1"/>
  <c r="M2462" i="1"/>
  <c r="A2463" i="1"/>
  <c r="B2463" i="1"/>
  <c r="C2463" i="1"/>
  <c r="M2463" i="1"/>
  <c r="A2464" i="1"/>
  <c r="B2464" i="1"/>
  <c r="C2464" i="1"/>
  <c r="M2464" i="1"/>
  <c r="A2465" i="1"/>
  <c r="B2465" i="1"/>
  <c r="C2465" i="1"/>
  <c r="M2465" i="1"/>
  <c r="A2466" i="1"/>
  <c r="B2466" i="1"/>
  <c r="C2466" i="1"/>
  <c r="M2466" i="1"/>
  <c r="A2467" i="1"/>
  <c r="B2467" i="1"/>
  <c r="C2467" i="1"/>
  <c r="M2467" i="1"/>
  <c r="A2468" i="1"/>
  <c r="B2468" i="1"/>
  <c r="C2468" i="1"/>
  <c r="M2468" i="1"/>
  <c r="A2469" i="1"/>
  <c r="B2469" i="1"/>
  <c r="C2469" i="1"/>
  <c r="M2469" i="1"/>
  <c r="A2470" i="1"/>
  <c r="B2470" i="1"/>
  <c r="C2470" i="1"/>
  <c r="M2470" i="1"/>
  <c r="A2471" i="1"/>
  <c r="B2471" i="1"/>
  <c r="C2471" i="1"/>
  <c r="M2471" i="1"/>
  <c r="A2472" i="1"/>
  <c r="B2472" i="1"/>
  <c r="C2472" i="1"/>
  <c r="M2472" i="1"/>
  <c r="A2473" i="1"/>
  <c r="B2473" i="1"/>
  <c r="C2473" i="1"/>
  <c r="M2473" i="1"/>
  <c r="A2474" i="1"/>
  <c r="B2474" i="1"/>
  <c r="C2474" i="1"/>
  <c r="M2474" i="1"/>
  <c r="A2475" i="1"/>
  <c r="B2475" i="1"/>
  <c r="C2475" i="1"/>
  <c r="M2475" i="1"/>
  <c r="A2476" i="1"/>
  <c r="B2476" i="1"/>
  <c r="C2476" i="1"/>
  <c r="M2476" i="1"/>
  <c r="A2477" i="1"/>
  <c r="B2477" i="1"/>
  <c r="C2477" i="1"/>
  <c r="M2477" i="1"/>
  <c r="A2478" i="1"/>
  <c r="B2478" i="1"/>
  <c r="C2478" i="1"/>
  <c r="M2478" i="1"/>
  <c r="A2479" i="1"/>
  <c r="B2479" i="1"/>
  <c r="C2479" i="1"/>
  <c r="M2479" i="1"/>
  <c r="A2480" i="1"/>
  <c r="B2480" i="1"/>
  <c r="C2480" i="1"/>
  <c r="M2480" i="1"/>
  <c r="A2481" i="1"/>
  <c r="B2481" i="1"/>
  <c r="C2481" i="1"/>
  <c r="M2481" i="1"/>
  <c r="A2482" i="1"/>
  <c r="B2482" i="1"/>
  <c r="C2482" i="1"/>
  <c r="M2482" i="1"/>
  <c r="A2483" i="1"/>
  <c r="B2483" i="1"/>
  <c r="C2483" i="1"/>
  <c r="M2483" i="1"/>
  <c r="A2484" i="1"/>
  <c r="B2484" i="1"/>
  <c r="C2484" i="1"/>
  <c r="M2484" i="1"/>
  <c r="A2485" i="1"/>
  <c r="B2485" i="1"/>
  <c r="C2485" i="1"/>
  <c r="M2485" i="1"/>
  <c r="A2486" i="1"/>
  <c r="B2486" i="1"/>
  <c r="C2486" i="1"/>
  <c r="M2486" i="1"/>
  <c r="A2487" i="1"/>
  <c r="B2487" i="1"/>
  <c r="C2487" i="1"/>
  <c r="M2487" i="1"/>
  <c r="A2488" i="1"/>
  <c r="B2488" i="1"/>
  <c r="C2488" i="1"/>
  <c r="M2488" i="1"/>
  <c r="A2489" i="1"/>
  <c r="B2489" i="1"/>
  <c r="C2489" i="1"/>
  <c r="M2489" i="1"/>
  <c r="A2490" i="1"/>
  <c r="B2490" i="1"/>
  <c r="C2490" i="1"/>
  <c r="M2490" i="1"/>
  <c r="A2491" i="1"/>
  <c r="B2491" i="1"/>
  <c r="C2491" i="1"/>
  <c r="M2491" i="1"/>
  <c r="A2492" i="1"/>
  <c r="B2492" i="1"/>
  <c r="C2492" i="1"/>
  <c r="M2492" i="1"/>
  <c r="A2493" i="1"/>
  <c r="B2493" i="1"/>
  <c r="C2493" i="1"/>
  <c r="M2493" i="1"/>
  <c r="A2494" i="1"/>
  <c r="B2494" i="1"/>
  <c r="C2494" i="1"/>
  <c r="M2494" i="1"/>
  <c r="A2495" i="1"/>
  <c r="B2495" i="1"/>
  <c r="C2495" i="1"/>
  <c r="M2495" i="1"/>
  <c r="A2496" i="1"/>
  <c r="B2496" i="1"/>
  <c r="C2496" i="1"/>
  <c r="M2496" i="1"/>
  <c r="A2497" i="1"/>
  <c r="B2497" i="1"/>
  <c r="C2497" i="1"/>
  <c r="M2497" i="1"/>
  <c r="A2498" i="1"/>
  <c r="B2498" i="1"/>
  <c r="C2498" i="1"/>
  <c r="M2498" i="1"/>
  <c r="A2499" i="1"/>
  <c r="B2499" i="1"/>
  <c r="C2499" i="1"/>
  <c r="M2499" i="1"/>
  <c r="A2500" i="1"/>
  <c r="B2500" i="1"/>
  <c r="C2500" i="1"/>
  <c r="M2500" i="1"/>
  <c r="A2501" i="1"/>
  <c r="B2501" i="1"/>
  <c r="C2501" i="1"/>
  <c r="M2501" i="1"/>
  <c r="A2502" i="1"/>
  <c r="B2502" i="1"/>
  <c r="C2502" i="1"/>
  <c r="M2502" i="1"/>
  <c r="A2503" i="1"/>
  <c r="B2503" i="1"/>
  <c r="C2503" i="1"/>
  <c r="M2503" i="1"/>
  <c r="A2504" i="1"/>
  <c r="B2504" i="1"/>
  <c r="C2504" i="1"/>
  <c r="M2504" i="1"/>
  <c r="A2505" i="1"/>
  <c r="B2505" i="1"/>
  <c r="C2505" i="1"/>
  <c r="M2505" i="1"/>
  <c r="A2506" i="1"/>
  <c r="B2506" i="1"/>
  <c r="C2506" i="1"/>
  <c r="M2506" i="1"/>
  <c r="A2507" i="1"/>
  <c r="B2507" i="1"/>
  <c r="C2507" i="1"/>
  <c r="M2507" i="1"/>
  <c r="A2508" i="1"/>
  <c r="B2508" i="1"/>
  <c r="C2508" i="1"/>
  <c r="M2508" i="1"/>
  <c r="A2509" i="1"/>
  <c r="B2509" i="1"/>
  <c r="C2509" i="1"/>
  <c r="M2509" i="1"/>
  <c r="A2510" i="1"/>
  <c r="B2510" i="1"/>
  <c r="C2510" i="1"/>
  <c r="M2510" i="1"/>
  <c r="A2511" i="1"/>
  <c r="B2511" i="1"/>
  <c r="C2511" i="1"/>
  <c r="M2511" i="1"/>
  <c r="A2512" i="1"/>
  <c r="B2512" i="1"/>
  <c r="C2512" i="1"/>
  <c r="M2512" i="1"/>
  <c r="A2513" i="1"/>
  <c r="B2513" i="1"/>
  <c r="C2513" i="1"/>
  <c r="M2513" i="1"/>
  <c r="A2514" i="1"/>
  <c r="B2514" i="1"/>
  <c r="C2514" i="1"/>
  <c r="M2514" i="1"/>
  <c r="A2515" i="1"/>
  <c r="B2515" i="1"/>
  <c r="C2515" i="1"/>
  <c r="M2515" i="1"/>
  <c r="A2516" i="1"/>
  <c r="B2516" i="1"/>
  <c r="C2516" i="1"/>
  <c r="M2516" i="1"/>
  <c r="A2517" i="1"/>
  <c r="B2517" i="1"/>
  <c r="C2517" i="1"/>
  <c r="M2517" i="1"/>
  <c r="A2518" i="1"/>
  <c r="B2518" i="1"/>
  <c r="C2518" i="1"/>
  <c r="M2518" i="1"/>
  <c r="A2519" i="1"/>
  <c r="B2519" i="1"/>
  <c r="C2519" i="1"/>
  <c r="M2519" i="1"/>
  <c r="A2520" i="1"/>
  <c r="B2520" i="1"/>
  <c r="C2520" i="1"/>
  <c r="M2520" i="1"/>
  <c r="A2521" i="1"/>
  <c r="B2521" i="1"/>
  <c r="C2521" i="1"/>
  <c r="M2521" i="1"/>
  <c r="A2522" i="1"/>
  <c r="B2522" i="1"/>
  <c r="C2522" i="1"/>
  <c r="M2522" i="1"/>
  <c r="A2523" i="1"/>
  <c r="B2523" i="1"/>
  <c r="C2523" i="1"/>
  <c r="M2523" i="1"/>
  <c r="A2524" i="1"/>
  <c r="B2524" i="1"/>
  <c r="C2524" i="1"/>
  <c r="M2524" i="1"/>
  <c r="A2525" i="1"/>
  <c r="B2525" i="1"/>
  <c r="C2525" i="1"/>
  <c r="M2525" i="1"/>
  <c r="A2526" i="1"/>
  <c r="B2526" i="1"/>
  <c r="C2526" i="1"/>
  <c r="M2526" i="1"/>
  <c r="A2527" i="1"/>
  <c r="B2527" i="1"/>
  <c r="C2527" i="1"/>
  <c r="M2527" i="1"/>
  <c r="A2528" i="1"/>
  <c r="B2528" i="1"/>
  <c r="C2528" i="1"/>
  <c r="M2528" i="1"/>
  <c r="A2529" i="1"/>
  <c r="B2529" i="1"/>
  <c r="C2529" i="1"/>
  <c r="M2529" i="1"/>
  <c r="A2530" i="1"/>
  <c r="B2530" i="1"/>
  <c r="C2530" i="1"/>
  <c r="M2530" i="1"/>
  <c r="A2531" i="1"/>
  <c r="B2531" i="1"/>
  <c r="C2531" i="1"/>
  <c r="M2531" i="1"/>
  <c r="A2532" i="1"/>
  <c r="B2532" i="1"/>
  <c r="C2532" i="1"/>
  <c r="M2532" i="1"/>
  <c r="A2533" i="1"/>
  <c r="B2533" i="1"/>
  <c r="C2533" i="1"/>
  <c r="M2533" i="1"/>
  <c r="A2534" i="1"/>
  <c r="B2534" i="1"/>
  <c r="C2534" i="1"/>
  <c r="M2534" i="1"/>
  <c r="A2535" i="1"/>
  <c r="B2535" i="1"/>
  <c r="C2535" i="1"/>
  <c r="M2535" i="1"/>
  <c r="A2536" i="1"/>
  <c r="B2536" i="1"/>
  <c r="C2536" i="1"/>
  <c r="M2536" i="1"/>
  <c r="A2537" i="1"/>
  <c r="B2537" i="1"/>
  <c r="C2537" i="1"/>
  <c r="M2537" i="1"/>
  <c r="A2538" i="1"/>
  <c r="B2538" i="1"/>
  <c r="C2538" i="1"/>
  <c r="M2538" i="1"/>
  <c r="A2539" i="1"/>
  <c r="B2539" i="1"/>
  <c r="C2539" i="1"/>
  <c r="M2539" i="1"/>
  <c r="A2540" i="1"/>
  <c r="B2540" i="1"/>
  <c r="C2540" i="1"/>
  <c r="M2540" i="1"/>
  <c r="A2541" i="1"/>
  <c r="B2541" i="1"/>
  <c r="C2541" i="1"/>
  <c r="M2541" i="1"/>
  <c r="A2542" i="1"/>
  <c r="B2542" i="1"/>
  <c r="C2542" i="1"/>
  <c r="M2542" i="1"/>
  <c r="A2543" i="1"/>
  <c r="B2543" i="1"/>
  <c r="C2543" i="1"/>
  <c r="M2543" i="1"/>
  <c r="A2544" i="1"/>
  <c r="B2544" i="1"/>
  <c r="C2544" i="1"/>
  <c r="M2544" i="1"/>
  <c r="A2545" i="1"/>
  <c r="B2545" i="1"/>
  <c r="C2545" i="1"/>
  <c r="M2545" i="1"/>
  <c r="A2546" i="1"/>
  <c r="B2546" i="1"/>
  <c r="C2546" i="1"/>
  <c r="M2546" i="1"/>
  <c r="A2547" i="1"/>
  <c r="B2547" i="1"/>
  <c r="C2547" i="1"/>
  <c r="M2547" i="1"/>
  <c r="A2548" i="1"/>
  <c r="B2548" i="1"/>
  <c r="C2548" i="1"/>
  <c r="M2548" i="1"/>
  <c r="A2549" i="1"/>
  <c r="B2549" i="1"/>
  <c r="C2549" i="1"/>
  <c r="M2549" i="1"/>
  <c r="A2550" i="1"/>
  <c r="B2550" i="1"/>
  <c r="C2550" i="1"/>
  <c r="M2550" i="1"/>
  <c r="A2551" i="1"/>
  <c r="B2551" i="1"/>
  <c r="C2551" i="1"/>
  <c r="M2551" i="1"/>
  <c r="A2552" i="1"/>
  <c r="B2552" i="1"/>
  <c r="C2552" i="1"/>
  <c r="M2552" i="1"/>
  <c r="A2553" i="1"/>
  <c r="B2553" i="1"/>
  <c r="C2553" i="1"/>
  <c r="M2553" i="1"/>
  <c r="A2554" i="1"/>
  <c r="B2554" i="1"/>
  <c r="C2554" i="1"/>
  <c r="M2554" i="1"/>
  <c r="A2555" i="1"/>
  <c r="B2555" i="1"/>
  <c r="C2555" i="1"/>
  <c r="M2555" i="1"/>
  <c r="A2556" i="1"/>
  <c r="B2556" i="1"/>
  <c r="C2556" i="1"/>
  <c r="M2556" i="1"/>
  <c r="A2557" i="1"/>
  <c r="B2557" i="1"/>
  <c r="C2557" i="1"/>
  <c r="M2557" i="1"/>
  <c r="A2558" i="1"/>
  <c r="B2558" i="1"/>
  <c r="C2558" i="1"/>
  <c r="M2558" i="1"/>
  <c r="A2559" i="1"/>
  <c r="B2559" i="1"/>
  <c r="C2559" i="1"/>
  <c r="M2559" i="1"/>
  <c r="A2560" i="1"/>
  <c r="B2560" i="1"/>
  <c r="C2560" i="1"/>
  <c r="M2560" i="1"/>
  <c r="A2561" i="1"/>
  <c r="B2561" i="1"/>
  <c r="C2561" i="1"/>
  <c r="M2561" i="1"/>
  <c r="A2562" i="1"/>
  <c r="B2562" i="1"/>
  <c r="C2562" i="1"/>
  <c r="M2562" i="1"/>
  <c r="A2563" i="1"/>
  <c r="B2563" i="1"/>
  <c r="C2563" i="1"/>
  <c r="M2563" i="1"/>
  <c r="A2564" i="1"/>
  <c r="B2564" i="1"/>
  <c r="C2564" i="1"/>
  <c r="M2564" i="1"/>
  <c r="A2565" i="1"/>
  <c r="B2565" i="1"/>
  <c r="C2565" i="1"/>
  <c r="M2565" i="1"/>
  <c r="A2566" i="1"/>
  <c r="B2566" i="1"/>
  <c r="C2566" i="1"/>
  <c r="M2566" i="1"/>
  <c r="A2567" i="1"/>
  <c r="B2567" i="1"/>
  <c r="C2567" i="1"/>
  <c r="M2567" i="1"/>
  <c r="A2568" i="1"/>
  <c r="B2568" i="1"/>
  <c r="C2568" i="1"/>
  <c r="M2568" i="1"/>
  <c r="A2569" i="1"/>
  <c r="B2569" i="1"/>
  <c r="C2569" i="1"/>
  <c r="M2569" i="1"/>
  <c r="A2570" i="1"/>
  <c r="B2570" i="1"/>
  <c r="C2570" i="1"/>
  <c r="M2570" i="1"/>
  <c r="A2571" i="1"/>
  <c r="B2571" i="1"/>
  <c r="C2571" i="1"/>
  <c r="M2571" i="1"/>
  <c r="A2572" i="1"/>
  <c r="B2572" i="1"/>
  <c r="C2572" i="1"/>
  <c r="M2572" i="1"/>
  <c r="A2573" i="1"/>
  <c r="B2573" i="1"/>
  <c r="C2573" i="1"/>
  <c r="M2573" i="1"/>
  <c r="A2574" i="1"/>
  <c r="B2574" i="1"/>
  <c r="C2574" i="1"/>
  <c r="M2574" i="1"/>
  <c r="A2575" i="1"/>
  <c r="B2575" i="1"/>
  <c r="C2575" i="1"/>
  <c r="M2575" i="1"/>
  <c r="A2576" i="1"/>
  <c r="B2576" i="1"/>
  <c r="C2576" i="1"/>
  <c r="M2576" i="1"/>
  <c r="A2577" i="1"/>
  <c r="B2577" i="1"/>
  <c r="C2577" i="1"/>
  <c r="M2577" i="1"/>
  <c r="A2578" i="1"/>
  <c r="B2578" i="1"/>
  <c r="C2578" i="1"/>
  <c r="M2578" i="1"/>
  <c r="A2579" i="1"/>
  <c r="B2579" i="1"/>
  <c r="C2579" i="1"/>
  <c r="M2579" i="1"/>
  <c r="A2580" i="1"/>
  <c r="B2580" i="1"/>
  <c r="C2580" i="1"/>
  <c r="M2580" i="1"/>
  <c r="A2581" i="1"/>
  <c r="B2581" i="1"/>
  <c r="C2581" i="1"/>
  <c r="M2581" i="1"/>
  <c r="A2582" i="1"/>
  <c r="B2582" i="1"/>
  <c r="C2582" i="1"/>
  <c r="M2582" i="1"/>
  <c r="A2583" i="1"/>
  <c r="B2583" i="1"/>
  <c r="C2583" i="1"/>
  <c r="M2583" i="1"/>
  <c r="A2584" i="1"/>
  <c r="B2584" i="1"/>
  <c r="C2584" i="1"/>
  <c r="M2584" i="1"/>
  <c r="A2585" i="1"/>
  <c r="B2585" i="1"/>
  <c r="C2585" i="1"/>
  <c r="M2585" i="1"/>
  <c r="A2586" i="1"/>
  <c r="B2586" i="1"/>
  <c r="C2586" i="1"/>
  <c r="M2586" i="1"/>
  <c r="A2587" i="1"/>
  <c r="B2587" i="1"/>
  <c r="C2587" i="1"/>
  <c r="M2587" i="1"/>
  <c r="A2588" i="1"/>
  <c r="B2588" i="1"/>
  <c r="C2588" i="1"/>
  <c r="M2588" i="1"/>
  <c r="A2589" i="1"/>
  <c r="B2589" i="1"/>
  <c r="C2589" i="1"/>
  <c r="M2589" i="1"/>
  <c r="A2590" i="1"/>
  <c r="B2590" i="1"/>
  <c r="C2590" i="1"/>
  <c r="M2590" i="1"/>
  <c r="A2591" i="1"/>
  <c r="B2591" i="1"/>
  <c r="C2591" i="1"/>
  <c r="M2591" i="1"/>
  <c r="A2592" i="1"/>
  <c r="B2592" i="1"/>
  <c r="C2592" i="1"/>
  <c r="M2592" i="1"/>
  <c r="A2593" i="1"/>
  <c r="B2593" i="1"/>
  <c r="C2593" i="1"/>
  <c r="M2593" i="1"/>
  <c r="A2594" i="1"/>
  <c r="B2594" i="1"/>
  <c r="C2594" i="1"/>
  <c r="M2594" i="1"/>
  <c r="A2595" i="1"/>
  <c r="B2595" i="1"/>
  <c r="C2595" i="1"/>
  <c r="M2595" i="1"/>
  <c r="A2596" i="1"/>
  <c r="B2596" i="1"/>
  <c r="C2596" i="1"/>
  <c r="M2596" i="1"/>
  <c r="A2597" i="1"/>
  <c r="B2597" i="1"/>
  <c r="C2597" i="1"/>
  <c r="M2597" i="1"/>
  <c r="A2598" i="1"/>
  <c r="B2598" i="1"/>
  <c r="C2598" i="1"/>
  <c r="M2598" i="1"/>
  <c r="A2599" i="1"/>
  <c r="B2599" i="1"/>
  <c r="C2599" i="1"/>
  <c r="M2599" i="1"/>
  <c r="A2600" i="1"/>
  <c r="B2600" i="1"/>
  <c r="C2600" i="1"/>
  <c r="M2600" i="1"/>
  <c r="A2601" i="1"/>
  <c r="B2601" i="1"/>
  <c r="C2601" i="1"/>
  <c r="M2601" i="1"/>
  <c r="A2602" i="1"/>
  <c r="B2602" i="1"/>
  <c r="C2602" i="1"/>
  <c r="M2602" i="1"/>
  <c r="A2603" i="1"/>
  <c r="B2603" i="1"/>
  <c r="C2603" i="1"/>
  <c r="M2603" i="1"/>
  <c r="A2604" i="1"/>
  <c r="B2604" i="1"/>
  <c r="C2604" i="1"/>
  <c r="M2604" i="1"/>
  <c r="A2605" i="1"/>
  <c r="B2605" i="1"/>
  <c r="C2605" i="1"/>
  <c r="M2605" i="1"/>
  <c r="A2606" i="1"/>
  <c r="B2606" i="1"/>
  <c r="C2606" i="1"/>
  <c r="M2606" i="1"/>
  <c r="A2607" i="1"/>
  <c r="B2607" i="1"/>
  <c r="C2607" i="1"/>
  <c r="M2607" i="1"/>
  <c r="A2608" i="1"/>
  <c r="B2608" i="1"/>
  <c r="C2608" i="1"/>
  <c r="M2608" i="1"/>
  <c r="A2609" i="1"/>
  <c r="B2609" i="1"/>
  <c r="C2609" i="1"/>
  <c r="M2609" i="1"/>
  <c r="A2610" i="1"/>
  <c r="B2610" i="1"/>
  <c r="C2610" i="1"/>
  <c r="M2610" i="1"/>
  <c r="A2611" i="1"/>
  <c r="B2611" i="1"/>
  <c r="C2611" i="1"/>
  <c r="M2611" i="1"/>
  <c r="A2612" i="1"/>
  <c r="B2612" i="1"/>
  <c r="C2612" i="1"/>
  <c r="M2612" i="1"/>
  <c r="A2613" i="1"/>
  <c r="B2613" i="1"/>
  <c r="C2613" i="1"/>
  <c r="M2613" i="1"/>
  <c r="A2614" i="1"/>
  <c r="B2614" i="1"/>
  <c r="C2614" i="1"/>
  <c r="M2614" i="1"/>
  <c r="A2615" i="1"/>
  <c r="B2615" i="1"/>
  <c r="C2615" i="1"/>
  <c r="M2615" i="1"/>
  <c r="A2616" i="1"/>
  <c r="B2616" i="1"/>
  <c r="C2616" i="1"/>
  <c r="M2616" i="1"/>
  <c r="A2617" i="1"/>
  <c r="B2617" i="1"/>
  <c r="C2617" i="1"/>
  <c r="M2617" i="1"/>
  <c r="A2618" i="1"/>
  <c r="B2618" i="1"/>
  <c r="C2618" i="1"/>
  <c r="M2618" i="1"/>
  <c r="A2619" i="1"/>
  <c r="B2619" i="1"/>
  <c r="C2619" i="1"/>
  <c r="M2619" i="1"/>
  <c r="A2620" i="1"/>
  <c r="B2620" i="1"/>
  <c r="C2620" i="1"/>
  <c r="M2620" i="1"/>
  <c r="A2621" i="1"/>
  <c r="B2621" i="1"/>
  <c r="C2621" i="1"/>
  <c r="M2621" i="1"/>
  <c r="A2622" i="1"/>
  <c r="B2622" i="1"/>
  <c r="C2622" i="1"/>
  <c r="M2622" i="1"/>
  <c r="A2623" i="1"/>
  <c r="B2623" i="1"/>
  <c r="C2623" i="1"/>
  <c r="M2623" i="1"/>
  <c r="A2624" i="1"/>
  <c r="B2624" i="1"/>
  <c r="C2624" i="1"/>
  <c r="M2624" i="1"/>
  <c r="A2625" i="1"/>
  <c r="B2625" i="1"/>
  <c r="C2625" i="1"/>
  <c r="M2625" i="1"/>
  <c r="A2626" i="1"/>
  <c r="B2626" i="1"/>
  <c r="C2626" i="1"/>
  <c r="M2626" i="1"/>
  <c r="A2627" i="1"/>
  <c r="B2627" i="1"/>
  <c r="C2627" i="1"/>
  <c r="M2627" i="1"/>
  <c r="A2628" i="1"/>
  <c r="B2628" i="1"/>
  <c r="C2628" i="1"/>
  <c r="M2628" i="1"/>
  <c r="A2629" i="1"/>
  <c r="B2629" i="1"/>
  <c r="C2629" i="1"/>
  <c r="M2629" i="1"/>
  <c r="A2630" i="1"/>
  <c r="B2630" i="1"/>
  <c r="C2630" i="1"/>
  <c r="M2630" i="1"/>
  <c r="A2631" i="1"/>
  <c r="B2631" i="1"/>
  <c r="C2631" i="1"/>
  <c r="M2631" i="1"/>
  <c r="A2632" i="1"/>
  <c r="B2632" i="1"/>
  <c r="C2632" i="1"/>
  <c r="M2632" i="1"/>
  <c r="A2633" i="1"/>
  <c r="B2633" i="1"/>
  <c r="C2633" i="1"/>
  <c r="M2633" i="1"/>
  <c r="A2634" i="1"/>
  <c r="B2634" i="1"/>
  <c r="C2634" i="1"/>
  <c r="M2634" i="1"/>
  <c r="A2635" i="1"/>
  <c r="B2635" i="1"/>
  <c r="C2635" i="1"/>
  <c r="M2635" i="1"/>
  <c r="A2636" i="1"/>
  <c r="B2636" i="1"/>
  <c r="C2636" i="1"/>
  <c r="M2636" i="1"/>
  <c r="A2637" i="1"/>
  <c r="B2637" i="1"/>
  <c r="C2637" i="1"/>
  <c r="M2637" i="1"/>
  <c r="A2638" i="1"/>
  <c r="B2638" i="1"/>
  <c r="C2638" i="1"/>
  <c r="M2638" i="1"/>
  <c r="A2639" i="1"/>
  <c r="B2639" i="1"/>
  <c r="C2639" i="1"/>
  <c r="M2639" i="1"/>
  <c r="A2640" i="1"/>
  <c r="B2640" i="1"/>
  <c r="C2640" i="1"/>
  <c r="M2640" i="1"/>
  <c r="A2641" i="1"/>
  <c r="B2641" i="1"/>
  <c r="C2641" i="1"/>
  <c r="M2641" i="1"/>
  <c r="A2642" i="1"/>
  <c r="B2642" i="1"/>
  <c r="C2642" i="1"/>
  <c r="M2642" i="1"/>
  <c r="A2643" i="1"/>
  <c r="B2643" i="1"/>
  <c r="C2643" i="1"/>
  <c r="M2643" i="1"/>
  <c r="A2644" i="1"/>
  <c r="B2644" i="1"/>
  <c r="C2644" i="1"/>
  <c r="M2644" i="1"/>
  <c r="A2645" i="1"/>
  <c r="B2645" i="1"/>
  <c r="C2645" i="1"/>
  <c r="M2645" i="1"/>
  <c r="A2646" i="1"/>
  <c r="B2646" i="1"/>
  <c r="C2646" i="1"/>
  <c r="M2646" i="1"/>
  <c r="A2647" i="1"/>
  <c r="B2647" i="1"/>
  <c r="C2647" i="1"/>
  <c r="M2647" i="1"/>
  <c r="A2648" i="1"/>
  <c r="B2648" i="1"/>
  <c r="C2648" i="1"/>
  <c r="M2648" i="1"/>
  <c r="A2649" i="1"/>
  <c r="B2649" i="1"/>
  <c r="C2649" i="1"/>
  <c r="M2649" i="1"/>
  <c r="A2650" i="1"/>
  <c r="B2650" i="1"/>
  <c r="C2650" i="1"/>
  <c r="M2650" i="1"/>
  <c r="A2651" i="1"/>
  <c r="B2651" i="1"/>
  <c r="C2651" i="1"/>
  <c r="M2651" i="1"/>
  <c r="A2652" i="1"/>
  <c r="B2652" i="1"/>
  <c r="C2652" i="1"/>
  <c r="M2652" i="1"/>
  <c r="A2653" i="1"/>
  <c r="B2653" i="1"/>
  <c r="C2653" i="1"/>
  <c r="M2653" i="1"/>
  <c r="A2654" i="1"/>
  <c r="B2654" i="1"/>
  <c r="C2654" i="1"/>
  <c r="M2654" i="1"/>
  <c r="A2655" i="1"/>
  <c r="B2655" i="1"/>
  <c r="C2655" i="1"/>
  <c r="M2655" i="1"/>
  <c r="A2656" i="1"/>
  <c r="B2656" i="1"/>
  <c r="C2656" i="1"/>
  <c r="M2656" i="1"/>
  <c r="A2657" i="1"/>
  <c r="B2657" i="1"/>
  <c r="C2657" i="1"/>
  <c r="M2657" i="1"/>
  <c r="A2658" i="1"/>
  <c r="B2658" i="1"/>
  <c r="C2658" i="1"/>
  <c r="M2658" i="1"/>
  <c r="A2659" i="1"/>
  <c r="B2659" i="1"/>
  <c r="C2659" i="1"/>
  <c r="M2659" i="1"/>
  <c r="A2660" i="1"/>
  <c r="B2660" i="1"/>
  <c r="C2660" i="1"/>
  <c r="M2660" i="1"/>
  <c r="A2661" i="1"/>
  <c r="B2661" i="1"/>
  <c r="C2661" i="1"/>
  <c r="M2661" i="1"/>
  <c r="A2662" i="1"/>
  <c r="B2662" i="1"/>
  <c r="C2662" i="1"/>
  <c r="M2662" i="1"/>
  <c r="A2663" i="1"/>
  <c r="B2663" i="1"/>
  <c r="C2663" i="1"/>
  <c r="M2663" i="1"/>
  <c r="A2664" i="1"/>
  <c r="B2664" i="1"/>
  <c r="C2664" i="1"/>
  <c r="M2664" i="1"/>
  <c r="A2665" i="1"/>
  <c r="B2665" i="1"/>
  <c r="C2665" i="1"/>
  <c r="M2665" i="1"/>
  <c r="A2666" i="1"/>
  <c r="B2666" i="1"/>
  <c r="C2666" i="1"/>
  <c r="M2666" i="1"/>
  <c r="A2667" i="1"/>
  <c r="B2667" i="1"/>
  <c r="C2667" i="1"/>
  <c r="M2667" i="1"/>
  <c r="A2668" i="1"/>
  <c r="B2668" i="1"/>
  <c r="C2668" i="1"/>
  <c r="M2668" i="1"/>
  <c r="A2669" i="1"/>
  <c r="B2669" i="1"/>
  <c r="C2669" i="1"/>
  <c r="M2669" i="1"/>
  <c r="A2670" i="1"/>
  <c r="B2670" i="1"/>
  <c r="C2670" i="1"/>
  <c r="M2670" i="1"/>
  <c r="A2671" i="1"/>
  <c r="B2671" i="1"/>
  <c r="C2671" i="1"/>
  <c r="M2671" i="1"/>
  <c r="A2672" i="1"/>
  <c r="B2672" i="1"/>
  <c r="C2672" i="1"/>
  <c r="M2672" i="1"/>
  <c r="A2673" i="1"/>
  <c r="B2673" i="1"/>
  <c r="C2673" i="1"/>
  <c r="M2673" i="1"/>
  <c r="A2674" i="1"/>
  <c r="B2674" i="1"/>
  <c r="C2674" i="1"/>
  <c r="M2674" i="1"/>
  <c r="A2675" i="1"/>
  <c r="B2675" i="1"/>
  <c r="C2675" i="1"/>
  <c r="M2675" i="1"/>
  <c r="A2676" i="1"/>
  <c r="B2676" i="1"/>
  <c r="C2676" i="1"/>
  <c r="M2676" i="1"/>
  <c r="A2677" i="1"/>
  <c r="B2677" i="1"/>
  <c r="C2677" i="1"/>
  <c r="M2677" i="1"/>
  <c r="A2678" i="1"/>
  <c r="B2678" i="1"/>
  <c r="C2678" i="1"/>
  <c r="M2678" i="1"/>
  <c r="A2679" i="1"/>
  <c r="B2679" i="1"/>
  <c r="C2679" i="1"/>
  <c r="M2679" i="1"/>
  <c r="A2680" i="1"/>
  <c r="B2680" i="1"/>
  <c r="C2680" i="1"/>
  <c r="M2680" i="1"/>
  <c r="A2681" i="1"/>
  <c r="B2681" i="1"/>
  <c r="C2681" i="1"/>
  <c r="M2681" i="1"/>
  <c r="A2682" i="1"/>
  <c r="B2682" i="1"/>
  <c r="C2682" i="1"/>
  <c r="M2682" i="1"/>
  <c r="A2683" i="1"/>
  <c r="B2683" i="1"/>
  <c r="C2683" i="1"/>
  <c r="M2683" i="1"/>
  <c r="A2684" i="1"/>
  <c r="B2684" i="1"/>
  <c r="C2684" i="1"/>
  <c r="M2684" i="1"/>
  <c r="A2685" i="1"/>
  <c r="B2685" i="1"/>
  <c r="C2685" i="1"/>
  <c r="M2685" i="1"/>
  <c r="A2686" i="1"/>
  <c r="B2686" i="1"/>
  <c r="C2686" i="1"/>
  <c r="M2686" i="1"/>
  <c r="A2687" i="1"/>
  <c r="B2687" i="1"/>
  <c r="C2687" i="1"/>
  <c r="M2687" i="1"/>
  <c r="A2688" i="1"/>
  <c r="B2688" i="1"/>
  <c r="C2688" i="1"/>
  <c r="M2688" i="1"/>
  <c r="A2689" i="1"/>
  <c r="B2689" i="1"/>
  <c r="C2689" i="1"/>
  <c r="M2689" i="1"/>
  <c r="A2690" i="1"/>
  <c r="B2690" i="1"/>
  <c r="C2690" i="1"/>
  <c r="M2690" i="1"/>
  <c r="A2691" i="1"/>
  <c r="B2691" i="1"/>
  <c r="C2691" i="1"/>
  <c r="M2691" i="1"/>
  <c r="A2692" i="1"/>
  <c r="B2692" i="1"/>
  <c r="C2692" i="1"/>
  <c r="M2692" i="1"/>
  <c r="A2693" i="1"/>
  <c r="B2693" i="1"/>
  <c r="C2693" i="1"/>
  <c r="M2693" i="1"/>
  <c r="A2694" i="1"/>
  <c r="B2694" i="1"/>
  <c r="C2694" i="1"/>
  <c r="M2694" i="1"/>
  <c r="A2695" i="1"/>
  <c r="B2695" i="1"/>
  <c r="C2695" i="1"/>
  <c r="M2695" i="1"/>
  <c r="A2696" i="1"/>
  <c r="B2696" i="1"/>
  <c r="C2696" i="1"/>
  <c r="M2696" i="1"/>
  <c r="A2697" i="1"/>
  <c r="B2697" i="1"/>
  <c r="C2697" i="1"/>
  <c r="M2697" i="1"/>
  <c r="A2698" i="1"/>
  <c r="B2698" i="1"/>
  <c r="C2698" i="1"/>
  <c r="M2698" i="1"/>
  <c r="A2699" i="1"/>
  <c r="B2699" i="1"/>
  <c r="C2699" i="1"/>
  <c r="M2699" i="1"/>
  <c r="A2700" i="1"/>
  <c r="B2700" i="1"/>
  <c r="C2700" i="1"/>
  <c r="M2700" i="1"/>
  <c r="A2701" i="1"/>
  <c r="B2701" i="1"/>
  <c r="C2701" i="1"/>
  <c r="M2701" i="1"/>
  <c r="A2702" i="1"/>
  <c r="B2702" i="1"/>
  <c r="C2702" i="1"/>
  <c r="M2702" i="1"/>
  <c r="A2703" i="1"/>
  <c r="B2703" i="1"/>
  <c r="C2703" i="1"/>
  <c r="M2703" i="1"/>
  <c r="A2704" i="1"/>
  <c r="B2704" i="1"/>
  <c r="C2704" i="1"/>
  <c r="M2704" i="1"/>
  <c r="A2705" i="1"/>
  <c r="B2705" i="1"/>
  <c r="C2705" i="1"/>
  <c r="M2705" i="1"/>
  <c r="A2706" i="1"/>
  <c r="B2706" i="1"/>
  <c r="C2706" i="1"/>
  <c r="M2706" i="1"/>
  <c r="A2707" i="1"/>
  <c r="B2707" i="1"/>
  <c r="C2707" i="1"/>
  <c r="M2707" i="1"/>
  <c r="A2708" i="1"/>
  <c r="B2708" i="1"/>
  <c r="C2708" i="1"/>
  <c r="M2708" i="1"/>
  <c r="A2709" i="1"/>
  <c r="B2709" i="1"/>
  <c r="C2709" i="1"/>
  <c r="M2709" i="1"/>
  <c r="A2710" i="1"/>
  <c r="B2710" i="1"/>
  <c r="C2710" i="1"/>
  <c r="M2710" i="1"/>
  <c r="A2711" i="1"/>
  <c r="B2711" i="1"/>
  <c r="C2711" i="1"/>
  <c r="M2711" i="1"/>
  <c r="A2712" i="1"/>
  <c r="B2712" i="1"/>
  <c r="C2712" i="1"/>
  <c r="M2712" i="1"/>
  <c r="A2713" i="1"/>
  <c r="B2713" i="1"/>
  <c r="C2713" i="1"/>
  <c r="M2713" i="1"/>
  <c r="A2714" i="1"/>
  <c r="B2714" i="1"/>
  <c r="C2714" i="1"/>
  <c r="M2714" i="1"/>
  <c r="A2715" i="1"/>
  <c r="B2715" i="1"/>
  <c r="C2715" i="1"/>
  <c r="M2715" i="1"/>
  <c r="A2716" i="1"/>
  <c r="B2716" i="1"/>
  <c r="C2716" i="1"/>
  <c r="M2716" i="1"/>
  <c r="A2717" i="1"/>
  <c r="B2717" i="1"/>
  <c r="C2717" i="1"/>
  <c r="M2717" i="1"/>
  <c r="A2718" i="1"/>
  <c r="B2718" i="1"/>
  <c r="C2718" i="1"/>
  <c r="M2718" i="1"/>
  <c r="A2719" i="1"/>
  <c r="B2719" i="1"/>
  <c r="C2719" i="1"/>
  <c r="M2719" i="1"/>
  <c r="A2720" i="1"/>
  <c r="B2720" i="1"/>
  <c r="C2720" i="1"/>
  <c r="M2720" i="1"/>
  <c r="A2721" i="1"/>
  <c r="B2721" i="1"/>
  <c r="C2721" i="1"/>
  <c r="M2721" i="1"/>
  <c r="A2722" i="1"/>
  <c r="B2722" i="1"/>
  <c r="C2722" i="1"/>
  <c r="M2722" i="1"/>
  <c r="A2723" i="1"/>
  <c r="B2723" i="1"/>
  <c r="C2723" i="1"/>
  <c r="M2723" i="1"/>
  <c r="A2724" i="1"/>
  <c r="B2724" i="1"/>
  <c r="C2724" i="1"/>
  <c r="M2724" i="1"/>
  <c r="A2725" i="1"/>
  <c r="B2725" i="1"/>
  <c r="C2725" i="1"/>
  <c r="M2725" i="1"/>
  <c r="A2726" i="1"/>
  <c r="B2726" i="1"/>
  <c r="C2726" i="1"/>
  <c r="M2726" i="1"/>
  <c r="A2727" i="1"/>
  <c r="B2727" i="1"/>
  <c r="C2727" i="1"/>
  <c r="M2727" i="1"/>
  <c r="A2728" i="1"/>
  <c r="B2728" i="1"/>
  <c r="C2728" i="1"/>
  <c r="M2728" i="1"/>
  <c r="A2729" i="1"/>
  <c r="B2729" i="1"/>
  <c r="C2729" i="1"/>
  <c r="M2729" i="1"/>
  <c r="A2730" i="1"/>
  <c r="B2730" i="1"/>
  <c r="C2730" i="1"/>
  <c r="M2730" i="1"/>
  <c r="A2731" i="1"/>
  <c r="B2731" i="1"/>
  <c r="C2731" i="1"/>
  <c r="M2731" i="1"/>
  <c r="A2732" i="1"/>
  <c r="B2732" i="1"/>
  <c r="C2732" i="1"/>
  <c r="M2732" i="1"/>
  <c r="A2733" i="1"/>
  <c r="B2733" i="1"/>
  <c r="C2733" i="1"/>
  <c r="M2733" i="1"/>
  <c r="A2734" i="1"/>
  <c r="B2734" i="1"/>
  <c r="C2734" i="1"/>
  <c r="M2734" i="1"/>
  <c r="A2735" i="1"/>
  <c r="B2735" i="1"/>
  <c r="C2735" i="1"/>
  <c r="M2735" i="1"/>
  <c r="A2736" i="1"/>
  <c r="B2736" i="1"/>
  <c r="C2736" i="1"/>
  <c r="M2736" i="1"/>
  <c r="A2737" i="1"/>
  <c r="B2737" i="1"/>
  <c r="C2737" i="1"/>
  <c r="M2737" i="1"/>
  <c r="A2738" i="1"/>
  <c r="B2738" i="1"/>
  <c r="C2738" i="1"/>
  <c r="M2738" i="1"/>
  <c r="A2739" i="1"/>
  <c r="B2739" i="1"/>
  <c r="C2739" i="1"/>
  <c r="M2739" i="1"/>
  <c r="A2740" i="1"/>
  <c r="B2740" i="1"/>
  <c r="C2740" i="1"/>
  <c r="M2740" i="1"/>
  <c r="A2741" i="1"/>
  <c r="B2741" i="1"/>
  <c r="C2741" i="1"/>
  <c r="M2741" i="1"/>
  <c r="A2742" i="1"/>
  <c r="B2742" i="1"/>
  <c r="C2742" i="1"/>
  <c r="M2742" i="1"/>
  <c r="A2743" i="1"/>
  <c r="B2743" i="1"/>
  <c r="C2743" i="1"/>
  <c r="M2743" i="1"/>
  <c r="A2744" i="1"/>
  <c r="B2744" i="1"/>
  <c r="C2744" i="1"/>
  <c r="M2744" i="1"/>
  <c r="A2745" i="1"/>
  <c r="B2745" i="1"/>
  <c r="C2745" i="1"/>
  <c r="M2745" i="1"/>
  <c r="A2746" i="1"/>
  <c r="B2746" i="1"/>
  <c r="C2746" i="1"/>
  <c r="M2746" i="1"/>
  <c r="A2747" i="1"/>
  <c r="B2747" i="1"/>
  <c r="C2747" i="1"/>
  <c r="M2747" i="1"/>
  <c r="A2748" i="1"/>
  <c r="B2748" i="1"/>
  <c r="C2748" i="1"/>
  <c r="M2748" i="1"/>
  <c r="A2749" i="1"/>
  <c r="B2749" i="1"/>
  <c r="C2749" i="1"/>
  <c r="M2749" i="1"/>
  <c r="A2750" i="1"/>
  <c r="B2750" i="1"/>
  <c r="C2750" i="1"/>
  <c r="M2750" i="1"/>
  <c r="A2751" i="1"/>
  <c r="B2751" i="1"/>
  <c r="C2751" i="1"/>
  <c r="M2751" i="1"/>
  <c r="A2752" i="1"/>
  <c r="B2752" i="1"/>
  <c r="C2752" i="1"/>
  <c r="M2752" i="1"/>
  <c r="A2753" i="1"/>
  <c r="B2753" i="1"/>
  <c r="C2753" i="1"/>
  <c r="M2753" i="1"/>
  <c r="A2754" i="1"/>
  <c r="B2754" i="1"/>
  <c r="C2754" i="1"/>
  <c r="M2754" i="1"/>
  <c r="A2755" i="1"/>
  <c r="B2755" i="1"/>
  <c r="C2755" i="1"/>
  <c r="M2755" i="1"/>
  <c r="A2756" i="1"/>
  <c r="B2756" i="1"/>
  <c r="C2756" i="1"/>
  <c r="M2756" i="1"/>
  <c r="A2757" i="1"/>
  <c r="B2757" i="1"/>
  <c r="C2757" i="1"/>
  <c r="M2757" i="1"/>
  <c r="A2758" i="1"/>
  <c r="B2758" i="1"/>
  <c r="C2758" i="1"/>
  <c r="M2758" i="1"/>
  <c r="A2759" i="1"/>
  <c r="B2759" i="1"/>
  <c r="C2759" i="1"/>
  <c r="M2759" i="1"/>
  <c r="A2760" i="1"/>
  <c r="B2760" i="1"/>
  <c r="C2760" i="1"/>
  <c r="M2760" i="1"/>
  <c r="A2761" i="1"/>
  <c r="B2761" i="1"/>
  <c r="C2761" i="1"/>
  <c r="M2761" i="1"/>
  <c r="A2762" i="1"/>
  <c r="B2762" i="1"/>
  <c r="C2762" i="1"/>
  <c r="M2762" i="1"/>
  <c r="A2763" i="1"/>
  <c r="B2763" i="1"/>
  <c r="C2763" i="1"/>
  <c r="M2763" i="1"/>
  <c r="A2764" i="1"/>
  <c r="B2764" i="1"/>
  <c r="C2764" i="1"/>
  <c r="M2764" i="1"/>
  <c r="A2765" i="1"/>
  <c r="B2765" i="1"/>
  <c r="C2765" i="1"/>
  <c r="M2765" i="1"/>
  <c r="A2766" i="1"/>
  <c r="B2766" i="1"/>
  <c r="C2766" i="1"/>
  <c r="M2766" i="1"/>
  <c r="A2767" i="1"/>
  <c r="B2767" i="1"/>
  <c r="C2767" i="1"/>
  <c r="M2767" i="1"/>
  <c r="A2768" i="1"/>
  <c r="B2768" i="1"/>
  <c r="C2768" i="1"/>
  <c r="M2768" i="1"/>
  <c r="A2769" i="1"/>
  <c r="B2769" i="1"/>
  <c r="C2769" i="1"/>
  <c r="M2769" i="1"/>
  <c r="A2770" i="1"/>
  <c r="B2770" i="1"/>
  <c r="C2770" i="1"/>
  <c r="M2770" i="1"/>
  <c r="A2771" i="1"/>
  <c r="B2771" i="1"/>
  <c r="C2771" i="1"/>
  <c r="M2771" i="1"/>
  <c r="A2772" i="1"/>
  <c r="B2772" i="1"/>
  <c r="C2772" i="1"/>
  <c r="M2772" i="1"/>
  <c r="A2773" i="1"/>
  <c r="B2773" i="1"/>
  <c r="C2773" i="1"/>
  <c r="M2773" i="1"/>
  <c r="A2774" i="1"/>
  <c r="B2774" i="1"/>
  <c r="C2774" i="1"/>
  <c r="M2774" i="1"/>
  <c r="A2775" i="1"/>
  <c r="B2775" i="1"/>
  <c r="C2775" i="1"/>
  <c r="M2775" i="1"/>
  <c r="A2776" i="1"/>
  <c r="B2776" i="1"/>
  <c r="C2776" i="1"/>
  <c r="M2776" i="1"/>
  <c r="A2777" i="1"/>
  <c r="B2777" i="1"/>
  <c r="C2777" i="1"/>
  <c r="M2777" i="1"/>
  <c r="A2778" i="1"/>
  <c r="B2778" i="1"/>
  <c r="C2778" i="1"/>
  <c r="M2778" i="1"/>
  <c r="A2779" i="1"/>
  <c r="B2779" i="1"/>
  <c r="C2779" i="1"/>
  <c r="M2779" i="1"/>
  <c r="A2780" i="1"/>
  <c r="B2780" i="1"/>
  <c r="C2780" i="1"/>
  <c r="M2780" i="1"/>
  <c r="A2781" i="1"/>
  <c r="B2781" i="1"/>
  <c r="C2781" i="1"/>
  <c r="M2781" i="1"/>
  <c r="A2782" i="1"/>
  <c r="B2782" i="1"/>
  <c r="C2782" i="1"/>
  <c r="M2782" i="1"/>
  <c r="A2783" i="1"/>
  <c r="B2783" i="1"/>
  <c r="C2783" i="1"/>
  <c r="M2783" i="1"/>
  <c r="A2784" i="1"/>
  <c r="B2784" i="1"/>
  <c r="C2784" i="1"/>
  <c r="M2784" i="1"/>
  <c r="A2785" i="1"/>
  <c r="B2785" i="1"/>
  <c r="C2785" i="1"/>
  <c r="M2785" i="1"/>
  <c r="A2786" i="1"/>
  <c r="B2786" i="1"/>
  <c r="C2786" i="1"/>
  <c r="M2786" i="1"/>
  <c r="A2787" i="1"/>
  <c r="B2787" i="1"/>
  <c r="C2787" i="1"/>
  <c r="M2787" i="1"/>
  <c r="A2788" i="1"/>
  <c r="B2788" i="1"/>
  <c r="C2788" i="1"/>
  <c r="M2788" i="1"/>
  <c r="A2789" i="1"/>
  <c r="B2789" i="1"/>
  <c r="C2789" i="1"/>
  <c r="M2789" i="1"/>
  <c r="A2790" i="1"/>
  <c r="B2790" i="1"/>
  <c r="C2790" i="1"/>
  <c r="M2790" i="1"/>
  <c r="A2791" i="1"/>
  <c r="B2791" i="1"/>
  <c r="C2791" i="1"/>
  <c r="M2791" i="1"/>
  <c r="A2792" i="1"/>
  <c r="B2792" i="1"/>
  <c r="C2792" i="1"/>
  <c r="M2792" i="1"/>
  <c r="A2793" i="1"/>
  <c r="B2793" i="1"/>
  <c r="C2793" i="1"/>
  <c r="M2793" i="1"/>
  <c r="A2794" i="1"/>
  <c r="B2794" i="1"/>
  <c r="C2794" i="1"/>
  <c r="M2794" i="1"/>
  <c r="A2795" i="1"/>
  <c r="B2795" i="1"/>
  <c r="C2795" i="1"/>
  <c r="M2795" i="1"/>
  <c r="A2796" i="1"/>
  <c r="B2796" i="1"/>
  <c r="C2796" i="1"/>
  <c r="M2796" i="1"/>
  <c r="A2797" i="1"/>
  <c r="B2797" i="1"/>
  <c r="C2797" i="1"/>
  <c r="M2797" i="1"/>
  <c r="A2798" i="1"/>
  <c r="B2798" i="1"/>
  <c r="C2798" i="1"/>
  <c r="M2798" i="1"/>
  <c r="A2799" i="1"/>
  <c r="B2799" i="1"/>
  <c r="C2799" i="1"/>
  <c r="M2799" i="1"/>
  <c r="A2800" i="1"/>
  <c r="B2800" i="1"/>
  <c r="C2800" i="1"/>
  <c r="M2800" i="1"/>
  <c r="A2801" i="1"/>
  <c r="B2801" i="1"/>
  <c r="C2801" i="1"/>
  <c r="M2801" i="1"/>
  <c r="A2802" i="1"/>
  <c r="B2802" i="1"/>
  <c r="C2802" i="1"/>
  <c r="M2802" i="1"/>
  <c r="A2803" i="1"/>
  <c r="B2803" i="1"/>
  <c r="C2803" i="1"/>
  <c r="M2803" i="1"/>
  <c r="A2804" i="1"/>
  <c r="B2804" i="1"/>
  <c r="C2804" i="1"/>
  <c r="M2804" i="1"/>
  <c r="A2805" i="1"/>
  <c r="B2805" i="1"/>
  <c r="C2805" i="1"/>
  <c r="M2805" i="1"/>
  <c r="A2806" i="1"/>
  <c r="B2806" i="1"/>
  <c r="C2806" i="1"/>
  <c r="M2806" i="1"/>
  <c r="A2807" i="1"/>
  <c r="B2807" i="1"/>
  <c r="C2807" i="1"/>
  <c r="M2807" i="1"/>
  <c r="A2808" i="1"/>
  <c r="B2808" i="1"/>
  <c r="C2808" i="1"/>
  <c r="M2808" i="1"/>
  <c r="A2809" i="1"/>
  <c r="B2809" i="1"/>
  <c r="C2809" i="1"/>
  <c r="M2809" i="1"/>
  <c r="A2810" i="1"/>
  <c r="B2810" i="1"/>
  <c r="C2810" i="1"/>
  <c r="M2810" i="1"/>
  <c r="A2811" i="1"/>
  <c r="B2811" i="1"/>
  <c r="C2811" i="1"/>
  <c r="M2811" i="1"/>
  <c r="A2812" i="1"/>
  <c r="B2812" i="1"/>
  <c r="C2812" i="1"/>
  <c r="M2812" i="1"/>
  <c r="A2813" i="1"/>
  <c r="B2813" i="1"/>
  <c r="C2813" i="1"/>
  <c r="M2813" i="1"/>
  <c r="A2814" i="1"/>
  <c r="B2814" i="1"/>
  <c r="C2814" i="1"/>
  <c r="M2814" i="1"/>
  <c r="A2815" i="1"/>
  <c r="B2815" i="1"/>
  <c r="C2815" i="1"/>
  <c r="M2815" i="1"/>
  <c r="A2816" i="1"/>
  <c r="B2816" i="1"/>
  <c r="C2816" i="1"/>
  <c r="M2816" i="1"/>
  <c r="A2817" i="1"/>
  <c r="B2817" i="1"/>
  <c r="C2817" i="1"/>
  <c r="M2817" i="1"/>
  <c r="A2818" i="1"/>
  <c r="B2818" i="1"/>
  <c r="C2818" i="1"/>
  <c r="M2818" i="1"/>
  <c r="A2819" i="1"/>
  <c r="B2819" i="1"/>
  <c r="C2819" i="1"/>
  <c r="M2819" i="1"/>
  <c r="A2820" i="1"/>
  <c r="B2820" i="1"/>
  <c r="C2820" i="1"/>
  <c r="M2820" i="1"/>
  <c r="A2821" i="1"/>
  <c r="B2821" i="1"/>
  <c r="C2821" i="1"/>
  <c r="M2821" i="1"/>
  <c r="A2822" i="1"/>
  <c r="B2822" i="1"/>
  <c r="C2822" i="1"/>
  <c r="M2822" i="1"/>
  <c r="A2823" i="1"/>
  <c r="B2823" i="1"/>
  <c r="C2823" i="1"/>
  <c r="M2823" i="1"/>
  <c r="A2824" i="1"/>
  <c r="B2824" i="1"/>
  <c r="C2824" i="1"/>
  <c r="M2824" i="1"/>
  <c r="A2825" i="1"/>
  <c r="B2825" i="1"/>
  <c r="C2825" i="1"/>
  <c r="M2825" i="1"/>
  <c r="A2826" i="1"/>
  <c r="B2826" i="1"/>
  <c r="C2826" i="1"/>
  <c r="M2826" i="1"/>
  <c r="A2827" i="1"/>
  <c r="B2827" i="1"/>
  <c r="C2827" i="1"/>
  <c r="M2827" i="1"/>
  <c r="A2828" i="1"/>
  <c r="B2828" i="1"/>
  <c r="C2828" i="1"/>
  <c r="M2828" i="1"/>
  <c r="A2829" i="1"/>
  <c r="B2829" i="1"/>
  <c r="C2829" i="1"/>
  <c r="M2829" i="1"/>
  <c r="A2830" i="1"/>
  <c r="B2830" i="1"/>
  <c r="C2830" i="1"/>
  <c r="M2830" i="1"/>
  <c r="A2831" i="1"/>
  <c r="B2831" i="1"/>
  <c r="C2831" i="1"/>
  <c r="M2831" i="1"/>
  <c r="A2832" i="1"/>
  <c r="B2832" i="1"/>
  <c r="C2832" i="1"/>
  <c r="M2832" i="1"/>
  <c r="A2833" i="1"/>
  <c r="B2833" i="1"/>
  <c r="C2833" i="1"/>
  <c r="M2833" i="1"/>
  <c r="A2834" i="1"/>
  <c r="B2834" i="1"/>
  <c r="C2834" i="1"/>
  <c r="M2834" i="1"/>
  <c r="A2835" i="1"/>
  <c r="B2835" i="1"/>
  <c r="C2835" i="1"/>
  <c r="M2835" i="1"/>
  <c r="A2836" i="1"/>
  <c r="B2836" i="1"/>
  <c r="C2836" i="1"/>
  <c r="M2836" i="1"/>
  <c r="A2837" i="1"/>
  <c r="B2837" i="1"/>
  <c r="C2837" i="1"/>
  <c r="M2837" i="1"/>
  <c r="A2838" i="1"/>
  <c r="B2838" i="1"/>
  <c r="C2838" i="1"/>
  <c r="M2838" i="1"/>
  <c r="A2839" i="1"/>
  <c r="B2839" i="1"/>
  <c r="C2839" i="1"/>
  <c r="M2839" i="1"/>
  <c r="A2840" i="1"/>
  <c r="B2840" i="1"/>
  <c r="C2840" i="1"/>
  <c r="M2840" i="1"/>
  <c r="A2841" i="1"/>
  <c r="B2841" i="1"/>
  <c r="C2841" i="1"/>
  <c r="M2841" i="1"/>
  <c r="A2842" i="1"/>
  <c r="B2842" i="1"/>
  <c r="C2842" i="1"/>
  <c r="M2842" i="1"/>
  <c r="A2843" i="1"/>
  <c r="B2843" i="1"/>
  <c r="C2843" i="1"/>
  <c r="M2843" i="1"/>
  <c r="A2844" i="1"/>
  <c r="B2844" i="1"/>
  <c r="C2844" i="1"/>
  <c r="M2844" i="1"/>
  <c r="A2845" i="1"/>
  <c r="B2845" i="1"/>
  <c r="C2845" i="1"/>
  <c r="M2845" i="1"/>
  <c r="A2846" i="1"/>
  <c r="B2846" i="1"/>
  <c r="C2846" i="1"/>
  <c r="M2846" i="1"/>
  <c r="A2847" i="1"/>
  <c r="B2847" i="1"/>
  <c r="C2847" i="1"/>
  <c r="M2847" i="1"/>
  <c r="A2848" i="1"/>
  <c r="B2848" i="1"/>
  <c r="C2848" i="1"/>
  <c r="M2848" i="1"/>
  <c r="A2849" i="1"/>
  <c r="B2849" i="1"/>
  <c r="C2849" i="1"/>
  <c r="M2849" i="1"/>
  <c r="A2850" i="1"/>
  <c r="B2850" i="1"/>
  <c r="C2850" i="1"/>
  <c r="M2850" i="1"/>
  <c r="A2851" i="1"/>
  <c r="B2851" i="1"/>
  <c r="C2851" i="1"/>
  <c r="M2851" i="1"/>
  <c r="A2852" i="1"/>
  <c r="B2852" i="1"/>
  <c r="C2852" i="1"/>
  <c r="M2852" i="1"/>
  <c r="A2853" i="1"/>
  <c r="B2853" i="1"/>
  <c r="C2853" i="1"/>
  <c r="M2853" i="1"/>
  <c r="A2854" i="1"/>
  <c r="B2854" i="1"/>
  <c r="C2854" i="1"/>
  <c r="M2854" i="1"/>
  <c r="A2855" i="1"/>
  <c r="B2855" i="1"/>
  <c r="C2855" i="1"/>
  <c r="M2855" i="1"/>
  <c r="A2856" i="1"/>
  <c r="B2856" i="1"/>
  <c r="C2856" i="1"/>
  <c r="M2856" i="1"/>
  <c r="A2857" i="1"/>
  <c r="B2857" i="1"/>
  <c r="C2857" i="1"/>
  <c r="M2857" i="1"/>
  <c r="A2858" i="1"/>
  <c r="B2858" i="1"/>
  <c r="C2858" i="1"/>
  <c r="M2858" i="1"/>
  <c r="A2859" i="1"/>
  <c r="B2859" i="1"/>
  <c r="C2859" i="1"/>
  <c r="M2859" i="1"/>
  <c r="A2860" i="1"/>
  <c r="B2860" i="1"/>
  <c r="C2860" i="1"/>
  <c r="M2860" i="1"/>
  <c r="A2861" i="1"/>
  <c r="B2861" i="1"/>
  <c r="C2861" i="1"/>
  <c r="M2861" i="1"/>
  <c r="A2862" i="1"/>
  <c r="B2862" i="1"/>
  <c r="C2862" i="1"/>
  <c r="M2862" i="1"/>
  <c r="A2863" i="1"/>
  <c r="B2863" i="1"/>
  <c r="C2863" i="1"/>
  <c r="M2863" i="1"/>
  <c r="A2864" i="1"/>
  <c r="B2864" i="1"/>
  <c r="C2864" i="1"/>
  <c r="M2864" i="1"/>
  <c r="A2865" i="1"/>
  <c r="B2865" i="1"/>
  <c r="C2865" i="1"/>
  <c r="M2865" i="1"/>
  <c r="A2866" i="1"/>
  <c r="B2866" i="1"/>
  <c r="C2866" i="1"/>
  <c r="M2866" i="1"/>
  <c r="A2867" i="1"/>
  <c r="B2867" i="1"/>
  <c r="C2867" i="1"/>
  <c r="M2867" i="1"/>
  <c r="A2868" i="1"/>
  <c r="B2868" i="1"/>
  <c r="C2868" i="1"/>
  <c r="M2868" i="1"/>
  <c r="A2869" i="1"/>
  <c r="B2869" i="1"/>
  <c r="C2869" i="1"/>
  <c r="M2869" i="1"/>
  <c r="A2870" i="1"/>
  <c r="B2870" i="1"/>
  <c r="C2870" i="1"/>
  <c r="M2870" i="1"/>
  <c r="A2871" i="1"/>
  <c r="B2871" i="1"/>
  <c r="C2871" i="1"/>
  <c r="M2871" i="1"/>
  <c r="A2872" i="1"/>
  <c r="B2872" i="1"/>
  <c r="C2872" i="1"/>
  <c r="M2872" i="1"/>
  <c r="A2873" i="1"/>
  <c r="B2873" i="1"/>
  <c r="C2873" i="1"/>
  <c r="M2873" i="1"/>
  <c r="A2874" i="1"/>
  <c r="B2874" i="1"/>
  <c r="C2874" i="1"/>
  <c r="M2874" i="1"/>
  <c r="A2875" i="1"/>
  <c r="B2875" i="1"/>
  <c r="C2875" i="1"/>
  <c r="M2875" i="1"/>
  <c r="A2876" i="1"/>
  <c r="B2876" i="1"/>
  <c r="C2876" i="1"/>
  <c r="M2876" i="1"/>
  <c r="A2877" i="1"/>
  <c r="B2877" i="1"/>
  <c r="C2877" i="1"/>
  <c r="M2877" i="1"/>
  <c r="A2878" i="1"/>
  <c r="B2878" i="1"/>
  <c r="C2878" i="1"/>
  <c r="M2878" i="1"/>
  <c r="A2879" i="1"/>
  <c r="B2879" i="1"/>
  <c r="C2879" i="1"/>
  <c r="M2879" i="1"/>
  <c r="A2880" i="1"/>
  <c r="B2880" i="1"/>
  <c r="C2880" i="1"/>
  <c r="M2880" i="1"/>
  <c r="A2881" i="1"/>
  <c r="B2881" i="1"/>
  <c r="C2881" i="1"/>
  <c r="M2881" i="1"/>
  <c r="A2882" i="1"/>
  <c r="B2882" i="1"/>
  <c r="C2882" i="1"/>
  <c r="M2882" i="1"/>
  <c r="A2883" i="1"/>
  <c r="B2883" i="1"/>
  <c r="C2883" i="1"/>
  <c r="M2883" i="1"/>
  <c r="A2884" i="1"/>
  <c r="B2884" i="1"/>
  <c r="C2884" i="1"/>
  <c r="M2884" i="1"/>
  <c r="A2885" i="1"/>
  <c r="B2885" i="1"/>
  <c r="C2885" i="1"/>
  <c r="M2885" i="1"/>
  <c r="A2886" i="1"/>
  <c r="B2886" i="1"/>
  <c r="C2886" i="1"/>
  <c r="M2886" i="1"/>
  <c r="A2887" i="1"/>
  <c r="B2887" i="1"/>
  <c r="C2887" i="1"/>
  <c r="M2887" i="1"/>
  <c r="A2888" i="1"/>
  <c r="B2888" i="1"/>
  <c r="C2888" i="1"/>
  <c r="M2888" i="1"/>
  <c r="A2889" i="1"/>
  <c r="B2889" i="1"/>
  <c r="C2889" i="1"/>
  <c r="M2889" i="1"/>
  <c r="A2890" i="1"/>
  <c r="B2890" i="1"/>
  <c r="C2890" i="1"/>
  <c r="M2890" i="1"/>
  <c r="A2891" i="1"/>
  <c r="B2891" i="1"/>
  <c r="C2891" i="1"/>
  <c r="M2891" i="1"/>
  <c r="A2892" i="1"/>
  <c r="B2892" i="1"/>
  <c r="C2892" i="1"/>
  <c r="M2892" i="1"/>
  <c r="A2893" i="1"/>
  <c r="B2893" i="1"/>
  <c r="C2893" i="1"/>
  <c r="M2893" i="1"/>
  <c r="A2894" i="1"/>
  <c r="B2894" i="1"/>
  <c r="C2894" i="1"/>
  <c r="M2894" i="1"/>
  <c r="A2895" i="1"/>
  <c r="B2895" i="1"/>
  <c r="C2895" i="1"/>
  <c r="M2895" i="1"/>
  <c r="A2896" i="1"/>
  <c r="B2896" i="1"/>
  <c r="C2896" i="1"/>
  <c r="M2896" i="1"/>
  <c r="A2897" i="1"/>
  <c r="B2897" i="1"/>
  <c r="C2897" i="1"/>
  <c r="M2897" i="1"/>
  <c r="A2898" i="1"/>
  <c r="B2898" i="1"/>
  <c r="C2898" i="1"/>
  <c r="M2898" i="1"/>
  <c r="A2899" i="1"/>
  <c r="B2899" i="1"/>
  <c r="C2899" i="1"/>
  <c r="M2899" i="1"/>
  <c r="A2900" i="1"/>
  <c r="B2900" i="1"/>
  <c r="C2900" i="1"/>
  <c r="M2900" i="1"/>
  <c r="A2901" i="1"/>
  <c r="B2901" i="1"/>
  <c r="C2901" i="1"/>
  <c r="M2901" i="1"/>
  <c r="A2902" i="1"/>
  <c r="B2902" i="1"/>
  <c r="C2902" i="1"/>
  <c r="M2902" i="1"/>
  <c r="A2903" i="1"/>
  <c r="B2903" i="1"/>
  <c r="C2903" i="1"/>
  <c r="M2903" i="1"/>
  <c r="A2904" i="1"/>
  <c r="B2904" i="1"/>
  <c r="C2904" i="1"/>
  <c r="M2904" i="1"/>
  <c r="A2905" i="1"/>
  <c r="B2905" i="1"/>
  <c r="C2905" i="1"/>
  <c r="M2905" i="1"/>
  <c r="A2906" i="1"/>
  <c r="B2906" i="1"/>
  <c r="C2906" i="1"/>
  <c r="M2906" i="1"/>
  <c r="A2907" i="1"/>
  <c r="B2907" i="1"/>
  <c r="C2907" i="1"/>
  <c r="M2907" i="1"/>
  <c r="A2908" i="1"/>
  <c r="B2908" i="1"/>
  <c r="C2908" i="1"/>
  <c r="M2908" i="1"/>
  <c r="A2909" i="1"/>
  <c r="B2909" i="1"/>
  <c r="C2909" i="1"/>
  <c r="M2909" i="1"/>
  <c r="A2910" i="1"/>
  <c r="B2910" i="1"/>
  <c r="C2910" i="1"/>
  <c r="M2910" i="1"/>
  <c r="A2911" i="1"/>
  <c r="B2911" i="1"/>
  <c r="C2911" i="1"/>
  <c r="M2911" i="1"/>
  <c r="A2912" i="1"/>
  <c r="B2912" i="1"/>
  <c r="C2912" i="1"/>
  <c r="M2912" i="1"/>
  <c r="A2913" i="1"/>
  <c r="B2913" i="1"/>
  <c r="C2913" i="1"/>
  <c r="M2913" i="1"/>
  <c r="A2914" i="1"/>
  <c r="B2914" i="1"/>
  <c r="C2914" i="1"/>
  <c r="M2914" i="1"/>
  <c r="A2915" i="1"/>
  <c r="B2915" i="1"/>
  <c r="C2915" i="1"/>
  <c r="M2915" i="1"/>
  <c r="A2916" i="1"/>
  <c r="B2916" i="1"/>
  <c r="C2916" i="1"/>
  <c r="M2916" i="1"/>
  <c r="A2917" i="1"/>
  <c r="B2917" i="1"/>
  <c r="C2917" i="1"/>
  <c r="M2917" i="1"/>
  <c r="A2918" i="1"/>
  <c r="B2918" i="1"/>
  <c r="C2918" i="1"/>
  <c r="M2918" i="1"/>
  <c r="A2919" i="1"/>
  <c r="B2919" i="1"/>
  <c r="C2919" i="1"/>
  <c r="M2919" i="1"/>
  <c r="A2920" i="1"/>
  <c r="B2920" i="1"/>
  <c r="C2920" i="1"/>
  <c r="M2920" i="1"/>
  <c r="A2921" i="1"/>
  <c r="B2921" i="1"/>
  <c r="C2921" i="1"/>
  <c r="M2921" i="1"/>
  <c r="A2922" i="1"/>
  <c r="B2922" i="1"/>
  <c r="C2922" i="1"/>
  <c r="M2922" i="1"/>
  <c r="A2923" i="1"/>
  <c r="B2923" i="1"/>
  <c r="C2923" i="1"/>
  <c r="M2923" i="1"/>
  <c r="A2924" i="1"/>
  <c r="B2924" i="1"/>
  <c r="C2924" i="1"/>
  <c r="M2924" i="1"/>
  <c r="A2925" i="1"/>
  <c r="B2925" i="1"/>
  <c r="C2925" i="1"/>
  <c r="M2925" i="1"/>
  <c r="A2926" i="1"/>
  <c r="B2926" i="1"/>
  <c r="C2926" i="1"/>
  <c r="M2926" i="1"/>
  <c r="A2927" i="1"/>
  <c r="B2927" i="1"/>
  <c r="C2927" i="1"/>
  <c r="M2927" i="1"/>
  <c r="A2928" i="1"/>
  <c r="B2928" i="1"/>
  <c r="C2928" i="1"/>
  <c r="M2928" i="1"/>
  <c r="A2929" i="1"/>
  <c r="B2929" i="1"/>
  <c r="C2929" i="1"/>
  <c r="M2929" i="1"/>
  <c r="A2930" i="1"/>
  <c r="B2930" i="1"/>
  <c r="C2930" i="1"/>
  <c r="M2930" i="1"/>
  <c r="A2931" i="1"/>
  <c r="B2931" i="1"/>
  <c r="C2931" i="1"/>
  <c r="M2931" i="1"/>
  <c r="A2932" i="1"/>
  <c r="B2932" i="1"/>
  <c r="C2932" i="1"/>
  <c r="M2932" i="1"/>
  <c r="A2933" i="1"/>
  <c r="B2933" i="1"/>
  <c r="C2933" i="1"/>
  <c r="M2933" i="1"/>
  <c r="A2934" i="1"/>
  <c r="B2934" i="1"/>
  <c r="C2934" i="1"/>
  <c r="M2934" i="1"/>
  <c r="A2935" i="1"/>
  <c r="B2935" i="1"/>
  <c r="C2935" i="1"/>
  <c r="M2935" i="1"/>
  <c r="A2936" i="1"/>
  <c r="B2936" i="1"/>
  <c r="C2936" i="1"/>
  <c r="M2936" i="1"/>
  <c r="A2937" i="1"/>
  <c r="B2937" i="1"/>
  <c r="C2937" i="1"/>
  <c r="M2937" i="1"/>
  <c r="A2938" i="1"/>
  <c r="B2938" i="1"/>
  <c r="C2938" i="1"/>
  <c r="M2938" i="1"/>
  <c r="A2939" i="1"/>
  <c r="B2939" i="1"/>
  <c r="C2939" i="1"/>
  <c r="M2939" i="1"/>
  <c r="A2940" i="1"/>
  <c r="B2940" i="1"/>
  <c r="C2940" i="1"/>
  <c r="M2940" i="1"/>
  <c r="A2941" i="1"/>
  <c r="B2941" i="1"/>
  <c r="C2941" i="1"/>
  <c r="M2941" i="1"/>
  <c r="A2942" i="1"/>
  <c r="B2942" i="1"/>
  <c r="C2942" i="1"/>
  <c r="M2942" i="1"/>
  <c r="A2943" i="1"/>
  <c r="B2943" i="1"/>
  <c r="C2943" i="1"/>
  <c r="M2943" i="1"/>
  <c r="A2944" i="1"/>
  <c r="B2944" i="1"/>
  <c r="C2944" i="1"/>
  <c r="M2944" i="1"/>
  <c r="A2945" i="1"/>
  <c r="B2945" i="1"/>
  <c r="C2945" i="1"/>
  <c r="M2945" i="1"/>
  <c r="A2946" i="1"/>
  <c r="B2946" i="1"/>
  <c r="C2946" i="1"/>
  <c r="M2946" i="1"/>
  <c r="A2947" i="1"/>
  <c r="B2947" i="1"/>
  <c r="C2947" i="1"/>
  <c r="M2947" i="1"/>
  <c r="A2948" i="1"/>
  <c r="B2948" i="1"/>
  <c r="C2948" i="1"/>
  <c r="M2948" i="1"/>
  <c r="A2949" i="1"/>
  <c r="B2949" i="1"/>
  <c r="C2949" i="1"/>
  <c r="M2949" i="1"/>
  <c r="A2950" i="1"/>
  <c r="B2950" i="1"/>
  <c r="C2950" i="1"/>
  <c r="M2950" i="1"/>
  <c r="A2951" i="1"/>
  <c r="B2951" i="1"/>
  <c r="C2951" i="1"/>
  <c r="M2951" i="1"/>
  <c r="A2952" i="1"/>
  <c r="B2952" i="1"/>
  <c r="C2952" i="1"/>
  <c r="M2952" i="1"/>
  <c r="A2953" i="1"/>
  <c r="B2953" i="1"/>
  <c r="C2953" i="1"/>
  <c r="M2953" i="1"/>
  <c r="A2954" i="1"/>
  <c r="B2954" i="1"/>
  <c r="C2954" i="1"/>
  <c r="M2954" i="1"/>
  <c r="A2955" i="1"/>
  <c r="B2955" i="1"/>
  <c r="C2955" i="1"/>
  <c r="M2955" i="1"/>
  <c r="A2956" i="1"/>
  <c r="B2956" i="1"/>
  <c r="C2956" i="1"/>
  <c r="M2956" i="1"/>
  <c r="A2957" i="1"/>
  <c r="B2957" i="1"/>
  <c r="C2957" i="1"/>
  <c r="M2957" i="1"/>
  <c r="A2958" i="1"/>
  <c r="B2958" i="1"/>
  <c r="C2958" i="1"/>
  <c r="M2958" i="1"/>
  <c r="A2959" i="1"/>
  <c r="B2959" i="1"/>
  <c r="C2959" i="1"/>
  <c r="M2959" i="1"/>
  <c r="A2960" i="1"/>
  <c r="B2960" i="1"/>
  <c r="C2960" i="1"/>
  <c r="M2960" i="1"/>
  <c r="A2961" i="1"/>
  <c r="B2961" i="1"/>
  <c r="C2961" i="1"/>
  <c r="M2961" i="1"/>
  <c r="A2962" i="1"/>
  <c r="B2962" i="1"/>
  <c r="C2962" i="1"/>
  <c r="M2962" i="1"/>
  <c r="A2963" i="1"/>
  <c r="B2963" i="1"/>
  <c r="C2963" i="1"/>
  <c r="M2963" i="1"/>
  <c r="A2964" i="1"/>
  <c r="B2964" i="1"/>
  <c r="C2964" i="1"/>
  <c r="M2964" i="1"/>
  <c r="A2965" i="1"/>
  <c r="B2965" i="1"/>
  <c r="C2965" i="1"/>
  <c r="M2965" i="1"/>
  <c r="A2966" i="1"/>
  <c r="B2966" i="1"/>
  <c r="C2966" i="1"/>
  <c r="M2966" i="1"/>
  <c r="A2967" i="1"/>
  <c r="B2967" i="1"/>
  <c r="C2967" i="1"/>
  <c r="M2967" i="1"/>
  <c r="A2968" i="1"/>
  <c r="B2968" i="1"/>
  <c r="C2968" i="1"/>
  <c r="M2968" i="1"/>
  <c r="A2969" i="1"/>
  <c r="B2969" i="1"/>
  <c r="C2969" i="1"/>
  <c r="M2969" i="1"/>
  <c r="A2970" i="1"/>
  <c r="B2970" i="1"/>
  <c r="C2970" i="1"/>
  <c r="M2970" i="1"/>
  <c r="A2971" i="1"/>
  <c r="B2971" i="1"/>
  <c r="C2971" i="1"/>
  <c r="M2971" i="1"/>
  <c r="A2972" i="1"/>
  <c r="B2972" i="1"/>
  <c r="C2972" i="1"/>
  <c r="M2972" i="1"/>
  <c r="A2973" i="1"/>
  <c r="B2973" i="1"/>
  <c r="C2973" i="1"/>
  <c r="M2973" i="1"/>
  <c r="A2974" i="1"/>
  <c r="B2974" i="1"/>
  <c r="C2974" i="1"/>
  <c r="M2974" i="1"/>
  <c r="A2975" i="1"/>
  <c r="B2975" i="1"/>
  <c r="C2975" i="1"/>
  <c r="M2975" i="1"/>
  <c r="A2976" i="1"/>
  <c r="B2976" i="1"/>
  <c r="C2976" i="1"/>
  <c r="M2976" i="1"/>
  <c r="A2977" i="1"/>
  <c r="B2977" i="1"/>
  <c r="C2977" i="1"/>
  <c r="M2977" i="1"/>
  <c r="A2978" i="1"/>
  <c r="B2978" i="1"/>
  <c r="C2978" i="1"/>
  <c r="M2978" i="1"/>
  <c r="A2979" i="1"/>
  <c r="B2979" i="1"/>
  <c r="C2979" i="1"/>
  <c r="M2979" i="1"/>
  <c r="A2980" i="1"/>
  <c r="B2980" i="1"/>
  <c r="C2980" i="1"/>
  <c r="M2980" i="1"/>
  <c r="A2981" i="1"/>
  <c r="B2981" i="1"/>
  <c r="C2981" i="1"/>
  <c r="M2981" i="1"/>
  <c r="A2982" i="1"/>
  <c r="B2982" i="1"/>
  <c r="C2982" i="1"/>
  <c r="M2982" i="1"/>
  <c r="A2983" i="1"/>
  <c r="B2983" i="1"/>
  <c r="C2983" i="1"/>
  <c r="M2983" i="1"/>
  <c r="A2984" i="1"/>
  <c r="B2984" i="1"/>
  <c r="C2984" i="1"/>
  <c r="M2984" i="1"/>
  <c r="A2985" i="1"/>
  <c r="B2985" i="1"/>
  <c r="C2985" i="1"/>
  <c r="M2985" i="1"/>
  <c r="A2986" i="1"/>
  <c r="B2986" i="1"/>
  <c r="C2986" i="1"/>
  <c r="M2986" i="1"/>
  <c r="A2987" i="1"/>
  <c r="B2987" i="1"/>
  <c r="C2987" i="1"/>
  <c r="M2987" i="1"/>
  <c r="A2988" i="1"/>
  <c r="B2988" i="1"/>
  <c r="C2988" i="1"/>
  <c r="M2988" i="1"/>
  <c r="A2989" i="1"/>
  <c r="B2989" i="1"/>
  <c r="C2989" i="1"/>
  <c r="M2989" i="1"/>
  <c r="A2990" i="1"/>
  <c r="B2990" i="1"/>
  <c r="C2990" i="1"/>
  <c r="M2990" i="1"/>
  <c r="A2991" i="1"/>
  <c r="B2991" i="1"/>
  <c r="C2991" i="1"/>
  <c r="M2991" i="1"/>
  <c r="A2992" i="1"/>
  <c r="B2992" i="1"/>
  <c r="C2992" i="1"/>
  <c r="M2992" i="1"/>
  <c r="A2993" i="1"/>
  <c r="B2993" i="1"/>
  <c r="C2993" i="1"/>
  <c r="M2993" i="1"/>
  <c r="A2994" i="1"/>
  <c r="B2994" i="1"/>
  <c r="C2994" i="1"/>
  <c r="M2994" i="1"/>
  <c r="A2995" i="1"/>
  <c r="B2995" i="1"/>
  <c r="C2995" i="1"/>
  <c r="M2995" i="1"/>
  <c r="A2996" i="1"/>
  <c r="B2996" i="1"/>
  <c r="C2996" i="1"/>
  <c r="M2996" i="1"/>
  <c r="A2997" i="1"/>
  <c r="B2997" i="1"/>
  <c r="C2997" i="1"/>
  <c r="M2997" i="1"/>
  <c r="A2998" i="1"/>
  <c r="B2998" i="1"/>
  <c r="C2998" i="1"/>
  <c r="M2998" i="1"/>
  <c r="A2999" i="1"/>
  <c r="B2999" i="1"/>
  <c r="C2999" i="1"/>
  <c r="M2999" i="1"/>
  <c r="A3000" i="1"/>
  <c r="B3000" i="1"/>
  <c r="C3000" i="1"/>
  <c r="M3000" i="1"/>
  <c r="A3001" i="1"/>
  <c r="B3001" i="1"/>
  <c r="C3001" i="1"/>
  <c r="M3001" i="1"/>
  <c r="A3002" i="1"/>
  <c r="B3002" i="1"/>
  <c r="C3002" i="1"/>
  <c r="M3002" i="1"/>
  <c r="A3003" i="1"/>
  <c r="B3003" i="1"/>
  <c r="C3003" i="1"/>
  <c r="M3003" i="1"/>
  <c r="A3004" i="1"/>
  <c r="B3004" i="1"/>
  <c r="C3004" i="1"/>
  <c r="M3004" i="1"/>
  <c r="A3005" i="1"/>
  <c r="B3005" i="1"/>
  <c r="C3005" i="1"/>
  <c r="M3005" i="1"/>
  <c r="A3006" i="1"/>
  <c r="B3006" i="1"/>
  <c r="C3006" i="1"/>
  <c r="M3006" i="1"/>
  <c r="A3007" i="1"/>
  <c r="B3007" i="1"/>
  <c r="C3007" i="1"/>
  <c r="M3007" i="1"/>
  <c r="A3008" i="1"/>
  <c r="B3008" i="1"/>
  <c r="C3008" i="1"/>
  <c r="M3008" i="1"/>
  <c r="A3009" i="1"/>
  <c r="B3009" i="1"/>
  <c r="C3009" i="1"/>
  <c r="M3009" i="1"/>
  <c r="A3010" i="1"/>
  <c r="B3010" i="1"/>
  <c r="C3010" i="1"/>
  <c r="M3010" i="1"/>
  <c r="A3011" i="1"/>
  <c r="B3011" i="1"/>
  <c r="C3011" i="1"/>
  <c r="M3011" i="1"/>
  <c r="A3012" i="1"/>
  <c r="B3012" i="1"/>
  <c r="C3012" i="1"/>
  <c r="M3012" i="1"/>
  <c r="A3013" i="1"/>
  <c r="B3013" i="1"/>
  <c r="C3013" i="1"/>
  <c r="M3013" i="1"/>
  <c r="A3014" i="1"/>
  <c r="B3014" i="1"/>
  <c r="C3014" i="1"/>
  <c r="M3014" i="1"/>
  <c r="A3015" i="1"/>
  <c r="B3015" i="1"/>
  <c r="C3015" i="1"/>
  <c r="M3015" i="1"/>
  <c r="A3016" i="1"/>
  <c r="B3016" i="1"/>
  <c r="C3016" i="1"/>
  <c r="M3016" i="1"/>
  <c r="A3017" i="1"/>
  <c r="B3017" i="1"/>
  <c r="C3017" i="1"/>
  <c r="M3017" i="1"/>
  <c r="A3018" i="1"/>
  <c r="B3018" i="1"/>
  <c r="C3018" i="1"/>
  <c r="M3018" i="1"/>
  <c r="A3019" i="1"/>
  <c r="B3019" i="1"/>
  <c r="C3019" i="1"/>
  <c r="M3019" i="1"/>
  <c r="A3020" i="1"/>
  <c r="B3020" i="1"/>
  <c r="C3020" i="1"/>
  <c r="M3020" i="1"/>
  <c r="A3021" i="1"/>
  <c r="B3021" i="1"/>
  <c r="C3021" i="1"/>
  <c r="M3021" i="1"/>
  <c r="A3022" i="1"/>
  <c r="B3022" i="1"/>
  <c r="C3022" i="1"/>
  <c r="M3022" i="1"/>
  <c r="A3023" i="1"/>
  <c r="B3023" i="1"/>
  <c r="C3023" i="1"/>
  <c r="M3023" i="1"/>
  <c r="A3024" i="1"/>
  <c r="B3024" i="1"/>
  <c r="C3024" i="1"/>
  <c r="M3024" i="1"/>
  <c r="A3025" i="1"/>
  <c r="B3025" i="1"/>
  <c r="C3025" i="1"/>
  <c r="M3025" i="1"/>
  <c r="A3026" i="1"/>
  <c r="B3026" i="1"/>
  <c r="C3026" i="1"/>
  <c r="M3026" i="1"/>
  <c r="A3027" i="1"/>
  <c r="B3027" i="1"/>
  <c r="C3027" i="1"/>
  <c r="M3027" i="1"/>
  <c r="A3028" i="1"/>
  <c r="B3028" i="1"/>
  <c r="C3028" i="1"/>
  <c r="M3028" i="1"/>
  <c r="A3029" i="1"/>
  <c r="B3029" i="1"/>
  <c r="C3029" i="1"/>
  <c r="M3029" i="1"/>
  <c r="A3030" i="1"/>
  <c r="B3030" i="1"/>
  <c r="C3030" i="1"/>
  <c r="M3030" i="1"/>
  <c r="A3031" i="1"/>
  <c r="B3031" i="1"/>
  <c r="C3031" i="1"/>
  <c r="M3031" i="1"/>
  <c r="A3032" i="1"/>
  <c r="B3032" i="1"/>
  <c r="C3032" i="1"/>
  <c r="M3032" i="1"/>
  <c r="A3033" i="1"/>
  <c r="B3033" i="1"/>
  <c r="C3033" i="1"/>
  <c r="M3033" i="1"/>
  <c r="A3034" i="1"/>
  <c r="B3034" i="1"/>
  <c r="C3034" i="1"/>
  <c r="M3034" i="1"/>
  <c r="A3035" i="1"/>
  <c r="B3035" i="1"/>
  <c r="C3035" i="1"/>
  <c r="M3035" i="1"/>
  <c r="A3036" i="1"/>
  <c r="B3036" i="1"/>
  <c r="C3036" i="1"/>
  <c r="M3036" i="1"/>
  <c r="A3037" i="1"/>
  <c r="B3037" i="1"/>
  <c r="C3037" i="1"/>
  <c r="M3037" i="1"/>
  <c r="A3038" i="1"/>
  <c r="B3038" i="1"/>
  <c r="C3038" i="1"/>
  <c r="M3038" i="1"/>
  <c r="A3039" i="1"/>
  <c r="B3039" i="1"/>
  <c r="C3039" i="1"/>
  <c r="M3039" i="1"/>
  <c r="A3040" i="1"/>
  <c r="B3040" i="1"/>
  <c r="C3040" i="1"/>
  <c r="M3040" i="1"/>
  <c r="A3041" i="1"/>
  <c r="B3041" i="1"/>
  <c r="C3041" i="1"/>
  <c r="M3041" i="1"/>
  <c r="A3042" i="1"/>
  <c r="B3042" i="1"/>
  <c r="C3042" i="1"/>
  <c r="M3042" i="1"/>
  <c r="A3043" i="1"/>
  <c r="B3043" i="1"/>
  <c r="C3043" i="1"/>
  <c r="M3043" i="1"/>
  <c r="A3044" i="1"/>
  <c r="B3044" i="1"/>
  <c r="C3044" i="1"/>
  <c r="M3044" i="1"/>
  <c r="A3045" i="1"/>
  <c r="B3045" i="1"/>
  <c r="C3045" i="1"/>
  <c r="M3045" i="1"/>
  <c r="A3046" i="1"/>
  <c r="B3046" i="1"/>
  <c r="C3046" i="1"/>
  <c r="M3046" i="1"/>
  <c r="A3047" i="1"/>
  <c r="B3047" i="1"/>
  <c r="C3047" i="1"/>
  <c r="M3047" i="1"/>
  <c r="A3048" i="1"/>
  <c r="B3048" i="1"/>
  <c r="C3048" i="1"/>
  <c r="M3048" i="1"/>
  <c r="A3049" i="1"/>
  <c r="B3049" i="1"/>
  <c r="C3049" i="1"/>
  <c r="M3049" i="1"/>
  <c r="A3050" i="1"/>
  <c r="B3050" i="1"/>
  <c r="C3050" i="1"/>
  <c r="M3050" i="1"/>
  <c r="A3051" i="1"/>
  <c r="B3051" i="1"/>
  <c r="C3051" i="1"/>
  <c r="M3051" i="1"/>
  <c r="A3052" i="1"/>
  <c r="B3052" i="1"/>
  <c r="C3052" i="1"/>
  <c r="M3052" i="1"/>
  <c r="A3053" i="1"/>
  <c r="B3053" i="1"/>
  <c r="C3053" i="1"/>
  <c r="M3053" i="1"/>
  <c r="A3054" i="1"/>
  <c r="B3054" i="1"/>
  <c r="C3054" i="1"/>
  <c r="M3054" i="1"/>
  <c r="A3055" i="1"/>
  <c r="B3055" i="1"/>
  <c r="C3055" i="1"/>
  <c r="M3055" i="1"/>
  <c r="A3056" i="1"/>
  <c r="B3056" i="1"/>
  <c r="C3056" i="1"/>
  <c r="M3056" i="1"/>
  <c r="A3057" i="1"/>
  <c r="B3057" i="1"/>
  <c r="C3057" i="1"/>
  <c r="M3057" i="1"/>
  <c r="A3058" i="1"/>
  <c r="B3058" i="1"/>
  <c r="C3058" i="1"/>
  <c r="M3058" i="1"/>
  <c r="A3059" i="1"/>
  <c r="B3059" i="1"/>
  <c r="C3059" i="1"/>
  <c r="M3059" i="1"/>
  <c r="A3060" i="1"/>
  <c r="B3060" i="1"/>
  <c r="C3060" i="1"/>
  <c r="M3060" i="1"/>
  <c r="A3061" i="1"/>
  <c r="B3061" i="1"/>
  <c r="C3061" i="1"/>
  <c r="M3061" i="1"/>
  <c r="A3062" i="1"/>
  <c r="B3062" i="1"/>
  <c r="C3062" i="1"/>
  <c r="M3062" i="1"/>
  <c r="A3063" i="1"/>
  <c r="B3063" i="1"/>
  <c r="C3063" i="1"/>
  <c r="M3063" i="1"/>
  <c r="A3064" i="1"/>
  <c r="B3064" i="1"/>
  <c r="C3064" i="1"/>
  <c r="M3064" i="1"/>
  <c r="A3065" i="1"/>
  <c r="B3065" i="1"/>
  <c r="C3065" i="1"/>
  <c r="M3065" i="1"/>
  <c r="A3066" i="1"/>
  <c r="B3066" i="1"/>
  <c r="C3066" i="1"/>
  <c r="M3066" i="1"/>
  <c r="A3067" i="1"/>
  <c r="B3067" i="1"/>
  <c r="C3067" i="1"/>
  <c r="M3067" i="1"/>
  <c r="A3068" i="1"/>
  <c r="B3068" i="1"/>
  <c r="C3068" i="1"/>
  <c r="M3068" i="1"/>
  <c r="A3069" i="1"/>
  <c r="B3069" i="1"/>
  <c r="C3069" i="1"/>
  <c r="M3069" i="1"/>
  <c r="A3070" i="1"/>
  <c r="B3070" i="1"/>
  <c r="C3070" i="1"/>
  <c r="M3070" i="1"/>
  <c r="A3071" i="1"/>
  <c r="B3071" i="1"/>
  <c r="C3071" i="1"/>
  <c r="M3071" i="1"/>
  <c r="A3072" i="1"/>
  <c r="B3072" i="1"/>
  <c r="C3072" i="1"/>
  <c r="M3072" i="1"/>
  <c r="A3073" i="1"/>
  <c r="B3073" i="1"/>
  <c r="C3073" i="1"/>
  <c r="M3073" i="1"/>
  <c r="A3074" i="1"/>
  <c r="B3074" i="1"/>
  <c r="C3074" i="1"/>
  <c r="M3074" i="1"/>
  <c r="A3075" i="1"/>
  <c r="B3075" i="1"/>
  <c r="C3075" i="1"/>
  <c r="M3075" i="1"/>
  <c r="A3076" i="1"/>
  <c r="B3076" i="1"/>
  <c r="C3076" i="1"/>
  <c r="M3076" i="1"/>
  <c r="A3077" i="1"/>
  <c r="B3077" i="1"/>
  <c r="C3077" i="1"/>
  <c r="M3077" i="1"/>
  <c r="A3078" i="1"/>
  <c r="B3078" i="1"/>
  <c r="C3078" i="1"/>
  <c r="M3078" i="1"/>
  <c r="A3079" i="1"/>
  <c r="B3079" i="1"/>
  <c r="C3079" i="1"/>
  <c r="M3079" i="1"/>
  <c r="A3080" i="1"/>
  <c r="B3080" i="1"/>
  <c r="C3080" i="1"/>
  <c r="M3080" i="1"/>
  <c r="A3081" i="1"/>
  <c r="B3081" i="1"/>
  <c r="C3081" i="1"/>
  <c r="M3081" i="1"/>
  <c r="A3082" i="1"/>
  <c r="B3082" i="1"/>
  <c r="C3082" i="1"/>
  <c r="M3082" i="1"/>
  <c r="A3083" i="1"/>
  <c r="B3083" i="1"/>
  <c r="C3083" i="1"/>
  <c r="M3083" i="1"/>
  <c r="A3084" i="1"/>
  <c r="B3084" i="1"/>
  <c r="C3084" i="1"/>
  <c r="M3084" i="1"/>
  <c r="A3085" i="1"/>
  <c r="B3085" i="1"/>
  <c r="C3085" i="1"/>
  <c r="M3085" i="1"/>
  <c r="A3086" i="1"/>
  <c r="B3086" i="1"/>
  <c r="C3086" i="1"/>
  <c r="M3086" i="1"/>
  <c r="A3087" i="1"/>
  <c r="B3087" i="1"/>
  <c r="C3087" i="1"/>
  <c r="M3087" i="1"/>
  <c r="A3088" i="1"/>
  <c r="B3088" i="1"/>
  <c r="C3088" i="1"/>
  <c r="M3088" i="1"/>
  <c r="A3089" i="1"/>
  <c r="B3089" i="1"/>
  <c r="C3089" i="1"/>
  <c r="M3089" i="1"/>
  <c r="A3090" i="1"/>
  <c r="B3090" i="1"/>
  <c r="C3090" i="1"/>
  <c r="M3090" i="1"/>
  <c r="A3091" i="1"/>
  <c r="B3091" i="1"/>
  <c r="C3091" i="1"/>
  <c r="M3091" i="1"/>
  <c r="A3092" i="1"/>
  <c r="B3092" i="1"/>
  <c r="C3092" i="1"/>
  <c r="M3092" i="1"/>
  <c r="A3093" i="1"/>
  <c r="B3093" i="1"/>
  <c r="C3093" i="1"/>
  <c r="M3093" i="1"/>
  <c r="A3094" i="1"/>
  <c r="B3094" i="1"/>
  <c r="C3094" i="1"/>
  <c r="M3094" i="1"/>
  <c r="A3095" i="1"/>
  <c r="B3095" i="1"/>
  <c r="C3095" i="1"/>
  <c r="M3095" i="1"/>
  <c r="A3096" i="1"/>
  <c r="B3096" i="1"/>
  <c r="C3096" i="1"/>
  <c r="M3096" i="1"/>
  <c r="A3097" i="1"/>
  <c r="B3097" i="1"/>
  <c r="C3097" i="1"/>
  <c r="M3097" i="1"/>
  <c r="A3098" i="1"/>
  <c r="B3098" i="1"/>
  <c r="C3098" i="1"/>
  <c r="M3098" i="1"/>
  <c r="A3099" i="1"/>
  <c r="B3099" i="1"/>
  <c r="C3099" i="1"/>
  <c r="M3099" i="1"/>
  <c r="A3100" i="1"/>
  <c r="B3100" i="1"/>
  <c r="C3100" i="1"/>
  <c r="M3100" i="1"/>
  <c r="A3101" i="1"/>
  <c r="B3101" i="1"/>
  <c r="C3101" i="1"/>
  <c r="M3101" i="1"/>
  <c r="A3102" i="1"/>
  <c r="B3102" i="1"/>
  <c r="C3102" i="1"/>
  <c r="M3102" i="1"/>
  <c r="A3103" i="1"/>
  <c r="B3103" i="1"/>
  <c r="C3103" i="1"/>
  <c r="M3103" i="1"/>
  <c r="A3104" i="1"/>
  <c r="B3104" i="1"/>
  <c r="C3104" i="1"/>
  <c r="M3104" i="1"/>
  <c r="A3105" i="1"/>
  <c r="B3105" i="1"/>
  <c r="C3105" i="1"/>
  <c r="M3105" i="1"/>
  <c r="A3106" i="1"/>
  <c r="B3106" i="1"/>
  <c r="C3106" i="1"/>
  <c r="M3106" i="1"/>
  <c r="A3107" i="1"/>
  <c r="B3107" i="1"/>
  <c r="C3107" i="1"/>
  <c r="M3107" i="1"/>
  <c r="A3108" i="1"/>
  <c r="B3108" i="1"/>
  <c r="C3108" i="1"/>
  <c r="M3108" i="1"/>
  <c r="A3109" i="1"/>
  <c r="B3109" i="1"/>
  <c r="C3109" i="1"/>
  <c r="M3109" i="1"/>
  <c r="A3110" i="1"/>
  <c r="B3110" i="1"/>
  <c r="C3110" i="1"/>
  <c r="M3110" i="1"/>
  <c r="A3111" i="1"/>
  <c r="B3111" i="1"/>
  <c r="C3111" i="1"/>
  <c r="M3111" i="1"/>
  <c r="A3112" i="1"/>
  <c r="B3112" i="1"/>
  <c r="C3112" i="1"/>
  <c r="M3112" i="1"/>
  <c r="A3113" i="1"/>
  <c r="B3113" i="1"/>
  <c r="C3113" i="1"/>
  <c r="M3113" i="1"/>
  <c r="A3114" i="1"/>
  <c r="B3114" i="1"/>
  <c r="C3114" i="1"/>
  <c r="M3114" i="1"/>
  <c r="A3115" i="1"/>
  <c r="B3115" i="1"/>
  <c r="C3115" i="1"/>
  <c r="M3115" i="1"/>
  <c r="A3116" i="1"/>
  <c r="B3116" i="1"/>
  <c r="C3116" i="1"/>
  <c r="M3116" i="1"/>
  <c r="A3117" i="1"/>
  <c r="B3117" i="1"/>
  <c r="C3117" i="1"/>
  <c r="M3117" i="1"/>
  <c r="A3118" i="1"/>
  <c r="B3118" i="1"/>
  <c r="C3118" i="1"/>
  <c r="M3118" i="1"/>
  <c r="A3119" i="1"/>
  <c r="B3119" i="1"/>
  <c r="C3119" i="1"/>
  <c r="M3119" i="1"/>
  <c r="A3120" i="1"/>
  <c r="B3120" i="1"/>
  <c r="C3120" i="1"/>
  <c r="M3120" i="1"/>
  <c r="A3121" i="1"/>
  <c r="B3121" i="1"/>
  <c r="C3121" i="1"/>
  <c r="M3121" i="1"/>
  <c r="A3122" i="1"/>
  <c r="B3122" i="1"/>
  <c r="C3122" i="1"/>
  <c r="M3122" i="1"/>
  <c r="A3123" i="1"/>
  <c r="B3123" i="1"/>
  <c r="C3123" i="1"/>
  <c r="M3123" i="1"/>
  <c r="A3124" i="1"/>
  <c r="B3124" i="1"/>
  <c r="C3124" i="1"/>
  <c r="M3124" i="1"/>
  <c r="A3125" i="1"/>
  <c r="B3125" i="1"/>
  <c r="C3125" i="1"/>
  <c r="M3125" i="1"/>
  <c r="A3126" i="1"/>
  <c r="B3126" i="1"/>
  <c r="C3126" i="1"/>
  <c r="M3126" i="1"/>
  <c r="A3127" i="1"/>
  <c r="B3127" i="1"/>
  <c r="C3127" i="1"/>
  <c r="M3127" i="1"/>
  <c r="A3128" i="1"/>
  <c r="B3128" i="1"/>
  <c r="C3128" i="1"/>
  <c r="M3128" i="1"/>
  <c r="A3129" i="1"/>
  <c r="B3129" i="1"/>
  <c r="C3129" i="1"/>
  <c r="M3129" i="1"/>
  <c r="A3130" i="1"/>
  <c r="B3130" i="1"/>
  <c r="C3130" i="1"/>
  <c r="M3130" i="1"/>
  <c r="A3131" i="1"/>
  <c r="B3131" i="1"/>
  <c r="C3131" i="1"/>
  <c r="M3131" i="1"/>
  <c r="A3132" i="1"/>
  <c r="B3132" i="1"/>
  <c r="C3132" i="1"/>
  <c r="M3132" i="1"/>
  <c r="A3133" i="1"/>
  <c r="B3133" i="1"/>
  <c r="C3133" i="1"/>
  <c r="M3133" i="1"/>
  <c r="A3134" i="1"/>
  <c r="B3134" i="1"/>
  <c r="C3134" i="1"/>
  <c r="M3134" i="1"/>
  <c r="A3135" i="1"/>
  <c r="B3135" i="1"/>
  <c r="C3135" i="1"/>
  <c r="M3135" i="1"/>
  <c r="A3136" i="1"/>
  <c r="B3136" i="1"/>
  <c r="C3136" i="1"/>
  <c r="M3136" i="1"/>
  <c r="A3137" i="1"/>
  <c r="B3137" i="1"/>
  <c r="C3137" i="1"/>
  <c r="M3137" i="1"/>
  <c r="A3138" i="1"/>
  <c r="B3138" i="1"/>
  <c r="C3138" i="1"/>
  <c r="M3138" i="1"/>
  <c r="A3139" i="1"/>
  <c r="B3139" i="1"/>
  <c r="M3139" i="1"/>
  <c r="A3140" i="1"/>
  <c r="B3140" i="1"/>
  <c r="C3140" i="1"/>
  <c r="M3140" i="1"/>
  <c r="A3141" i="1"/>
  <c r="B3141" i="1"/>
  <c r="M3141" i="1"/>
  <c r="A3142" i="1"/>
  <c r="B3142" i="1"/>
  <c r="C3142" i="1"/>
  <c r="M3142" i="1"/>
  <c r="A3143" i="1"/>
  <c r="B3143" i="1"/>
  <c r="C3143" i="1"/>
  <c r="M3143" i="1"/>
  <c r="A3144" i="1"/>
  <c r="B3144" i="1"/>
  <c r="C3144" i="1"/>
  <c r="M3144" i="1"/>
  <c r="A3145" i="1"/>
  <c r="B3145" i="1"/>
  <c r="C3145" i="1"/>
  <c r="M3145" i="1"/>
  <c r="A3146" i="1"/>
  <c r="B3146" i="1"/>
  <c r="C3146" i="1"/>
  <c r="M3146" i="1"/>
  <c r="A3147" i="1"/>
  <c r="B3147" i="1"/>
  <c r="C3147" i="1"/>
  <c r="M3147" i="1"/>
  <c r="A3148" i="1"/>
  <c r="B3148" i="1"/>
  <c r="C3148" i="1"/>
  <c r="M3148" i="1"/>
  <c r="A3149" i="1"/>
  <c r="B3149" i="1"/>
  <c r="C3149" i="1"/>
  <c r="M3149" i="1"/>
  <c r="A3150" i="1"/>
  <c r="B3150" i="1"/>
  <c r="C3150" i="1"/>
  <c r="M3150" i="1"/>
  <c r="A3151" i="1"/>
  <c r="B3151" i="1"/>
  <c r="C3151" i="1"/>
  <c r="M3151" i="1"/>
  <c r="A3152" i="1"/>
  <c r="B3152" i="1"/>
  <c r="C3152" i="1"/>
  <c r="M3152" i="1"/>
  <c r="A3153" i="1"/>
  <c r="B3153" i="1"/>
  <c r="C3153" i="1"/>
  <c r="M3153" i="1"/>
  <c r="A3154" i="1"/>
  <c r="B3154" i="1"/>
  <c r="C3154" i="1"/>
  <c r="M3154" i="1"/>
  <c r="A3155" i="1"/>
  <c r="B3155" i="1"/>
  <c r="C3155" i="1"/>
  <c r="M3155" i="1"/>
  <c r="A3156" i="1"/>
  <c r="B3156" i="1"/>
  <c r="C3156" i="1"/>
  <c r="M3156" i="1"/>
  <c r="A3157" i="1"/>
  <c r="B3157" i="1"/>
  <c r="C3157" i="1"/>
  <c r="M3157" i="1"/>
  <c r="A3158" i="1"/>
  <c r="B3158" i="1"/>
  <c r="C3158" i="1"/>
  <c r="M3158" i="1"/>
  <c r="A3159" i="1"/>
  <c r="B3159" i="1"/>
  <c r="C3159" i="1"/>
  <c r="M3159" i="1"/>
  <c r="A3160" i="1"/>
  <c r="B3160" i="1"/>
  <c r="C3160" i="1"/>
  <c r="M3160" i="1"/>
  <c r="A3161" i="1"/>
  <c r="B3161" i="1"/>
  <c r="C3161" i="1"/>
  <c r="M3161" i="1"/>
  <c r="A3162" i="1"/>
  <c r="B3162" i="1"/>
  <c r="C3162" i="1"/>
  <c r="M3162" i="1"/>
  <c r="A3163" i="1"/>
  <c r="B3163" i="1"/>
  <c r="C3163" i="1"/>
  <c r="M3163" i="1"/>
  <c r="A3164" i="1"/>
  <c r="B3164" i="1"/>
  <c r="C3164" i="1"/>
  <c r="M3164" i="1"/>
  <c r="A3165" i="1"/>
  <c r="B3165" i="1"/>
  <c r="C3165" i="1"/>
  <c r="M3165" i="1"/>
  <c r="A3166" i="1"/>
  <c r="B3166" i="1"/>
  <c r="C3166" i="1"/>
  <c r="M3166" i="1"/>
  <c r="A3167" i="1"/>
  <c r="B3167" i="1"/>
  <c r="C3167" i="1"/>
  <c r="M3167" i="1"/>
  <c r="A3168" i="1"/>
  <c r="B3168" i="1"/>
  <c r="C3168" i="1"/>
  <c r="M3168" i="1"/>
  <c r="A3169" i="1"/>
  <c r="B3169" i="1"/>
  <c r="C3169" i="1"/>
  <c r="M3169" i="1"/>
  <c r="A3170" i="1"/>
  <c r="B3170" i="1"/>
  <c r="C3170" i="1"/>
  <c r="M3170" i="1"/>
  <c r="A3171" i="1"/>
  <c r="B3171" i="1"/>
  <c r="C3171" i="1"/>
  <c r="M3171" i="1"/>
  <c r="A3172" i="1"/>
  <c r="B3172" i="1"/>
  <c r="C3172" i="1"/>
  <c r="M3172" i="1"/>
  <c r="A3173" i="1"/>
  <c r="B3173" i="1"/>
  <c r="C3173" i="1"/>
  <c r="M3173" i="1"/>
  <c r="A3174" i="1"/>
  <c r="B3174" i="1"/>
  <c r="C3174" i="1"/>
  <c r="M3174" i="1"/>
  <c r="A3175" i="1"/>
  <c r="B3175" i="1"/>
  <c r="C3175" i="1"/>
  <c r="M3175" i="1"/>
  <c r="A3176" i="1"/>
  <c r="B3176" i="1"/>
  <c r="C3176" i="1"/>
  <c r="M3176" i="1"/>
  <c r="A3177" i="1"/>
  <c r="B3177" i="1"/>
  <c r="C3177" i="1"/>
  <c r="M3177" i="1"/>
  <c r="A3178" i="1"/>
  <c r="B3178" i="1"/>
  <c r="C3178" i="1"/>
  <c r="M3178" i="1"/>
  <c r="A3179" i="1"/>
  <c r="B3179" i="1"/>
  <c r="C3179" i="1"/>
  <c r="M3179" i="1"/>
  <c r="A3180" i="1"/>
  <c r="B3180" i="1"/>
  <c r="C3180" i="1"/>
  <c r="M3180" i="1"/>
  <c r="A3181" i="1"/>
  <c r="B3181" i="1"/>
  <c r="C3181" i="1"/>
  <c r="M3181" i="1"/>
  <c r="A3182" i="1"/>
  <c r="B3182" i="1"/>
  <c r="C3182" i="1"/>
  <c r="M3182" i="1"/>
  <c r="A3183" i="1"/>
  <c r="B3183" i="1"/>
  <c r="C3183" i="1"/>
  <c r="M3183" i="1"/>
  <c r="A3184" i="1"/>
  <c r="B3184" i="1"/>
  <c r="C3184" i="1"/>
  <c r="M3184" i="1"/>
  <c r="A3185" i="1"/>
  <c r="B3185" i="1"/>
  <c r="C3185" i="1"/>
  <c r="M3185" i="1"/>
  <c r="A3186" i="1"/>
  <c r="B3186" i="1"/>
  <c r="C3186" i="1"/>
  <c r="M3186" i="1"/>
  <c r="A3187" i="1"/>
  <c r="B3187" i="1"/>
  <c r="C3187" i="1"/>
  <c r="M3187" i="1"/>
  <c r="A3188" i="1"/>
  <c r="B3188" i="1"/>
  <c r="C3188" i="1"/>
  <c r="M3188" i="1"/>
  <c r="A3189" i="1"/>
  <c r="B3189" i="1"/>
  <c r="C3189" i="1"/>
  <c r="M3189" i="1"/>
  <c r="A3190" i="1"/>
  <c r="B3190" i="1"/>
  <c r="C3190" i="1"/>
  <c r="M3190" i="1"/>
  <c r="A3191" i="1"/>
  <c r="B3191" i="1"/>
  <c r="C3191" i="1"/>
  <c r="M3191" i="1"/>
  <c r="A3192" i="1"/>
  <c r="B3192" i="1"/>
  <c r="C3192" i="1"/>
  <c r="M3192" i="1"/>
  <c r="A3193" i="1"/>
  <c r="B3193" i="1"/>
  <c r="C3193" i="1"/>
  <c r="M3193" i="1"/>
  <c r="A3194" i="1"/>
  <c r="B3194" i="1"/>
  <c r="C3194" i="1"/>
  <c r="M3194" i="1"/>
  <c r="A3195" i="1"/>
  <c r="B3195" i="1"/>
  <c r="C3195" i="1"/>
  <c r="M3195" i="1"/>
  <c r="A3196" i="1"/>
  <c r="B3196" i="1"/>
  <c r="C3196" i="1"/>
  <c r="M3196" i="1"/>
  <c r="A3197" i="1"/>
  <c r="B3197" i="1"/>
  <c r="C3197" i="1"/>
  <c r="M3197" i="1"/>
  <c r="A3198" i="1"/>
  <c r="B3198" i="1"/>
  <c r="C3198" i="1"/>
  <c r="M3198" i="1"/>
  <c r="A3199" i="1"/>
  <c r="B3199" i="1"/>
  <c r="C3199" i="1"/>
  <c r="M3199" i="1"/>
  <c r="A3200" i="1"/>
  <c r="B3200" i="1"/>
  <c r="C3200" i="1"/>
  <c r="M3200" i="1"/>
  <c r="A3201" i="1"/>
  <c r="B3201" i="1"/>
  <c r="C3201" i="1"/>
  <c r="M3201" i="1"/>
  <c r="A3202" i="1"/>
  <c r="B3202" i="1"/>
  <c r="C3202" i="1"/>
  <c r="M3202" i="1"/>
  <c r="A3203" i="1"/>
  <c r="B3203" i="1"/>
  <c r="C3203" i="1"/>
  <c r="M3203" i="1"/>
  <c r="A3204" i="1"/>
  <c r="B3204" i="1"/>
  <c r="C3204" i="1"/>
  <c r="M3204" i="1"/>
  <c r="A3205" i="1"/>
  <c r="B3205" i="1"/>
  <c r="C3205" i="1"/>
  <c r="M3205" i="1"/>
  <c r="A3206" i="1"/>
  <c r="B3206" i="1"/>
  <c r="C3206" i="1"/>
  <c r="M3206" i="1"/>
  <c r="A3207" i="1"/>
  <c r="B3207" i="1"/>
  <c r="C3207" i="1"/>
  <c r="M3207" i="1"/>
  <c r="A3208" i="1"/>
  <c r="B3208" i="1"/>
  <c r="C3208" i="1"/>
  <c r="M3208" i="1"/>
  <c r="A3209" i="1"/>
  <c r="B3209" i="1"/>
  <c r="C3209" i="1"/>
  <c r="M3209" i="1"/>
  <c r="A3210" i="1"/>
  <c r="B3210" i="1"/>
  <c r="C3210" i="1"/>
  <c r="M3210" i="1"/>
  <c r="A3211" i="1"/>
  <c r="B3211" i="1"/>
  <c r="C3211" i="1"/>
  <c r="M3211" i="1"/>
  <c r="A3212" i="1"/>
  <c r="B3212" i="1"/>
  <c r="C3212" i="1"/>
  <c r="M3212" i="1"/>
  <c r="A3213" i="1"/>
  <c r="B3213" i="1"/>
  <c r="C3213" i="1"/>
  <c r="M3213" i="1"/>
  <c r="A3214" i="1"/>
  <c r="B3214" i="1"/>
  <c r="C3214" i="1"/>
  <c r="M3214" i="1"/>
  <c r="A3215" i="1"/>
  <c r="B3215" i="1"/>
  <c r="C3215" i="1"/>
  <c r="M3215" i="1"/>
  <c r="A3216" i="1"/>
  <c r="B3216" i="1"/>
  <c r="C3216" i="1"/>
  <c r="M3216" i="1"/>
  <c r="A3217" i="1"/>
  <c r="B3217" i="1"/>
  <c r="C3217" i="1"/>
  <c r="M3217" i="1"/>
  <c r="A3218" i="1"/>
  <c r="B3218" i="1"/>
  <c r="C3218" i="1"/>
  <c r="M3218" i="1"/>
  <c r="A3219" i="1"/>
  <c r="B3219" i="1"/>
  <c r="C3219" i="1"/>
  <c r="M3219" i="1"/>
  <c r="A3220" i="1"/>
  <c r="B3220" i="1"/>
  <c r="C3220" i="1"/>
  <c r="M3220" i="1"/>
  <c r="A3221" i="1"/>
  <c r="B3221" i="1"/>
  <c r="C3221" i="1"/>
  <c r="M3221" i="1"/>
  <c r="A3222" i="1"/>
  <c r="B3222" i="1"/>
  <c r="C3222" i="1"/>
  <c r="M3222" i="1"/>
  <c r="A3223" i="1"/>
  <c r="B3223" i="1"/>
  <c r="C3223" i="1"/>
  <c r="M3223" i="1"/>
  <c r="A3224" i="1"/>
  <c r="B3224" i="1"/>
  <c r="C3224" i="1"/>
  <c r="M3224" i="1"/>
  <c r="A3225" i="1"/>
  <c r="B3225" i="1"/>
  <c r="C3225" i="1"/>
  <c r="M3225" i="1"/>
  <c r="A3226" i="1"/>
  <c r="B3226" i="1"/>
  <c r="C3226" i="1"/>
  <c r="M3226" i="1"/>
  <c r="A3227" i="1"/>
  <c r="B3227" i="1"/>
  <c r="C3227" i="1"/>
  <c r="M3227" i="1"/>
  <c r="A3228" i="1"/>
  <c r="B3228" i="1"/>
  <c r="C3228" i="1"/>
  <c r="M3228" i="1"/>
  <c r="A3229" i="1"/>
  <c r="B3229" i="1"/>
  <c r="C3229" i="1"/>
  <c r="M3229" i="1"/>
  <c r="A3230" i="1"/>
  <c r="B3230" i="1"/>
  <c r="C3230" i="1"/>
  <c r="M3230" i="1"/>
  <c r="A3231" i="1"/>
  <c r="B3231" i="1"/>
  <c r="C3231" i="1"/>
  <c r="M3231" i="1"/>
  <c r="A3232" i="1"/>
  <c r="B3232" i="1"/>
  <c r="C3232" i="1"/>
  <c r="M3232" i="1"/>
  <c r="A3233" i="1"/>
  <c r="B3233" i="1"/>
  <c r="C3233" i="1"/>
  <c r="M3233" i="1"/>
  <c r="A3234" i="1"/>
  <c r="B3234" i="1"/>
  <c r="C3234" i="1"/>
  <c r="M3234" i="1"/>
  <c r="A3235" i="1"/>
  <c r="B3235" i="1"/>
  <c r="C3235" i="1"/>
  <c r="M3235" i="1"/>
  <c r="A3236" i="1"/>
  <c r="B3236" i="1"/>
  <c r="C3236" i="1"/>
  <c r="M3236" i="1"/>
  <c r="A3237" i="1"/>
  <c r="B3237" i="1"/>
  <c r="C3237" i="1"/>
  <c r="M3237" i="1"/>
  <c r="A3238" i="1"/>
  <c r="B3238" i="1"/>
  <c r="C3238" i="1"/>
  <c r="M3238" i="1"/>
  <c r="A3239" i="1"/>
  <c r="B3239" i="1"/>
  <c r="C3239" i="1"/>
  <c r="M3239" i="1"/>
  <c r="A3240" i="1"/>
  <c r="B3240" i="1"/>
  <c r="C3240" i="1"/>
  <c r="M3240" i="1"/>
  <c r="A3241" i="1"/>
  <c r="B3241" i="1"/>
  <c r="C3241" i="1"/>
  <c r="M3241" i="1"/>
  <c r="A3242" i="1"/>
  <c r="B3242" i="1"/>
  <c r="C3242" i="1"/>
  <c r="M3242" i="1"/>
  <c r="A3243" i="1"/>
  <c r="B3243" i="1"/>
  <c r="C3243" i="1"/>
  <c r="M3243" i="1"/>
  <c r="A3244" i="1"/>
  <c r="B3244" i="1"/>
  <c r="C3244" i="1"/>
  <c r="M3244" i="1"/>
  <c r="A3245" i="1"/>
  <c r="B3245" i="1"/>
  <c r="C3245" i="1"/>
  <c r="M3245" i="1"/>
  <c r="A3246" i="1"/>
  <c r="B3246" i="1"/>
  <c r="C3246" i="1"/>
  <c r="M3246" i="1"/>
  <c r="A3247" i="1"/>
  <c r="B3247" i="1"/>
  <c r="C3247" i="1"/>
  <c r="M3247" i="1"/>
  <c r="A3248" i="1"/>
  <c r="B3248" i="1"/>
  <c r="C3248" i="1"/>
  <c r="M3248" i="1"/>
  <c r="A3249" i="1"/>
  <c r="B3249" i="1"/>
  <c r="C3249" i="1"/>
  <c r="M3249" i="1"/>
  <c r="A3250" i="1"/>
  <c r="B3250" i="1"/>
  <c r="C3250" i="1"/>
  <c r="M3250" i="1"/>
  <c r="A3251" i="1"/>
  <c r="B3251" i="1"/>
  <c r="C3251" i="1"/>
  <c r="M3251" i="1"/>
  <c r="A3252" i="1"/>
  <c r="B3252" i="1"/>
  <c r="C3252" i="1"/>
  <c r="M3252" i="1"/>
  <c r="A3253" i="1"/>
  <c r="B3253" i="1"/>
  <c r="C3253" i="1"/>
  <c r="M3253" i="1"/>
  <c r="A3254" i="1"/>
  <c r="B3254" i="1"/>
  <c r="C3254" i="1"/>
  <c r="M3254" i="1"/>
  <c r="A3255" i="1"/>
  <c r="B3255" i="1"/>
  <c r="C3255" i="1"/>
  <c r="M3255" i="1"/>
  <c r="A3256" i="1"/>
  <c r="B3256" i="1"/>
  <c r="C3256" i="1"/>
  <c r="M3256" i="1"/>
  <c r="A3257" i="1"/>
  <c r="B3257" i="1"/>
  <c r="C3257" i="1"/>
  <c r="M3257" i="1"/>
  <c r="A3258" i="1"/>
  <c r="B3258" i="1"/>
  <c r="C3258" i="1"/>
  <c r="M3258" i="1"/>
  <c r="A3259" i="1"/>
  <c r="B3259" i="1"/>
  <c r="C3259" i="1"/>
  <c r="M3259" i="1"/>
  <c r="A3260" i="1"/>
  <c r="B3260" i="1"/>
  <c r="C3260" i="1"/>
  <c r="M3260" i="1"/>
  <c r="A3261" i="1"/>
  <c r="B3261" i="1"/>
  <c r="C3261" i="1"/>
  <c r="M3261" i="1"/>
  <c r="A3262" i="1"/>
  <c r="B3262" i="1"/>
  <c r="C3262" i="1"/>
  <c r="M3262" i="1"/>
  <c r="A3263" i="1"/>
  <c r="B3263" i="1"/>
  <c r="C3263" i="1"/>
  <c r="M3263" i="1"/>
  <c r="A3264" i="1"/>
  <c r="B3264" i="1"/>
  <c r="C3264" i="1"/>
  <c r="M3264" i="1"/>
  <c r="A3265" i="1"/>
  <c r="B3265" i="1"/>
  <c r="C3265" i="1"/>
  <c r="M3265" i="1"/>
  <c r="A3266" i="1"/>
  <c r="B3266" i="1"/>
  <c r="C3266" i="1"/>
  <c r="M3266" i="1"/>
  <c r="A3267" i="1"/>
  <c r="B3267" i="1"/>
  <c r="C3267" i="1"/>
  <c r="M3267" i="1"/>
  <c r="A3268" i="1"/>
  <c r="B3268" i="1"/>
  <c r="C3268" i="1"/>
  <c r="M3268" i="1"/>
  <c r="A3269" i="1"/>
  <c r="B3269" i="1"/>
  <c r="C3269" i="1"/>
  <c r="M3269" i="1"/>
  <c r="A3270" i="1"/>
  <c r="B3270" i="1"/>
  <c r="C3270" i="1"/>
  <c r="M3270" i="1"/>
  <c r="A3271" i="1"/>
  <c r="B3271" i="1"/>
  <c r="C3271" i="1"/>
  <c r="M3271" i="1"/>
  <c r="A3272" i="1"/>
  <c r="B3272" i="1"/>
  <c r="C3272" i="1"/>
  <c r="M3272" i="1"/>
  <c r="A3273" i="1"/>
  <c r="B3273" i="1"/>
  <c r="C3273" i="1"/>
  <c r="M3273" i="1"/>
  <c r="A3274" i="1"/>
  <c r="B3274" i="1"/>
  <c r="C3274" i="1"/>
  <c r="M3274" i="1"/>
  <c r="A3275" i="1"/>
  <c r="B3275" i="1"/>
  <c r="C3275" i="1"/>
  <c r="M3275" i="1"/>
  <c r="A3276" i="1"/>
  <c r="B3276" i="1"/>
  <c r="C3276" i="1"/>
  <c r="M3276" i="1"/>
  <c r="A3277" i="1"/>
  <c r="B3277" i="1"/>
  <c r="C3277" i="1"/>
  <c r="M3277" i="1"/>
  <c r="A3278" i="1"/>
  <c r="B3278" i="1"/>
  <c r="C3278" i="1"/>
  <c r="M3278" i="1"/>
  <c r="A3279" i="1"/>
  <c r="B3279" i="1"/>
  <c r="C3279" i="1"/>
  <c r="M3279" i="1"/>
  <c r="A3280" i="1"/>
  <c r="B3280" i="1"/>
  <c r="C3280" i="1"/>
  <c r="M3280" i="1"/>
  <c r="A3281" i="1"/>
  <c r="B3281" i="1"/>
  <c r="C3281" i="1"/>
  <c r="M3281" i="1"/>
  <c r="A3282" i="1"/>
  <c r="B3282" i="1"/>
  <c r="C3282" i="1"/>
  <c r="M3282" i="1"/>
  <c r="A3283" i="1"/>
  <c r="B3283" i="1"/>
  <c r="C3283" i="1"/>
  <c r="M3283" i="1"/>
  <c r="A3284" i="1"/>
  <c r="B3284" i="1"/>
  <c r="C3284" i="1"/>
  <c r="M3284" i="1"/>
  <c r="A3285" i="1"/>
  <c r="B3285" i="1"/>
  <c r="C3285" i="1"/>
  <c r="M3285" i="1"/>
  <c r="A3286" i="1"/>
  <c r="B3286" i="1"/>
  <c r="C3286" i="1"/>
  <c r="M3286" i="1"/>
  <c r="A3287" i="1"/>
  <c r="B3287" i="1"/>
  <c r="C3287" i="1"/>
  <c r="M3287" i="1"/>
  <c r="A3288" i="1"/>
  <c r="B3288" i="1"/>
  <c r="C3288" i="1"/>
  <c r="M3288" i="1"/>
  <c r="A3289" i="1"/>
  <c r="B3289" i="1"/>
  <c r="C3289" i="1"/>
  <c r="M3289" i="1"/>
  <c r="A3290" i="1"/>
  <c r="B3290" i="1"/>
  <c r="C3290" i="1"/>
  <c r="M3290" i="1"/>
  <c r="A3291" i="1"/>
  <c r="B3291" i="1"/>
  <c r="C3291" i="1"/>
  <c r="M3291" i="1"/>
  <c r="A3292" i="1"/>
  <c r="B3292" i="1"/>
  <c r="M3292" i="1"/>
  <c r="A3293" i="1"/>
  <c r="B3293" i="1"/>
  <c r="M3293" i="1"/>
  <c r="A3294" i="1"/>
  <c r="B3294" i="1"/>
  <c r="C3294" i="1"/>
  <c r="M3294" i="1"/>
  <c r="A3295" i="1"/>
  <c r="B3295" i="1"/>
  <c r="C3295" i="1"/>
  <c r="M3295" i="1"/>
  <c r="A3296" i="1"/>
  <c r="B3296" i="1"/>
  <c r="C3296" i="1"/>
  <c r="M3296" i="1"/>
  <c r="A3297" i="1"/>
  <c r="B3297" i="1"/>
  <c r="C3297" i="1"/>
  <c r="M3297" i="1"/>
  <c r="A3298" i="1"/>
  <c r="B3298" i="1"/>
  <c r="C3298" i="1"/>
  <c r="M3298" i="1"/>
  <c r="A3299" i="1"/>
  <c r="B3299" i="1"/>
  <c r="C3299" i="1"/>
  <c r="M3299" i="1"/>
  <c r="A3300" i="1"/>
  <c r="B3300" i="1"/>
  <c r="C3300" i="1"/>
  <c r="M3300" i="1"/>
  <c r="A3301" i="1"/>
  <c r="B3301" i="1"/>
  <c r="C3301" i="1"/>
  <c r="M3301" i="1"/>
  <c r="A3302" i="1"/>
  <c r="B3302" i="1"/>
  <c r="C3302" i="1"/>
  <c r="M3302" i="1"/>
  <c r="A3303" i="1"/>
  <c r="B3303" i="1"/>
  <c r="C3303" i="1"/>
  <c r="M3303" i="1"/>
  <c r="A3304" i="1"/>
  <c r="B3304" i="1"/>
  <c r="C3304" i="1"/>
  <c r="M3304" i="1"/>
  <c r="A3305" i="1"/>
  <c r="B3305" i="1"/>
  <c r="C3305" i="1"/>
  <c r="M3305" i="1"/>
  <c r="A3306" i="1"/>
  <c r="B3306" i="1"/>
  <c r="C3306" i="1"/>
  <c r="M3306" i="1"/>
  <c r="A3307" i="1"/>
  <c r="B3307" i="1"/>
  <c r="C3307" i="1"/>
  <c r="M3307" i="1"/>
  <c r="A3308" i="1"/>
  <c r="B3308" i="1"/>
  <c r="C3308" i="1"/>
  <c r="M3308" i="1"/>
  <c r="A3309" i="1"/>
  <c r="B3309" i="1"/>
  <c r="C3309" i="1"/>
  <c r="M3309" i="1"/>
  <c r="A3310" i="1"/>
  <c r="B3310" i="1"/>
  <c r="C3310" i="1"/>
  <c r="M3310" i="1"/>
  <c r="A3311" i="1"/>
  <c r="B3311" i="1"/>
  <c r="C3311" i="1"/>
  <c r="M3311" i="1"/>
  <c r="A3312" i="1"/>
  <c r="B3312" i="1"/>
  <c r="C3312" i="1"/>
  <c r="M3312" i="1"/>
  <c r="A3313" i="1"/>
  <c r="B3313" i="1"/>
  <c r="C3313" i="1"/>
  <c r="M3313" i="1"/>
  <c r="A3314" i="1"/>
  <c r="B3314" i="1"/>
  <c r="C3314" i="1"/>
  <c r="M3314" i="1"/>
  <c r="A3315" i="1"/>
  <c r="B3315" i="1"/>
  <c r="C3315" i="1"/>
  <c r="M3315" i="1"/>
  <c r="A3316" i="1"/>
  <c r="B3316" i="1"/>
  <c r="C3316" i="1"/>
  <c r="M3316" i="1"/>
  <c r="A3317" i="1"/>
  <c r="B3317" i="1"/>
  <c r="C3317" i="1"/>
  <c r="M3317" i="1"/>
  <c r="A3318" i="1"/>
  <c r="B3318" i="1"/>
  <c r="C3318" i="1"/>
  <c r="M3318" i="1"/>
  <c r="A3319" i="1"/>
  <c r="B3319" i="1"/>
  <c r="C3319" i="1"/>
  <c r="M3319" i="1"/>
  <c r="A3320" i="1"/>
  <c r="B3320" i="1"/>
  <c r="C3320" i="1"/>
  <c r="M3320" i="1"/>
  <c r="A3321" i="1"/>
  <c r="B3321" i="1"/>
  <c r="C3321" i="1"/>
  <c r="M3321" i="1"/>
  <c r="A3322" i="1"/>
  <c r="B3322" i="1"/>
  <c r="C3322" i="1"/>
  <c r="M3322" i="1"/>
  <c r="A3323" i="1"/>
  <c r="B3323" i="1"/>
  <c r="C3323" i="1"/>
  <c r="M3323" i="1"/>
  <c r="A3324" i="1"/>
  <c r="B3324" i="1"/>
  <c r="C3324" i="1"/>
  <c r="M3324" i="1"/>
  <c r="A3325" i="1"/>
  <c r="B3325" i="1"/>
  <c r="C3325" i="1"/>
  <c r="M3325" i="1"/>
  <c r="A3326" i="1"/>
  <c r="B3326" i="1"/>
  <c r="C3326" i="1"/>
  <c r="M3326" i="1"/>
  <c r="A3327" i="1"/>
  <c r="B3327" i="1"/>
  <c r="C3327" i="1"/>
  <c r="M3327" i="1"/>
  <c r="A3328" i="1"/>
  <c r="B3328" i="1"/>
  <c r="C3328" i="1"/>
  <c r="M3328" i="1"/>
  <c r="A3329" i="1"/>
  <c r="B3329" i="1"/>
  <c r="C3329" i="1"/>
  <c r="M3329" i="1"/>
  <c r="A3330" i="1"/>
  <c r="B3330" i="1"/>
  <c r="C3330" i="1"/>
  <c r="M3330" i="1"/>
  <c r="A3331" i="1"/>
  <c r="B3331" i="1"/>
  <c r="C3331" i="1"/>
  <c r="M3331" i="1"/>
  <c r="A3332" i="1"/>
  <c r="B3332" i="1"/>
  <c r="C3332" i="1"/>
  <c r="M3332" i="1"/>
  <c r="A3333" i="1"/>
  <c r="B3333" i="1"/>
  <c r="C3333" i="1"/>
  <c r="M3333" i="1"/>
  <c r="A3334" i="1"/>
  <c r="B3334" i="1"/>
  <c r="C3334" i="1"/>
  <c r="M3334" i="1"/>
  <c r="A3335" i="1"/>
  <c r="B3335" i="1"/>
  <c r="C3335" i="1"/>
  <c r="M3335" i="1"/>
  <c r="A3336" i="1"/>
  <c r="B3336" i="1"/>
  <c r="C3336" i="1"/>
  <c r="M3336" i="1"/>
  <c r="A3337" i="1"/>
  <c r="B3337" i="1"/>
  <c r="C3337" i="1"/>
  <c r="M3337" i="1"/>
  <c r="A3338" i="1"/>
  <c r="B3338" i="1"/>
  <c r="C3338" i="1"/>
  <c r="M3338" i="1"/>
  <c r="A3339" i="1"/>
  <c r="B3339" i="1"/>
  <c r="C3339" i="1"/>
  <c r="M3339" i="1"/>
  <c r="A3340" i="1"/>
  <c r="B3340" i="1"/>
  <c r="C3340" i="1"/>
  <c r="M3340" i="1"/>
  <c r="A3341" i="1"/>
  <c r="B3341" i="1"/>
  <c r="C3341" i="1"/>
  <c r="M3341" i="1"/>
  <c r="A3342" i="1"/>
  <c r="B3342" i="1"/>
  <c r="C3342" i="1"/>
  <c r="M3342" i="1"/>
  <c r="A3343" i="1"/>
  <c r="B3343" i="1"/>
  <c r="C3343" i="1"/>
  <c r="M3343" i="1"/>
  <c r="A3344" i="1"/>
  <c r="B3344" i="1"/>
  <c r="C3344" i="1"/>
  <c r="M3344" i="1"/>
  <c r="A3345" i="1"/>
  <c r="B3345" i="1"/>
  <c r="C3345" i="1"/>
  <c r="M3345" i="1"/>
  <c r="A3346" i="1"/>
  <c r="B3346" i="1"/>
  <c r="C3346" i="1"/>
  <c r="M3346" i="1"/>
  <c r="A3347" i="1"/>
  <c r="B3347" i="1"/>
  <c r="C3347" i="1"/>
  <c r="M3347" i="1"/>
  <c r="A3348" i="1"/>
  <c r="B3348" i="1"/>
  <c r="C3348" i="1"/>
  <c r="M3348" i="1"/>
  <c r="A3349" i="1"/>
  <c r="B3349" i="1"/>
  <c r="C3349" i="1"/>
  <c r="M3349" i="1"/>
  <c r="A3350" i="1"/>
  <c r="B3350" i="1"/>
  <c r="C3350" i="1"/>
  <c r="M3350" i="1"/>
  <c r="A3351" i="1"/>
  <c r="B3351" i="1"/>
  <c r="C3351" i="1"/>
  <c r="M3351" i="1"/>
  <c r="A3352" i="1"/>
  <c r="B3352" i="1"/>
  <c r="C3352" i="1"/>
  <c r="M3352" i="1"/>
  <c r="A3353" i="1"/>
  <c r="B3353" i="1"/>
  <c r="C3353" i="1"/>
  <c r="M3353" i="1"/>
  <c r="A3354" i="1"/>
  <c r="B3354" i="1"/>
  <c r="C3354" i="1"/>
  <c r="M3354" i="1"/>
  <c r="A3355" i="1"/>
  <c r="B3355" i="1"/>
  <c r="C3355" i="1"/>
  <c r="M3355" i="1"/>
  <c r="A3356" i="1"/>
  <c r="B3356" i="1"/>
  <c r="C3356" i="1"/>
  <c r="M3356" i="1"/>
  <c r="A3357" i="1"/>
  <c r="B3357" i="1"/>
  <c r="C3357" i="1"/>
  <c r="M3357" i="1"/>
  <c r="A3358" i="1"/>
  <c r="B3358" i="1"/>
  <c r="C3358" i="1"/>
  <c r="M3358" i="1"/>
  <c r="A3359" i="1"/>
  <c r="B3359" i="1"/>
  <c r="C3359" i="1"/>
  <c r="M3359" i="1"/>
  <c r="A3360" i="1"/>
  <c r="B3360" i="1"/>
  <c r="C3360" i="1"/>
  <c r="M3360" i="1"/>
  <c r="A3361" i="1"/>
  <c r="B3361" i="1"/>
  <c r="C3361" i="1"/>
  <c r="M3361" i="1"/>
  <c r="A3362" i="1"/>
  <c r="B3362" i="1"/>
  <c r="C3362" i="1"/>
  <c r="M3362" i="1"/>
  <c r="A3363" i="1"/>
  <c r="B3363" i="1"/>
  <c r="C3363" i="1"/>
  <c r="M3363" i="1"/>
  <c r="A3364" i="1"/>
  <c r="B3364" i="1"/>
  <c r="C3364" i="1"/>
  <c r="M3364" i="1"/>
  <c r="A3365" i="1"/>
  <c r="B3365" i="1"/>
  <c r="C3365" i="1"/>
  <c r="M3365" i="1"/>
  <c r="A3366" i="1"/>
  <c r="B3366" i="1"/>
  <c r="C3366" i="1"/>
  <c r="M3366" i="1"/>
  <c r="A3367" i="1"/>
  <c r="B3367" i="1"/>
  <c r="C3367" i="1"/>
  <c r="M3367" i="1"/>
  <c r="A3368" i="1"/>
  <c r="B3368" i="1"/>
  <c r="C3368" i="1"/>
  <c r="M3368" i="1"/>
  <c r="A3369" i="1"/>
  <c r="B3369" i="1"/>
  <c r="C3369" i="1"/>
  <c r="M3369" i="1"/>
  <c r="A3370" i="1"/>
  <c r="B3370" i="1"/>
  <c r="C3370" i="1"/>
  <c r="M3370" i="1"/>
  <c r="A3371" i="1"/>
  <c r="B3371" i="1"/>
  <c r="C3371" i="1"/>
  <c r="M3371" i="1"/>
  <c r="A3372" i="1"/>
  <c r="B3372" i="1"/>
  <c r="C3372" i="1"/>
  <c r="M3372" i="1"/>
  <c r="A3373" i="1"/>
  <c r="B3373" i="1"/>
  <c r="C3373" i="1"/>
  <c r="M3373" i="1"/>
  <c r="A3374" i="1"/>
  <c r="B3374" i="1"/>
  <c r="C3374" i="1"/>
  <c r="M3374" i="1"/>
  <c r="A3375" i="1"/>
  <c r="B3375" i="1"/>
  <c r="C3375" i="1"/>
  <c r="M3375" i="1"/>
  <c r="A3376" i="1"/>
  <c r="B3376" i="1"/>
  <c r="C3376" i="1"/>
  <c r="M3376" i="1"/>
  <c r="A3377" i="1"/>
  <c r="B3377" i="1"/>
  <c r="C3377" i="1"/>
  <c r="M3377" i="1"/>
  <c r="A3378" i="1"/>
  <c r="B3378" i="1"/>
  <c r="C3378" i="1"/>
  <c r="M3378" i="1"/>
  <c r="A3379" i="1"/>
  <c r="B3379" i="1"/>
  <c r="C3379" i="1"/>
  <c r="M3379" i="1"/>
  <c r="A3380" i="1"/>
  <c r="B3380" i="1"/>
  <c r="C3380" i="1"/>
  <c r="M3380" i="1"/>
  <c r="A3381" i="1"/>
  <c r="B3381" i="1"/>
  <c r="C3381" i="1"/>
  <c r="M3381" i="1"/>
  <c r="A3382" i="1"/>
  <c r="B3382" i="1"/>
  <c r="C3382" i="1"/>
  <c r="M3382" i="1"/>
  <c r="A3383" i="1"/>
  <c r="B3383" i="1"/>
  <c r="C3383" i="1"/>
  <c r="M3383" i="1"/>
  <c r="A3384" i="1"/>
  <c r="B3384" i="1"/>
  <c r="C3384" i="1"/>
  <c r="M3384" i="1"/>
  <c r="A3385" i="1"/>
  <c r="B3385" i="1"/>
  <c r="C3385" i="1"/>
  <c r="M3385" i="1"/>
  <c r="A3386" i="1"/>
  <c r="B3386" i="1"/>
  <c r="C3386" i="1"/>
  <c r="M3386" i="1"/>
  <c r="A3387" i="1"/>
  <c r="B3387" i="1"/>
  <c r="C3387" i="1"/>
  <c r="M3387" i="1"/>
  <c r="A3388" i="1"/>
  <c r="B3388" i="1"/>
  <c r="C3388" i="1"/>
  <c r="M3388" i="1"/>
  <c r="A3389" i="1"/>
  <c r="B3389" i="1"/>
  <c r="C3389" i="1"/>
  <c r="M3389" i="1"/>
  <c r="A3390" i="1"/>
  <c r="B3390" i="1"/>
  <c r="C3390" i="1"/>
  <c r="M3390" i="1"/>
  <c r="A3391" i="1"/>
  <c r="B3391" i="1"/>
  <c r="C3391" i="1"/>
  <c r="M3391" i="1"/>
  <c r="A3392" i="1"/>
  <c r="B3392" i="1"/>
  <c r="C3392" i="1"/>
  <c r="M3392" i="1"/>
  <c r="A3393" i="1"/>
  <c r="B3393" i="1"/>
  <c r="C3393" i="1"/>
  <c r="M3393" i="1"/>
  <c r="A3394" i="1"/>
  <c r="B3394" i="1"/>
  <c r="C3394" i="1"/>
  <c r="M3394" i="1"/>
  <c r="A3395" i="1"/>
  <c r="B3395" i="1"/>
  <c r="C3395" i="1"/>
  <c r="M3395" i="1"/>
  <c r="A3396" i="1"/>
  <c r="B3396" i="1"/>
  <c r="C3396" i="1"/>
  <c r="M3396" i="1"/>
  <c r="A3397" i="1"/>
  <c r="B3397" i="1"/>
  <c r="C3397" i="1"/>
  <c r="M3397" i="1"/>
  <c r="A3398" i="1"/>
  <c r="B3398" i="1"/>
  <c r="C3398" i="1"/>
  <c r="M3398" i="1"/>
  <c r="A3399" i="1"/>
  <c r="B3399" i="1"/>
  <c r="C3399" i="1"/>
  <c r="M3399" i="1"/>
  <c r="A3400" i="1"/>
  <c r="B3400" i="1"/>
  <c r="C3400" i="1"/>
  <c r="M3400" i="1"/>
  <c r="A3401" i="1"/>
  <c r="B3401" i="1"/>
  <c r="C3401" i="1"/>
  <c r="M3401" i="1"/>
  <c r="A3402" i="1"/>
  <c r="B3402" i="1"/>
  <c r="C3402" i="1"/>
  <c r="M3402" i="1"/>
  <c r="A3403" i="1"/>
  <c r="B3403" i="1"/>
  <c r="C3403" i="1"/>
  <c r="M3403" i="1"/>
  <c r="A3404" i="1"/>
  <c r="B3404" i="1"/>
  <c r="C3404" i="1"/>
  <c r="M3404" i="1"/>
  <c r="A3405" i="1"/>
  <c r="B3405" i="1"/>
  <c r="C3405" i="1"/>
  <c r="M3405" i="1"/>
  <c r="A3406" i="1"/>
  <c r="B3406" i="1"/>
  <c r="C3406" i="1"/>
  <c r="M3406" i="1"/>
  <c r="A3407" i="1"/>
  <c r="B3407" i="1"/>
  <c r="C3407" i="1"/>
  <c r="M3407" i="1"/>
  <c r="A3408" i="1"/>
  <c r="B3408" i="1"/>
  <c r="C3408" i="1"/>
  <c r="M3408" i="1"/>
  <c r="A3409" i="1"/>
  <c r="B3409" i="1"/>
  <c r="C3409" i="1"/>
  <c r="M3409" i="1"/>
  <c r="A3410" i="1"/>
  <c r="B3410" i="1"/>
  <c r="C3410" i="1"/>
  <c r="M3410" i="1"/>
  <c r="A3411" i="1"/>
  <c r="B3411" i="1"/>
  <c r="C3411" i="1"/>
  <c r="M3411" i="1"/>
  <c r="A3412" i="1"/>
  <c r="B3412" i="1"/>
  <c r="C3412" i="1"/>
  <c r="M3412" i="1"/>
  <c r="A3413" i="1"/>
  <c r="B3413" i="1"/>
  <c r="C3413" i="1"/>
  <c r="M3413" i="1"/>
  <c r="A3414" i="1"/>
  <c r="B3414" i="1"/>
  <c r="C3414" i="1"/>
  <c r="M3414" i="1"/>
  <c r="A3415" i="1"/>
  <c r="B3415" i="1"/>
  <c r="C3415" i="1"/>
  <c r="M3415" i="1"/>
  <c r="A3416" i="1"/>
  <c r="B3416" i="1"/>
  <c r="C3416" i="1"/>
  <c r="M3416" i="1"/>
  <c r="A3417" i="1"/>
  <c r="B3417" i="1"/>
  <c r="C3417" i="1"/>
  <c r="M3417" i="1"/>
  <c r="A3418" i="1"/>
  <c r="B3418" i="1"/>
  <c r="C3418" i="1"/>
  <c r="M3418" i="1"/>
  <c r="A3419" i="1"/>
  <c r="B3419" i="1"/>
  <c r="C3419" i="1"/>
  <c r="M3419" i="1"/>
  <c r="A3420" i="1"/>
  <c r="B3420" i="1"/>
  <c r="C3420" i="1"/>
  <c r="M3420" i="1"/>
  <c r="A3421" i="1"/>
  <c r="B3421" i="1"/>
  <c r="C3421" i="1"/>
  <c r="M3421" i="1"/>
  <c r="A3422" i="1"/>
  <c r="B3422" i="1"/>
  <c r="C3422" i="1"/>
  <c r="M3422" i="1"/>
  <c r="A3423" i="1"/>
  <c r="B3423" i="1"/>
  <c r="C3423" i="1"/>
  <c r="M3423" i="1"/>
  <c r="A3424" i="1"/>
  <c r="B3424" i="1"/>
  <c r="C3424" i="1"/>
  <c r="M3424" i="1"/>
  <c r="A3425" i="1"/>
  <c r="B3425" i="1"/>
  <c r="C3425" i="1"/>
  <c r="M3425" i="1"/>
  <c r="A3426" i="1"/>
  <c r="B3426" i="1"/>
  <c r="C3426" i="1"/>
  <c r="M3426" i="1"/>
  <c r="A3427" i="1"/>
  <c r="B3427" i="1"/>
  <c r="C3427" i="1"/>
  <c r="M3427" i="1"/>
  <c r="A3428" i="1"/>
  <c r="B3428" i="1"/>
  <c r="C3428" i="1"/>
  <c r="M3428" i="1"/>
  <c r="A3429" i="1"/>
  <c r="B3429" i="1"/>
  <c r="C3429" i="1"/>
  <c r="M3429" i="1"/>
  <c r="A3430" i="1"/>
  <c r="B3430" i="1"/>
  <c r="C3430" i="1"/>
  <c r="M3430" i="1"/>
  <c r="A3431" i="1"/>
  <c r="B3431" i="1"/>
  <c r="C3431" i="1"/>
  <c r="M3431" i="1"/>
  <c r="A3432" i="1"/>
  <c r="B3432" i="1"/>
  <c r="C3432" i="1"/>
  <c r="M3432" i="1"/>
  <c r="A3433" i="1"/>
  <c r="B3433" i="1"/>
  <c r="C3433" i="1"/>
  <c r="M3433" i="1"/>
  <c r="A3434" i="1"/>
  <c r="B3434" i="1"/>
  <c r="C3434" i="1"/>
  <c r="M3434" i="1"/>
  <c r="A3435" i="1"/>
  <c r="B3435" i="1"/>
  <c r="C3435" i="1"/>
  <c r="M3435" i="1"/>
  <c r="A3436" i="1"/>
  <c r="B3436" i="1"/>
  <c r="C3436" i="1"/>
  <c r="M3436" i="1"/>
  <c r="A3437" i="1"/>
  <c r="B3437" i="1"/>
  <c r="C3437" i="1"/>
  <c r="M3437" i="1"/>
  <c r="A3438" i="1"/>
  <c r="B3438" i="1"/>
  <c r="C3438" i="1"/>
  <c r="M3438" i="1"/>
  <c r="A3439" i="1"/>
  <c r="B3439" i="1"/>
  <c r="C3439" i="1"/>
  <c r="M3439" i="1"/>
  <c r="A3440" i="1"/>
  <c r="B3440" i="1"/>
  <c r="C3440" i="1"/>
  <c r="M3440" i="1"/>
  <c r="A3441" i="1"/>
  <c r="B3441" i="1"/>
  <c r="C3441" i="1"/>
  <c r="M3441" i="1"/>
  <c r="A3442" i="1"/>
  <c r="B3442" i="1"/>
  <c r="C3442" i="1"/>
  <c r="M3442" i="1"/>
  <c r="A3443" i="1"/>
  <c r="B3443" i="1"/>
  <c r="C3443" i="1"/>
  <c r="M3443" i="1"/>
  <c r="A3444" i="1"/>
  <c r="B3444" i="1"/>
  <c r="C3444" i="1"/>
  <c r="M3444" i="1"/>
  <c r="A3445" i="1"/>
  <c r="B3445" i="1"/>
  <c r="C3445" i="1"/>
  <c r="M3445" i="1"/>
  <c r="A3446" i="1"/>
  <c r="B3446" i="1"/>
  <c r="C3446" i="1"/>
  <c r="M3446" i="1"/>
  <c r="A3447" i="1"/>
  <c r="B3447" i="1"/>
  <c r="C3447" i="1"/>
  <c r="M3447" i="1"/>
  <c r="A3448" i="1"/>
  <c r="B3448" i="1"/>
  <c r="C3448" i="1"/>
  <c r="M3448" i="1"/>
  <c r="A3449" i="1"/>
  <c r="B3449" i="1"/>
  <c r="C3449" i="1"/>
  <c r="M3449" i="1"/>
  <c r="A3450" i="1"/>
  <c r="B3450" i="1"/>
  <c r="C3450" i="1"/>
  <c r="M3450" i="1"/>
  <c r="A3451" i="1"/>
  <c r="B3451" i="1"/>
  <c r="C3451" i="1"/>
  <c r="M3451" i="1"/>
  <c r="A3452" i="1"/>
  <c r="B3452" i="1"/>
  <c r="C3452" i="1"/>
  <c r="M3452" i="1"/>
  <c r="A3453" i="1"/>
  <c r="B3453" i="1"/>
  <c r="C3453" i="1"/>
  <c r="M3453" i="1"/>
  <c r="A3454" i="1"/>
  <c r="B3454" i="1"/>
  <c r="C3454" i="1"/>
  <c r="M3454" i="1"/>
  <c r="A3455" i="1"/>
  <c r="B3455" i="1"/>
  <c r="C3455" i="1"/>
  <c r="M3455" i="1"/>
  <c r="A3456" i="1"/>
  <c r="B3456" i="1"/>
  <c r="C3456" i="1"/>
  <c r="M3456" i="1"/>
  <c r="A3457" i="1"/>
  <c r="B3457" i="1"/>
  <c r="C3457" i="1"/>
  <c r="M3457" i="1"/>
  <c r="A3458" i="1"/>
  <c r="B3458" i="1"/>
  <c r="C3458" i="1"/>
  <c r="M3458" i="1"/>
  <c r="A3459" i="1"/>
  <c r="B3459" i="1"/>
  <c r="C3459" i="1"/>
  <c r="M3459" i="1"/>
  <c r="A3460" i="1"/>
  <c r="B3460" i="1"/>
  <c r="C3460" i="1"/>
  <c r="M3460" i="1"/>
  <c r="A3461" i="1"/>
  <c r="B3461" i="1"/>
  <c r="C3461" i="1"/>
  <c r="M3461" i="1"/>
  <c r="A3462" i="1"/>
  <c r="B3462" i="1"/>
  <c r="C3462" i="1"/>
  <c r="M3462" i="1"/>
  <c r="A3463" i="1"/>
  <c r="B3463" i="1"/>
  <c r="C3463" i="1"/>
  <c r="M3463" i="1"/>
  <c r="A3464" i="1"/>
  <c r="B3464" i="1"/>
  <c r="C3464" i="1"/>
  <c r="M3464" i="1"/>
  <c r="A3465" i="1"/>
  <c r="B3465" i="1"/>
  <c r="C3465" i="1"/>
  <c r="M3465" i="1"/>
  <c r="A3466" i="1"/>
  <c r="B3466" i="1"/>
  <c r="C3466" i="1"/>
  <c r="M3466" i="1"/>
  <c r="A3467" i="1"/>
  <c r="B3467" i="1"/>
  <c r="C3467" i="1"/>
  <c r="M3467" i="1"/>
  <c r="A3468" i="1"/>
  <c r="B3468" i="1"/>
  <c r="C3468" i="1"/>
  <c r="M3468" i="1"/>
  <c r="A3469" i="1"/>
  <c r="B3469" i="1"/>
  <c r="C3469" i="1"/>
  <c r="M3469" i="1"/>
  <c r="A3470" i="1"/>
  <c r="B3470" i="1"/>
  <c r="C3470" i="1"/>
  <c r="M3470" i="1"/>
  <c r="A3471" i="1"/>
  <c r="B3471" i="1"/>
  <c r="C3471" i="1"/>
  <c r="M3471" i="1"/>
  <c r="A3472" i="1"/>
  <c r="B3472" i="1"/>
  <c r="C3472" i="1"/>
  <c r="M3472" i="1"/>
  <c r="A3473" i="1"/>
  <c r="B3473" i="1"/>
  <c r="C3473" i="1"/>
  <c r="M3473" i="1"/>
  <c r="A3474" i="1"/>
  <c r="B3474" i="1"/>
  <c r="C3474" i="1"/>
  <c r="M3474" i="1"/>
  <c r="A3475" i="1"/>
  <c r="B3475" i="1"/>
  <c r="C3475" i="1"/>
  <c r="M3475" i="1"/>
  <c r="A3476" i="1"/>
  <c r="B3476" i="1"/>
  <c r="C3476" i="1"/>
  <c r="M3476" i="1"/>
  <c r="A3477" i="1"/>
  <c r="B3477" i="1"/>
  <c r="C3477" i="1"/>
  <c r="M3477" i="1"/>
  <c r="A3478" i="1"/>
  <c r="B3478" i="1"/>
  <c r="C3478" i="1"/>
  <c r="M3478" i="1"/>
  <c r="A3479" i="1"/>
  <c r="B3479" i="1"/>
  <c r="C3479" i="1"/>
  <c r="M3479" i="1"/>
  <c r="A3480" i="1"/>
  <c r="B3480" i="1"/>
  <c r="C3480" i="1"/>
  <c r="M3480" i="1"/>
  <c r="A3481" i="1"/>
  <c r="B3481" i="1"/>
  <c r="C3481" i="1"/>
  <c r="M3481" i="1"/>
  <c r="A3482" i="1"/>
  <c r="B3482" i="1"/>
  <c r="C3482" i="1"/>
  <c r="M3482" i="1"/>
  <c r="A3483" i="1"/>
  <c r="B3483" i="1"/>
  <c r="C3483" i="1"/>
  <c r="M3483" i="1"/>
  <c r="A3484" i="1"/>
  <c r="B3484" i="1"/>
  <c r="C3484" i="1"/>
  <c r="M3484" i="1"/>
  <c r="A3485" i="1"/>
  <c r="B3485" i="1"/>
  <c r="C3485" i="1"/>
  <c r="M3485" i="1"/>
  <c r="A3486" i="1"/>
  <c r="B3486" i="1"/>
  <c r="C3486" i="1"/>
  <c r="M3486" i="1"/>
  <c r="A3487" i="1"/>
  <c r="B3487" i="1"/>
  <c r="C3487" i="1"/>
  <c r="M3487" i="1"/>
  <c r="A3488" i="1"/>
  <c r="B3488" i="1"/>
  <c r="C3488" i="1"/>
  <c r="M3488" i="1"/>
  <c r="A3489" i="1"/>
  <c r="B3489" i="1"/>
  <c r="C3489" i="1"/>
  <c r="M3489" i="1"/>
  <c r="A3490" i="1"/>
  <c r="B3490" i="1"/>
  <c r="C3490" i="1"/>
  <c r="M3490" i="1"/>
  <c r="A3491" i="1"/>
  <c r="B3491" i="1"/>
  <c r="C3491" i="1"/>
  <c r="M3491" i="1"/>
  <c r="A3492" i="1"/>
  <c r="B3492" i="1"/>
  <c r="C3492" i="1"/>
  <c r="M3492" i="1"/>
  <c r="A3493" i="1"/>
  <c r="B3493" i="1"/>
  <c r="C3493" i="1"/>
  <c r="M3493" i="1"/>
  <c r="A3494" i="1"/>
  <c r="B3494" i="1"/>
  <c r="C3494" i="1"/>
  <c r="M3494" i="1"/>
  <c r="A3495" i="1"/>
  <c r="B3495" i="1"/>
  <c r="C3495" i="1"/>
  <c r="M3495" i="1"/>
  <c r="A3496" i="1"/>
  <c r="B3496" i="1"/>
  <c r="C3496" i="1"/>
  <c r="M3496" i="1"/>
  <c r="A3497" i="1"/>
  <c r="B3497" i="1"/>
  <c r="C3497" i="1"/>
  <c r="M3497" i="1"/>
  <c r="A3498" i="1"/>
  <c r="B3498" i="1"/>
  <c r="C3498" i="1"/>
  <c r="M3498" i="1"/>
  <c r="A3499" i="1"/>
  <c r="B3499" i="1"/>
  <c r="C3499" i="1"/>
  <c r="M3499" i="1"/>
  <c r="A3500" i="1"/>
  <c r="B3500" i="1"/>
  <c r="C3500" i="1"/>
  <c r="M3500" i="1"/>
  <c r="A3501" i="1"/>
  <c r="B3501" i="1"/>
  <c r="C3501" i="1"/>
  <c r="M3501" i="1"/>
  <c r="A3502" i="1"/>
  <c r="B3502" i="1"/>
  <c r="C3502" i="1"/>
  <c r="M3502" i="1"/>
  <c r="A3503" i="1"/>
  <c r="B3503" i="1"/>
  <c r="C3503" i="1"/>
  <c r="M3503" i="1"/>
  <c r="A3504" i="1"/>
  <c r="B3504" i="1"/>
  <c r="C3504" i="1"/>
  <c r="M3504" i="1"/>
  <c r="A3505" i="1"/>
  <c r="B3505" i="1"/>
  <c r="C3505" i="1"/>
  <c r="M3505" i="1"/>
  <c r="A3506" i="1"/>
  <c r="B3506" i="1"/>
  <c r="C3506" i="1"/>
  <c r="M3506" i="1"/>
  <c r="A3507" i="1"/>
  <c r="B3507" i="1"/>
  <c r="C3507" i="1"/>
  <c r="M3507" i="1"/>
  <c r="A3508" i="1"/>
  <c r="B3508" i="1"/>
  <c r="C3508" i="1"/>
  <c r="M3508" i="1"/>
  <c r="A3509" i="1"/>
  <c r="B3509" i="1"/>
  <c r="C3509" i="1"/>
  <c r="M3509" i="1"/>
  <c r="A3510" i="1"/>
  <c r="B3510" i="1"/>
  <c r="C3510" i="1"/>
  <c r="M3510" i="1"/>
  <c r="A3511" i="1"/>
  <c r="B3511" i="1"/>
  <c r="C3511" i="1"/>
  <c r="M3511" i="1"/>
  <c r="A3512" i="1"/>
  <c r="B3512" i="1"/>
  <c r="C3512" i="1"/>
  <c r="M3512" i="1"/>
  <c r="A3513" i="1"/>
  <c r="B3513" i="1"/>
  <c r="C3513" i="1"/>
  <c r="M3513" i="1"/>
  <c r="A3514" i="1"/>
  <c r="B3514" i="1"/>
  <c r="C3514" i="1"/>
  <c r="M3514" i="1"/>
  <c r="A3515" i="1"/>
  <c r="B3515" i="1"/>
  <c r="C3515" i="1"/>
  <c r="M3515" i="1"/>
  <c r="A3516" i="1"/>
  <c r="B3516" i="1"/>
  <c r="C3516" i="1"/>
  <c r="M3516" i="1"/>
  <c r="A3517" i="1"/>
  <c r="B3517" i="1"/>
  <c r="C3517" i="1"/>
  <c r="M3517" i="1"/>
  <c r="A3518" i="1"/>
  <c r="B3518" i="1"/>
  <c r="C3518" i="1"/>
  <c r="M3518" i="1"/>
  <c r="A3519" i="1"/>
  <c r="B3519" i="1"/>
  <c r="C3519" i="1"/>
  <c r="M3519" i="1"/>
  <c r="A3520" i="1"/>
  <c r="B3520" i="1"/>
  <c r="C3520" i="1"/>
  <c r="M3520" i="1"/>
  <c r="A3521" i="1"/>
  <c r="B3521" i="1"/>
  <c r="C3521" i="1"/>
  <c r="M3521" i="1"/>
  <c r="A3522" i="1"/>
  <c r="B3522" i="1"/>
  <c r="C3522" i="1"/>
  <c r="M3522" i="1"/>
  <c r="A3523" i="1"/>
  <c r="B3523" i="1"/>
  <c r="C3523" i="1"/>
  <c r="M3523" i="1"/>
  <c r="A3524" i="1"/>
  <c r="B3524" i="1"/>
  <c r="C3524" i="1"/>
  <c r="M3524" i="1"/>
  <c r="A3525" i="1"/>
  <c r="B3525" i="1"/>
  <c r="C3525" i="1"/>
  <c r="M3525" i="1"/>
  <c r="A3526" i="1"/>
  <c r="B3526" i="1"/>
  <c r="C3526" i="1"/>
  <c r="M3526" i="1"/>
  <c r="A3527" i="1"/>
  <c r="B3527" i="1"/>
  <c r="C3527" i="1"/>
  <c r="M3527" i="1"/>
  <c r="A3528" i="1"/>
  <c r="B3528" i="1"/>
  <c r="C3528" i="1"/>
  <c r="M3528" i="1"/>
  <c r="A3529" i="1"/>
  <c r="B3529" i="1"/>
  <c r="C3529" i="1"/>
  <c r="M3529" i="1"/>
  <c r="A3530" i="1"/>
  <c r="B3530" i="1"/>
  <c r="C3530" i="1"/>
  <c r="M3530" i="1"/>
  <c r="A3531" i="1"/>
  <c r="B3531" i="1"/>
  <c r="C3531" i="1"/>
  <c r="M3531" i="1"/>
  <c r="A3532" i="1"/>
  <c r="B3532" i="1"/>
  <c r="C3532" i="1"/>
  <c r="M3532" i="1"/>
  <c r="A3533" i="1"/>
  <c r="B3533" i="1"/>
  <c r="C3533" i="1"/>
  <c r="M3533" i="1"/>
  <c r="A3534" i="1"/>
  <c r="B3534" i="1"/>
  <c r="C3534" i="1"/>
  <c r="M3534" i="1"/>
  <c r="A3535" i="1"/>
  <c r="B3535" i="1"/>
  <c r="C3535" i="1"/>
  <c r="M3535" i="1"/>
  <c r="A3536" i="1"/>
  <c r="B3536" i="1"/>
  <c r="C3536" i="1"/>
  <c r="M3536" i="1"/>
  <c r="A3537" i="1"/>
  <c r="B3537" i="1"/>
  <c r="C3537" i="1"/>
  <c r="M3537" i="1"/>
  <c r="A3538" i="1"/>
  <c r="B3538" i="1"/>
  <c r="C3538" i="1"/>
  <c r="M3538" i="1"/>
  <c r="A3539" i="1"/>
  <c r="B3539" i="1"/>
  <c r="C3539" i="1"/>
  <c r="M3539" i="1"/>
  <c r="A3540" i="1"/>
  <c r="B3540" i="1"/>
  <c r="C3540" i="1"/>
  <c r="M3540" i="1"/>
  <c r="A3541" i="1"/>
  <c r="B3541" i="1"/>
  <c r="C3541" i="1"/>
  <c r="M3541" i="1"/>
  <c r="A3542" i="1"/>
  <c r="B3542" i="1"/>
  <c r="C3542" i="1"/>
  <c r="M3542" i="1"/>
  <c r="A3543" i="1"/>
  <c r="B3543" i="1"/>
  <c r="C3543" i="1"/>
  <c r="M3543" i="1"/>
  <c r="A3544" i="1"/>
  <c r="B3544" i="1"/>
  <c r="C3544" i="1"/>
  <c r="M3544" i="1"/>
  <c r="A3545" i="1"/>
  <c r="B3545" i="1"/>
  <c r="C3545" i="1"/>
  <c r="M3545" i="1"/>
  <c r="A3546" i="1"/>
  <c r="B3546" i="1"/>
  <c r="C3546" i="1"/>
  <c r="M3546" i="1"/>
  <c r="A3547" i="1"/>
  <c r="B3547" i="1"/>
  <c r="C3547" i="1"/>
  <c r="M3547" i="1"/>
  <c r="A3548" i="1"/>
  <c r="B3548" i="1"/>
  <c r="C3548" i="1"/>
  <c r="M3548" i="1"/>
  <c r="A3549" i="1"/>
  <c r="B3549" i="1"/>
  <c r="C3549" i="1"/>
  <c r="M3549" i="1"/>
  <c r="A3550" i="1"/>
  <c r="B3550" i="1"/>
  <c r="C3550" i="1"/>
  <c r="M3550" i="1"/>
  <c r="A3551" i="1"/>
  <c r="B3551" i="1"/>
  <c r="C3551" i="1"/>
  <c r="M3551" i="1"/>
  <c r="A3552" i="1"/>
  <c r="B3552" i="1"/>
  <c r="C3552" i="1"/>
  <c r="M3552" i="1"/>
  <c r="A3553" i="1"/>
  <c r="B3553" i="1"/>
  <c r="C3553" i="1"/>
  <c r="M3553" i="1"/>
  <c r="A3554" i="1"/>
  <c r="B3554" i="1"/>
  <c r="C3554" i="1"/>
  <c r="M3554" i="1"/>
  <c r="A3555" i="1"/>
  <c r="B3555" i="1"/>
  <c r="C3555" i="1"/>
  <c r="M3555" i="1"/>
  <c r="A3556" i="1"/>
  <c r="B3556" i="1"/>
  <c r="C3556" i="1"/>
  <c r="M3556" i="1"/>
  <c r="A3557" i="1"/>
  <c r="B3557" i="1"/>
  <c r="C3557" i="1"/>
  <c r="M3557" i="1"/>
  <c r="A3558" i="1"/>
  <c r="B3558" i="1"/>
  <c r="C3558" i="1"/>
  <c r="M3558" i="1"/>
  <c r="A3559" i="1"/>
  <c r="B3559" i="1"/>
  <c r="C3559" i="1"/>
  <c r="M3559" i="1"/>
  <c r="A3560" i="1"/>
  <c r="B3560" i="1"/>
  <c r="C3560" i="1"/>
  <c r="M3560" i="1"/>
  <c r="A3561" i="1"/>
  <c r="B3561" i="1"/>
  <c r="C3561" i="1"/>
  <c r="M3561" i="1"/>
  <c r="A3562" i="1"/>
  <c r="B3562" i="1"/>
  <c r="C3562" i="1"/>
  <c r="M3562" i="1"/>
  <c r="A3563" i="1"/>
  <c r="B3563" i="1"/>
  <c r="C3563" i="1"/>
  <c r="M3563" i="1"/>
  <c r="A3564" i="1"/>
  <c r="B3564" i="1"/>
  <c r="C3564" i="1"/>
  <c r="M3564" i="1"/>
  <c r="A3565" i="1"/>
  <c r="B3565" i="1"/>
  <c r="C3565" i="1"/>
  <c r="M3565" i="1"/>
  <c r="A3566" i="1"/>
  <c r="B3566" i="1"/>
  <c r="C3566" i="1"/>
  <c r="M3566" i="1"/>
  <c r="A3567" i="1"/>
  <c r="B3567" i="1"/>
  <c r="C3567" i="1"/>
  <c r="M3567" i="1"/>
  <c r="A3568" i="1"/>
  <c r="B3568" i="1"/>
  <c r="C3568" i="1"/>
  <c r="M3568" i="1"/>
  <c r="A3569" i="1"/>
  <c r="B3569" i="1"/>
  <c r="C3569" i="1"/>
  <c r="M3569" i="1"/>
  <c r="A3570" i="1"/>
  <c r="B3570" i="1"/>
  <c r="C3570" i="1"/>
  <c r="M3570" i="1"/>
  <c r="A3571" i="1"/>
  <c r="B3571" i="1"/>
  <c r="C3571" i="1"/>
  <c r="M3571" i="1"/>
  <c r="A3572" i="1"/>
  <c r="B3572" i="1"/>
  <c r="C3572" i="1"/>
  <c r="M3572" i="1"/>
  <c r="A3573" i="1"/>
  <c r="B3573" i="1"/>
  <c r="C3573" i="1"/>
  <c r="M3573" i="1"/>
  <c r="A3574" i="1"/>
  <c r="B3574" i="1"/>
  <c r="C3574" i="1"/>
  <c r="M3574" i="1"/>
  <c r="A3575" i="1"/>
  <c r="B3575" i="1"/>
  <c r="C3575" i="1"/>
  <c r="M3575" i="1"/>
  <c r="A3576" i="1"/>
  <c r="B3576" i="1"/>
  <c r="C3576" i="1"/>
  <c r="M3576" i="1"/>
  <c r="A3577" i="1"/>
  <c r="B3577" i="1"/>
  <c r="C3577" i="1"/>
  <c r="M3577" i="1"/>
  <c r="A3578" i="1"/>
  <c r="B3578" i="1"/>
  <c r="C3578" i="1"/>
  <c r="M3578" i="1"/>
  <c r="A3579" i="1"/>
  <c r="B3579" i="1"/>
  <c r="C3579" i="1"/>
  <c r="M3579" i="1"/>
  <c r="A3580" i="1"/>
  <c r="B3580" i="1"/>
  <c r="C3580" i="1"/>
  <c r="M3580" i="1"/>
  <c r="A3581" i="1"/>
  <c r="B3581" i="1"/>
  <c r="C3581" i="1"/>
  <c r="M3581" i="1"/>
  <c r="A3582" i="1"/>
  <c r="B3582" i="1"/>
  <c r="C3582" i="1"/>
  <c r="M3582" i="1"/>
  <c r="A3583" i="1"/>
  <c r="B3583" i="1"/>
  <c r="C3583" i="1"/>
  <c r="M3583" i="1"/>
  <c r="A3584" i="1"/>
  <c r="B3584" i="1"/>
  <c r="C3584" i="1"/>
  <c r="M3584" i="1"/>
  <c r="A3585" i="1"/>
  <c r="B3585" i="1"/>
  <c r="C3585" i="1"/>
  <c r="M3585" i="1"/>
  <c r="A3586" i="1"/>
  <c r="B3586" i="1"/>
  <c r="C3586" i="1"/>
  <c r="M3586" i="1"/>
  <c r="A3587" i="1"/>
  <c r="B3587" i="1"/>
  <c r="C3587" i="1"/>
  <c r="M3587" i="1"/>
  <c r="A3588" i="1"/>
  <c r="B3588" i="1"/>
  <c r="C3588" i="1"/>
  <c r="M3588" i="1"/>
  <c r="A3589" i="1"/>
  <c r="B3589" i="1"/>
  <c r="C3589" i="1"/>
  <c r="M3589" i="1"/>
  <c r="A3590" i="1"/>
  <c r="B3590" i="1"/>
  <c r="C3590" i="1"/>
  <c r="M3590" i="1"/>
  <c r="A3591" i="1"/>
  <c r="B3591" i="1"/>
  <c r="C3591" i="1"/>
  <c r="M3591" i="1"/>
  <c r="A3592" i="1"/>
  <c r="B3592" i="1"/>
  <c r="C3592" i="1"/>
  <c r="M3592" i="1"/>
  <c r="A3593" i="1"/>
  <c r="B3593" i="1"/>
  <c r="C3593" i="1"/>
  <c r="M3593" i="1"/>
  <c r="A3594" i="1"/>
  <c r="B3594" i="1"/>
  <c r="C3594" i="1"/>
  <c r="M3594" i="1"/>
  <c r="A3595" i="1"/>
  <c r="B3595" i="1"/>
  <c r="C3595" i="1"/>
  <c r="M3595" i="1"/>
  <c r="A3596" i="1"/>
  <c r="B3596" i="1"/>
  <c r="C3596" i="1"/>
  <c r="M3596" i="1"/>
  <c r="A3597" i="1"/>
  <c r="B3597" i="1"/>
  <c r="C3597" i="1"/>
  <c r="M3597" i="1"/>
  <c r="A3598" i="1"/>
  <c r="B3598" i="1"/>
  <c r="C3598" i="1"/>
  <c r="M3598" i="1"/>
  <c r="A3599" i="1"/>
  <c r="B3599" i="1"/>
  <c r="C3599" i="1"/>
  <c r="M3599" i="1"/>
  <c r="A3600" i="1"/>
  <c r="B3600" i="1"/>
  <c r="C3600" i="1"/>
  <c r="M3600" i="1"/>
  <c r="A3601" i="1"/>
  <c r="B3601" i="1"/>
  <c r="C3601" i="1"/>
  <c r="M3601" i="1"/>
  <c r="A3602" i="1"/>
  <c r="B3602" i="1"/>
  <c r="C3602" i="1"/>
  <c r="M3602" i="1"/>
  <c r="A3603" i="1"/>
  <c r="B3603" i="1"/>
  <c r="C3603" i="1"/>
  <c r="M3603" i="1"/>
  <c r="A3604" i="1"/>
  <c r="B3604" i="1"/>
  <c r="C3604" i="1"/>
  <c r="M3604" i="1"/>
  <c r="A3605" i="1"/>
  <c r="B3605" i="1"/>
  <c r="C3605" i="1"/>
  <c r="M3605" i="1"/>
  <c r="A3606" i="1"/>
  <c r="B3606" i="1"/>
  <c r="C3606" i="1"/>
  <c r="M3606" i="1"/>
  <c r="A3607" i="1"/>
  <c r="B3607" i="1"/>
  <c r="C3607" i="1"/>
  <c r="M3607" i="1"/>
  <c r="A3608" i="1"/>
  <c r="B3608" i="1"/>
  <c r="C3608" i="1"/>
  <c r="M3608" i="1"/>
  <c r="A3609" i="1"/>
  <c r="B3609" i="1"/>
  <c r="C3609" i="1"/>
  <c r="M3609" i="1"/>
  <c r="A3610" i="1"/>
  <c r="B3610" i="1"/>
  <c r="C3610" i="1"/>
  <c r="M3610" i="1"/>
  <c r="A3611" i="1"/>
  <c r="B3611" i="1"/>
  <c r="C3611" i="1"/>
  <c r="M3611" i="1"/>
  <c r="A3612" i="1"/>
  <c r="B3612" i="1"/>
  <c r="C3612" i="1"/>
  <c r="M3612" i="1"/>
  <c r="A3613" i="1"/>
  <c r="B3613" i="1"/>
  <c r="C3613" i="1"/>
  <c r="M3613" i="1"/>
  <c r="A3614" i="1"/>
  <c r="B3614" i="1"/>
  <c r="C3614" i="1"/>
  <c r="M3614" i="1"/>
  <c r="A3615" i="1"/>
  <c r="B3615" i="1"/>
  <c r="C3615" i="1"/>
  <c r="M3615" i="1"/>
  <c r="A3616" i="1"/>
  <c r="B3616" i="1"/>
  <c r="C3616" i="1"/>
  <c r="M3616" i="1"/>
  <c r="A3617" i="1"/>
  <c r="B3617" i="1"/>
  <c r="C3617" i="1"/>
  <c r="M3617" i="1"/>
  <c r="A3618" i="1"/>
  <c r="B3618" i="1"/>
  <c r="C3618" i="1"/>
  <c r="M3618" i="1"/>
  <c r="A3619" i="1"/>
  <c r="B3619" i="1"/>
  <c r="C3619" i="1"/>
  <c r="M3619" i="1"/>
  <c r="A3620" i="1"/>
  <c r="B3620" i="1"/>
  <c r="C3620" i="1"/>
  <c r="M3620" i="1"/>
  <c r="A3621" i="1"/>
  <c r="B3621" i="1"/>
  <c r="C3621" i="1"/>
  <c r="M3621" i="1"/>
  <c r="A3622" i="1"/>
  <c r="B3622" i="1"/>
  <c r="C3622" i="1"/>
  <c r="M3622" i="1"/>
  <c r="A3623" i="1"/>
  <c r="B3623" i="1"/>
  <c r="C3623" i="1"/>
  <c r="M3623" i="1"/>
  <c r="A3624" i="1"/>
  <c r="B3624" i="1"/>
  <c r="C3624" i="1"/>
  <c r="M3624" i="1"/>
  <c r="A3625" i="1"/>
  <c r="B3625" i="1"/>
  <c r="C3625" i="1"/>
  <c r="M3625" i="1"/>
  <c r="A3626" i="1"/>
  <c r="B3626" i="1"/>
  <c r="C3626" i="1"/>
  <c r="M3626" i="1"/>
  <c r="A3627" i="1"/>
  <c r="B3627" i="1"/>
  <c r="C3627" i="1"/>
  <c r="M3627" i="1"/>
  <c r="A3628" i="1"/>
  <c r="B3628" i="1"/>
  <c r="C3628" i="1"/>
  <c r="M3628" i="1"/>
  <c r="A3629" i="1"/>
  <c r="B3629" i="1"/>
  <c r="C3629" i="1"/>
  <c r="M3629" i="1"/>
  <c r="A3630" i="1"/>
  <c r="B3630" i="1"/>
  <c r="C3630" i="1"/>
  <c r="M3630" i="1"/>
  <c r="A3631" i="1"/>
  <c r="B3631" i="1"/>
  <c r="C3631" i="1"/>
  <c r="M3631" i="1"/>
  <c r="A3632" i="1"/>
  <c r="B3632" i="1"/>
  <c r="C3632" i="1"/>
  <c r="M3632" i="1"/>
  <c r="A3633" i="1"/>
  <c r="B3633" i="1"/>
  <c r="C3633" i="1"/>
  <c r="M3633" i="1"/>
  <c r="A3634" i="1"/>
  <c r="B3634" i="1"/>
  <c r="C3634" i="1"/>
  <c r="M3634" i="1"/>
  <c r="A3635" i="1"/>
  <c r="B3635" i="1"/>
  <c r="C3635" i="1"/>
  <c r="M3635" i="1"/>
  <c r="A3636" i="1"/>
  <c r="B3636" i="1"/>
  <c r="C3636" i="1"/>
  <c r="M3636" i="1"/>
  <c r="A3637" i="1"/>
  <c r="B3637" i="1"/>
  <c r="C3637" i="1"/>
  <c r="M3637" i="1"/>
  <c r="A3638" i="1"/>
  <c r="B3638" i="1"/>
  <c r="C3638" i="1"/>
  <c r="M3638" i="1"/>
  <c r="A3639" i="1"/>
  <c r="B3639" i="1"/>
  <c r="C3639" i="1"/>
  <c r="M3639" i="1"/>
  <c r="A3640" i="1"/>
  <c r="B3640" i="1"/>
  <c r="C3640" i="1"/>
  <c r="M3640" i="1"/>
  <c r="A3641" i="1"/>
  <c r="B3641" i="1"/>
  <c r="C3641" i="1"/>
  <c r="M3641" i="1"/>
  <c r="A3642" i="1"/>
  <c r="B3642" i="1"/>
  <c r="C3642" i="1"/>
  <c r="M3642" i="1"/>
  <c r="A3643" i="1"/>
  <c r="B3643" i="1"/>
  <c r="C3643" i="1"/>
  <c r="M3643" i="1"/>
  <c r="A3644" i="1"/>
  <c r="B3644" i="1"/>
  <c r="C3644" i="1"/>
  <c r="M3644" i="1"/>
  <c r="A3645" i="1"/>
  <c r="B3645" i="1"/>
  <c r="C3645" i="1"/>
  <c r="M3645" i="1"/>
  <c r="A3646" i="1"/>
  <c r="B3646" i="1"/>
  <c r="C3646" i="1"/>
  <c r="M3646" i="1"/>
  <c r="A3647" i="1"/>
  <c r="B3647" i="1"/>
  <c r="C3647" i="1"/>
  <c r="M3647" i="1"/>
  <c r="A3648" i="1"/>
  <c r="B3648" i="1"/>
  <c r="C3648" i="1"/>
  <c r="M3648" i="1"/>
  <c r="A3649" i="1"/>
  <c r="B3649" i="1"/>
  <c r="C3649" i="1"/>
  <c r="M3649" i="1"/>
  <c r="A3650" i="1"/>
  <c r="B3650" i="1"/>
  <c r="C3650" i="1"/>
  <c r="M3650" i="1"/>
  <c r="A3651" i="1"/>
  <c r="B3651" i="1"/>
  <c r="C3651" i="1"/>
  <c r="M3651" i="1"/>
  <c r="A3652" i="1"/>
  <c r="B3652" i="1"/>
  <c r="C3652" i="1"/>
  <c r="M3652" i="1"/>
  <c r="A3653" i="1"/>
  <c r="B3653" i="1"/>
  <c r="C3653" i="1"/>
  <c r="M3653" i="1"/>
  <c r="A3654" i="1"/>
  <c r="B3654" i="1"/>
  <c r="C3654" i="1"/>
  <c r="M3654" i="1"/>
  <c r="A3655" i="1"/>
  <c r="B3655" i="1"/>
  <c r="C3655" i="1"/>
  <c r="M3655" i="1"/>
  <c r="A3656" i="1"/>
  <c r="B3656" i="1"/>
  <c r="C3656" i="1"/>
  <c r="M3656" i="1"/>
  <c r="A3657" i="1"/>
  <c r="B3657" i="1"/>
  <c r="C3657" i="1"/>
  <c r="M3657" i="1"/>
  <c r="A3658" i="1"/>
  <c r="B3658" i="1"/>
  <c r="C3658" i="1"/>
  <c r="M3658" i="1"/>
  <c r="A3659" i="1"/>
  <c r="B3659" i="1"/>
  <c r="C3659" i="1"/>
  <c r="M3659" i="1"/>
  <c r="A3660" i="1"/>
  <c r="B3660" i="1"/>
  <c r="C3660" i="1"/>
  <c r="M3660" i="1"/>
  <c r="A3661" i="1"/>
  <c r="B3661" i="1"/>
  <c r="C3661" i="1"/>
  <c r="M3661" i="1"/>
  <c r="A3662" i="1"/>
  <c r="B3662" i="1"/>
  <c r="C3662" i="1"/>
  <c r="M3662" i="1"/>
  <c r="A3663" i="1"/>
  <c r="B3663" i="1"/>
  <c r="C3663" i="1"/>
  <c r="M3663" i="1"/>
  <c r="A3664" i="1"/>
  <c r="B3664" i="1"/>
  <c r="C3664" i="1"/>
  <c r="M3664" i="1"/>
  <c r="A3665" i="1"/>
  <c r="B3665" i="1"/>
  <c r="C3665" i="1"/>
  <c r="M3665" i="1"/>
  <c r="A3666" i="1"/>
  <c r="B3666" i="1"/>
  <c r="C3666" i="1"/>
  <c r="M3666" i="1"/>
  <c r="A3667" i="1"/>
  <c r="B3667" i="1"/>
  <c r="C3667" i="1"/>
  <c r="M3667" i="1"/>
  <c r="A3668" i="1"/>
  <c r="B3668" i="1"/>
  <c r="C3668" i="1"/>
  <c r="M3668" i="1"/>
  <c r="A3669" i="1"/>
  <c r="B3669" i="1"/>
  <c r="C3669" i="1"/>
  <c r="M3669" i="1"/>
  <c r="A3670" i="1"/>
  <c r="B3670" i="1"/>
  <c r="C3670" i="1"/>
  <c r="M3670" i="1"/>
  <c r="A3671" i="1"/>
  <c r="B3671" i="1"/>
  <c r="C3671" i="1"/>
  <c r="M3671" i="1"/>
  <c r="A3672" i="1"/>
  <c r="B3672" i="1"/>
  <c r="C3672" i="1"/>
  <c r="M3672" i="1"/>
  <c r="A3673" i="1"/>
  <c r="B3673" i="1"/>
  <c r="C3673" i="1"/>
  <c r="M3673" i="1"/>
  <c r="A3674" i="1"/>
  <c r="B3674" i="1"/>
  <c r="C3674" i="1"/>
  <c r="M3674" i="1"/>
  <c r="A3675" i="1"/>
  <c r="B3675" i="1"/>
  <c r="C3675" i="1"/>
  <c r="M3675" i="1"/>
  <c r="A3676" i="1"/>
  <c r="B3676" i="1"/>
  <c r="C3676" i="1"/>
  <c r="M3676" i="1"/>
  <c r="A3677" i="1"/>
  <c r="B3677" i="1"/>
  <c r="C3677" i="1"/>
  <c r="M3677" i="1"/>
  <c r="A3678" i="1"/>
  <c r="B3678" i="1"/>
  <c r="C3678" i="1"/>
  <c r="M3678" i="1"/>
  <c r="A3679" i="1"/>
  <c r="B3679" i="1"/>
  <c r="C3679" i="1"/>
  <c r="M3679" i="1"/>
  <c r="A3680" i="1"/>
  <c r="B3680" i="1"/>
  <c r="C3680" i="1"/>
  <c r="M3680" i="1"/>
  <c r="A3681" i="1"/>
  <c r="B3681" i="1"/>
  <c r="C3681" i="1"/>
  <c r="M3681" i="1"/>
  <c r="A3682" i="1"/>
  <c r="B3682" i="1"/>
  <c r="C3682" i="1"/>
  <c r="M3682" i="1"/>
  <c r="A3683" i="1"/>
  <c r="B3683" i="1"/>
  <c r="C3683" i="1"/>
  <c r="M3683" i="1"/>
  <c r="A3684" i="1"/>
  <c r="B3684" i="1"/>
  <c r="C3684" i="1"/>
  <c r="M3684" i="1"/>
  <c r="A3685" i="1"/>
  <c r="B3685" i="1"/>
  <c r="C3685" i="1"/>
  <c r="M3685" i="1"/>
  <c r="A3686" i="1"/>
  <c r="B3686" i="1"/>
  <c r="C3686" i="1"/>
  <c r="M3686" i="1"/>
  <c r="A3687" i="1"/>
  <c r="B3687" i="1"/>
  <c r="C3687" i="1"/>
  <c r="M3687" i="1"/>
  <c r="A3688" i="1"/>
  <c r="B3688" i="1"/>
  <c r="C3688" i="1"/>
  <c r="M3688" i="1"/>
  <c r="A3689" i="1"/>
  <c r="B3689" i="1"/>
  <c r="C3689" i="1"/>
  <c r="M3689" i="1"/>
  <c r="A3690" i="1"/>
  <c r="B3690" i="1"/>
  <c r="C3690" i="1"/>
  <c r="M3690" i="1"/>
  <c r="A3691" i="1"/>
  <c r="B3691" i="1"/>
  <c r="C3691" i="1"/>
  <c r="M3691" i="1"/>
  <c r="A3692" i="1"/>
  <c r="B3692" i="1"/>
  <c r="C3692" i="1"/>
  <c r="M3692" i="1"/>
  <c r="A3693" i="1"/>
  <c r="B3693" i="1"/>
  <c r="C3693" i="1"/>
  <c r="M3693" i="1"/>
  <c r="A3694" i="1"/>
  <c r="B3694" i="1"/>
  <c r="C3694" i="1"/>
  <c r="M3694" i="1"/>
  <c r="A3695" i="1"/>
  <c r="B3695" i="1"/>
  <c r="C3695" i="1"/>
  <c r="M3695" i="1"/>
  <c r="A3696" i="1"/>
  <c r="B3696" i="1"/>
  <c r="C3696" i="1"/>
  <c r="M3696" i="1"/>
  <c r="A3697" i="1"/>
  <c r="B3697" i="1"/>
  <c r="C3697" i="1"/>
  <c r="M3697" i="1"/>
  <c r="A3698" i="1"/>
  <c r="B3698" i="1"/>
  <c r="C3698" i="1"/>
  <c r="M3698" i="1"/>
  <c r="A3699" i="1"/>
  <c r="B3699" i="1"/>
  <c r="C3699" i="1"/>
  <c r="M3699" i="1"/>
  <c r="A3700" i="1"/>
  <c r="B3700" i="1"/>
  <c r="C3700" i="1"/>
  <c r="M3700" i="1"/>
  <c r="A3701" i="1"/>
  <c r="B3701" i="1"/>
  <c r="C3701" i="1"/>
  <c r="M3701" i="1"/>
  <c r="A3702" i="1"/>
  <c r="B3702" i="1"/>
  <c r="C3702" i="1"/>
  <c r="M3702" i="1"/>
  <c r="A3703" i="1"/>
  <c r="B3703" i="1"/>
  <c r="C3703" i="1"/>
  <c r="M3703" i="1"/>
  <c r="A3704" i="1"/>
  <c r="B3704" i="1"/>
  <c r="C3704" i="1"/>
  <c r="M3704" i="1"/>
  <c r="A3705" i="1"/>
  <c r="B3705" i="1"/>
  <c r="C3705" i="1"/>
  <c r="M3705" i="1"/>
  <c r="A3706" i="1"/>
  <c r="B3706" i="1"/>
  <c r="C3706" i="1"/>
  <c r="M3706" i="1"/>
  <c r="A3707" i="1"/>
  <c r="B3707" i="1"/>
  <c r="C3707" i="1"/>
  <c r="M3707" i="1"/>
  <c r="A3708" i="1"/>
  <c r="B3708" i="1"/>
  <c r="C3708" i="1"/>
  <c r="M3708" i="1"/>
  <c r="A3709" i="1"/>
  <c r="B3709" i="1"/>
  <c r="C3709" i="1"/>
  <c r="M3709" i="1"/>
  <c r="A3710" i="1"/>
  <c r="B3710" i="1"/>
  <c r="C3710" i="1"/>
  <c r="M3710" i="1"/>
  <c r="A3711" i="1"/>
  <c r="B3711" i="1"/>
  <c r="C3711" i="1"/>
  <c r="M3711" i="1"/>
  <c r="A3712" i="1"/>
  <c r="B3712" i="1"/>
  <c r="C3712" i="1"/>
  <c r="M3712" i="1"/>
  <c r="A3713" i="1"/>
  <c r="B3713" i="1"/>
  <c r="C3713" i="1"/>
  <c r="M3713" i="1"/>
  <c r="A3714" i="1"/>
  <c r="B3714" i="1"/>
  <c r="C3714" i="1"/>
  <c r="M3714" i="1"/>
  <c r="A3715" i="1"/>
  <c r="B3715" i="1"/>
  <c r="C3715" i="1"/>
  <c r="M3715" i="1"/>
  <c r="A3716" i="1"/>
  <c r="B3716" i="1"/>
  <c r="C3716" i="1"/>
  <c r="M3716" i="1"/>
  <c r="A3717" i="1"/>
  <c r="B3717" i="1"/>
  <c r="C3717" i="1"/>
  <c r="M3717" i="1"/>
  <c r="A3718" i="1"/>
  <c r="B3718" i="1"/>
  <c r="C3718" i="1"/>
  <c r="M3718" i="1"/>
  <c r="A3719" i="1"/>
  <c r="B3719" i="1"/>
  <c r="C3719" i="1"/>
  <c r="M3719" i="1"/>
  <c r="A3720" i="1"/>
  <c r="B3720" i="1"/>
  <c r="C3720" i="1"/>
  <c r="M3720" i="1"/>
  <c r="A3721" i="1"/>
  <c r="B3721" i="1"/>
  <c r="C3721" i="1"/>
  <c r="M3721" i="1"/>
  <c r="A3722" i="1"/>
  <c r="B3722" i="1"/>
  <c r="C3722" i="1"/>
  <c r="M3722" i="1"/>
  <c r="A3723" i="1"/>
  <c r="B3723" i="1"/>
  <c r="C3723" i="1"/>
  <c r="M3723" i="1"/>
  <c r="A3724" i="1"/>
  <c r="B3724" i="1"/>
  <c r="C3724" i="1"/>
  <c r="M3724" i="1"/>
  <c r="A3725" i="1"/>
  <c r="B3725" i="1"/>
  <c r="C3725" i="1"/>
  <c r="M3725" i="1"/>
  <c r="A3726" i="1"/>
  <c r="B3726" i="1"/>
  <c r="C3726" i="1"/>
  <c r="M3726" i="1"/>
  <c r="A3727" i="1"/>
  <c r="B3727" i="1"/>
  <c r="C3727" i="1"/>
  <c r="M3727" i="1"/>
  <c r="A3728" i="1"/>
  <c r="B3728" i="1"/>
  <c r="C3728" i="1"/>
  <c r="M3728" i="1"/>
  <c r="A3729" i="1"/>
  <c r="B3729" i="1"/>
  <c r="C3729" i="1"/>
  <c r="M3729" i="1"/>
  <c r="A3730" i="1"/>
  <c r="B3730" i="1"/>
  <c r="C3730" i="1"/>
  <c r="M3730" i="1"/>
  <c r="A3731" i="1"/>
  <c r="B3731" i="1"/>
  <c r="C3731" i="1"/>
  <c r="M3731" i="1"/>
  <c r="A3732" i="1"/>
  <c r="B3732" i="1"/>
  <c r="C3732" i="1"/>
  <c r="M3732" i="1"/>
  <c r="A3733" i="1"/>
  <c r="B3733" i="1"/>
  <c r="C3733" i="1"/>
  <c r="M3733" i="1"/>
  <c r="A3734" i="1"/>
  <c r="B3734" i="1"/>
  <c r="C3734" i="1"/>
  <c r="M3734" i="1"/>
  <c r="A3735" i="1"/>
  <c r="B3735" i="1"/>
  <c r="C3735" i="1"/>
  <c r="M3735" i="1"/>
  <c r="A3736" i="1"/>
  <c r="B3736" i="1"/>
  <c r="C3736" i="1"/>
  <c r="M3736" i="1"/>
  <c r="A3737" i="1"/>
  <c r="B3737" i="1"/>
  <c r="C3737" i="1"/>
  <c r="M3737" i="1"/>
  <c r="A3738" i="1"/>
  <c r="B3738" i="1"/>
  <c r="C3738" i="1"/>
  <c r="M3738" i="1"/>
  <c r="A3739" i="1"/>
  <c r="B3739" i="1"/>
  <c r="C3739" i="1"/>
  <c r="M3739" i="1"/>
  <c r="A3740" i="1"/>
  <c r="B3740" i="1"/>
  <c r="C3740" i="1"/>
  <c r="M3740" i="1"/>
  <c r="A3741" i="1"/>
  <c r="B3741" i="1"/>
  <c r="C3741" i="1"/>
  <c r="M3741" i="1"/>
  <c r="A3742" i="1"/>
  <c r="B3742" i="1"/>
  <c r="C3742" i="1"/>
  <c r="M3742" i="1"/>
  <c r="A3743" i="1"/>
  <c r="B3743" i="1"/>
  <c r="C3743" i="1"/>
  <c r="M3743" i="1"/>
  <c r="A3744" i="1"/>
  <c r="B3744" i="1"/>
  <c r="C3744" i="1"/>
  <c r="M3744" i="1"/>
  <c r="A3745" i="1"/>
  <c r="B3745" i="1"/>
  <c r="C3745" i="1"/>
  <c r="M3745" i="1"/>
  <c r="A3746" i="1"/>
  <c r="B3746" i="1"/>
  <c r="C3746" i="1"/>
  <c r="M3746" i="1"/>
  <c r="A3747" i="1"/>
  <c r="B3747" i="1"/>
  <c r="C3747" i="1"/>
  <c r="M3747" i="1"/>
  <c r="A3748" i="1"/>
  <c r="B3748" i="1"/>
  <c r="C3748" i="1"/>
  <c r="M3748" i="1"/>
  <c r="A3749" i="1"/>
  <c r="B3749" i="1"/>
  <c r="C3749" i="1"/>
  <c r="M3749" i="1"/>
  <c r="A3750" i="1"/>
  <c r="B3750" i="1"/>
  <c r="C3750" i="1"/>
  <c r="M3750" i="1"/>
  <c r="A3751" i="1"/>
  <c r="B3751" i="1"/>
  <c r="C3751" i="1"/>
  <c r="M3751" i="1"/>
  <c r="A3752" i="1"/>
  <c r="B3752" i="1"/>
  <c r="C3752" i="1"/>
  <c r="M3752" i="1"/>
  <c r="A3753" i="1"/>
  <c r="B3753" i="1"/>
  <c r="C3753" i="1"/>
  <c r="M3753" i="1"/>
  <c r="A3754" i="1"/>
  <c r="B3754" i="1"/>
  <c r="C3754" i="1"/>
  <c r="M3754" i="1"/>
  <c r="A3755" i="1"/>
  <c r="B3755" i="1"/>
  <c r="C3755" i="1"/>
  <c r="M3755" i="1"/>
  <c r="A3756" i="1"/>
  <c r="B3756" i="1"/>
  <c r="C3756" i="1"/>
  <c r="M3756" i="1"/>
  <c r="A3757" i="1"/>
  <c r="B3757" i="1"/>
  <c r="C3757" i="1"/>
  <c r="M3757" i="1"/>
  <c r="A3758" i="1"/>
  <c r="B3758" i="1"/>
  <c r="C3758" i="1"/>
  <c r="M3758" i="1"/>
  <c r="A3759" i="1"/>
  <c r="B3759" i="1"/>
  <c r="C3759" i="1"/>
  <c r="M3759" i="1"/>
  <c r="A3760" i="1"/>
  <c r="B3760" i="1"/>
  <c r="C3760" i="1"/>
  <c r="M3760" i="1"/>
  <c r="A3761" i="1"/>
  <c r="B3761" i="1"/>
  <c r="C3761" i="1"/>
  <c r="M3761" i="1"/>
  <c r="A3762" i="1"/>
  <c r="B3762" i="1"/>
  <c r="C3762" i="1"/>
  <c r="M3762" i="1"/>
  <c r="A3763" i="1"/>
  <c r="B3763" i="1"/>
  <c r="C3763" i="1"/>
  <c r="M3763" i="1"/>
  <c r="A3764" i="1"/>
  <c r="B3764" i="1"/>
  <c r="C3764" i="1"/>
  <c r="M3764" i="1"/>
  <c r="A3765" i="1"/>
  <c r="B3765" i="1"/>
  <c r="C3765" i="1"/>
  <c r="M3765" i="1"/>
  <c r="A3766" i="1"/>
  <c r="B3766" i="1"/>
  <c r="C3766" i="1"/>
  <c r="M3766" i="1"/>
  <c r="A3767" i="1"/>
  <c r="B3767" i="1"/>
  <c r="C3767" i="1"/>
  <c r="M3767" i="1"/>
  <c r="A3768" i="1"/>
  <c r="B3768" i="1"/>
  <c r="C3768" i="1"/>
  <c r="M3768" i="1"/>
  <c r="A3769" i="1"/>
  <c r="B3769" i="1"/>
  <c r="C3769" i="1"/>
  <c r="M3769" i="1"/>
  <c r="A3770" i="1"/>
  <c r="B3770" i="1"/>
  <c r="C3770" i="1"/>
  <c r="M3770" i="1"/>
  <c r="A3771" i="1"/>
  <c r="B3771" i="1"/>
  <c r="C3771" i="1"/>
  <c r="M3771" i="1"/>
  <c r="A3772" i="1"/>
  <c r="B3772" i="1"/>
  <c r="C3772" i="1"/>
  <c r="M3772" i="1"/>
  <c r="A3773" i="1"/>
  <c r="B3773" i="1"/>
  <c r="C3773" i="1"/>
  <c r="M3773" i="1"/>
  <c r="A3774" i="1"/>
  <c r="B3774" i="1"/>
  <c r="C3774" i="1"/>
  <c r="M3774" i="1"/>
  <c r="A3775" i="1"/>
  <c r="B3775" i="1"/>
  <c r="C3775" i="1"/>
  <c r="M3775" i="1"/>
  <c r="A3776" i="1"/>
  <c r="B3776" i="1"/>
  <c r="C3776" i="1"/>
  <c r="M3776" i="1"/>
  <c r="A3777" i="1"/>
  <c r="B3777" i="1"/>
  <c r="C3777" i="1"/>
  <c r="M3777" i="1"/>
  <c r="A3778" i="1"/>
  <c r="B3778" i="1"/>
  <c r="C3778" i="1"/>
  <c r="M3778" i="1"/>
  <c r="A3779" i="1"/>
  <c r="B3779" i="1"/>
  <c r="C3779" i="1"/>
  <c r="M3779" i="1"/>
  <c r="A3780" i="1"/>
  <c r="B3780" i="1"/>
  <c r="C3780" i="1"/>
  <c r="M3780" i="1"/>
  <c r="A3781" i="1"/>
  <c r="B3781" i="1"/>
  <c r="C3781" i="1"/>
  <c r="M3781" i="1"/>
  <c r="A3782" i="1"/>
  <c r="B3782" i="1"/>
  <c r="C3782" i="1"/>
  <c r="M3782" i="1"/>
  <c r="A3783" i="1"/>
  <c r="B3783" i="1"/>
  <c r="C3783" i="1"/>
  <c r="M3783" i="1"/>
  <c r="A3784" i="1"/>
  <c r="B3784" i="1"/>
  <c r="C3784" i="1"/>
  <c r="M3784" i="1"/>
  <c r="A3785" i="1"/>
  <c r="B3785" i="1"/>
  <c r="C3785" i="1"/>
  <c r="M3785" i="1"/>
  <c r="A3786" i="1"/>
  <c r="B3786" i="1"/>
  <c r="C3786" i="1"/>
  <c r="M3786" i="1"/>
  <c r="A3787" i="1"/>
  <c r="B3787" i="1"/>
  <c r="C3787" i="1"/>
  <c r="M3787" i="1"/>
  <c r="A3788" i="1"/>
  <c r="B3788" i="1"/>
  <c r="C3788" i="1"/>
  <c r="M3788" i="1"/>
  <c r="A3789" i="1"/>
  <c r="B3789" i="1"/>
  <c r="C3789" i="1"/>
  <c r="M3789" i="1"/>
  <c r="A3790" i="1"/>
  <c r="B3790" i="1"/>
  <c r="C3790" i="1"/>
  <c r="M3790" i="1"/>
  <c r="A3791" i="1"/>
  <c r="B3791" i="1"/>
  <c r="C3791" i="1"/>
  <c r="M3791" i="1"/>
  <c r="A3792" i="1"/>
  <c r="B3792" i="1"/>
  <c r="C3792" i="1"/>
  <c r="M3792" i="1"/>
  <c r="A3793" i="1"/>
  <c r="B3793" i="1"/>
  <c r="C3793" i="1"/>
  <c r="M3793" i="1"/>
  <c r="A3794" i="1"/>
  <c r="B3794" i="1"/>
  <c r="C3794" i="1"/>
  <c r="M3794" i="1"/>
  <c r="A3795" i="1"/>
  <c r="B3795" i="1"/>
  <c r="C3795" i="1"/>
  <c r="M3795" i="1"/>
  <c r="A3796" i="1"/>
  <c r="B3796" i="1"/>
  <c r="C3796" i="1"/>
  <c r="M3796" i="1"/>
  <c r="A3797" i="1"/>
  <c r="B3797" i="1"/>
  <c r="C3797" i="1"/>
  <c r="M3797" i="1"/>
  <c r="A3798" i="1"/>
  <c r="B3798" i="1"/>
  <c r="C3798" i="1"/>
  <c r="M3798" i="1"/>
  <c r="A3799" i="1"/>
  <c r="B3799" i="1"/>
  <c r="C3799" i="1"/>
  <c r="M3799" i="1"/>
  <c r="A3800" i="1"/>
  <c r="B3800" i="1"/>
  <c r="C3800" i="1"/>
  <c r="M3800" i="1"/>
  <c r="A3801" i="1"/>
  <c r="B3801" i="1"/>
  <c r="C3801" i="1"/>
  <c r="M3801" i="1"/>
  <c r="A3802" i="1"/>
  <c r="B3802" i="1"/>
  <c r="C3802" i="1"/>
  <c r="M3802" i="1"/>
  <c r="A3803" i="1"/>
  <c r="B3803" i="1"/>
  <c r="C3803" i="1"/>
  <c r="M3803" i="1"/>
  <c r="A3804" i="1"/>
  <c r="B3804" i="1"/>
  <c r="C3804" i="1"/>
  <c r="M3804" i="1"/>
  <c r="A3805" i="1"/>
  <c r="B3805" i="1"/>
  <c r="C3805" i="1"/>
  <c r="M3805" i="1"/>
  <c r="A3806" i="1"/>
  <c r="B3806" i="1"/>
  <c r="C3806" i="1"/>
  <c r="M3806" i="1"/>
  <c r="A3807" i="1"/>
  <c r="B3807" i="1"/>
  <c r="C3807" i="1"/>
  <c r="M3807" i="1"/>
  <c r="A3808" i="1"/>
  <c r="B3808" i="1"/>
  <c r="C3808" i="1"/>
  <c r="M3808" i="1"/>
  <c r="A3809" i="1"/>
  <c r="B3809" i="1"/>
  <c r="C3809" i="1"/>
  <c r="M3809" i="1"/>
  <c r="A3810" i="1"/>
  <c r="B3810" i="1"/>
  <c r="C3810" i="1"/>
  <c r="M3810" i="1"/>
  <c r="A3811" i="1"/>
  <c r="B3811" i="1"/>
  <c r="C3811" i="1"/>
  <c r="M3811" i="1"/>
  <c r="A3812" i="1"/>
  <c r="B3812" i="1"/>
  <c r="C3812" i="1"/>
  <c r="M3812" i="1"/>
  <c r="A3813" i="1"/>
  <c r="B3813" i="1"/>
  <c r="C3813" i="1"/>
  <c r="M3813" i="1"/>
  <c r="A3814" i="1"/>
  <c r="B3814" i="1"/>
  <c r="C3814" i="1"/>
  <c r="M3814" i="1"/>
  <c r="A3815" i="1"/>
  <c r="B3815" i="1"/>
  <c r="C3815" i="1"/>
  <c r="M3815" i="1"/>
  <c r="A3816" i="1"/>
  <c r="B3816" i="1"/>
  <c r="C3816" i="1"/>
  <c r="M3816" i="1"/>
  <c r="A3817" i="1"/>
  <c r="B3817" i="1"/>
  <c r="C3817" i="1"/>
  <c r="M3817" i="1"/>
  <c r="A3818" i="1"/>
  <c r="B3818" i="1"/>
  <c r="C3818" i="1"/>
  <c r="M3818" i="1"/>
  <c r="A3819" i="1"/>
  <c r="B3819" i="1"/>
  <c r="C3819" i="1"/>
  <c r="M3819" i="1"/>
  <c r="A3820" i="1"/>
  <c r="B3820" i="1"/>
  <c r="C3820" i="1"/>
  <c r="M3820" i="1"/>
  <c r="A3821" i="1"/>
  <c r="B3821" i="1"/>
  <c r="C3821" i="1"/>
  <c r="M3821" i="1"/>
  <c r="A3822" i="1"/>
  <c r="B3822" i="1"/>
  <c r="C3822" i="1"/>
  <c r="M3822" i="1"/>
  <c r="A3823" i="1"/>
  <c r="B3823" i="1"/>
  <c r="C3823" i="1"/>
  <c r="M3823" i="1"/>
  <c r="A3824" i="1"/>
  <c r="B3824" i="1"/>
  <c r="C3824" i="1"/>
  <c r="M3824" i="1"/>
  <c r="A3825" i="1"/>
  <c r="B3825" i="1"/>
  <c r="C3825" i="1"/>
  <c r="M3825" i="1"/>
  <c r="A3826" i="1"/>
  <c r="B3826" i="1"/>
  <c r="C3826" i="1"/>
  <c r="M3826" i="1"/>
  <c r="A3827" i="1"/>
  <c r="B3827" i="1"/>
  <c r="C3827" i="1"/>
  <c r="M3827" i="1"/>
  <c r="A3828" i="1"/>
  <c r="B3828" i="1"/>
  <c r="C3828" i="1"/>
  <c r="M3828" i="1"/>
  <c r="A3829" i="1"/>
  <c r="B3829" i="1"/>
  <c r="C3829" i="1"/>
  <c r="M3829" i="1"/>
  <c r="A3830" i="1"/>
  <c r="B3830" i="1"/>
  <c r="C3830" i="1"/>
  <c r="M3830" i="1"/>
  <c r="A3831" i="1"/>
  <c r="B3831" i="1"/>
  <c r="C3831" i="1"/>
  <c r="M3831" i="1"/>
  <c r="A3832" i="1"/>
  <c r="B3832" i="1"/>
  <c r="C3832" i="1"/>
  <c r="M3832" i="1"/>
  <c r="A3833" i="1"/>
  <c r="B3833" i="1"/>
  <c r="C3833" i="1"/>
  <c r="M3833" i="1"/>
  <c r="A3834" i="1"/>
  <c r="B3834" i="1"/>
  <c r="C3834" i="1"/>
  <c r="M3834" i="1"/>
  <c r="A3835" i="1"/>
  <c r="B3835" i="1"/>
  <c r="C3835" i="1"/>
  <c r="M3835" i="1"/>
  <c r="A3836" i="1"/>
  <c r="B3836" i="1"/>
  <c r="C3836" i="1"/>
  <c r="M3836" i="1"/>
  <c r="A3837" i="1"/>
  <c r="B3837" i="1"/>
  <c r="C3837" i="1"/>
  <c r="M3837" i="1"/>
  <c r="A3838" i="1"/>
  <c r="B3838" i="1"/>
  <c r="C3838" i="1"/>
  <c r="M3838" i="1"/>
  <c r="A3839" i="1"/>
  <c r="B3839" i="1"/>
  <c r="C3839" i="1"/>
  <c r="M3839" i="1"/>
  <c r="A3840" i="1"/>
  <c r="B3840" i="1"/>
  <c r="C3840" i="1"/>
  <c r="M3840" i="1"/>
  <c r="A3841" i="1"/>
  <c r="B3841" i="1"/>
  <c r="C3841" i="1"/>
  <c r="M3841" i="1"/>
  <c r="A3842" i="1"/>
  <c r="B3842" i="1"/>
  <c r="C3842" i="1"/>
  <c r="M3842" i="1"/>
  <c r="A3843" i="1"/>
  <c r="B3843" i="1"/>
  <c r="C3843" i="1"/>
  <c r="M3843" i="1"/>
  <c r="A3844" i="1"/>
  <c r="B3844" i="1"/>
  <c r="C3844" i="1"/>
  <c r="M3844" i="1"/>
  <c r="A3845" i="1"/>
  <c r="B3845" i="1"/>
  <c r="C3845" i="1"/>
  <c r="M3845" i="1"/>
  <c r="A3846" i="1"/>
  <c r="B3846" i="1"/>
  <c r="C3846" i="1"/>
  <c r="M3846" i="1"/>
  <c r="A3847" i="1"/>
  <c r="B3847" i="1"/>
  <c r="C3847" i="1"/>
  <c r="M3847" i="1"/>
  <c r="A3848" i="1"/>
  <c r="B3848" i="1"/>
  <c r="C3848" i="1"/>
  <c r="M3848" i="1"/>
  <c r="A3849" i="1"/>
  <c r="B3849" i="1"/>
  <c r="C3849" i="1"/>
  <c r="M3849" i="1"/>
  <c r="A3850" i="1"/>
  <c r="B3850" i="1"/>
  <c r="C3850" i="1"/>
  <c r="M3850" i="1"/>
  <c r="A3851" i="1"/>
  <c r="B3851" i="1"/>
  <c r="C3851" i="1"/>
  <c r="M3851" i="1"/>
  <c r="A3852" i="1"/>
  <c r="B3852" i="1"/>
  <c r="C3852" i="1"/>
  <c r="M3852" i="1"/>
  <c r="A3853" i="1"/>
  <c r="B3853" i="1"/>
  <c r="C3853" i="1"/>
  <c r="M3853" i="1"/>
  <c r="A3854" i="1"/>
  <c r="B3854" i="1"/>
  <c r="C3854" i="1"/>
  <c r="M3854" i="1"/>
  <c r="A3855" i="1"/>
  <c r="B3855" i="1"/>
  <c r="C3855" i="1"/>
  <c r="M3855" i="1"/>
  <c r="A3856" i="1"/>
  <c r="B3856" i="1"/>
  <c r="C3856" i="1"/>
  <c r="M3856" i="1"/>
  <c r="A3857" i="1"/>
  <c r="B3857" i="1"/>
  <c r="C3857" i="1"/>
  <c r="M3857" i="1"/>
  <c r="A3858" i="1"/>
  <c r="B3858" i="1"/>
  <c r="C3858" i="1"/>
  <c r="M3858" i="1"/>
  <c r="A3859" i="1"/>
  <c r="B3859" i="1"/>
  <c r="C3859" i="1"/>
  <c r="M3859" i="1"/>
  <c r="A3860" i="1"/>
  <c r="B3860" i="1"/>
  <c r="C3860" i="1"/>
  <c r="M3860" i="1"/>
  <c r="A3861" i="1"/>
  <c r="B3861" i="1"/>
  <c r="C3861" i="1"/>
  <c r="M3861" i="1"/>
  <c r="A3862" i="1"/>
  <c r="B3862" i="1"/>
  <c r="C3862" i="1"/>
  <c r="M3862" i="1"/>
  <c r="A3863" i="1"/>
  <c r="B3863" i="1"/>
  <c r="C3863" i="1"/>
  <c r="M3863" i="1"/>
  <c r="A3864" i="1"/>
  <c r="B3864" i="1"/>
  <c r="C3864" i="1"/>
  <c r="M3864" i="1"/>
  <c r="A3865" i="1"/>
  <c r="B3865" i="1"/>
  <c r="C3865" i="1"/>
  <c r="M3865" i="1"/>
  <c r="A3866" i="1"/>
  <c r="B3866" i="1"/>
  <c r="C3866" i="1"/>
  <c r="M3866" i="1"/>
  <c r="A3867" i="1"/>
  <c r="B3867" i="1"/>
  <c r="C3867" i="1"/>
  <c r="M3867" i="1"/>
  <c r="A3868" i="1"/>
  <c r="B3868" i="1"/>
  <c r="C3868" i="1"/>
  <c r="M3868" i="1"/>
  <c r="A3869" i="1"/>
  <c r="B3869" i="1"/>
  <c r="C3869" i="1"/>
  <c r="M3869" i="1"/>
  <c r="A3870" i="1"/>
  <c r="B3870" i="1"/>
  <c r="C3870" i="1"/>
  <c r="M3870" i="1"/>
  <c r="A3871" i="1"/>
  <c r="B3871" i="1"/>
  <c r="C3871" i="1"/>
  <c r="M3871" i="1"/>
  <c r="A3872" i="1"/>
  <c r="B3872" i="1"/>
  <c r="C3872" i="1"/>
  <c r="M3872" i="1"/>
  <c r="A3873" i="1"/>
  <c r="B3873" i="1"/>
  <c r="C3873" i="1"/>
  <c r="M3873" i="1"/>
  <c r="A3874" i="1"/>
  <c r="B3874" i="1"/>
  <c r="C3874" i="1"/>
  <c r="M3874" i="1"/>
  <c r="A3875" i="1"/>
  <c r="B3875" i="1"/>
  <c r="C3875" i="1"/>
  <c r="M3875" i="1"/>
  <c r="A3876" i="1"/>
  <c r="B3876" i="1"/>
  <c r="C3876" i="1"/>
  <c r="M3876" i="1"/>
  <c r="A3877" i="1"/>
  <c r="B3877" i="1"/>
  <c r="C3877" i="1"/>
  <c r="M3877" i="1"/>
  <c r="A3878" i="1"/>
  <c r="B3878" i="1"/>
  <c r="C3878" i="1"/>
  <c r="M3878" i="1"/>
  <c r="A3879" i="1"/>
  <c r="B3879" i="1"/>
  <c r="C3879" i="1"/>
  <c r="M3879" i="1"/>
  <c r="A3880" i="1"/>
  <c r="B3880" i="1"/>
  <c r="C3880" i="1"/>
  <c r="M3880" i="1"/>
  <c r="A3881" i="1"/>
  <c r="B3881" i="1"/>
  <c r="C3881" i="1"/>
  <c r="M3881" i="1"/>
  <c r="A3882" i="1"/>
  <c r="B3882" i="1"/>
  <c r="C3882" i="1"/>
  <c r="M3882" i="1"/>
  <c r="A3883" i="1"/>
  <c r="B3883" i="1"/>
  <c r="C3883" i="1"/>
  <c r="M3883" i="1"/>
  <c r="A3884" i="1"/>
  <c r="B3884" i="1"/>
  <c r="C3884" i="1"/>
  <c r="M3884" i="1"/>
  <c r="A3885" i="1"/>
  <c r="B3885" i="1"/>
  <c r="C3885" i="1"/>
  <c r="M3885" i="1"/>
  <c r="A3886" i="1"/>
  <c r="B3886" i="1"/>
  <c r="C3886" i="1"/>
  <c r="M3886" i="1"/>
  <c r="A3887" i="1"/>
  <c r="B3887" i="1"/>
  <c r="C3887" i="1"/>
  <c r="M3887" i="1"/>
  <c r="A3888" i="1"/>
  <c r="B3888" i="1"/>
  <c r="C3888" i="1"/>
  <c r="M3888" i="1"/>
  <c r="A3889" i="1"/>
  <c r="B3889" i="1"/>
  <c r="C3889" i="1"/>
  <c r="M3889" i="1"/>
  <c r="A3890" i="1"/>
  <c r="B3890" i="1"/>
  <c r="C3890" i="1"/>
  <c r="M3890" i="1"/>
  <c r="A3891" i="1"/>
  <c r="B3891" i="1"/>
  <c r="C3891" i="1"/>
  <c r="M3891" i="1"/>
  <c r="A3892" i="1"/>
  <c r="B3892" i="1"/>
  <c r="C3892" i="1"/>
  <c r="M3892" i="1"/>
  <c r="A3893" i="1"/>
  <c r="B3893" i="1"/>
  <c r="C3893" i="1"/>
  <c r="M3893" i="1"/>
  <c r="A3894" i="1"/>
  <c r="B3894" i="1"/>
  <c r="C3894" i="1"/>
  <c r="M3894" i="1"/>
  <c r="A3895" i="1"/>
  <c r="B3895" i="1"/>
  <c r="C3895" i="1"/>
  <c r="M3895" i="1"/>
  <c r="A3896" i="1"/>
  <c r="B3896" i="1"/>
  <c r="C3896" i="1"/>
  <c r="M3896" i="1"/>
  <c r="A3897" i="1"/>
  <c r="B3897" i="1"/>
  <c r="C3897" i="1"/>
  <c r="M3897" i="1"/>
  <c r="A3898" i="1"/>
  <c r="B3898" i="1"/>
  <c r="C3898" i="1"/>
  <c r="M3898" i="1"/>
  <c r="A3899" i="1"/>
  <c r="B3899" i="1"/>
  <c r="C3899" i="1"/>
  <c r="M3899" i="1"/>
  <c r="A3900" i="1"/>
  <c r="B3900" i="1"/>
  <c r="C3900" i="1"/>
  <c r="M3900" i="1"/>
  <c r="A3901" i="1"/>
  <c r="B3901" i="1"/>
  <c r="C3901" i="1"/>
  <c r="M3901" i="1"/>
  <c r="A3902" i="1"/>
  <c r="B3902" i="1"/>
  <c r="C3902" i="1"/>
  <c r="M3902" i="1"/>
  <c r="A3903" i="1"/>
  <c r="B3903" i="1"/>
  <c r="C3903" i="1"/>
  <c r="M3903" i="1"/>
  <c r="A3904" i="1"/>
  <c r="B3904" i="1"/>
  <c r="C3904" i="1"/>
  <c r="M3904" i="1"/>
  <c r="A3905" i="1"/>
  <c r="B3905" i="1"/>
  <c r="C3905" i="1"/>
  <c r="M3905" i="1"/>
  <c r="A3906" i="1"/>
  <c r="B3906" i="1"/>
  <c r="C3906" i="1"/>
  <c r="M3906" i="1"/>
  <c r="A3907" i="1"/>
  <c r="B3907" i="1"/>
  <c r="C3907" i="1"/>
  <c r="M3907" i="1"/>
  <c r="A3908" i="1"/>
  <c r="B3908" i="1"/>
  <c r="C3908" i="1"/>
  <c r="M3908" i="1"/>
  <c r="A3909" i="1"/>
  <c r="B3909" i="1"/>
  <c r="C3909" i="1"/>
  <c r="M3909" i="1"/>
  <c r="A3910" i="1"/>
  <c r="B3910" i="1"/>
  <c r="C3910" i="1"/>
  <c r="M3910" i="1"/>
  <c r="A3911" i="1"/>
  <c r="B3911" i="1"/>
  <c r="C3911" i="1"/>
  <c r="M3911" i="1"/>
  <c r="A3912" i="1"/>
  <c r="B3912" i="1"/>
  <c r="C3912" i="1"/>
  <c r="M3912" i="1"/>
  <c r="A3913" i="1"/>
  <c r="B3913" i="1"/>
  <c r="C3913" i="1"/>
  <c r="M3913" i="1"/>
  <c r="A3914" i="1"/>
  <c r="B3914" i="1"/>
  <c r="C3914" i="1"/>
  <c r="M3914" i="1"/>
  <c r="A3915" i="1"/>
  <c r="B3915" i="1"/>
  <c r="C3915" i="1"/>
  <c r="M3915" i="1"/>
  <c r="A3916" i="1"/>
  <c r="B3916" i="1"/>
  <c r="C3916" i="1"/>
  <c r="M3916" i="1"/>
  <c r="A3917" i="1"/>
  <c r="B3917" i="1"/>
  <c r="C3917" i="1"/>
  <c r="M3917" i="1"/>
  <c r="A3918" i="1"/>
  <c r="B3918" i="1"/>
  <c r="C3918" i="1"/>
  <c r="M3918" i="1"/>
  <c r="A3919" i="1"/>
  <c r="B3919" i="1"/>
  <c r="C3919" i="1"/>
  <c r="M3919" i="1"/>
  <c r="A3920" i="1"/>
  <c r="B3920" i="1"/>
  <c r="C3920" i="1"/>
  <c r="M3920" i="1"/>
  <c r="A3921" i="1"/>
  <c r="B3921" i="1"/>
  <c r="C3921" i="1"/>
  <c r="M3921" i="1"/>
  <c r="A3922" i="1"/>
  <c r="B3922" i="1"/>
  <c r="C3922" i="1"/>
  <c r="M3922" i="1"/>
  <c r="A3923" i="1"/>
  <c r="B3923" i="1"/>
  <c r="C3923" i="1"/>
  <c r="M3923" i="1"/>
  <c r="A3924" i="1"/>
  <c r="B3924" i="1"/>
  <c r="C3924" i="1"/>
  <c r="M3924" i="1"/>
  <c r="A3925" i="1"/>
  <c r="B3925" i="1"/>
  <c r="C3925" i="1"/>
  <c r="M3925" i="1"/>
  <c r="A3926" i="1"/>
  <c r="B3926" i="1"/>
  <c r="C3926" i="1"/>
  <c r="M3926" i="1"/>
  <c r="A3927" i="1"/>
  <c r="B3927" i="1"/>
  <c r="C3927" i="1"/>
  <c r="M3927" i="1"/>
  <c r="A3928" i="1"/>
  <c r="B3928" i="1"/>
  <c r="C3928" i="1"/>
  <c r="M3928" i="1"/>
  <c r="A3929" i="1"/>
  <c r="B3929" i="1"/>
  <c r="C3929" i="1"/>
  <c r="M3929" i="1"/>
  <c r="A3930" i="1"/>
  <c r="B3930" i="1"/>
  <c r="C3930" i="1"/>
  <c r="M3930" i="1"/>
  <c r="A3931" i="1"/>
  <c r="B3931" i="1"/>
  <c r="C3931" i="1"/>
  <c r="M3931" i="1"/>
  <c r="A3932" i="1"/>
  <c r="B3932" i="1"/>
  <c r="C3932" i="1"/>
  <c r="M3932" i="1"/>
  <c r="A3933" i="1"/>
  <c r="B3933" i="1"/>
  <c r="C3933" i="1"/>
  <c r="M3933" i="1"/>
  <c r="A3934" i="1"/>
  <c r="B3934" i="1"/>
  <c r="C3934" i="1"/>
  <c r="M3934" i="1"/>
  <c r="A3935" i="1"/>
  <c r="B3935" i="1"/>
  <c r="C3935" i="1"/>
  <c r="M3935" i="1"/>
  <c r="A3936" i="1"/>
  <c r="B3936" i="1"/>
  <c r="C3936" i="1"/>
  <c r="M3936" i="1"/>
  <c r="A3937" i="1"/>
  <c r="B3937" i="1"/>
  <c r="C3937" i="1"/>
  <c r="M3937" i="1"/>
  <c r="A3938" i="1"/>
  <c r="B3938" i="1"/>
  <c r="C3938" i="1"/>
  <c r="M3938" i="1"/>
  <c r="A3939" i="1"/>
  <c r="B3939" i="1"/>
  <c r="C3939" i="1"/>
  <c r="M3939" i="1"/>
  <c r="A3940" i="1"/>
  <c r="B3940" i="1"/>
  <c r="C3940" i="1"/>
  <c r="M3940" i="1"/>
  <c r="A3941" i="1"/>
  <c r="B3941" i="1"/>
  <c r="C3941" i="1"/>
  <c r="M3941" i="1"/>
  <c r="A3942" i="1"/>
  <c r="B3942" i="1"/>
  <c r="C3942" i="1"/>
  <c r="M3942" i="1"/>
  <c r="A3943" i="1"/>
  <c r="B3943" i="1"/>
  <c r="C3943" i="1"/>
  <c r="M3943" i="1"/>
  <c r="A3944" i="1"/>
  <c r="B3944" i="1"/>
  <c r="C3944" i="1"/>
  <c r="M3944" i="1"/>
  <c r="A3945" i="1"/>
  <c r="B3945" i="1"/>
  <c r="C3945" i="1"/>
  <c r="M3945" i="1"/>
  <c r="A3946" i="1"/>
  <c r="B3946" i="1"/>
  <c r="C3946" i="1"/>
  <c r="M3946" i="1"/>
  <c r="A3947" i="1"/>
  <c r="B3947" i="1"/>
  <c r="C3947" i="1"/>
  <c r="M3947" i="1"/>
  <c r="A3948" i="1"/>
  <c r="B3948" i="1"/>
  <c r="C3948" i="1"/>
  <c r="M3948" i="1"/>
  <c r="A3949" i="1"/>
  <c r="B3949" i="1"/>
  <c r="C3949" i="1"/>
  <c r="M3949" i="1"/>
  <c r="A3950" i="1"/>
  <c r="B3950" i="1"/>
  <c r="C3950" i="1"/>
  <c r="M3950" i="1"/>
  <c r="A3951" i="1"/>
  <c r="B3951" i="1"/>
  <c r="C3951" i="1"/>
  <c r="M3951" i="1"/>
  <c r="A3952" i="1"/>
  <c r="B3952" i="1"/>
  <c r="C3952" i="1"/>
  <c r="M3952" i="1"/>
  <c r="A3953" i="1"/>
  <c r="B3953" i="1"/>
  <c r="C3953" i="1"/>
  <c r="M3953" i="1"/>
  <c r="A3954" i="1"/>
  <c r="B3954" i="1"/>
  <c r="C3954" i="1"/>
  <c r="M3954" i="1"/>
  <c r="A3955" i="1"/>
  <c r="B3955" i="1"/>
  <c r="C3955" i="1"/>
  <c r="M3955" i="1"/>
  <c r="A3956" i="1"/>
  <c r="B3956" i="1"/>
  <c r="C3956" i="1"/>
  <c r="M3956" i="1"/>
  <c r="A3957" i="1"/>
  <c r="B3957" i="1"/>
  <c r="C3957" i="1"/>
  <c r="M3957" i="1"/>
  <c r="A3958" i="1"/>
  <c r="B3958" i="1"/>
  <c r="C3958" i="1"/>
  <c r="M3958" i="1"/>
  <c r="A3959" i="1"/>
  <c r="B3959" i="1"/>
  <c r="M3959" i="1"/>
  <c r="A3960" i="1"/>
  <c r="B3960" i="1"/>
  <c r="C3960" i="1"/>
  <c r="M3960" i="1"/>
  <c r="A3961" i="1"/>
  <c r="B3961" i="1"/>
  <c r="C3961" i="1"/>
  <c r="M3961" i="1"/>
  <c r="A3962" i="1"/>
  <c r="B3962" i="1"/>
  <c r="C3962" i="1"/>
  <c r="M3962" i="1"/>
  <c r="A3963" i="1"/>
  <c r="B3963" i="1"/>
  <c r="C3963" i="1"/>
  <c r="M3963" i="1"/>
  <c r="A3964" i="1"/>
  <c r="B3964" i="1"/>
  <c r="C3964" i="1"/>
  <c r="M3964" i="1"/>
  <c r="A3965" i="1"/>
  <c r="B3965" i="1"/>
  <c r="C3965" i="1"/>
  <c r="M3965" i="1"/>
  <c r="A3966" i="1"/>
  <c r="B3966" i="1"/>
  <c r="C3966" i="1"/>
  <c r="M3966" i="1"/>
  <c r="A3967" i="1"/>
  <c r="B3967" i="1"/>
  <c r="C3967" i="1"/>
  <c r="M3967" i="1"/>
  <c r="A3968" i="1"/>
  <c r="B3968" i="1"/>
  <c r="C3968" i="1"/>
  <c r="M3968" i="1"/>
  <c r="A3969" i="1"/>
  <c r="B3969" i="1"/>
  <c r="C3969" i="1"/>
  <c r="M3969" i="1"/>
  <c r="A3970" i="1"/>
  <c r="B3970" i="1"/>
  <c r="C3970" i="1"/>
  <c r="M3970" i="1"/>
  <c r="A3971" i="1"/>
  <c r="B3971" i="1"/>
  <c r="C3971" i="1"/>
  <c r="M3971" i="1"/>
  <c r="A3972" i="1"/>
  <c r="B3972" i="1"/>
  <c r="C3972" i="1"/>
  <c r="M3972" i="1"/>
  <c r="A3973" i="1"/>
  <c r="B3973" i="1"/>
  <c r="C3973" i="1"/>
  <c r="M3973" i="1"/>
  <c r="A3974" i="1"/>
  <c r="B3974" i="1"/>
  <c r="C3974" i="1"/>
  <c r="M3974" i="1"/>
  <c r="A3975" i="1"/>
  <c r="B3975" i="1"/>
  <c r="C3975" i="1"/>
  <c r="M3975" i="1"/>
  <c r="A3976" i="1"/>
  <c r="B3976" i="1"/>
  <c r="C3976" i="1"/>
  <c r="M3976" i="1"/>
  <c r="A3977" i="1"/>
  <c r="B3977" i="1"/>
  <c r="C3977" i="1"/>
  <c r="M3977" i="1"/>
  <c r="A3978" i="1"/>
  <c r="B3978" i="1"/>
  <c r="C3978" i="1"/>
  <c r="M3978" i="1"/>
  <c r="A3979" i="1"/>
  <c r="B3979" i="1"/>
  <c r="C3979" i="1"/>
  <c r="M3979" i="1"/>
  <c r="A3980" i="1"/>
  <c r="B3980" i="1"/>
  <c r="C3980" i="1"/>
  <c r="M3980" i="1"/>
  <c r="A3981" i="1"/>
  <c r="B3981" i="1"/>
  <c r="C3981" i="1"/>
  <c r="M3981" i="1"/>
  <c r="A3982" i="1"/>
  <c r="B3982" i="1"/>
  <c r="C3982" i="1"/>
  <c r="M3982" i="1"/>
  <c r="A3983" i="1"/>
  <c r="B3983" i="1"/>
  <c r="C3983" i="1"/>
  <c r="M3983" i="1"/>
  <c r="A3984" i="1"/>
  <c r="B3984" i="1"/>
  <c r="C3984" i="1"/>
  <c r="M3984" i="1"/>
  <c r="A3985" i="1"/>
  <c r="B3985" i="1"/>
  <c r="C3985" i="1"/>
  <c r="M3985" i="1"/>
  <c r="A3986" i="1"/>
  <c r="B3986" i="1"/>
  <c r="C3986" i="1"/>
  <c r="M3986" i="1"/>
  <c r="A3987" i="1"/>
  <c r="B3987" i="1"/>
  <c r="C3987" i="1"/>
  <c r="M3987" i="1"/>
  <c r="A3988" i="1"/>
  <c r="B3988" i="1"/>
  <c r="C3988" i="1"/>
  <c r="M3988" i="1"/>
  <c r="A3989" i="1"/>
  <c r="B3989" i="1"/>
  <c r="C3989" i="1"/>
  <c r="M3989" i="1"/>
  <c r="A3990" i="1"/>
  <c r="B3990" i="1"/>
  <c r="C3990" i="1"/>
  <c r="M3990" i="1"/>
  <c r="A3991" i="1"/>
  <c r="B3991" i="1"/>
  <c r="C3991" i="1"/>
  <c r="M3991" i="1"/>
  <c r="A3992" i="1"/>
  <c r="B3992" i="1"/>
  <c r="C3992" i="1"/>
  <c r="M3992" i="1"/>
  <c r="A3993" i="1"/>
  <c r="B3993" i="1"/>
  <c r="C3993" i="1"/>
  <c r="M3993" i="1"/>
  <c r="A3994" i="1"/>
  <c r="B3994" i="1"/>
  <c r="C3994" i="1"/>
  <c r="M3994" i="1"/>
  <c r="A3995" i="1"/>
  <c r="B3995" i="1"/>
  <c r="C3995" i="1"/>
  <c r="M3995" i="1"/>
  <c r="A3996" i="1"/>
  <c r="B3996" i="1"/>
  <c r="C3996" i="1"/>
  <c r="M3996" i="1"/>
  <c r="A3997" i="1"/>
  <c r="B3997" i="1"/>
  <c r="C3997" i="1"/>
  <c r="M3997" i="1"/>
  <c r="A3998" i="1"/>
  <c r="B3998" i="1"/>
  <c r="C3998" i="1"/>
  <c r="M3998" i="1"/>
  <c r="A3999" i="1"/>
  <c r="B3999" i="1"/>
  <c r="C3999" i="1"/>
  <c r="M3999" i="1"/>
  <c r="A4000" i="1"/>
  <c r="B4000" i="1"/>
  <c r="C4000" i="1"/>
  <c r="M4000" i="1"/>
  <c r="A4001" i="1"/>
  <c r="B4001" i="1"/>
  <c r="C4001" i="1"/>
  <c r="M4001" i="1"/>
  <c r="A4002" i="1"/>
  <c r="B4002" i="1"/>
  <c r="C4002" i="1"/>
  <c r="M4002" i="1"/>
  <c r="A4003" i="1"/>
  <c r="B4003" i="1"/>
  <c r="C4003" i="1"/>
  <c r="M4003" i="1"/>
  <c r="A4004" i="1"/>
  <c r="B4004" i="1"/>
  <c r="C4004" i="1"/>
  <c r="M4004" i="1"/>
  <c r="A4005" i="1"/>
  <c r="B4005" i="1"/>
  <c r="C4005" i="1"/>
  <c r="M4005" i="1"/>
  <c r="A4006" i="1"/>
  <c r="B4006" i="1"/>
  <c r="C4006" i="1"/>
  <c r="M4006" i="1"/>
  <c r="A4007" i="1"/>
  <c r="B4007" i="1"/>
  <c r="C4007" i="1"/>
  <c r="M4007" i="1"/>
  <c r="A4008" i="1"/>
  <c r="B4008" i="1"/>
  <c r="C4008" i="1"/>
  <c r="M4008" i="1"/>
  <c r="A4009" i="1"/>
  <c r="B4009" i="1"/>
  <c r="C4009" i="1"/>
  <c r="M4009" i="1"/>
  <c r="A4010" i="1"/>
  <c r="B4010" i="1"/>
  <c r="C4010" i="1"/>
  <c r="M4010" i="1"/>
  <c r="A4011" i="1"/>
  <c r="B4011" i="1"/>
  <c r="C4011" i="1"/>
  <c r="M4011" i="1"/>
  <c r="A4012" i="1"/>
  <c r="B4012" i="1"/>
  <c r="C4012" i="1"/>
  <c r="M4012" i="1"/>
  <c r="A4013" i="1"/>
  <c r="B4013" i="1"/>
  <c r="C4013" i="1"/>
  <c r="M4013" i="1"/>
  <c r="A4014" i="1"/>
  <c r="B4014" i="1"/>
  <c r="C4014" i="1"/>
  <c r="M4014" i="1"/>
  <c r="A4015" i="1"/>
  <c r="B4015" i="1"/>
  <c r="C4015" i="1"/>
  <c r="M4015" i="1"/>
  <c r="A4016" i="1"/>
  <c r="B4016" i="1"/>
  <c r="C4016" i="1"/>
  <c r="M4016" i="1"/>
  <c r="A4017" i="1"/>
  <c r="B4017" i="1"/>
  <c r="C4017" i="1"/>
  <c r="M4017" i="1"/>
  <c r="A4018" i="1"/>
  <c r="B4018" i="1"/>
  <c r="C4018" i="1"/>
  <c r="M4018" i="1"/>
  <c r="A4019" i="1"/>
  <c r="B4019" i="1"/>
  <c r="C4019" i="1"/>
  <c r="M4019" i="1"/>
  <c r="A4020" i="1"/>
  <c r="B4020" i="1"/>
  <c r="C4020" i="1"/>
  <c r="M4020" i="1"/>
  <c r="A4021" i="1"/>
  <c r="B4021" i="1"/>
  <c r="C4021" i="1"/>
  <c r="M4021" i="1"/>
  <c r="A4022" i="1"/>
  <c r="B4022" i="1"/>
  <c r="C4022" i="1"/>
  <c r="M4022" i="1"/>
  <c r="A4023" i="1"/>
  <c r="B4023" i="1"/>
  <c r="C4023" i="1"/>
  <c r="M4023" i="1"/>
  <c r="A4024" i="1"/>
  <c r="B4024" i="1"/>
  <c r="C4024" i="1"/>
  <c r="M4024" i="1"/>
  <c r="A4025" i="1"/>
  <c r="B4025" i="1"/>
  <c r="C4025" i="1"/>
  <c r="M4025" i="1"/>
  <c r="A4026" i="1"/>
  <c r="B4026" i="1"/>
  <c r="C4026" i="1"/>
  <c r="M4026" i="1"/>
  <c r="A4027" i="1"/>
  <c r="B4027" i="1"/>
  <c r="C4027" i="1"/>
  <c r="M4027" i="1"/>
  <c r="A4028" i="1"/>
  <c r="B4028" i="1"/>
  <c r="C4028" i="1"/>
  <c r="M4028" i="1"/>
  <c r="A4029" i="1"/>
  <c r="B4029" i="1"/>
  <c r="C4029" i="1"/>
  <c r="M4029" i="1"/>
  <c r="A4030" i="1"/>
  <c r="B4030" i="1"/>
  <c r="C4030" i="1"/>
  <c r="M4030" i="1"/>
  <c r="A4031" i="1"/>
  <c r="B4031" i="1"/>
  <c r="C4031" i="1"/>
  <c r="M4031" i="1"/>
  <c r="A4032" i="1"/>
  <c r="B4032" i="1"/>
  <c r="C4032" i="1"/>
  <c r="M4032" i="1"/>
  <c r="A4033" i="1"/>
  <c r="B4033" i="1"/>
  <c r="C4033" i="1"/>
  <c r="M4033" i="1"/>
  <c r="A4034" i="1"/>
  <c r="B4034" i="1"/>
  <c r="C4034" i="1"/>
  <c r="M4034" i="1"/>
  <c r="A4035" i="1"/>
  <c r="B4035" i="1"/>
  <c r="C4035" i="1"/>
  <c r="M4035" i="1"/>
  <c r="A4036" i="1"/>
  <c r="B4036" i="1"/>
  <c r="C4036" i="1"/>
  <c r="M4036" i="1"/>
  <c r="A4037" i="1"/>
  <c r="B4037" i="1"/>
  <c r="C4037" i="1"/>
  <c r="M4037" i="1"/>
  <c r="A4038" i="1"/>
  <c r="B4038" i="1"/>
  <c r="C4038" i="1"/>
  <c r="M4038" i="1"/>
  <c r="A4039" i="1"/>
  <c r="B4039" i="1"/>
  <c r="C4039" i="1"/>
  <c r="M4039" i="1"/>
  <c r="A4040" i="1"/>
  <c r="B4040" i="1"/>
  <c r="C4040" i="1"/>
  <c r="M4040" i="1"/>
  <c r="A4041" i="1"/>
  <c r="B4041" i="1"/>
  <c r="C4041" i="1"/>
  <c r="M4041" i="1"/>
  <c r="A4042" i="1"/>
  <c r="B4042" i="1"/>
  <c r="C4042" i="1"/>
  <c r="M4042" i="1"/>
  <c r="A4043" i="1"/>
  <c r="B4043" i="1"/>
  <c r="C4043" i="1"/>
  <c r="M4043" i="1"/>
  <c r="A4044" i="1"/>
  <c r="B4044" i="1"/>
  <c r="C4044" i="1"/>
  <c r="M4044" i="1"/>
  <c r="A4045" i="1"/>
  <c r="B4045" i="1"/>
  <c r="C4045" i="1"/>
  <c r="M4045" i="1"/>
  <c r="A4046" i="1"/>
  <c r="B4046" i="1"/>
  <c r="C4046" i="1"/>
  <c r="M4046" i="1"/>
  <c r="A4047" i="1"/>
  <c r="B4047" i="1"/>
  <c r="C4047" i="1"/>
  <c r="M4047" i="1"/>
  <c r="A4048" i="1"/>
  <c r="B4048" i="1"/>
  <c r="C4048" i="1"/>
  <c r="M4048" i="1"/>
  <c r="A4049" i="1"/>
  <c r="B4049" i="1"/>
  <c r="C4049" i="1"/>
  <c r="M4049" i="1"/>
  <c r="A4050" i="1"/>
  <c r="B4050" i="1"/>
  <c r="C4050" i="1"/>
  <c r="M4050" i="1"/>
  <c r="A4051" i="1"/>
  <c r="B4051" i="1"/>
  <c r="C4051" i="1"/>
  <c r="M4051" i="1"/>
  <c r="A4052" i="1"/>
  <c r="B4052" i="1"/>
  <c r="C4052" i="1"/>
  <c r="M4052" i="1"/>
  <c r="A4053" i="1"/>
  <c r="B4053" i="1"/>
  <c r="C4053" i="1"/>
  <c r="M4053" i="1"/>
  <c r="A4054" i="1"/>
  <c r="B4054" i="1"/>
  <c r="C4054" i="1"/>
  <c r="M4054" i="1"/>
  <c r="A4055" i="1"/>
  <c r="B4055" i="1"/>
  <c r="C4055" i="1"/>
  <c r="M4055" i="1"/>
  <c r="A4056" i="1"/>
  <c r="B4056" i="1"/>
  <c r="C4056" i="1"/>
  <c r="M4056" i="1"/>
  <c r="A4057" i="1"/>
  <c r="B4057" i="1"/>
  <c r="C4057" i="1"/>
  <c r="M4057" i="1"/>
  <c r="A4058" i="1"/>
  <c r="B4058" i="1"/>
  <c r="C4058" i="1"/>
  <c r="M4058" i="1"/>
  <c r="A4059" i="1"/>
  <c r="B4059" i="1"/>
  <c r="C4059" i="1"/>
  <c r="M4059" i="1"/>
  <c r="A4060" i="1"/>
  <c r="B4060" i="1"/>
  <c r="C4060" i="1"/>
  <c r="M4060" i="1"/>
  <c r="A4061" i="1"/>
  <c r="B4061" i="1"/>
  <c r="C4061" i="1"/>
  <c r="M4061" i="1"/>
  <c r="A4062" i="1"/>
  <c r="B4062" i="1"/>
  <c r="C4062" i="1"/>
  <c r="M4062" i="1"/>
  <c r="A4063" i="1"/>
  <c r="B4063" i="1"/>
  <c r="C4063" i="1"/>
  <c r="M4063" i="1"/>
  <c r="A4064" i="1"/>
  <c r="B4064" i="1"/>
  <c r="C4064" i="1"/>
  <c r="M4064" i="1"/>
  <c r="A4065" i="1"/>
  <c r="B4065" i="1"/>
  <c r="C4065" i="1"/>
  <c r="M4065" i="1"/>
  <c r="A4066" i="1"/>
  <c r="B4066" i="1"/>
  <c r="C4066" i="1"/>
  <c r="M4066" i="1"/>
  <c r="A4067" i="1"/>
  <c r="B4067" i="1"/>
  <c r="C4067" i="1"/>
  <c r="M4067" i="1"/>
  <c r="A4068" i="1"/>
  <c r="B4068" i="1"/>
  <c r="C4068" i="1"/>
  <c r="M4068" i="1"/>
  <c r="A4069" i="1"/>
  <c r="B4069" i="1"/>
  <c r="C4069" i="1"/>
  <c r="M4069" i="1"/>
  <c r="A4070" i="1"/>
  <c r="B4070" i="1"/>
  <c r="C4070" i="1"/>
  <c r="M4070" i="1"/>
  <c r="A4071" i="1"/>
  <c r="B4071" i="1"/>
  <c r="C4071" i="1"/>
  <c r="M4071" i="1"/>
  <c r="A4072" i="1"/>
  <c r="B4072" i="1"/>
  <c r="C4072" i="1"/>
  <c r="M4072" i="1"/>
  <c r="A4073" i="1"/>
  <c r="B4073" i="1"/>
  <c r="C4073" i="1"/>
  <c r="M4073" i="1"/>
  <c r="A4074" i="1"/>
  <c r="B4074" i="1"/>
  <c r="C4074" i="1"/>
  <c r="M4074" i="1"/>
  <c r="A4075" i="1"/>
  <c r="B4075" i="1"/>
  <c r="C4075" i="1"/>
  <c r="M4075" i="1"/>
  <c r="A4076" i="1"/>
  <c r="B4076" i="1"/>
  <c r="C4076" i="1"/>
  <c r="M4076" i="1"/>
  <c r="A4077" i="1"/>
  <c r="B4077" i="1"/>
  <c r="C4077" i="1"/>
  <c r="M4077" i="1"/>
  <c r="A4078" i="1"/>
  <c r="B4078" i="1"/>
  <c r="C4078" i="1"/>
  <c r="M4078" i="1"/>
  <c r="A4079" i="1"/>
  <c r="B4079" i="1"/>
  <c r="C4079" i="1"/>
  <c r="M4079" i="1"/>
  <c r="A4080" i="1"/>
  <c r="B4080" i="1"/>
  <c r="C4080" i="1"/>
  <c r="M4080" i="1"/>
  <c r="A4081" i="1"/>
  <c r="B4081" i="1"/>
  <c r="C4081" i="1"/>
  <c r="M4081" i="1"/>
  <c r="A4082" i="1"/>
  <c r="B4082" i="1"/>
  <c r="C4082" i="1"/>
  <c r="M4082" i="1"/>
  <c r="A4083" i="1"/>
  <c r="B4083" i="1"/>
  <c r="C4083" i="1"/>
  <c r="M4083" i="1"/>
  <c r="A4084" i="1"/>
  <c r="B4084" i="1"/>
  <c r="C4084" i="1"/>
  <c r="M4084" i="1"/>
  <c r="A4085" i="1"/>
  <c r="B4085" i="1"/>
  <c r="C4085" i="1"/>
  <c r="M4085" i="1"/>
  <c r="A4086" i="1"/>
  <c r="B4086" i="1"/>
  <c r="C4086" i="1"/>
  <c r="M4086" i="1"/>
  <c r="A4087" i="1"/>
  <c r="B4087" i="1"/>
  <c r="C4087" i="1"/>
  <c r="M4087" i="1"/>
  <c r="A4088" i="1"/>
  <c r="B4088" i="1"/>
  <c r="C4088" i="1"/>
  <c r="M4088" i="1"/>
  <c r="A4089" i="1"/>
  <c r="B4089" i="1"/>
  <c r="C4089" i="1"/>
  <c r="M4089" i="1"/>
  <c r="A4090" i="1"/>
  <c r="B4090" i="1"/>
  <c r="C4090" i="1"/>
  <c r="M4090" i="1"/>
  <c r="A4091" i="1"/>
  <c r="B4091" i="1"/>
  <c r="C4091" i="1"/>
  <c r="M4091" i="1"/>
  <c r="A4092" i="1"/>
  <c r="B4092" i="1"/>
  <c r="C4092" i="1"/>
  <c r="M4092" i="1"/>
  <c r="A4093" i="1"/>
  <c r="B4093" i="1"/>
  <c r="C4093" i="1"/>
  <c r="M4093" i="1"/>
  <c r="A4094" i="1"/>
  <c r="B4094" i="1"/>
  <c r="C4094" i="1"/>
  <c r="M4094" i="1"/>
  <c r="A4095" i="1"/>
  <c r="B4095" i="1"/>
  <c r="C4095" i="1"/>
  <c r="M4095" i="1"/>
  <c r="A4096" i="1"/>
  <c r="B4096" i="1"/>
  <c r="C4096" i="1"/>
  <c r="M4096" i="1"/>
  <c r="A4097" i="1"/>
  <c r="B4097" i="1"/>
  <c r="C4097" i="1"/>
  <c r="M4097" i="1"/>
  <c r="A4098" i="1"/>
  <c r="B4098" i="1"/>
  <c r="C4098" i="1"/>
  <c r="M4098" i="1"/>
  <c r="A4099" i="1"/>
  <c r="B4099" i="1"/>
  <c r="C4099" i="1"/>
  <c r="M4099" i="1"/>
  <c r="A4100" i="1"/>
  <c r="B4100" i="1"/>
  <c r="C4100" i="1"/>
  <c r="M4100" i="1"/>
  <c r="A4101" i="1"/>
  <c r="B4101" i="1"/>
  <c r="C4101" i="1"/>
  <c r="M4101" i="1"/>
  <c r="A4102" i="1"/>
  <c r="B4102" i="1"/>
  <c r="C4102" i="1"/>
  <c r="M4102" i="1"/>
  <c r="A4103" i="1"/>
  <c r="B4103" i="1"/>
  <c r="C4103" i="1"/>
  <c r="M4103" i="1"/>
  <c r="A4104" i="1"/>
  <c r="B4104" i="1"/>
  <c r="C4104" i="1"/>
  <c r="M4104" i="1"/>
  <c r="A4105" i="1"/>
  <c r="B4105" i="1"/>
  <c r="C4105" i="1"/>
  <c r="M4105" i="1"/>
  <c r="A4106" i="1"/>
  <c r="B4106" i="1"/>
  <c r="C4106" i="1"/>
  <c r="M4106" i="1"/>
  <c r="A4107" i="1"/>
  <c r="B4107" i="1"/>
  <c r="C4107" i="1"/>
  <c r="M4107" i="1"/>
  <c r="A4108" i="1"/>
  <c r="B4108" i="1"/>
  <c r="C4108" i="1"/>
  <c r="M4108" i="1"/>
  <c r="A4109" i="1"/>
  <c r="B4109" i="1"/>
  <c r="C4109" i="1"/>
  <c r="M4109" i="1"/>
  <c r="A4110" i="1"/>
  <c r="B4110" i="1"/>
  <c r="C4110" i="1"/>
  <c r="M4110" i="1"/>
  <c r="A4111" i="1"/>
  <c r="B4111" i="1"/>
  <c r="C4111" i="1"/>
  <c r="M4111" i="1"/>
  <c r="A4112" i="1"/>
  <c r="B4112" i="1"/>
  <c r="C4112" i="1"/>
  <c r="M4112" i="1"/>
  <c r="A4113" i="1"/>
  <c r="B4113" i="1"/>
  <c r="C4113" i="1"/>
  <c r="M4113" i="1"/>
  <c r="A4114" i="1"/>
  <c r="B4114" i="1"/>
  <c r="C4114" i="1"/>
  <c r="M4114" i="1"/>
  <c r="A4115" i="1"/>
  <c r="B4115" i="1"/>
  <c r="C4115" i="1"/>
  <c r="M4115" i="1"/>
  <c r="A4116" i="1"/>
  <c r="B4116" i="1"/>
  <c r="C4116" i="1"/>
  <c r="M4116" i="1"/>
  <c r="A4117" i="1"/>
  <c r="B4117" i="1"/>
  <c r="C4117" i="1"/>
  <c r="M4117" i="1"/>
  <c r="A4118" i="1"/>
  <c r="B4118" i="1"/>
  <c r="C4118" i="1"/>
  <c r="M4118" i="1"/>
  <c r="A4119" i="1"/>
  <c r="B4119" i="1"/>
  <c r="C4119" i="1"/>
  <c r="M4119" i="1"/>
  <c r="A4120" i="1"/>
  <c r="B4120" i="1"/>
  <c r="C4120" i="1"/>
  <c r="M4120" i="1"/>
  <c r="A4121" i="1"/>
  <c r="B4121" i="1"/>
  <c r="C4121" i="1"/>
  <c r="M4121" i="1"/>
  <c r="A4122" i="1"/>
  <c r="B4122" i="1"/>
  <c r="C4122" i="1"/>
  <c r="M4122" i="1"/>
  <c r="A4123" i="1"/>
  <c r="B4123" i="1"/>
  <c r="C4123" i="1"/>
  <c r="M4123" i="1"/>
  <c r="A4124" i="1"/>
  <c r="B4124" i="1"/>
  <c r="C4124" i="1"/>
  <c r="M4124" i="1"/>
  <c r="A4125" i="1"/>
  <c r="B4125" i="1"/>
  <c r="C4125" i="1"/>
  <c r="M4125" i="1"/>
  <c r="A4126" i="1"/>
  <c r="B4126" i="1"/>
  <c r="C4126" i="1"/>
  <c r="M4126" i="1"/>
  <c r="A4127" i="1"/>
  <c r="B4127" i="1"/>
  <c r="C4127" i="1"/>
  <c r="M4127" i="1"/>
  <c r="A4128" i="1"/>
  <c r="B4128" i="1"/>
  <c r="C4128" i="1"/>
  <c r="M4128" i="1"/>
  <c r="A4129" i="1"/>
  <c r="B4129" i="1"/>
  <c r="C4129" i="1"/>
  <c r="M4129" i="1"/>
  <c r="A4130" i="1"/>
  <c r="B4130" i="1"/>
  <c r="C4130" i="1"/>
  <c r="M4130" i="1"/>
  <c r="A4131" i="1"/>
  <c r="B4131" i="1"/>
  <c r="C4131" i="1"/>
  <c r="M4131" i="1"/>
  <c r="A4132" i="1"/>
  <c r="B4132" i="1"/>
  <c r="C4132" i="1"/>
  <c r="M4132" i="1"/>
  <c r="A4133" i="1"/>
  <c r="B4133" i="1"/>
  <c r="C4133" i="1"/>
  <c r="M4133" i="1"/>
  <c r="A4134" i="1"/>
  <c r="B4134" i="1"/>
  <c r="C4134" i="1"/>
  <c r="M4134" i="1"/>
  <c r="A4135" i="1"/>
  <c r="B4135" i="1"/>
  <c r="C4135" i="1"/>
  <c r="M4135" i="1"/>
  <c r="A4136" i="1"/>
  <c r="B4136" i="1"/>
  <c r="C4136" i="1"/>
  <c r="M4136" i="1"/>
  <c r="A4137" i="1"/>
  <c r="B4137" i="1"/>
  <c r="C4137" i="1"/>
  <c r="M4137" i="1"/>
  <c r="A4138" i="1"/>
  <c r="B4138" i="1"/>
  <c r="C4138" i="1"/>
  <c r="M4138" i="1"/>
  <c r="A4139" i="1"/>
  <c r="B4139" i="1"/>
  <c r="C4139" i="1"/>
  <c r="M4139" i="1"/>
  <c r="A4140" i="1"/>
  <c r="B4140" i="1"/>
  <c r="C4140" i="1"/>
  <c r="M4140" i="1"/>
  <c r="A4141" i="1"/>
  <c r="B4141" i="1"/>
  <c r="C4141" i="1"/>
  <c r="M4141" i="1"/>
  <c r="A4142" i="1"/>
  <c r="B4142" i="1"/>
  <c r="C4142" i="1"/>
  <c r="M4142" i="1"/>
  <c r="A4143" i="1"/>
  <c r="B4143" i="1"/>
  <c r="C4143" i="1"/>
  <c r="M4143" i="1"/>
  <c r="A4144" i="1"/>
  <c r="B4144" i="1"/>
  <c r="C4144" i="1"/>
  <c r="M4144" i="1"/>
  <c r="A4145" i="1"/>
  <c r="B4145" i="1"/>
  <c r="C4145" i="1"/>
  <c r="M4145" i="1"/>
  <c r="A4146" i="1"/>
  <c r="B4146" i="1"/>
  <c r="C4146" i="1"/>
  <c r="M4146" i="1"/>
  <c r="A4147" i="1"/>
  <c r="B4147" i="1"/>
  <c r="C4147" i="1"/>
  <c r="M4147" i="1"/>
  <c r="A4148" i="1"/>
  <c r="B4148" i="1"/>
  <c r="C4148" i="1"/>
  <c r="M4148" i="1"/>
  <c r="A4149" i="1"/>
  <c r="B4149" i="1"/>
  <c r="C4149" i="1"/>
  <c r="M4149" i="1"/>
  <c r="A4150" i="1"/>
  <c r="B4150" i="1"/>
  <c r="C4150" i="1"/>
  <c r="M4150" i="1"/>
  <c r="A4151" i="1"/>
  <c r="B4151" i="1"/>
  <c r="C4151" i="1"/>
  <c r="M4151" i="1"/>
  <c r="A4152" i="1"/>
  <c r="B4152" i="1"/>
  <c r="C4152" i="1"/>
  <c r="M4152" i="1"/>
  <c r="A4153" i="1"/>
  <c r="B4153" i="1"/>
  <c r="C4153" i="1"/>
  <c r="M4153" i="1"/>
  <c r="A4154" i="1"/>
  <c r="B4154" i="1"/>
  <c r="C4154" i="1"/>
  <c r="M4154" i="1"/>
  <c r="A4155" i="1"/>
  <c r="B4155" i="1"/>
  <c r="C4155" i="1"/>
  <c r="M4155" i="1"/>
  <c r="A4156" i="1"/>
  <c r="B4156" i="1"/>
  <c r="C4156" i="1"/>
  <c r="M4156" i="1"/>
  <c r="A4157" i="1"/>
  <c r="B4157" i="1"/>
  <c r="C4157" i="1"/>
  <c r="M4157" i="1"/>
  <c r="A4158" i="1"/>
  <c r="B4158" i="1"/>
  <c r="C4158" i="1"/>
  <c r="M4158" i="1"/>
  <c r="A4159" i="1"/>
  <c r="B4159" i="1"/>
  <c r="C4159" i="1"/>
  <c r="M4159" i="1"/>
  <c r="A4160" i="1"/>
  <c r="B4160" i="1"/>
  <c r="C4160" i="1"/>
  <c r="M4160" i="1"/>
  <c r="A4161" i="1"/>
  <c r="B4161" i="1"/>
  <c r="C4161" i="1"/>
  <c r="M4161" i="1"/>
  <c r="A4162" i="1"/>
  <c r="B4162" i="1"/>
  <c r="C4162" i="1"/>
  <c r="M4162" i="1"/>
  <c r="A4163" i="1"/>
  <c r="B4163" i="1"/>
  <c r="C4163" i="1"/>
  <c r="M4163" i="1"/>
  <c r="A4164" i="1"/>
  <c r="B4164" i="1"/>
  <c r="C4164" i="1"/>
  <c r="M4164" i="1"/>
  <c r="A4165" i="1"/>
  <c r="B4165" i="1"/>
  <c r="C4165" i="1"/>
  <c r="M4165" i="1"/>
  <c r="A4166" i="1"/>
  <c r="B4166" i="1"/>
  <c r="C4166" i="1"/>
  <c r="M4166" i="1"/>
  <c r="A4167" i="1"/>
  <c r="B4167" i="1"/>
  <c r="C4167" i="1"/>
  <c r="M4167" i="1"/>
  <c r="A4168" i="1"/>
  <c r="B4168" i="1"/>
  <c r="C4168" i="1"/>
  <c r="M4168" i="1"/>
  <c r="A4169" i="1"/>
  <c r="B4169" i="1"/>
  <c r="C4169" i="1"/>
  <c r="M4169" i="1"/>
  <c r="A4170" i="1"/>
  <c r="B4170" i="1"/>
  <c r="C4170" i="1"/>
  <c r="M4170" i="1"/>
  <c r="A4171" i="1"/>
  <c r="B4171" i="1"/>
  <c r="C4171" i="1"/>
  <c r="M4171" i="1"/>
  <c r="A4172" i="1"/>
  <c r="B4172" i="1"/>
  <c r="C4172" i="1"/>
  <c r="M4172" i="1"/>
  <c r="A4173" i="1"/>
  <c r="B4173" i="1"/>
  <c r="C4173" i="1"/>
  <c r="M4173" i="1"/>
  <c r="A4174" i="1"/>
  <c r="B4174" i="1"/>
  <c r="C4174" i="1"/>
  <c r="M4174" i="1"/>
  <c r="A4175" i="1"/>
  <c r="B4175" i="1"/>
  <c r="C4175" i="1"/>
  <c r="M4175" i="1"/>
  <c r="A4176" i="1"/>
  <c r="B4176" i="1"/>
  <c r="C4176" i="1"/>
  <c r="M4176" i="1"/>
  <c r="A4177" i="1"/>
  <c r="B4177" i="1"/>
  <c r="C4177" i="1"/>
  <c r="M4177" i="1"/>
  <c r="A4178" i="1"/>
  <c r="B4178" i="1"/>
  <c r="C4178" i="1"/>
  <c r="M4178" i="1"/>
  <c r="A4179" i="1"/>
  <c r="B4179" i="1"/>
  <c r="C4179" i="1"/>
  <c r="M4179" i="1"/>
  <c r="A4180" i="1"/>
  <c r="B4180" i="1"/>
  <c r="C4180" i="1"/>
  <c r="M4180" i="1"/>
  <c r="A4181" i="1"/>
  <c r="B4181" i="1"/>
  <c r="C4181" i="1"/>
  <c r="M4181" i="1"/>
  <c r="A4182" i="1"/>
  <c r="B4182" i="1"/>
  <c r="C4182" i="1"/>
  <c r="M4182" i="1"/>
  <c r="A4183" i="1"/>
  <c r="B4183" i="1"/>
  <c r="C4183" i="1"/>
  <c r="M4183" i="1"/>
  <c r="A4184" i="1"/>
  <c r="B4184" i="1"/>
  <c r="C4184" i="1"/>
  <c r="M4184" i="1"/>
  <c r="A4185" i="1"/>
  <c r="B4185" i="1"/>
  <c r="C4185" i="1"/>
  <c r="M4185" i="1"/>
  <c r="A4186" i="1"/>
  <c r="B4186" i="1"/>
  <c r="C4186" i="1"/>
  <c r="M4186" i="1"/>
  <c r="A4187" i="1"/>
  <c r="B4187" i="1"/>
  <c r="C4187" i="1"/>
  <c r="M4187" i="1"/>
  <c r="A4188" i="1"/>
  <c r="B4188" i="1"/>
  <c r="C4188" i="1"/>
  <c r="M4188" i="1"/>
  <c r="A4189" i="1"/>
  <c r="B4189" i="1"/>
  <c r="C4189" i="1"/>
  <c r="M4189" i="1"/>
  <c r="A4190" i="1"/>
  <c r="B4190" i="1"/>
  <c r="C4190" i="1"/>
  <c r="M4190" i="1"/>
  <c r="A4191" i="1"/>
  <c r="B4191" i="1"/>
  <c r="C4191" i="1"/>
  <c r="M4191" i="1"/>
  <c r="A4192" i="1"/>
  <c r="B4192" i="1"/>
  <c r="C4192" i="1"/>
  <c r="M4192" i="1"/>
  <c r="A4193" i="1"/>
  <c r="B4193" i="1"/>
  <c r="C4193" i="1"/>
  <c r="M4193" i="1"/>
  <c r="A4194" i="1"/>
  <c r="B4194" i="1"/>
  <c r="C4194" i="1"/>
  <c r="M4194" i="1"/>
  <c r="A4195" i="1"/>
  <c r="B4195" i="1"/>
  <c r="C4195" i="1"/>
  <c r="M4195" i="1"/>
  <c r="A4196" i="1"/>
  <c r="B4196" i="1"/>
  <c r="C4196" i="1"/>
  <c r="M4196" i="1"/>
  <c r="A4197" i="1"/>
  <c r="B4197" i="1"/>
  <c r="C4197" i="1"/>
  <c r="M4197" i="1"/>
  <c r="A4198" i="1"/>
  <c r="B4198" i="1"/>
  <c r="C4198" i="1"/>
  <c r="M4198" i="1"/>
  <c r="A4199" i="1"/>
  <c r="B4199" i="1"/>
  <c r="C4199" i="1"/>
  <c r="M4199" i="1"/>
  <c r="A4200" i="1"/>
  <c r="B4200" i="1"/>
  <c r="C4200" i="1"/>
  <c r="M4200" i="1"/>
  <c r="A4201" i="1"/>
  <c r="B4201" i="1"/>
  <c r="C4201" i="1"/>
  <c r="M4201" i="1"/>
  <c r="A4202" i="1"/>
  <c r="B4202" i="1"/>
  <c r="C4202" i="1"/>
  <c r="M4202" i="1"/>
  <c r="A4203" i="1"/>
  <c r="B4203" i="1"/>
  <c r="C4203" i="1"/>
  <c r="M4203" i="1"/>
  <c r="A4204" i="1"/>
  <c r="B4204" i="1"/>
  <c r="C4204" i="1"/>
  <c r="M4204" i="1"/>
  <c r="A4205" i="1"/>
  <c r="B4205" i="1"/>
  <c r="C4205" i="1"/>
  <c r="M4205" i="1"/>
  <c r="A4206" i="1"/>
  <c r="B4206" i="1"/>
  <c r="C4206" i="1"/>
  <c r="M4206" i="1"/>
  <c r="A4207" i="1"/>
  <c r="B4207" i="1"/>
  <c r="C4207" i="1"/>
  <c r="M4207" i="1"/>
  <c r="A4208" i="1"/>
  <c r="B4208" i="1"/>
  <c r="C4208" i="1"/>
  <c r="M4208" i="1"/>
  <c r="A4209" i="1"/>
  <c r="B4209" i="1"/>
  <c r="C4209" i="1"/>
  <c r="M4209" i="1"/>
  <c r="A4210" i="1"/>
  <c r="B4210" i="1"/>
  <c r="C4210" i="1"/>
  <c r="M4210" i="1"/>
  <c r="A4211" i="1"/>
  <c r="B4211" i="1"/>
  <c r="C4211" i="1"/>
  <c r="M4211" i="1"/>
  <c r="A4212" i="1"/>
  <c r="B4212" i="1"/>
  <c r="C4212" i="1"/>
  <c r="M4212" i="1"/>
  <c r="A4213" i="1"/>
  <c r="B4213" i="1"/>
  <c r="C4213" i="1"/>
  <c r="M4213" i="1"/>
  <c r="A4214" i="1"/>
  <c r="B4214" i="1"/>
  <c r="C4214" i="1"/>
  <c r="M4214" i="1"/>
  <c r="A4215" i="1"/>
  <c r="B4215" i="1"/>
  <c r="C4215" i="1"/>
  <c r="M4215" i="1"/>
  <c r="A4216" i="1"/>
  <c r="B4216" i="1"/>
  <c r="C4216" i="1"/>
  <c r="M4216" i="1"/>
  <c r="A4217" i="1"/>
  <c r="B4217" i="1"/>
  <c r="C4217" i="1"/>
  <c r="M4217" i="1"/>
  <c r="A4218" i="1"/>
  <c r="B4218" i="1"/>
  <c r="C4218" i="1"/>
  <c r="M4218" i="1"/>
  <c r="A4219" i="1"/>
  <c r="B4219" i="1"/>
  <c r="C4219" i="1"/>
  <c r="M4219" i="1"/>
  <c r="A4220" i="1"/>
  <c r="B4220" i="1"/>
  <c r="C4220" i="1"/>
  <c r="M4220" i="1"/>
  <c r="A4221" i="1"/>
  <c r="B4221" i="1"/>
  <c r="C4221" i="1"/>
  <c r="M4221" i="1"/>
  <c r="A4222" i="1"/>
  <c r="B4222" i="1"/>
  <c r="C4222" i="1"/>
  <c r="M4222" i="1"/>
  <c r="A4223" i="1"/>
  <c r="B4223" i="1"/>
  <c r="C4223" i="1"/>
  <c r="M4223" i="1"/>
  <c r="A4224" i="1"/>
  <c r="B4224" i="1"/>
  <c r="C4224" i="1"/>
  <c r="M4224" i="1"/>
  <c r="A4225" i="1"/>
  <c r="B4225" i="1"/>
  <c r="C4225" i="1"/>
  <c r="M4225" i="1"/>
  <c r="A4226" i="1"/>
  <c r="B4226" i="1"/>
  <c r="C4226" i="1"/>
  <c r="M4226" i="1"/>
  <c r="A4227" i="1"/>
  <c r="B4227" i="1"/>
  <c r="C4227" i="1"/>
  <c r="M4227" i="1"/>
  <c r="A4228" i="1"/>
  <c r="B4228" i="1"/>
  <c r="C4228" i="1"/>
  <c r="M4228" i="1"/>
  <c r="A4229" i="1"/>
  <c r="B4229" i="1"/>
  <c r="C4229" i="1"/>
  <c r="M4229" i="1"/>
  <c r="A4230" i="1"/>
  <c r="B4230" i="1"/>
  <c r="C4230" i="1"/>
  <c r="M4230" i="1"/>
  <c r="A4231" i="1"/>
  <c r="B4231" i="1"/>
  <c r="C4231" i="1"/>
  <c r="M4231" i="1"/>
  <c r="A4232" i="1"/>
  <c r="B4232" i="1"/>
  <c r="C4232" i="1"/>
  <c r="M4232" i="1"/>
  <c r="A4233" i="1"/>
  <c r="B4233" i="1"/>
  <c r="C4233" i="1"/>
  <c r="M4233" i="1"/>
  <c r="A4234" i="1"/>
  <c r="B4234" i="1"/>
  <c r="C4234" i="1"/>
  <c r="M4234" i="1"/>
  <c r="A4235" i="1"/>
  <c r="B4235" i="1"/>
  <c r="C4235" i="1"/>
  <c r="M4235" i="1"/>
  <c r="A4236" i="1"/>
  <c r="B4236" i="1"/>
  <c r="C4236" i="1"/>
  <c r="M4236" i="1"/>
  <c r="A4237" i="1"/>
  <c r="B4237" i="1"/>
  <c r="C4237" i="1"/>
  <c r="M4237" i="1"/>
  <c r="A4238" i="1"/>
  <c r="B4238" i="1"/>
  <c r="C4238" i="1"/>
  <c r="M4238" i="1"/>
  <c r="A4239" i="1"/>
  <c r="B4239" i="1"/>
  <c r="C4239" i="1"/>
  <c r="M4239" i="1"/>
  <c r="A4240" i="1"/>
  <c r="B4240" i="1"/>
  <c r="C4240" i="1"/>
  <c r="M4240" i="1"/>
  <c r="A4241" i="1"/>
  <c r="B4241" i="1"/>
  <c r="C4241" i="1"/>
  <c r="M4241" i="1"/>
  <c r="A4242" i="1"/>
  <c r="B4242" i="1"/>
  <c r="C4242" i="1"/>
  <c r="M4242" i="1"/>
  <c r="A4243" i="1"/>
  <c r="B4243" i="1"/>
  <c r="C4243" i="1"/>
  <c r="M4243" i="1"/>
  <c r="A4244" i="1"/>
  <c r="B4244" i="1"/>
  <c r="C4244" i="1"/>
  <c r="M4244" i="1"/>
  <c r="A4245" i="1"/>
  <c r="B4245" i="1"/>
  <c r="C4245" i="1"/>
  <c r="M4245" i="1"/>
  <c r="A4246" i="1"/>
  <c r="B4246" i="1"/>
  <c r="C4246" i="1"/>
  <c r="M4246" i="1"/>
  <c r="A4247" i="1"/>
  <c r="B4247" i="1"/>
  <c r="C4247" i="1"/>
  <c r="M4247" i="1"/>
  <c r="A4248" i="1"/>
  <c r="B4248" i="1"/>
  <c r="C4248" i="1"/>
  <c r="M4248" i="1"/>
  <c r="A4249" i="1"/>
  <c r="B4249" i="1"/>
  <c r="C4249" i="1"/>
  <c r="M4249" i="1"/>
  <c r="A4250" i="1"/>
  <c r="B4250" i="1"/>
  <c r="C4250" i="1"/>
  <c r="M4250" i="1"/>
  <c r="A4251" i="1"/>
  <c r="B4251" i="1"/>
  <c r="C4251" i="1"/>
  <c r="M4251" i="1"/>
  <c r="A4252" i="1"/>
  <c r="B4252" i="1"/>
  <c r="C4252" i="1"/>
  <c r="M4252" i="1"/>
  <c r="A4253" i="1"/>
  <c r="B4253" i="1"/>
  <c r="C4253" i="1"/>
  <c r="M4253" i="1"/>
  <c r="A4254" i="1"/>
  <c r="B4254" i="1"/>
  <c r="C4254" i="1"/>
  <c r="M4254" i="1"/>
  <c r="A4255" i="1"/>
  <c r="B4255" i="1"/>
  <c r="C4255" i="1"/>
  <c r="M4255" i="1"/>
  <c r="A4256" i="1"/>
  <c r="B4256" i="1"/>
  <c r="C4256" i="1"/>
  <c r="M4256" i="1"/>
  <c r="A4257" i="1"/>
  <c r="B4257" i="1"/>
  <c r="C4257" i="1"/>
  <c r="M4257" i="1"/>
  <c r="A4258" i="1"/>
  <c r="B4258" i="1"/>
  <c r="C4258" i="1"/>
  <c r="M4258" i="1"/>
  <c r="A4259" i="1"/>
  <c r="B4259" i="1"/>
  <c r="C4259" i="1"/>
  <c r="M4259" i="1"/>
  <c r="A4260" i="1"/>
  <c r="B4260" i="1"/>
  <c r="C4260" i="1"/>
  <c r="M4260" i="1"/>
  <c r="A4261" i="1"/>
  <c r="B4261" i="1"/>
  <c r="C4261" i="1"/>
  <c r="M4261" i="1"/>
  <c r="A4262" i="1"/>
  <c r="B4262" i="1"/>
  <c r="C4262" i="1"/>
  <c r="M4262" i="1"/>
  <c r="A4263" i="1"/>
  <c r="B4263" i="1"/>
  <c r="C4263" i="1"/>
  <c r="M4263" i="1"/>
  <c r="A4264" i="1"/>
  <c r="B4264" i="1"/>
  <c r="C4264" i="1"/>
  <c r="M4264" i="1"/>
  <c r="A4265" i="1"/>
  <c r="B4265" i="1"/>
  <c r="C4265" i="1"/>
  <c r="M4265" i="1"/>
  <c r="A4266" i="1"/>
  <c r="B4266" i="1"/>
  <c r="C4266" i="1"/>
  <c r="M4266" i="1"/>
  <c r="A4267" i="1"/>
  <c r="B4267" i="1"/>
  <c r="C4267" i="1"/>
  <c r="M4267" i="1"/>
  <c r="A4268" i="1"/>
  <c r="B4268" i="1"/>
  <c r="C4268" i="1"/>
  <c r="M4268" i="1"/>
  <c r="A4269" i="1"/>
  <c r="B4269" i="1"/>
  <c r="C4269" i="1"/>
  <c r="M4269" i="1"/>
  <c r="A4270" i="1"/>
  <c r="B4270" i="1"/>
  <c r="C4270" i="1"/>
  <c r="M4270" i="1"/>
  <c r="A4271" i="1"/>
  <c r="B4271" i="1"/>
  <c r="C4271" i="1"/>
  <c r="M4271" i="1"/>
  <c r="A4272" i="1"/>
  <c r="B4272" i="1"/>
  <c r="C4272" i="1"/>
  <c r="M4272" i="1"/>
  <c r="A4273" i="1"/>
  <c r="B4273" i="1"/>
  <c r="C4273" i="1"/>
  <c r="M4273" i="1"/>
  <c r="A4274" i="1"/>
  <c r="B4274" i="1"/>
  <c r="C4274" i="1"/>
  <c r="M4274" i="1"/>
  <c r="A4275" i="1"/>
  <c r="B4275" i="1"/>
  <c r="C4275" i="1"/>
  <c r="M4275" i="1"/>
  <c r="A4276" i="1"/>
  <c r="B4276" i="1"/>
  <c r="C4276" i="1"/>
  <c r="M4276" i="1"/>
  <c r="A4277" i="1"/>
  <c r="B4277" i="1"/>
  <c r="C4277" i="1"/>
  <c r="M4277" i="1"/>
  <c r="A4278" i="1"/>
  <c r="B4278" i="1"/>
  <c r="C4278" i="1"/>
  <c r="M4278" i="1"/>
  <c r="A4279" i="1"/>
  <c r="B4279" i="1"/>
  <c r="C4279" i="1"/>
  <c r="M4279" i="1"/>
  <c r="A4280" i="1"/>
  <c r="B4280" i="1"/>
  <c r="C4280" i="1"/>
  <c r="M4280" i="1"/>
  <c r="A4281" i="1"/>
  <c r="B4281" i="1"/>
  <c r="C4281" i="1"/>
  <c r="M4281" i="1"/>
  <c r="A4282" i="1"/>
  <c r="B4282" i="1"/>
  <c r="C4282" i="1"/>
  <c r="M4282" i="1"/>
  <c r="A4283" i="1"/>
  <c r="B4283" i="1"/>
  <c r="C4283" i="1"/>
  <c r="M4283" i="1"/>
  <c r="A4284" i="1"/>
  <c r="B4284" i="1"/>
  <c r="C4284" i="1"/>
  <c r="M4284" i="1"/>
  <c r="A4285" i="1"/>
  <c r="B4285" i="1"/>
  <c r="C4285" i="1"/>
  <c r="M4285" i="1"/>
  <c r="A4286" i="1"/>
  <c r="B4286" i="1"/>
  <c r="C4286" i="1"/>
  <c r="M4286" i="1"/>
  <c r="A4287" i="1"/>
  <c r="B4287" i="1"/>
  <c r="C4287" i="1"/>
  <c r="M4287" i="1"/>
  <c r="A4288" i="1"/>
  <c r="B4288" i="1"/>
  <c r="C4288" i="1"/>
  <c r="M4288" i="1"/>
  <c r="A4289" i="1"/>
  <c r="B4289" i="1"/>
  <c r="C4289" i="1"/>
  <c r="M4289" i="1"/>
  <c r="A4290" i="1"/>
  <c r="B4290" i="1"/>
  <c r="C4290" i="1"/>
  <c r="M4290" i="1"/>
  <c r="A4291" i="1"/>
  <c r="B4291" i="1"/>
  <c r="C4291" i="1"/>
  <c r="M4291" i="1"/>
  <c r="A4292" i="1"/>
  <c r="B4292" i="1"/>
  <c r="C4292" i="1"/>
  <c r="M4292" i="1"/>
  <c r="A4293" i="1"/>
  <c r="B4293" i="1"/>
  <c r="C4293" i="1"/>
  <c r="M4293" i="1"/>
  <c r="A4294" i="1"/>
  <c r="B4294" i="1"/>
  <c r="C4294" i="1"/>
  <c r="M4294" i="1"/>
  <c r="A4295" i="1"/>
  <c r="B4295" i="1"/>
  <c r="C4295" i="1"/>
  <c r="M4295" i="1"/>
  <c r="A4296" i="1"/>
  <c r="B4296" i="1"/>
  <c r="C4296" i="1"/>
  <c r="M4296" i="1"/>
  <c r="A4297" i="1"/>
  <c r="B4297" i="1"/>
  <c r="C4297" i="1"/>
  <c r="M4297" i="1"/>
  <c r="A4298" i="1"/>
  <c r="B4298" i="1"/>
  <c r="C4298" i="1"/>
  <c r="M4298" i="1"/>
  <c r="A4299" i="1"/>
  <c r="B4299" i="1"/>
  <c r="C4299" i="1"/>
  <c r="M4299" i="1"/>
  <c r="A4300" i="1"/>
  <c r="B4300" i="1"/>
  <c r="C4300" i="1"/>
  <c r="M4300" i="1"/>
  <c r="A4301" i="1"/>
  <c r="B4301" i="1"/>
  <c r="C4301" i="1"/>
  <c r="M4301" i="1"/>
  <c r="A4302" i="1"/>
  <c r="B4302" i="1"/>
  <c r="C4302" i="1"/>
  <c r="M4302" i="1"/>
  <c r="A4303" i="1"/>
  <c r="B4303" i="1"/>
  <c r="C4303" i="1"/>
  <c r="M4303" i="1"/>
  <c r="A4304" i="1"/>
  <c r="B4304" i="1"/>
  <c r="C4304" i="1"/>
  <c r="M4304" i="1"/>
  <c r="A4305" i="1"/>
  <c r="B4305" i="1"/>
  <c r="C4305" i="1"/>
  <c r="M4305" i="1"/>
  <c r="A4306" i="1"/>
  <c r="B4306" i="1"/>
  <c r="C4306" i="1"/>
  <c r="M4306" i="1"/>
  <c r="A4307" i="1"/>
  <c r="B4307" i="1"/>
  <c r="C4307" i="1"/>
  <c r="M4307" i="1"/>
  <c r="A4308" i="1"/>
  <c r="B4308" i="1"/>
  <c r="C4308" i="1"/>
  <c r="M4308" i="1"/>
  <c r="A4309" i="1"/>
  <c r="B4309" i="1"/>
  <c r="C4309" i="1"/>
  <c r="M4309" i="1"/>
  <c r="A4310" i="1"/>
  <c r="B4310" i="1"/>
  <c r="C4310" i="1"/>
  <c r="M4310" i="1"/>
  <c r="A4311" i="1"/>
  <c r="B4311" i="1"/>
  <c r="C4311" i="1"/>
  <c r="M4311" i="1"/>
  <c r="A4312" i="1"/>
  <c r="B4312" i="1"/>
  <c r="C4312" i="1"/>
  <c r="M4312" i="1"/>
  <c r="A4313" i="1"/>
  <c r="B4313" i="1"/>
  <c r="C4313" i="1"/>
  <c r="M4313" i="1"/>
  <c r="A4314" i="1"/>
  <c r="B4314" i="1"/>
  <c r="C4314" i="1"/>
  <c r="M4314" i="1"/>
  <c r="A4315" i="1"/>
  <c r="B4315" i="1"/>
  <c r="C4315" i="1"/>
  <c r="M4315" i="1"/>
  <c r="A4316" i="1"/>
  <c r="B4316" i="1"/>
  <c r="C4316" i="1"/>
  <c r="M4316" i="1"/>
  <c r="A4317" i="1"/>
  <c r="B4317" i="1"/>
  <c r="C4317" i="1"/>
  <c r="M4317" i="1"/>
  <c r="A4318" i="1"/>
  <c r="B4318" i="1"/>
  <c r="C4318" i="1"/>
  <c r="M4318" i="1"/>
  <c r="A4319" i="1"/>
  <c r="B4319" i="1"/>
  <c r="C4319" i="1"/>
  <c r="M4319" i="1"/>
  <c r="A4320" i="1"/>
  <c r="B4320" i="1"/>
  <c r="C4320" i="1"/>
  <c r="M4320" i="1"/>
  <c r="A4321" i="1"/>
  <c r="B4321" i="1"/>
  <c r="C4321" i="1"/>
  <c r="M4321" i="1"/>
  <c r="A4322" i="1"/>
  <c r="B4322" i="1"/>
  <c r="C4322" i="1"/>
  <c r="M4322" i="1"/>
  <c r="A4323" i="1"/>
  <c r="B4323" i="1"/>
  <c r="C4323" i="1"/>
  <c r="M4323" i="1"/>
  <c r="A4324" i="1"/>
  <c r="B4324" i="1"/>
  <c r="C4324" i="1"/>
  <c r="M4324" i="1"/>
  <c r="A4325" i="1"/>
  <c r="B4325" i="1"/>
  <c r="C4325" i="1"/>
  <c r="M4325" i="1"/>
  <c r="A4326" i="1"/>
  <c r="B4326" i="1"/>
  <c r="C4326" i="1"/>
  <c r="M4326" i="1"/>
  <c r="A4327" i="1"/>
  <c r="B4327" i="1"/>
  <c r="C4327" i="1"/>
  <c r="M4327" i="1"/>
  <c r="A4328" i="1"/>
  <c r="B4328" i="1"/>
  <c r="C4328" i="1"/>
  <c r="M4328" i="1"/>
  <c r="A4329" i="1"/>
  <c r="B4329" i="1"/>
  <c r="C4329" i="1"/>
  <c r="M4329" i="1"/>
  <c r="A4330" i="1"/>
  <c r="B4330" i="1"/>
  <c r="C4330" i="1"/>
  <c r="M4330" i="1"/>
  <c r="A4331" i="1"/>
  <c r="B4331" i="1"/>
  <c r="C4331" i="1"/>
  <c r="M4331" i="1"/>
  <c r="A4332" i="1"/>
  <c r="B4332" i="1"/>
  <c r="C4332" i="1"/>
  <c r="M4332" i="1"/>
  <c r="A4333" i="1"/>
  <c r="B4333" i="1"/>
  <c r="C4333" i="1"/>
  <c r="M4333" i="1"/>
  <c r="A4334" i="1"/>
  <c r="B4334" i="1"/>
  <c r="C4334" i="1"/>
  <c r="M4334" i="1"/>
  <c r="A4335" i="1"/>
  <c r="B4335" i="1"/>
  <c r="C4335" i="1"/>
  <c r="M4335" i="1"/>
  <c r="A4336" i="1"/>
  <c r="B4336" i="1"/>
  <c r="C4336" i="1"/>
  <c r="M4336" i="1"/>
  <c r="A4337" i="1"/>
  <c r="B4337" i="1"/>
  <c r="C4337" i="1"/>
  <c r="M4337" i="1"/>
  <c r="A4338" i="1"/>
  <c r="B4338" i="1"/>
  <c r="C4338" i="1"/>
  <c r="M4338" i="1"/>
  <c r="A4339" i="1"/>
  <c r="B4339" i="1"/>
  <c r="C4339" i="1"/>
  <c r="M4339" i="1"/>
  <c r="A4340" i="1"/>
  <c r="B4340" i="1"/>
  <c r="C4340" i="1"/>
  <c r="M4340" i="1"/>
  <c r="A4341" i="1"/>
  <c r="B4341" i="1"/>
  <c r="C4341" i="1"/>
  <c r="M4341" i="1"/>
  <c r="A4342" i="1"/>
  <c r="B4342" i="1"/>
  <c r="C4342" i="1"/>
  <c r="M4342" i="1"/>
  <c r="A4343" i="1"/>
  <c r="B4343" i="1"/>
  <c r="C4343" i="1"/>
  <c r="M4343" i="1"/>
  <c r="A4344" i="1"/>
  <c r="B4344" i="1"/>
  <c r="C4344" i="1"/>
  <c r="M4344" i="1"/>
  <c r="A4345" i="1"/>
  <c r="B4345" i="1"/>
  <c r="C4345" i="1"/>
  <c r="M4345" i="1"/>
  <c r="A4346" i="1"/>
  <c r="B4346" i="1"/>
  <c r="C4346" i="1"/>
  <c r="M4346" i="1"/>
  <c r="A4347" i="1"/>
  <c r="B4347" i="1"/>
  <c r="C4347" i="1"/>
  <c r="M4347" i="1"/>
  <c r="A4348" i="1"/>
  <c r="B4348" i="1"/>
  <c r="C4348" i="1"/>
  <c r="M4348" i="1"/>
  <c r="A4349" i="1"/>
  <c r="B4349" i="1"/>
  <c r="C4349" i="1"/>
  <c r="M4349" i="1"/>
  <c r="A4350" i="1"/>
  <c r="B4350" i="1"/>
  <c r="C4350" i="1"/>
  <c r="M4350" i="1"/>
  <c r="A4351" i="1"/>
  <c r="B4351" i="1"/>
  <c r="C4351" i="1"/>
  <c r="M4351" i="1"/>
  <c r="A4352" i="1"/>
  <c r="B4352" i="1"/>
  <c r="C4352" i="1"/>
  <c r="M4352" i="1"/>
  <c r="A4353" i="1"/>
  <c r="B4353" i="1"/>
  <c r="C4353" i="1"/>
  <c r="M4353" i="1"/>
  <c r="A4354" i="1"/>
  <c r="B4354" i="1"/>
  <c r="C4354" i="1"/>
  <c r="M4354" i="1"/>
  <c r="A4355" i="1"/>
  <c r="B4355" i="1"/>
  <c r="C4355" i="1"/>
  <c r="M4355" i="1"/>
  <c r="A4356" i="1"/>
  <c r="B4356" i="1"/>
  <c r="C4356" i="1"/>
  <c r="M4356" i="1"/>
  <c r="A4357" i="1"/>
  <c r="B4357" i="1"/>
  <c r="C4357" i="1"/>
  <c r="M4357" i="1"/>
  <c r="A4358" i="1"/>
  <c r="B4358" i="1"/>
  <c r="C4358" i="1"/>
  <c r="M4358" i="1"/>
  <c r="A4359" i="1"/>
  <c r="B4359" i="1"/>
  <c r="C4359" i="1"/>
  <c r="M4359" i="1"/>
  <c r="A4360" i="1"/>
  <c r="B4360" i="1"/>
  <c r="C4360" i="1"/>
  <c r="M4360" i="1"/>
  <c r="A4361" i="1"/>
  <c r="B4361" i="1"/>
  <c r="C4361" i="1"/>
  <c r="M4361" i="1"/>
  <c r="A4362" i="1"/>
  <c r="B4362" i="1"/>
  <c r="C4362" i="1"/>
  <c r="M4362" i="1"/>
  <c r="A4363" i="1"/>
  <c r="B4363" i="1"/>
  <c r="C4363" i="1"/>
  <c r="M4363" i="1"/>
  <c r="A4364" i="1"/>
  <c r="B4364" i="1"/>
  <c r="C4364" i="1"/>
  <c r="M4364" i="1"/>
  <c r="A4365" i="1"/>
  <c r="B4365" i="1"/>
  <c r="C4365" i="1"/>
  <c r="M4365" i="1"/>
  <c r="A4366" i="1"/>
  <c r="B4366" i="1"/>
  <c r="C4366" i="1"/>
  <c r="M4366" i="1"/>
  <c r="A4367" i="1"/>
  <c r="B4367" i="1"/>
  <c r="C4367" i="1"/>
  <c r="M4367" i="1"/>
  <c r="A4368" i="1"/>
  <c r="B4368" i="1"/>
  <c r="C4368" i="1"/>
  <c r="M4368" i="1"/>
  <c r="A4369" i="1"/>
  <c r="B4369" i="1"/>
  <c r="C4369" i="1"/>
  <c r="M4369" i="1"/>
  <c r="A4370" i="1"/>
  <c r="B4370" i="1"/>
  <c r="C4370" i="1"/>
  <c r="M4370" i="1"/>
  <c r="A4371" i="1"/>
  <c r="B4371" i="1"/>
  <c r="C4371" i="1"/>
  <c r="M4371" i="1"/>
  <c r="A4372" i="1"/>
  <c r="B4372" i="1"/>
  <c r="C4372" i="1"/>
  <c r="M4372" i="1"/>
  <c r="A4373" i="1"/>
  <c r="B4373" i="1"/>
  <c r="C4373" i="1"/>
  <c r="M4373" i="1"/>
  <c r="A4374" i="1"/>
  <c r="B4374" i="1"/>
  <c r="C4374" i="1"/>
  <c r="M4374" i="1"/>
  <c r="A4375" i="1"/>
  <c r="B4375" i="1"/>
  <c r="C4375" i="1"/>
  <c r="M4375" i="1"/>
  <c r="A4376" i="1"/>
  <c r="B4376" i="1"/>
  <c r="C4376" i="1"/>
  <c r="M4376" i="1"/>
  <c r="A4377" i="1"/>
  <c r="B4377" i="1"/>
  <c r="C4377" i="1"/>
  <c r="M4377" i="1"/>
  <c r="A4378" i="1"/>
  <c r="B4378" i="1"/>
  <c r="C4378" i="1"/>
  <c r="M4378" i="1"/>
  <c r="A4379" i="1"/>
  <c r="B4379" i="1"/>
  <c r="C4379" i="1"/>
  <c r="M4379" i="1"/>
  <c r="A4380" i="1"/>
  <c r="B4380" i="1"/>
  <c r="C4380" i="1"/>
  <c r="M4380" i="1"/>
  <c r="A4381" i="1"/>
  <c r="B4381" i="1"/>
  <c r="C4381" i="1"/>
  <c r="M4381" i="1"/>
  <c r="A4382" i="1"/>
  <c r="B4382" i="1"/>
  <c r="C4382" i="1"/>
  <c r="M4382" i="1"/>
  <c r="A4383" i="1"/>
  <c r="B4383" i="1"/>
  <c r="C4383" i="1"/>
  <c r="M4383" i="1"/>
  <c r="A4384" i="1"/>
  <c r="B4384" i="1"/>
  <c r="C4384" i="1"/>
  <c r="M4384" i="1"/>
  <c r="A4385" i="1"/>
  <c r="B4385" i="1"/>
  <c r="C4385" i="1"/>
  <c r="M4385" i="1"/>
  <c r="A4386" i="1"/>
  <c r="B4386" i="1"/>
  <c r="C4386" i="1"/>
  <c r="M4386" i="1"/>
  <c r="A4387" i="1"/>
  <c r="B4387" i="1"/>
  <c r="C4387" i="1"/>
  <c r="M4387" i="1"/>
  <c r="A4388" i="1"/>
  <c r="B4388" i="1"/>
  <c r="C4388" i="1"/>
  <c r="M4388" i="1"/>
  <c r="A4389" i="1"/>
  <c r="B4389" i="1"/>
  <c r="C4389" i="1"/>
  <c r="M4389" i="1"/>
  <c r="A4390" i="1"/>
  <c r="B4390" i="1"/>
  <c r="C4390" i="1"/>
  <c r="M4390" i="1"/>
  <c r="A4391" i="1"/>
  <c r="B4391" i="1"/>
  <c r="C4391" i="1"/>
  <c r="M4391" i="1"/>
  <c r="A4392" i="1"/>
  <c r="B4392" i="1"/>
  <c r="C4392" i="1"/>
  <c r="M4392" i="1"/>
  <c r="A4393" i="1"/>
  <c r="B4393" i="1"/>
  <c r="C4393" i="1"/>
  <c r="M4393" i="1"/>
  <c r="A4394" i="1"/>
  <c r="B4394" i="1"/>
  <c r="C4394" i="1"/>
  <c r="M4394" i="1"/>
  <c r="A4395" i="1"/>
  <c r="B4395" i="1"/>
  <c r="C4395" i="1"/>
  <c r="M4395" i="1"/>
  <c r="A4396" i="1"/>
  <c r="B4396" i="1"/>
  <c r="C4396" i="1"/>
  <c r="M4396" i="1"/>
  <c r="A4397" i="1"/>
  <c r="B4397" i="1"/>
  <c r="C4397" i="1"/>
  <c r="M4397" i="1"/>
  <c r="A4398" i="1"/>
  <c r="B4398" i="1"/>
  <c r="C4398" i="1"/>
  <c r="M4398" i="1"/>
  <c r="A4399" i="1"/>
  <c r="B4399" i="1"/>
  <c r="C4399" i="1"/>
  <c r="M4399" i="1"/>
  <c r="A4400" i="1"/>
  <c r="B4400" i="1"/>
  <c r="C4400" i="1"/>
  <c r="M4400" i="1"/>
  <c r="A4401" i="1"/>
  <c r="B4401" i="1"/>
  <c r="C4401" i="1"/>
  <c r="M4401" i="1"/>
  <c r="A4402" i="1"/>
  <c r="B4402" i="1"/>
  <c r="C4402" i="1"/>
  <c r="M4402" i="1"/>
  <c r="A4403" i="1"/>
  <c r="B4403" i="1"/>
  <c r="C4403" i="1"/>
  <c r="M4403" i="1"/>
  <c r="A4404" i="1"/>
  <c r="B4404" i="1"/>
  <c r="C4404" i="1"/>
  <c r="M4404" i="1"/>
  <c r="A4405" i="1"/>
  <c r="B4405" i="1"/>
  <c r="C4405" i="1"/>
  <c r="M4405" i="1"/>
  <c r="A4406" i="1"/>
  <c r="B4406" i="1"/>
  <c r="C4406" i="1"/>
  <c r="M4406" i="1"/>
  <c r="A4407" i="1"/>
  <c r="B4407" i="1"/>
  <c r="C4407" i="1"/>
  <c r="M4407" i="1"/>
  <c r="A4408" i="1"/>
  <c r="B4408" i="1"/>
  <c r="C4408" i="1"/>
  <c r="M4408" i="1"/>
  <c r="A4409" i="1"/>
  <c r="B4409" i="1"/>
  <c r="C4409" i="1"/>
  <c r="M4409" i="1"/>
  <c r="A4410" i="1"/>
  <c r="B4410" i="1"/>
  <c r="C4410" i="1"/>
  <c r="M4410" i="1"/>
  <c r="A4411" i="1"/>
  <c r="B4411" i="1"/>
  <c r="C4411" i="1"/>
  <c r="M4411" i="1"/>
  <c r="A4412" i="1"/>
  <c r="B4412" i="1"/>
  <c r="C4412" i="1"/>
  <c r="M4412" i="1"/>
  <c r="A4413" i="1"/>
  <c r="B4413" i="1"/>
  <c r="C4413" i="1"/>
  <c r="M4413" i="1"/>
  <c r="A4414" i="1"/>
  <c r="B4414" i="1"/>
  <c r="C4414" i="1"/>
  <c r="M4414" i="1"/>
  <c r="A4415" i="1"/>
  <c r="B4415" i="1"/>
  <c r="C4415" i="1"/>
  <c r="M4415" i="1"/>
  <c r="A4416" i="1"/>
  <c r="B4416" i="1"/>
  <c r="C4416" i="1"/>
  <c r="M4416" i="1"/>
  <c r="A4417" i="1"/>
  <c r="B4417" i="1"/>
  <c r="C4417" i="1"/>
  <c r="M4417" i="1"/>
  <c r="A4418" i="1"/>
  <c r="B4418" i="1"/>
  <c r="C4418" i="1"/>
  <c r="M4418" i="1"/>
  <c r="A4419" i="1"/>
  <c r="B4419" i="1"/>
  <c r="C4419" i="1"/>
  <c r="M4419" i="1"/>
  <c r="A4420" i="1"/>
  <c r="B4420" i="1"/>
  <c r="C4420" i="1"/>
  <c r="M4420" i="1"/>
  <c r="A4421" i="1"/>
  <c r="B4421" i="1"/>
  <c r="C4421" i="1"/>
  <c r="M4421" i="1"/>
  <c r="A4422" i="1"/>
  <c r="B4422" i="1"/>
  <c r="C4422" i="1"/>
  <c r="M4422" i="1"/>
  <c r="A4423" i="1"/>
  <c r="B4423" i="1"/>
  <c r="C4423" i="1"/>
  <c r="M4423" i="1"/>
  <c r="A4424" i="1"/>
  <c r="B4424" i="1"/>
  <c r="C4424" i="1"/>
  <c r="M4424" i="1"/>
  <c r="A4425" i="1"/>
  <c r="B4425" i="1"/>
  <c r="C4425" i="1"/>
  <c r="M4425" i="1"/>
  <c r="A4426" i="1"/>
  <c r="B4426" i="1"/>
  <c r="C4426" i="1"/>
  <c r="M4426" i="1"/>
  <c r="A4427" i="1"/>
  <c r="B4427" i="1"/>
  <c r="C4427" i="1"/>
  <c r="M4427" i="1"/>
  <c r="A4428" i="1"/>
  <c r="B4428" i="1"/>
  <c r="C4428" i="1"/>
  <c r="M4428" i="1"/>
  <c r="A4429" i="1"/>
  <c r="B4429" i="1"/>
  <c r="C4429" i="1"/>
  <c r="M4429" i="1"/>
  <c r="A4430" i="1"/>
  <c r="B4430" i="1"/>
  <c r="C4430" i="1"/>
  <c r="M4430" i="1"/>
  <c r="A4431" i="1"/>
  <c r="B4431" i="1"/>
  <c r="C4431" i="1"/>
  <c r="M4431" i="1"/>
  <c r="A4432" i="1"/>
  <c r="B4432" i="1"/>
  <c r="C4432" i="1"/>
  <c r="M4432" i="1"/>
  <c r="A4433" i="1"/>
  <c r="B4433" i="1"/>
  <c r="C4433" i="1"/>
  <c r="M4433" i="1"/>
  <c r="A4434" i="1"/>
  <c r="B4434" i="1"/>
  <c r="C4434" i="1"/>
  <c r="M4434" i="1"/>
  <c r="A4435" i="1"/>
  <c r="B4435" i="1"/>
  <c r="C4435" i="1"/>
  <c r="M4435" i="1"/>
  <c r="A4436" i="1"/>
  <c r="B4436" i="1"/>
  <c r="C4436" i="1"/>
  <c r="M4436" i="1"/>
  <c r="A4437" i="1"/>
  <c r="B4437" i="1"/>
  <c r="C4437" i="1"/>
  <c r="M4437" i="1"/>
  <c r="A4438" i="1"/>
  <c r="B4438" i="1"/>
  <c r="C4438" i="1"/>
  <c r="M4438" i="1"/>
  <c r="A4439" i="1"/>
  <c r="B4439" i="1"/>
  <c r="C4439" i="1"/>
  <c r="M4439" i="1"/>
  <c r="A4440" i="1"/>
  <c r="B4440" i="1"/>
  <c r="C4440" i="1"/>
  <c r="M4440" i="1"/>
  <c r="A4441" i="1"/>
  <c r="B4441" i="1"/>
  <c r="C4441" i="1"/>
  <c r="M4441" i="1"/>
  <c r="A4442" i="1"/>
  <c r="B4442" i="1"/>
  <c r="C4442" i="1"/>
  <c r="M4442" i="1"/>
  <c r="A4443" i="1"/>
  <c r="B4443" i="1"/>
  <c r="C4443" i="1"/>
  <c r="M4443" i="1"/>
  <c r="A4444" i="1"/>
  <c r="B4444" i="1"/>
  <c r="C4444" i="1"/>
  <c r="M4444" i="1"/>
  <c r="A4445" i="1"/>
  <c r="B4445" i="1"/>
  <c r="C4445" i="1"/>
  <c r="M4445" i="1"/>
  <c r="A4446" i="1"/>
  <c r="B4446" i="1"/>
  <c r="C4446" i="1"/>
  <c r="M4446" i="1"/>
  <c r="A4447" i="1"/>
  <c r="B4447" i="1"/>
  <c r="C4447" i="1"/>
  <c r="M4447" i="1"/>
  <c r="A4448" i="1"/>
  <c r="B4448" i="1"/>
  <c r="C4448" i="1"/>
  <c r="M4448" i="1"/>
  <c r="A4449" i="1"/>
  <c r="B4449" i="1"/>
  <c r="C4449" i="1"/>
  <c r="M4449" i="1"/>
  <c r="A4450" i="1"/>
  <c r="B4450" i="1"/>
  <c r="C4450" i="1"/>
  <c r="M4450" i="1"/>
  <c r="A4451" i="1"/>
  <c r="B4451" i="1"/>
  <c r="C4451" i="1"/>
  <c r="M4451" i="1"/>
  <c r="A4452" i="1"/>
  <c r="B4452" i="1"/>
  <c r="C4452" i="1"/>
  <c r="M4452" i="1"/>
  <c r="A4453" i="1"/>
  <c r="B4453" i="1"/>
  <c r="C4453" i="1"/>
  <c r="M4453" i="1"/>
  <c r="A4454" i="1"/>
  <c r="B4454" i="1"/>
  <c r="C4454" i="1"/>
  <c r="M4454" i="1"/>
  <c r="A4455" i="1"/>
  <c r="B4455" i="1"/>
  <c r="C4455" i="1"/>
  <c r="M4455" i="1"/>
  <c r="A4456" i="1"/>
  <c r="B4456" i="1"/>
  <c r="C4456" i="1"/>
  <c r="M4456" i="1"/>
  <c r="A4457" i="1"/>
  <c r="B4457" i="1"/>
  <c r="C4457" i="1"/>
  <c r="M4457" i="1"/>
  <c r="A4458" i="1"/>
  <c r="B4458" i="1"/>
  <c r="C4458" i="1"/>
  <c r="M4458" i="1"/>
  <c r="A4459" i="1"/>
  <c r="B4459" i="1"/>
  <c r="C4459" i="1"/>
  <c r="M4459" i="1"/>
  <c r="A4460" i="1"/>
  <c r="B4460" i="1"/>
  <c r="C4460" i="1"/>
  <c r="M4460" i="1"/>
  <c r="A4461" i="1"/>
  <c r="B4461" i="1"/>
  <c r="C4461" i="1"/>
  <c r="M4461" i="1"/>
  <c r="A4462" i="1"/>
  <c r="B4462" i="1"/>
  <c r="C4462" i="1"/>
  <c r="M4462" i="1"/>
  <c r="A4463" i="1"/>
  <c r="B4463" i="1"/>
  <c r="C4463" i="1"/>
  <c r="M4463" i="1"/>
  <c r="A4464" i="1"/>
  <c r="B4464" i="1"/>
  <c r="C4464" i="1"/>
  <c r="M4464" i="1"/>
  <c r="A4465" i="1"/>
  <c r="B4465" i="1"/>
  <c r="C4465" i="1"/>
  <c r="M4465" i="1"/>
  <c r="A4466" i="1"/>
  <c r="B4466" i="1"/>
  <c r="C4466" i="1"/>
  <c r="M4466" i="1"/>
  <c r="A4467" i="1"/>
  <c r="B4467" i="1"/>
  <c r="C4467" i="1"/>
  <c r="M4467" i="1"/>
  <c r="A4468" i="1"/>
  <c r="B4468" i="1"/>
  <c r="C4468" i="1"/>
  <c r="M4468" i="1"/>
  <c r="A4469" i="1"/>
  <c r="B4469" i="1"/>
  <c r="C4469" i="1"/>
  <c r="M4469" i="1"/>
  <c r="A4470" i="1"/>
  <c r="B4470" i="1"/>
  <c r="C4470" i="1"/>
  <c r="M4470" i="1"/>
  <c r="A4471" i="1"/>
  <c r="B4471" i="1"/>
  <c r="C4471" i="1"/>
  <c r="M4471" i="1"/>
  <c r="A4472" i="1"/>
  <c r="B4472" i="1"/>
  <c r="C4472" i="1"/>
  <c r="M4472" i="1"/>
  <c r="A4473" i="1"/>
  <c r="B4473" i="1"/>
  <c r="C4473" i="1"/>
  <c r="M4473" i="1"/>
  <c r="A4474" i="1"/>
  <c r="B4474" i="1"/>
  <c r="C4474" i="1"/>
  <c r="M4474" i="1"/>
  <c r="A4475" i="1"/>
  <c r="B4475" i="1"/>
  <c r="C4475" i="1"/>
  <c r="M4475" i="1"/>
  <c r="A4476" i="1"/>
  <c r="B4476" i="1"/>
  <c r="C4476" i="1"/>
  <c r="M4476" i="1"/>
  <c r="A4477" i="1"/>
  <c r="B4477" i="1"/>
  <c r="C4477" i="1"/>
  <c r="M4477" i="1"/>
  <c r="A4478" i="1"/>
  <c r="B4478" i="1"/>
  <c r="C4478" i="1"/>
  <c r="M4478" i="1"/>
  <c r="A4479" i="1"/>
  <c r="B4479" i="1"/>
  <c r="C4479" i="1"/>
  <c r="M4479" i="1"/>
  <c r="A4480" i="1"/>
  <c r="B4480" i="1"/>
  <c r="C4480" i="1"/>
  <c r="M4480" i="1"/>
  <c r="A4481" i="1"/>
  <c r="B4481" i="1"/>
  <c r="C4481" i="1"/>
  <c r="M4481" i="1"/>
  <c r="A4482" i="1"/>
  <c r="B4482" i="1"/>
  <c r="C4482" i="1"/>
  <c r="M4482" i="1"/>
  <c r="A4483" i="1"/>
  <c r="B4483" i="1"/>
  <c r="C4483" i="1"/>
  <c r="M4483" i="1"/>
  <c r="A4484" i="1"/>
  <c r="B4484" i="1"/>
  <c r="C4484" i="1"/>
  <c r="M4484" i="1"/>
  <c r="A4485" i="1"/>
  <c r="B4485" i="1"/>
  <c r="C4485" i="1"/>
  <c r="M4485" i="1"/>
  <c r="A4486" i="1"/>
  <c r="B4486" i="1"/>
  <c r="C4486" i="1"/>
  <c r="M4486" i="1"/>
  <c r="A4487" i="1"/>
  <c r="B4487" i="1"/>
  <c r="C4487" i="1"/>
  <c r="M4487" i="1"/>
  <c r="A4488" i="1"/>
  <c r="B4488" i="1"/>
  <c r="C4488" i="1"/>
  <c r="M4488" i="1"/>
  <c r="A4489" i="1"/>
  <c r="B4489" i="1"/>
  <c r="C4489" i="1"/>
  <c r="M4489" i="1"/>
  <c r="A4490" i="1"/>
  <c r="B4490" i="1"/>
  <c r="C4490" i="1"/>
  <c r="M4490" i="1"/>
  <c r="A4491" i="1"/>
  <c r="B4491" i="1"/>
  <c r="C4491" i="1"/>
  <c r="M4491" i="1"/>
  <c r="A4492" i="1"/>
  <c r="B4492" i="1"/>
  <c r="C4492" i="1"/>
  <c r="M4492" i="1"/>
  <c r="A4493" i="1"/>
  <c r="B4493" i="1"/>
  <c r="C4493" i="1"/>
  <c r="M4493" i="1"/>
  <c r="A4494" i="1"/>
  <c r="B4494" i="1"/>
  <c r="C4494" i="1"/>
  <c r="M4494" i="1"/>
  <c r="A4495" i="1"/>
  <c r="B4495" i="1"/>
  <c r="C4495" i="1"/>
  <c r="M4495" i="1"/>
  <c r="A4496" i="1"/>
  <c r="B4496" i="1"/>
  <c r="C4496" i="1"/>
  <c r="M4496" i="1"/>
  <c r="A4497" i="1"/>
  <c r="B4497" i="1"/>
  <c r="C4497" i="1"/>
  <c r="M4497" i="1"/>
  <c r="A4498" i="1"/>
  <c r="B4498" i="1"/>
  <c r="C4498" i="1"/>
  <c r="M4498" i="1"/>
  <c r="A4499" i="1"/>
  <c r="B4499" i="1"/>
  <c r="C4499" i="1"/>
  <c r="M4499" i="1"/>
  <c r="A4500" i="1"/>
  <c r="B4500" i="1"/>
  <c r="C4500" i="1"/>
  <c r="M4500" i="1"/>
  <c r="A4501" i="1"/>
  <c r="B4501" i="1"/>
  <c r="C4501" i="1"/>
  <c r="M4501" i="1"/>
  <c r="A4502" i="1"/>
  <c r="B4502" i="1"/>
  <c r="C4502" i="1"/>
  <c r="M4502" i="1"/>
  <c r="A4503" i="1"/>
  <c r="B4503" i="1"/>
  <c r="C4503" i="1"/>
  <c r="M4503" i="1"/>
  <c r="A4504" i="1"/>
  <c r="B4504" i="1"/>
  <c r="C4504" i="1"/>
  <c r="M4504" i="1"/>
  <c r="A4505" i="1"/>
  <c r="B4505" i="1"/>
  <c r="C4505" i="1"/>
  <c r="M4505" i="1"/>
  <c r="A4506" i="1"/>
  <c r="B4506" i="1"/>
  <c r="C4506" i="1"/>
  <c r="M4506" i="1"/>
  <c r="A4507" i="1"/>
  <c r="B4507" i="1"/>
  <c r="C4507" i="1"/>
  <c r="M4507" i="1"/>
  <c r="A4508" i="1"/>
  <c r="B4508" i="1"/>
  <c r="C4508" i="1"/>
  <c r="M4508" i="1"/>
  <c r="A4509" i="1"/>
  <c r="B4509" i="1"/>
  <c r="C4509" i="1"/>
  <c r="M4509" i="1"/>
  <c r="A4510" i="1"/>
  <c r="B4510" i="1"/>
  <c r="C4510" i="1"/>
  <c r="M4510" i="1"/>
  <c r="A4511" i="1"/>
  <c r="B4511" i="1"/>
  <c r="C4511" i="1"/>
  <c r="M4511" i="1"/>
  <c r="A4512" i="1"/>
  <c r="B4512" i="1"/>
  <c r="C4512" i="1"/>
  <c r="M4512" i="1"/>
  <c r="A4513" i="1"/>
  <c r="B4513" i="1"/>
  <c r="C4513" i="1"/>
  <c r="M4513" i="1"/>
  <c r="A4514" i="1"/>
  <c r="B4514" i="1"/>
  <c r="C4514" i="1"/>
  <c r="M4514" i="1"/>
  <c r="A4515" i="1"/>
  <c r="B4515" i="1"/>
  <c r="C4515" i="1"/>
  <c r="M4515" i="1"/>
  <c r="A4516" i="1"/>
  <c r="B4516" i="1"/>
  <c r="C4516" i="1"/>
  <c r="M4516" i="1"/>
  <c r="A4517" i="1"/>
  <c r="B4517" i="1"/>
  <c r="C4517" i="1"/>
  <c r="M4517" i="1"/>
  <c r="A4518" i="1"/>
  <c r="B4518" i="1"/>
  <c r="C4518" i="1"/>
  <c r="M4518" i="1"/>
  <c r="A4519" i="1"/>
  <c r="B4519" i="1"/>
  <c r="C4519" i="1"/>
  <c r="M4519" i="1"/>
  <c r="A4520" i="1"/>
  <c r="B4520" i="1"/>
  <c r="C4520" i="1"/>
  <c r="M4520" i="1"/>
  <c r="A4521" i="1"/>
  <c r="B4521" i="1"/>
  <c r="C4521" i="1"/>
  <c r="M4521" i="1"/>
  <c r="A4522" i="1"/>
  <c r="B4522" i="1"/>
  <c r="C4522" i="1"/>
  <c r="M4522" i="1"/>
  <c r="A4523" i="1"/>
  <c r="B4523" i="1"/>
  <c r="C4523" i="1"/>
  <c r="M4523" i="1"/>
  <c r="A4524" i="1"/>
  <c r="B4524" i="1"/>
  <c r="C4524" i="1"/>
  <c r="M4524" i="1"/>
  <c r="A4525" i="1"/>
  <c r="B4525" i="1"/>
  <c r="C4525" i="1"/>
  <c r="M4525" i="1"/>
  <c r="A4526" i="1"/>
  <c r="B4526" i="1"/>
  <c r="C4526" i="1"/>
  <c r="M4526" i="1"/>
  <c r="A4527" i="1"/>
  <c r="B4527" i="1"/>
  <c r="C4527" i="1"/>
  <c r="M4527" i="1"/>
  <c r="A4528" i="1"/>
  <c r="B4528" i="1"/>
  <c r="C4528" i="1"/>
  <c r="M4528" i="1"/>
  <c r="A4529" i="1"/>
  <c r="B4529" i="1"/>
  <c r="C4529" i="1"/>
  <c r="M4529" i="1"/>
  <c r="A4530" i="1"/>
  <c r="B4530" i="1"/>
  <c r="C4530" i="1"/>
  <c r="M4530" i="1"/>
  <c r="A4531" i="1"/>
  <c r="B4531" i="1"/>
  <c r="C4531" i="1"/>
  <c r="M4531" i="1"/>
  <c r="A4532" i="1"/>
  <c r="B4532" i="1"/>
  <c r="C4532" i="1"/>
  <c r="M4532" i="1"/>
  <c r="A4533" i="1"/>
  <c r="B4533" i="1"/>
  <c r="C4533" i="1"/>
  <c r="M4533" i="1"/>
  <c r="A4534" i="1"/>
  <c r="B4534" i="1"/>
  <c r="C4534" i="1"/>
  <c r="M4534" i="1"/>
  <c r="A4535" i="1"/>
  <c r="B4535" i="1"/>
  <c r="C4535" i="1"/>
  <c r="M4535" i="1"/>
  <c r="A4536" i="1"/>
  <c r="B4536" i="1"/>
  <c r="C4536" i="1"/>
  <c r="M4536" i="1"/>
  <c r="A4537" i="1"/>
  <c r="B4537" i="1"/>
  <c r="C4537" i="1"/>
  <c r="M4537" i="1"/>
  <c r="A4538" i="1"/>
  <c r="B4538" i="1"/>
  <c r="C4538" i="1"/>
  <c r="M4538" i="1"/>
  <c r="A4539" i="1"/>
  <c r="B4539" i="1"/>
  <c r="C4539" i="1"/>
  <c r="M4539" i="1"/>
  <c r="A4540" i="1"/>
  <c r="B4540" i="1"/>
  <c r="C4540" i="1"/>
  <c r="M4540" i="1"/>
  <c r="A4541" i="1"/>
  <c r="B4541" i="1"/>
  <c r="C4541" i="1"/>
  <c r="M4541" i="1"/>
  <c r="A4542" i="1"/>
  <c r="B4542" i="1"/>
  <c r="C4542" i="1"/>
  <c r="M4542" i="1"/>
  <c r="A4543" i="1"/>
  <c r="B4543" i="1"/>
  <c r="C4543" i="1"/>
  <c r="M4543" i="1"/>
  <c r="A4544" i="1"/>
  <c r="B4544" i="1"/>
  <c r="C4544" i="1"/>
  <c r="M4544" i="1"/>
  <c r="A4545" i="1"/>
  <c r="B4545" i="1"/>
  <c r="C4545" i="1"/>
  <c r="M4545" i="1"/>
  <c r="A4546" i="1"/>
  <c r="B4546" i="1"/>
  <c r="C4546" i="1"/>
  <c r="M4546" i="1"/>
  <c r="A4547" i="1"/>
  <c r="B4547" i="1"/>
  <c r="C4547" i="1"/>
  <c r="M4547" i="1"/>
  <c r="A4548" i="1"/>
  <c r="B4548" i="1"/>
  <c r="C4548" i="1"/>
  <c r="M4548" i="1"/>
  <c r="A4549" i="1"/>
  <c r="B4549" i="1"/>
  <c r="C4549" i="1"/>
  <c r="M4549" i="1"/>
  <c r="A4550" i="1"/>
  <c r="B4550" i="1"/>
  <c r="C4550" i="1"/>
  <c r="M4550" i="1"/>
  <c r="A4551" i="1"/>
  <c r="B4551" i="1"/>
  <c r="C4551" i="1"/>
  <c r="M4551" i="1"/>
  <c r="A4552" i="1"/>
  <c r="B4552" i="1"/>
  <c r="C4552" i="1"/>
  <c r="M4552" i="1"/>
  <c r="A4553" i="1"/>
  <c r="B4553" i="1"/>
  <c r="C4553" i="1"/>
  <c r="M4553" i="1"/>
  <c r="A4554" i="1"/>
  <c r="B4554" i="1"/>
  <c r="C4554" i="1"/>
  <c r="M4554" i="1"/>
  <c r="A4555" i="1"/>
  <c r="B4555" i="1"/>
  <c r="C4555" i="1"/>
  <c r="M4555" i="1"/>
  <c r="A4556" i="1"/>
  <c r="B4556" i="1"/>
  <c r="C4556" i="1"/>
  <c r="M4556" i="1"/>
  <c r="A4557" i="1"/>
  <c r="B4557" i="1"/>
  <c r="C4557" i="1"/>
  <c r="M4557" i="1"/>
  <c r="A4558" i="1"/>
  <c r="B4558" i="1"/>
  <c r="C4558" i="1"/>
  <c r="M4558" i="1"/>
  <c r="A4559" i="1"/>
  <c r="B4559" i="1"/>
  <c r="C4559" i="1"/>
  <c r="M4559" i="1"/>
  <c r="A4560" i="1"/>
  <c r="B4560" i="1"/>
  <c r="C4560" i="1"/>
  <c r="M4560" i="1"/>
  <c r="A4561" i="1"/>
  <c r="B4561" i="1"/>
  <c r="C4561" i="1"/>
  <c r="M4561" i="1"/>
  <c r="A4562" i="1"/>
  <c r="B4562" i="1"/>
  <c r="C4562" i="1"/>
  <c r="M4562" i="1"/>
  <c r="A4563" i="1"/>
  <c r="B4563" i="1"/>
  <c r="C4563" i="1"/>
  <c r="M4563" i="1"/>
  <c r="A4564" i="1"/>
  <c r="B4564" i="1"/>
  <c r="C4564" i="1"/>
  <c r="M4564" i="1"/>
  <c r="A4565" i="1"/>
  <c r="B4565" i="1"/>
  <c r="C4565" i="1"/>
  <c r="M4565" i="1"/>
  <c r="A4566" i="1"/>
  <c r="B4566" i="1"/>
  <c r="C4566" i="1"/>
  <c r="M4566" i="1"/>
  <c r="A4567" i="1"/>
  <c r="B4567" i="1"/>
  <c r="C4567" i="1"/>
  <c r="M4567" i="1"/>
  <c r="A4568" i="1"/>
  <c r="B4568" i="1"/>
  <c r="C4568" i="1"/>
  <c r="M4568" i="1"/>
  <c r="A4569" i="1"/>
  <c r="B4569" i="1"/>
  <c r="C4569" i="1"/>
  <c r="M4569" i="1"/>
  <c r="A4570" i="1"/>
  <c r="B4570" i="1"/>
  <c r="C4570" i="1"/>
  <c r="M4570" i="1"/>
  <c r="A4571" i="1"/>
  <c r="B4571" i="1"/>
  <c r="C4571" i="1"/>
  <c r="M4571" i="1"/>
  <c r="A4572" i="1"/>
  <c r="B4572" i="1"/>
  <c r="C4572" i="1"/>
  <c r="M4572" i="1"/>
  <c r="A4573" i="1"/>
  <c r="B4573" i="1"/>
  <c r="C4573" i="1"/>
  <c r="M4573" i="1"/>
  <c r="A4574" i="1"/>
  <c r="B4574" i="1"/>
  <c r="C4574" i="1"/>
  <c r="M4574" i="1"/>
  <c r="A4575" i="1"/>
  <c r="B4575" i="1"/>
  <c r="C4575" i="1"/>
  <c r="M4575" i="1"/>
  <c r="A4576" i="1"/>
  <c r="B4576" i="1"/>
  <c r="C4576" i="1"/>
  <c r="M4576" i="1"/>
  <c r="A4577" i="1"/>
  <c r="B4577" i="1"/>
  <c r="C4577" i="1"/>
  <c r="M4577" i="1"/>
  <c r="A4578" i="1"/>
  <c r="B4578" i="1"/>
  <c r="C4578" i="1"/>
  <c r="M4578" i="1"/>
  <c r="A4579" i="1"/>
  <c r="B4579" i="1"/>
  <c r="C4579" i="1"/>
  <c r="M4579" i="1"/>
  <c r="A4580" i="1"/>
  <c r="B4580" i="1"/>
  <c r="C4580" i="1"/>
  <c r="M4580" i="1"/>
  <c r="A4581" i="1"/>
  <c r="B4581" i="1"/>
  <c r="C4581" i="1"/>
  <c r="M4581" i="1"/>
  <c r="A4582" i="1"/>
  <c r="B4582" i="1"/>
  <c r="C4582" i="1"/>
  <c r="M4582" i="1"/>
  <c r="A4583" i="1"/>
  <c r="B4583" i="1"/>
  <c r="C4583" i="1"/>
  <c r="M4583" i="1"/>
  <c r="A4584" i="1"/>
  <c r="B4584" i="1"/>
  <c r="C4584" i="1"/>
  <c r="M4584" i="1"/>
  <c r="A4585" i="1"/>
  <c r="B4585" i="1"/>
  <c r="C4585" i="1"/>
  <c r="M4585" i="1"/>
  <c r="A4586" i="1"/>
  <c r="B4586" i="1"/>
  <c r="C4586" i="1"/>
  <c r="M4586" i="1"/>
  <c r="A4587" i="1"/>
  <c r="B4587" i="1"/>
  <c r="C4587" i="1"/>
  <c r="M4587" i="1"/>
  <c r="A4588" i="1"/>
  <c r="B4588" i="1"/>
  <c r="C4588" i="1"/>
  <c r="M4588" i="1"/>
  <c r="A4589" i="1"/>
  <c r="B4589" i="1"/>
  <c r="C4589" i="1"/>
  <c r="M4589" i="1"/>
  <c r="A4590" i="1"/>
  <c r="B4590" i="1"/>
  <c r="C4590" i="1"/>
  <c r="M4590" i="1"/>
  <c r="A4591" i="1"/>
  <c r="B4591" i="1"/>
  <c r="C4591" i="1"/>
  <c r="M4591" i="1"/>
  <c r="A4592" i="1"/>
  <c r="B4592" i="1"/>
  <c r="C4592" i="1"/>
  <c r="M4592" i="1"/>
  <c r="A4593" i="1"/>
  <c r="B4593" i="1"/>
  <c r="C4593" i="1"/>
  <c r="M4593" i="1"/>
  <c r="A4594" i="1"/>
  <c r="B4594" i="1"/>
  <c r="C4594" i="1"/>
  <c r="M4594" i="1"/>
  <c r="A4595" i="1"/>
  <c r="B4595" i="1"/>
  <c r="C4595" i="1"/>
  <c r="M4595" i="1"/>
  <c r="A4596" i="1"/>
  <c r="B4596" i="1"/>
  <c r="C4596" i="1"/>
  <c r="M4596" i="1"/>
  <c r="A4597" i="1"/>
  <c r="B4597" i="1"/>
  <c r="C4597" i="1"/>
  <c r="M4597" i="1"/>
  <c r="A4598" i="1"/>
  <c r="B4598" i="1"/>
  <c r="C4598" i="1"/>
  <c r="M4598" i="1"/>
  <c r="A4599" i="1"/>
  <c r="B4599" i="1"/>
  <c r="C4599" i="1"/>
  <c r="M4599" i="1"/>
  <c r="A4600" i="1"/>
  <c r="B4600" i="1"/>
  <c r="C4600" i="1"/>
  <c r="M4600" i="1"/>
  <c r="A4601" i="1"/>
  <c r="B4601" i="1"/>
  <c r="C4601" i="1"/>
  <c r="M4601" i="1"/>
  <c r="A4602" i="1"/>
  <c r="B4602" i="1"/>
  <c r="C4602" i="1"/>
  <c r="M4602" i="1"/>
  <c r="A4603" i="1"/>
  <c r="B4603" i="1"/>
  <c r="C4603" i="1"/>
  <c r="M4603" i="1"/>
  <c r="A4604" i="1"/>
  <c r="B4604" i="1"/>
  <c r="C4604" i="1"/>
  <c r="M4604" i="1"/>
  <c r="A4605" i="1"/>
  <c r="B4605" i="1"/>
  <c r="C4605" i="1"/>
  <c r="M4605" i="1"/>
  <c r="A4606" i="1"/>
  <c r="B4606" i="1"/>
  <c r="C4606" i="1"/>
  <c r="M4606" i="1"/>
  <c r="A4607" i="1"/>
  <c r="B4607" i="1"/>
  <c r="C4607" i="1"/>
  <c r="M4607" i="1"/>
  <c r="A4608" i="1"/>
  <c r="B4608" i="1"/>
  <c r="C4608" i="1"/>
  <c r="M4608" i="1"/>
  <c r="A4609" i="1"/>
  <c r="B4609" i="1"/>
  <c r="C4609" i="1"/>
  <c r="M4609" i="1"/>
  <c r="A4610" i="1"/>
  <c r="B4610" i="1"/>
  <c r="C4610" i="1"/>
  <c r="M4610" i="1"/>
  <c r="A4611" i="1"/>
  <c r="B4611" i="1"/>
  <c r="C4611" i="1"/>
  <c r="M4611" i="1"/>
  <c r="A4612" i="1"/>
  <c r="B4612" i="1"/>
  <c r="C4612" i="1"/>
  <c r="M4612" i="1"/>
  <c r="A4613" i="1"/>
  <c r="B4613" i="1"/>
  <c r="C4613" i="1"/>
  <c r="M4613" i="1"/>
  <c r="A4614" i="1"/>
  <c r="B4614" i="1"/>
  <c r="C4614" i="1"/>
  <c r="M4614" i="1"/>
  <c r="A4615" i="1"/>
  <c r="B4615" i="1"/>
  <c r="C4615" i="1"/>
  <c r="M4615" i="1"/>
  <c r="A4616" i="1"/>
  <c r="B4616" i="1"/>
  <c r="C4616" i="1"/>
  <c r="M4616" i="1"/>
  <c r="A4617" i="1"/>
  <c r="B4617" i="1"/>
  <c r="C4617" i="1"/>
  <c r="M4617" i="1"/>
  <c r="A4618" i="1"/>
  <c r="B4618" i="1"/>
  <c r="C4618" i="1"/>
  <c r="M4618" i="1"/>
  <c r="A4619" i="1"/>
  <c r="B4619" i="1"/>
  <c r="C4619" i="1"/>
  <c r="M4619" i="1"/>
  <c r="A4620" i="1"/>
  <c r="B4620" i="1"/>
  <c r="C4620" i="1"/>
  <c r="M4620" i="1"/>
  <c r="A4621" i="1"/>
  <c r="B4621" i="1"/>
  <c r="C4621" i="1"/>
  <c r="M4621" i="1"/>
  <c r="A4622" i="1"/>
  <c r="B4622" i="1"/>
  <c r="C4622" i="1"/>
  <c r="M4622" i="1"/>
  <c r="A4623" i="1"/>
  <c r="B4623" i="1"/>
  <c r="C4623" i="1"/>
  <c r="M4623" i="1"/>
  <c r="A4624" i="1"/>
  <c r="B4624" i="1"/>
  <c r="C4624" i="1"/>
  <c r="M4624" i="1"/>
  <c r="A4625" i="1"/>
  <c r="B4625" i="1"/>
  <c r="C4625" i="1"/>
  <c r="M4625" i="1"/>
  <c r="A4626" i="1"/>
  <c r="B4626" i="1"/>
  <c r="C4626" i="1"/>
  <c r="M4626" i="1"/>
  <c r="A4627" i="1"/>
  <c r="B4627" i="1"/>
  <c r="C4627" i="1"/>
  <c r="M4627" i="1"/>
  <c r="A4628" i="1"/>
  <c r="B4628" i="1"/>
  <c r="C4628" i="1"/>
  <c r="M4628" i="1"/>
  <c r="A4629" i="1"/>
  <c r="B4629" i="1"/>
  <c r="C4629" i="1"/>
  <c r="M4629" i="1"/>
  <c r="A4630" i="1"/>
  <c r="B4630" i="1"/>
  <c r="C4630" i="1"/>
  <c r="M4630" i="1"/>
  <c r="A4631" i="1"/>
  <c r="B4631" i="1"/>
  <c r="C4631" i="1"/>
  <c r="M4631" i="1"/>
  <c r="A4632" i="1"/>
  <c r="B4632" i="1"/>
  <c r="C4632" i="1"/>
  <c r="M4632" i="1"/>
  <c r="A4633" i="1"/>
  <c r="B4633" i="1"/>
  <c r="C4633" i="1"/>
  <c r="M4633" i="1"/>
  <c r="A4634" i="1"/>
  <c r="B4634" i="1"/>
  <c r="C4634" i="1"/>
  <c r="M4634" i="1"/>
  <c r="A4635" i="1"/>
  <c r="B4635" i="1"/>
  <c r="C4635" i="1"/>
  <c r="M4635" i="1"/>
  <c r="A4636" i="1"/>
  <c r="B4636" i="1"/>
  <c r="C4636" i="1"/>
  <c r="M4636" i="1"/>
  <c r="A4637" i="1"/>
  <c r="B4637" i="1"/>
  <c r="C4637" i="1"/>
  <c r="M4637" i="1"/>
  <c r="A4638" i="1"/>
  <c r="B4638" i="1"/>
  <c r="C4638" i="1"/>
  <c r="M4638" i="1"/>
  <c r="A4639" i="1"/>
  <c r="B4639" i="1"/>
  <c r="C4639" i="1"/>
  <c r="M4639" i="1"/>
  <c r="A4640" i="1"/>
  <c r="B4640" i="1"/>
  <c r="C4640" i="1"/>
  <c r="M4640" i="1"/>
  <c r="A4641" i="1"/>
  <c r="B4641" i="1"/>
  <c r="C4641" i="1"/>
  <c r="M4641" i="1"/>
  <c r="A4642" i="1"/>
  <c r="B4642" i="1"/>
  <c r="C4642" i="1"/>
  <c r="M4642" i="1"/>
  <c r="A4643" i="1"/>
  <c r="B4643" i="1"/>
  <c r="C4643" i="1"/>
  <c r="M4643" i="1"/>
  <c r="A4644" i="1"/>
  <c r="B4644" i="1"/>
  <c r="C4644" i="1"/>
  <c r="M4644" i="1"/>
  <c r="A4645" i="1"/>
  <c r="B4645" i="1"/>
  <c r="C4645" i="1"/>
  <c r="M4645" i="1"/>
  <c r="A4646" i="1"/>
  <c r="B4646" i="1"/>
  <c r="C4646" i="1"/>
  <c r="M4646" i="1"/>
  <c r="A4647" i="1"/>
  <c r="B4647" i="1"/>
  <c r="C4647" i="1"/>
  <c r="M4647" i="1"/>
  <c r="A4648" i="1"/>
  <c r="B4648" i="1"/>
  <c r="C4648" i="1"/>
  <c r="M4648" i="1"/>
  <c r="A4649" i="1"/>
  <c r="B4649" i="1"/>
  <c r="C4649" i="1"/>
  <c r="M4649" i="1"/>
  <c r="A4650" i="1"/>
  <c r="B4650" i="1"/>
  <c r="C4650" i="1"/>
  <c r="M4650" i="1"/>
  <c r="A4651" i="1"/>
  <c r="B4651" i="1"/>
  <c r="C4651" i="1"/>
  <c r="M4651" i="1"/>
  <c r="A4652" i="1"/>
  <c r="B4652" i="1"/>
  <c r="C4652" i="1"/>
  <c r="M4652" i="1"/>
  <c r="A4653" i="1"/>
  <c r="B4653" i="1"/>
  <c r="C4653" i="1"/>
  <c r="M4653" i="1"/>
  <c r="A4654" i="1"/>
  <c r="B4654" i="1"/>
  <c r="C4654" i="1"/>
  <c r="M4654" i="1"/>
  <c r="A4655" i="1"/>
  <c r="B4655" i="1"/>
  <c r="C4655" i="1"/>
  <c r="M4655" i="1"/>
  <c r="A4656" i="1"/>
  <c r="B4656" i="1"/>
  <c r="C4656" i="1"/>
  <c r="M4656" i="1"/>
  <c r="A4657" i="1"/>
  <c r="B4657" i="1"/>
  <c r="C4657" i="1"/>
  <c r="M4657" i="1"/>
  <c r="A4658" i="1"/>
  <c r="B4658" i="1"/>
  <c r="C4658" i="1"/>
  <c r="M4658" i="1"/>
  <c r="A4659" i="1"/>
  <c r="B4659" i="1"/>
  <c r="C4659" i="1"/>
  <c r="M4659" i="1"/>
  <c r="A4660" i="1"/>
  <c r="B4660" i="1"/>
  <c r="C4660" i="1"/>
  <c r="M4660" i="1"/>
  <c r="A4661" i="1"/>
  <c r="B4661" i="1"/>
  <c r="C4661" i="1"/>
  <c r="M4661" i="1"/>
  <c r="A4662" i="1"/>
  <c r="B4662" i="1"/>
  <c r="C4662" i="1"/>
  <c r="M4662" i="1"/>
  <c r="A4663" i="1"/>
  <c r="B4663" i="1"/>
  <c r="C4663" i="1"/>
  <c r="M4663" i="1"/>
  <c r="A4664" i="1"/>
  <c r="B4664" i="1"/>
  <c r="C4664" i="1"/>
  <c r="M4664" i="1"/>
  <c r="A4665" i="1"/>
  <c r="B4665" i="1"/>
  <c r="C4665" i="1"/>
  <c r="M4665" i="1"/>
  <c r="A4666" i="1"/>
  <c r="B4666" i="1"/>
  <c r="C4666" i="1"/>
  <c r="M4666" i="1"/>
  <c r="A4667" i="1"/>
  <c r="B4667" i="1"/>
  <c r="C4667" i="1"/>
  <c r="M4667" i="1"/>
  <c r="A4668" i="1"/>
  <c r="B4668" i="1"/>
  <c r="C4668" i="1"/>
  <c r="M4668" i="1"/>
  <c r="A4669" i="1"/>
  <c r="B4669" i="1"/>
  <c r="C4669" i="1"/>
  <c r="M4669" i="1"/>
  <c r="A4670" i="1"/>
  <c r="B4670" i="1"/>
  <c r="C4670" i="1"/>
  <c r="M4670" i="1"/>
  <c r="A4671" i="1"/>
  <c r="B4671" i="1"/>
  <c r="C4671" i="1"/>
  <c r="M4671" i="1"/>
  <c r="A4672" i="1"/>
  <c r="B4672" i="1"/>
  <c r="C4672" i="1"/>
  <c r="M4672" i="1"/>
  <c r="A4673" i="1"/>
  <c r="B4673" i="1"/>
  <c r="C4673" i="1"/>
  <c r="M4673" i="1"/>
  <c r="A4674" i="1"/>
  <c r="B4674" i="1"/>
  <c r="C4674" i="1"/>
  <c r="M4674" i="1"/>
  <c r="A4675" i="1"/>
  <c r="B4675" i="1"/>
  <c r="C4675" i="1"/>
  <c r="M4675" i="1"/>
  <c r="A4676" i="1"/>
  <c r="B4676" i="1"/>
  <c r="C4676" i="1"/>
  <c r="M4676" i="1"/>
  <c r="A4677" i="1"/>
  <c r="B4677" i="1"/>
  <c r="C4677" i="1"/>
  <c r="M4677" i="1"/>
  <c r="A4678" i="1"/>
  <c r="B4678" i="1"/>
  <c r="C4678" i="1"/>
  <c r="M4678" i="1"/>
  <c r="A4679" i="1"/>
  <c r="B4679" i="1"/>
  <c r="C4679" i="1"/>
  <c r="M4679" i="1"/>
  <c r="A4680" i="1"/>
  <c r="B4680" i="1"/>
  <c r="C4680" i="1"/>
  <c r="M4680" i="1"/>
  <c r="A4681" i="1"/>
  <c r="B4681" i="1"/>
  <c r="C4681" i="1"/>
  <c r="M4681" i="1"/>
  <c r="A4682" i="1"/>
  <c r="B4682" i="1"/>
  <c r="C4682" i="1"/>
  <c r="M4682" i="1"/>
  <c r="A4683" i="1"/>
  <c r="B4683" i="1"/>
  <c r="C4683" i="1"/>
  <c r="M4683" i="1"/>
  <c r="A4684" i="1"/>
  <c r="B4684" i="1"/>
  <c r="C4684" i="1"/>
  <c r="M4684" i="1"/>
  <c r="A4685" i="1"/>
  <c r="B4685" i="1"/>
  <c r="C4685" i="1"/>
  <c r="M4685" i="1"/>
  <c r="A4686" i="1"/>
  <c r="B4686" i="1"/>
  <c r="C4686" i="1"/>
  <c r="M4686" i="1"/>
  <c r="A4687" i="1"/>
  <c r="B4687" i="1"/>
  <c r="C4687" i="1"/>
  <c r="M4687" i="1"/>
  <c r="A4688" i="1"/>
  <c r="B4688" i="1"/>
  <c r="C4688" i="1"/>
  <c r="M4688" i="1"/>
  <c r="A4689" i="1"/>
  <c r="B4689" i="1"/>
  <c r="C4689" i="1"/>
  <c r="M4689" i="1"/>
  <c r="A4690" i="1"/>
  <c r="B4690" i="1"/>
  <c r="C4690" i="1"/>
  <c r="M4690" i="1"/>
  <c r="A4691" i="1"/>
  <c r="B4691" i="1"/>
  <c r="C4691" i="1"/>
  <c r="M4691" i="1"/>
  <c r="A4692" i="1"/>
  <c r="B4692" i="1"/>
  <c r="C4692" i="1"/>
  <c r="M4692" i="1"/>
  <c r="A4693" i="1"/>
  <c r="B4693" i="1"/>
  <c r="C4693" i="1"/>
  <c r="M4693" i="1"/>
  <c r="A4694" i="1"/>
  <c r="B4694" i="1"/>
  <c r="C4694" i="1"/>
  <c r="M4694" i="1"/>
  <c r="A4695" i="1"/>
  <c r="B4695" i="1"/>
  <c r="C4695" i="1"/>
  <c r="M4695" i="1"/>
  <c r="A4696" i="1"/>
  <c r="B4696" i="1"/>
  <c r="C4696" i="1"/>
  <c r="M4696" i="1"/>
  <c r="A4697" i="1"/>
  <c r="B4697" i="1"/>
  <c r="C4697" i="1"/>
  <c r="M4697" i="1"/>
  <c r="A4698" i="1"/>
  <c r="B4698" i="1"/>
  <c r="C4698" i="1"/>
  <c r="M4698" i="1"/>
  <c r="A4699" i="1"/>
  <c r="B4699" i="1"/>
  <c r="C4699" i="1"/>
  <c r="M4699" i="1"/>
  <c r="A4700" i="1"/>
  <c r="B4700" i="1"/>
  <c r="C4700" i="1"/>
  <c r="M4700" i="1"/>
  <c r="A4701" i="1"/>
  <c r="B4701" i="1"/>
  <c r="C4701" i="1"/>
  <c r="M4701" i="1"/>
  <c r="A4702" i="1"/>
  <c r="B4702" i="1"/>
  <c r="C4702" i="1"/>
  <c r="M4702" i="1"/>
  <c r="A4703" i="1"/>
  <c r="B4703" i="1"/>
  <c r="C4703" i="1"/>
  <c r="M4703" i="1"/>
  <c r="A4704" i="1"/>
  <c r="B4704" i="1"/>
  <c r="C4704" i="1"/>
  <c r="M4704" i="1"/>
  <c r="A4705" i="1"/>
  <c r="B4705" i="1"/>
  <c r="C4705" i="1"/>
  <c r="M4705" i="1"/>
  <c r="A4706" i="1"/>
  <c r="B4706" i="1"/>
  <c r="C4706" i="1"/>
  <c r="M4706" i="1"/>
  <c r="A4707" i="1"/>
  <c r="B4707" i="1"/>
  <c r="C4707" i="1"/>
  <c r="M4707" i="1"/>
  <c r="A4708" i="1"/>
  <c r="B4708" i="1"/>
  <c r="C4708" i="1"/>
  <c r="M4708" i="1"/>
  <c r="A4709" i="1"/>
  <c r="B4709" i="1"/>
  <c r="C4709" i="1"/>
  <c r="M4709" i="1"/>
  <c r="A4710" i="1"/>
  <c r="B4710" i="1"/>
  <c r="C4710" i="1"/>
  <c r="M4710" i="1"/>
  <c r="A4711" i="1"/>
  <c r="B4711" i="1"/>
  <c r="C4711" i="1"/>
  <c r="M4711" i="1"/>
  <c r="A4712" i="1"/>
  <c r="B4712" i="1"/>
  <c r="C4712" i="1"/>
  <c r="M4712" i="1"/>
  <c r="A4713" i="1"/>
  <c r="B4713" i="1"/>
  <c r="C4713" i="1"/>
  <c r="M4713" i="1"/>
  <c r="A4714" i="1"/>
  <c r="B4714" i="1"/>
  <c r="C4714" i="1"/>
  <c r="M4714" i="1"/>
  <c r="A4715" i="1"/>
  <c r="B4715" i="1"/>
  <c r="C4715" i="1"/>
  <c r="M4715" i="1"/>
  <c r="A4716" i="1"/>
  <c r="B4716" i="1"/>
  <c r="C4716" i="1"/>
  <c r="M4716" i="1"/>
  <c r="A4717" i="1"/>
  <c r="B4717" i="1"/>
  <c r="C4717" i="1"/>
  <c r="M4717" i="1"/>
  <c r="A4718" i="1"/>
  <c r="B4718" i="1"/>
  <c r="C4718" i="1"/>
  <c r="M4718" i="1"/>
  <c r="A4719" i="1"/>
  <c r="B4719" i="1"/>
  <c r="C4719" i="1"/>
  <c r="M4719" i="1"/>
  <c r="A4720" i="1"/>
  <c r="B4720" i="1"/>
  <c r="C4720" i="1"/>
  <c r="M4720" i="1"/>
  <c r="A4721" i="1"/>
  <c r="B4721" i="1"/>
  <c r="C4721" i="1"/>
  <c r="M4721" i="1"/>
  <c r="A4722" i="1"/>
  <c r="B4722" i="1"/>
  <c r="C4722" i="1"/>
  <c r="M4722" i="1"/>
  <c r="A4723" i="1"/>
  <c r="B4723" i="1"/>
  <c r="C4723" i="1"/>
  <c r="M4723" i="1"/>
  <c r="A4724" i="1"/>
  <c r="B4724" i="1"/>
  <c r="C4724" i="1"/>
  <c r="M4724" i="1"/>
  <c r="A4725" i="1"/>
  <c r="B4725" i="1"/>
  <c r="C4725" i="1"/>
  <c r="M4725" i="1"/>
  <c r="A4726" i="1"/>
  <c r="B4726" i="1"/>
  <c r="C4726" i="1"/>
  <c r="M4726" i="1"/>
  <c r="A4727" i="1"/>
  <c r="B4727" i="1"/>
  <c r="C4727" i="1"/>
  <c r="M4727" i="1"/>
  <c r="A4728" i="1"/>
  <c r="B4728" i="1"/>
  <c r="C4728" i="1"/>
  <c r="M4728" i="1"/>
  <c r="A4729" i="1"/>
  <c r="B4729" i="1"/>
  <c r="C4729" i="1"/>
  <c r="M4729" i="1"/>
  <c r="A4730" i="1"/>
  <c r="B4730" i="1"/>
  <c r="C4730" i="1"/>
  <c r="M4730" i="1"/>
  <c r="A4731" i="1"/>
  <c r="B4731" i="1"/>
  <c r="C4731" i="1"/>
  <c r="M4731" i="1"/>
  <c r="A4732" i="1"/>
  <c r="B4732" i="1"/>
  <c r="C4732" i="1"/>
  <c r="M4732" i="1"/>
  <c r="A4733" i="1"/>
  <c r="B4733" i="1"/>
  <c r="C4733" i="1"/>
  <c r="M4733" i="1"/>
  <c r="A4734" i="1"/>
  <c r="B4734" i="1"/>
  <c r="C4734" i="1"/>
  <c r="M4734" i="1"/>
  <c r="A4735" i="1"/>
  <c r="B4735" i="1"/>
  <c r="C4735" i="1"/>
  <c r="M4735" i="1"/>
  <c r="A4736" i="1"/>
  <c r="B4736" i="1"/>
  <c r="C4736" i="1"/>
  <c r="M4736" i="1"/>
  <c r="A4737" i="1"/>
  <c r="B4737" i="1"/>
  <c r="C4737" i="1"/>
  <c r="M4737" i="1"/>
  <c r="A4738" i="1"/>
  <c r="B4738" i="1"/>
  <c r="C4738" i="1"/>
  <c r="M4738" i="1"/>
  <c r="A4739" i="1"/>
  <c r="B4739" i="1"/>
  <c r="C4739" i="1"/>
  <c r="M4739" i="1"/>
  <c r="A4740" i="1"/>
  <c r="B4740" i="1"/>
  <c r="C4740" i="1"/>
  <c r="M4740" i="1"/>
  <c r="A4741" i="1"/>
  <c r="B4741" i="1"/>
  <c r="C4741" i="1"/>
  <c r="M4741" i="1"/>
  <c r="A4742" i="1"/>
  <c r="B4742" i="1"/>
  <c r="C4742" i="1"/>
  <c r="M4742" i="1"/>
  <c r="A4743" i="1"/>
  <c r="B4743" i="1"/>
  <c r="C4743" i="1"/>
  <c r="M4743" i="1"/>
  <c r="A4744" i="1"/>
  <c r="B4744" i="1"/>
  <c r="C4744" i="1"/>
  <c r="M4744" i="1"/>
  <c r="A4745" i="1"/>
  <c r="B4745" i="1"/>
  <c r="C4745" i="1"/>
  <c r="M4745" i="1"/>
  <c r="A4746" i="1"/>
  <c r="B4746" i="1"/>
  <c r="C4746" i="1"/>
  <c r="M4746" i="1"/>
  <c r="A4747" i="1"/>
  <c r="B4747" i="1"/>
  <c r="C4747" i="1"/>
  <c r="M4747" i="1"/>
  <c r="A4748" i="1"/>
  <c r="B4748" i="1"/>
  <c r="C4748" i="1"/>
  <c r="M4748" i="1"/>
  <c r="A4749" i="1"/>
  <c r="B4749" i="1"/>
  <c r="C4749" i="1"/>
  <c r="M4749" i="1"/>
  <c r="A4750" i="1"/>
  <c r="B4750" i="1"/>
  <c r="C4750" i="1"/>
  <c r="M4750" i="1"/>
  <c r="A4751" i="1"/>
  <c r="B4751" i="1"/>
  <c r="C4751" i="1"/>
  <c r="M4751" i="1"/>
  <c r="A4752" i="1"/>
  <c r="B4752" i="1"/>
  <c r="C4752" i="1"/>
  <c r="M4752" i="1"/>
  <c r="A4753" i="1"/>
  <c r="B4753" i="1"/>
  <c r="C4753" i="1"/>
  <c r="M4753" i="1"/>
  <c r="A4754" i="1"/>
  <c r="B4754" i="1"/>
  <c r="C4754" i="1"/>
  <c r="M4754" i="1"/>
  <c r="A4755" i="1"/>
  <c r="B4755" i="1"/>
  <c r="C4755" i="1"/>
  <c r="M4755" i="1"/>
  <c r="A4756" i="1"/>
  <c r="B4756" i="1"/>
  <c r="C4756" i="1"/>
  <c r="M4756" i="1"/>
  <c r="A4757" i="1"/>
  <c r="B4757" i="1"/>
  <c r="C4757" i="1"/>
  <c r="M4757" i="1"/>
  <c r="A4758" i="1"/>
  <c r="B4758" i="1"/>
  <c r="C4758" i="1"/>
  <c r="M4758" i="1"/>
  <c r="A4759" i="1"/>
  <c r="B4759" i="1"/>
  <c r="C4759" i="1"/>
  <c r="M4759" i="1"/>
  <c r="A4760" i="1"/>
  <c r="B4760" i="1"/>
  <c r="C4760" i="1"/>
  <c r="M4760" i="1"/>
  <c r="A4761" i="1"/>
  <c r="B4761" i="1"/>
  <c r="C4761" i="1"/>
  <c r="M4761" i="1"/>
  <c r="A4762" i="1"/>
  <c r="B4762" i="1"/>
  <c r="C4762" i="1"/>
  <c r="M4762" i="1"/>
  <c r="A4763" i="1"/>
  <c r="B4763" i="1"/>
  <c r="C4763" i="1"/>
  <c r="M4763" i="1"/>
  <c r="A4764" i="1"/>
  <c r="B4764" i="1"/>
  <c r="C4764" i="1"/>
  <c r="M4764" i="1"/>
  <c r="A4765" i="1"/>
  <c r="B4765" i="1"/>
  <c r="C4765" i="1"/>
  <c r="M4765" i="1"/>
  <c r="A4766" i="1"/>
  <c r="B4766" i="1"/>
  <c r="C4766" i="1"/>
  <c r="M4766" i="1"/>
  <c r="A4767" i="1"/>
  <c r="B4767" i="1"/>
  <c r="C4767" i="1"/>
  <c r="M4767" i="1"/>
  <c r="A4768" i="1"/>
  <c r="B4768" i="1"/>
  <c r="C4768" i="1"/>
  <c r="M4768" i="1"/>
  <c r="A4769" i="1"/>
  <c r="B4769" i="1"/>
  <c r="C4769" i="1"/>
  <c r="M4769" i="1"/>
  <c r="A4770" i="1"/>
  <c r="B4770" i="1"/>
  <c r="C4770" i="1"/>
  <c r="M4770" i="1"/>
  <c r="A4771" i="1"/>
  <c r="B4771" i="1"/>
  <c r="C4771" i="1"/>
  <c r="M4771" i="1"/>
  <c r="A4772" i="1"/>
  <c r="B4772" i="1"/>
  <c r="C4772" i="1"/>
  <c r="M4772" i="1"/>
  <c r="A4773" i="1"/>
  <c r="B4773" i="1"/>
  <c r="C4773" i="1"/>
  <c r="M4773" i="1"/>
  <c r="A4774" i="1"/>
  <c r="B4774" i="1"/>
  <c r="C4774" i="1"/>
  <c r="M4774" i="1"/>
  <c r="A4775" i="1"/>
  <c r="B4775" i="1"/>
  <c r="C4775" i="1"/>
  <c r="M4775" i="1"/>
  <c r="A4776" i="1"/>
  <c r="B4776" i="1"/>
  <c r="C4776" i="1"/>
  <c r="M4776" i="1"/>
  <c r="A4777" i="1"/>
  <c r="B4777" i="1"/>
  <c r="C4777" i="1"/>
  <c r="M4777" i="1"/>
  <c r="A4778" i="1"/>
  <c r="B4778" i="1"/>
  <c r="C4778" i="1"/>
  <c r="M4778" i="1"/>
  <c r="A4779" i="1"/>
  <c r="B4779" i="1"/>
  <c r="C4779" i="1"/>
  <c r="M4779" i="1"/>
  <c r="A4780" i="1"/>
  <c r="B4780" i="1"/>
  <c r="C4780" i="1"/>
  <c r="M4780" i="1"/>
  <c r="A4781" i="1"/>
  <c r="B4781" i="1"/>
  <c r="C4781" i="1"/>
  <c r="M4781" i="1"/>
  <c r="A4782" i="1"/>
  <c r="B4782" i="1"/>
  <c r="C4782" i="1"/>
  <c r="M4782" i="1"/>
  <c r="A4783" i="1"/>
  <c r="B4783" i="1"/>
  <c r="C4783" i="1"/>
  <c r="M4783" i="1"/>
  <c r="A4784" i="1"/>
  <c r="B4784" i="1"/>
  <c r="C4784" i="1"/>
  <c r="M4784" i="1"/>
  <c r="A4785" i="1"/>
  <c r="B4785" i="1"/>
  <c r="C4785" i="1"/>
  <c r="M4785" i="1"/>
  <c r="A4786" i="1"/>
  <c r="B4786" i="1"/>
  <c r="C4786" i="1"/>
  <c r="M4786" i="1"/>
  <c r="A4787" i="1"/>
  <c r="B4787" i="1"/>
  <c r="C4787" i="1"/>
  <c r="M4787" i="1"/>
  <c r="A4788" i="1"/>
  <c r="B4788" i="1"/>
  <c r="C4788" i="1"/>
  <c r="M4788" i="1"/>
  <c r="A4789" i="1"/>
  <c r="B4789" i="1"/>
  <c r="C4789" i="1"/>
  <c r="M4789" i="1"/>
  <c r="A4790" i="1"/>
  <c r="B4790" i="1"/>
  <c r="C4790" i="1"/>
  <c r="M4790" i="1"/>
  <c r="A4791" i="1"/>
  <c r="B4791" i="1"/>
  <c r="C4791" i="1"/>
  <c r="M4791" i="1"/>
  <c r="A4792" i="1"/>
  <c r="B4792" i="1"/>
  <c r="C4792" i="1"/>
  <c r="M4792" i="1"/>
  <c r="A4793" i="1"/>
  <c r="B4793" i="1"/>
  <c r="C4793" i="1"/>
  <c r="M4793" i="1"/>
  <c r="A4794" i="1"/>
  <c r="B4794" i="1"/>
  <c r="C4794" i="1"/>
  <c r="M4794" i="1"/>
  <c r="A4795" i="1"/>
  <c r="B4795" i="1"/>
  <c r="C4795" i="1"/>
  <c r="M4795" i="1"/>
  <c r="A4796" i="1"/>
  <c r="B4796" i="1"/>
  <c r="C4796" i="1"/>
  <c r="M4796" i="1"/>
  <c r="A4797" i="1"/>
  <c r="B4797" i="1"/>
  <c r="C4797" i="1"/>
  <c r="M4797" i="1"/>
  <c r="A4798" i="1"/>
  <c r="B4798" i="1"/>
  <c r="C4798" i="1"/>
  <c r="M4798" i="1"/>
  <c r="A4799" i="1"/>
  <c r="B4799" i="1"/>
  <c r="C4799" i="1"/>
  <c r="M4799" i="1"/>
  <c r="A4800" i="1"/>
  <c r="B4800" i="1"/>
  <c r="C4800" i="1"/>
  <c r="M4800" i="1"/>
  <c r="A4801" i="1"/>
  <c r="B4801" i="1"/>
  <c r="C4801" i="1"/>
  <c r="M4801" i="1"/>
  <c r="A4802" i="1"/>
  <c r="B4802" i="1"/>
  <c r="C4802" i="1"/>
  <c r="M4802" i="1"/>
  <c r="A4803" i="1"/>
  <c r="B4803" i="1"/>
  <c r="C4803" i="1"/>
  <c r="M4803" i="1"/>
  <c r="A4804" i="1"/>
  <c r="B4804" i="1"/>
  <c r="C4804" i="1"/>
  <c r="M4804" i="1"/>
  <c r="A4805" i="1"/>
  <c r="B4805" i="1"/>
  <c r="C4805" i="1"/>
  <c r="M4805" i="1"/>
  <c r="A4806" i="1"/>
  <c r="B4806" i="1"/>
  <c r="C4806" i="1"/>
  <c r="M4806" i="1"/>
  <c r="A4807" i="1"/>
  <c r="B4807" i="1"/>
  <c r="C4807" i="1"/>
  <c r="M4807" i="1"/>
  <c r="A4808" i="1"/>
  <c r="B4808" i="1"/>
  <c r="C4808" i="1"/>
  <c r="M4808" i="1"/>
  <c r="A4809" i="1"/>
  <c r="B4809" i="1"/>
  <c r="C4809" i="1"/>
  <c r="M4809" i="1"/>
  <c r="A4810" i="1"/>
  <c r="B4810" i="1"/>
  <c r="C4810" i="1"/>
  <c r="M4810" i="1"/>
  <c r="A4811" i="1"/>
  <c r="B4811" i="1"/>
  <c r="C4811" i="1"/>
  <c r="M4811" i="1"/>
  <c r="A4812" i="1"/>
  <c r="B4812" i="1"/>
  <c r="C4812" i="1"/>
  <c r="M4812" i="1"/>
  <c r="A4813" i="1"/>
  <c r="B4813" i="1"/>
  <c r="C4813" i="1"/>
  <c r="M4813" i="1"/>
  <c r="A4814" i="1"/>
  <c r="B4814" i="1"/>
  <c r="C4814" i="1"/>
  <c r="M4814" i="1"/>
  <c r="A4815" i="1"/>
  <c r="B4815" i="1"/>
  <c r="C4815" i="1"/>
  <c r="M4815" i="1"/>
  <c r="A4816" i="1"/>
  <c r="B4816" i="1"/>
  <c r="C4816" i="1"/>
  <c r="M4816" i="1"/>
  <c r="A4817" i="1"/>
  <c r="B4817" i="1"/>
  <c r="C4817" i="1"/>
  <c r="M4817" i="1"/>
  <c r="A4818" i="1"/>
  <c r="B4818" i="1"/>
  <c r="C4818" i="1"/>
  <c r="M4818" i="1"/>
  <c r="A4819" i="1"/>
  <c r="B4819" i="1"/>
  <c r="C4819" i="1"/>
  <c r="M4819" i="1"/>
  <c r="A4820" i="1"/>
  <c r="B4820" i="1"/>
  <c r="C4820" i="1"/>
  <c r="M4820" i="1"/>
  <c r="A4821" i="1"/>
  <c r="B4821" i="1"/>
  <c r="C4821" i="1"/>
  <c r="M4821" i="1"/>
  <c r="A4822" i="1"/>
  <c r="B4822" i="1"/>
  <c r="C4822" i="1"/>
  <c r="M4822" i="1"/>
  <c r="A4823" i="1"/>
  <c r="B4823" i="1"/>
  <c r="C4823" i="1"/>
  <c r="M4823" i="1"/>
  <c r="A4824" i="1"/>
  <c r="B4824" i="1"/>
  <c r="C4824" i="1"/>
  <c r="M4824" i="1"/>
  <c r="A4825" i="1"/>
  <c r="B4825" i="1"/>
  <c r="C4825" i="1"/>
  <c r="M4825" i="1"/>
  <c r="A4826" i="1"/>
  <c r="B4826" i="1"/>
  <c r="C4826" i="1"/>
  <c r="M4826" i="1"/>
  <c r="A4827" i="1"/>
  <c r="B4827" i="1"/>
  <c r="C4827" i="1"/>
  <c r="M4827" i="1"/>
  <c r="A4828" i="1"/>
  <c r="B4828" i="1"/>
  <c r="C4828" i="1"/>
  <c r="M4828" i="1"/>
  <c r="A4829" i="1"/>
  <c r="B4829" i="1"/>
  <c r="C4829" i="1"/>
  <c r="M4829" i="1"/>
  <c r="A4830" i="1"/>
  <c r="B4830" i="1"/>
  <c r="C4830" i="1"/>
  <c r="M4830" i="1"/>
  <c r="A4831" i="1"/>
  <c r="B4831" i="1"/>
  <c r="C4831" i="1"/>
  <c r="M4831" i="1"/>
  <c r="A4832" i="1"/>
  <c r="B4832" i="1"/>
  <c r="C4832" i="1"/>
  <c r="M4832" i="1"/>
  <c r="A4833" i="1"/>
  <c r="B4833" i="1"/>
  <c r="C4833" i="1"/>
  <c r="M4833" i="1"/>
  <c r="A4834" i="1"/>
  <c r="B4834" i="1"/>
  <c r="C4834" i="1"/>
  <c r="M4834" i="1"/>
  <c r="A4835" i="1"/>
  <c r="B4835" i="1"/>
  <c r="C4835" i="1"/>
  <c r="M4835" i="1"/>
  <c r="A4836" i="1"/>
  <c r="B4836" i="1"/>
  <c r="C4836" i="1"/>
  <c r="M4836" i="1"/>
  <c r="A4837" i="1"/>
  <c r="B4837" i="1"/>
  <c r="C4837" i="1"/>
  <c r="M4837" i="1"/>
  <c r="A4838" i="1"/>
  <c r="B4838" i="1"/>
  <c r="C4838" i="1"/>
  <c r="M4838" i="1"/>
  <c r="A4839" i="1"/>
  <c r="B4839" i="1"/>
  <c r="C4839" i="1"/>
  <c r="M4839" i="1"/>
  <c r="A4840" i="1"/>
  <c r="B4840" i="1"/>
  <c r="C4840" i="1"/>
  <c r="M4840" i="1"/>
  <c r="A4841" i="1"/>
  <c r="B4841" i="1"/>
  <c r="C4841" i="1"/>
  <c r="M4841" i="1"/>
  <c r="A4842" i="1"/>
  <c r="B4842" i="1"/>
  <c r="C4842" i="1"/>
  <c r="M4842" i="1"/>
  <c r="A4843" i="1"/>
  <c r="B4843" i="1"/>
  <c r="C4843" i="1"/>
  <c r="M4843" i="1"/>
  <c r="A4844" i="1"/>
  <c r="B4844" i="1"/>
  <c r="C4844" i="1"/>
  <c r="M4844" i="1"/>
  <c r="A4845" i="1"/>
  <c r="B4845" i="1"/>
  <c r="C4845" i="1"/>
  <c r="M4845" i="1"/>
  <c r="A4846" i="1"/>
  <c r="B4846" i="1"/>
  <c r="C4846" i="1"/>
  <c r="M4846" i="1"/>
  <c r="A4847" i="1"/>
  <c r="B4847" i="1"/>
  <c r="C4847" i="1"/>
  <c r="M4847" i="1"/>
  <c r="A4848" i="1"/>
  <c r="B4848" i="1"/>
  <c r="C4848" i="1"/>
  <c r="M4848" i="1"/>
  <c r="A4849" i="1"/>
  <c r="B4849" i="1"/>
  <c r="C4849" i="1"/>
  <c r="M4849" i="1"/>
  <c r="A4850" i="1"/>
  <c r="B4850" i="1"/>
  <c r="C4850" i="1"/>
  <c r="M4850" i="1"/>
  <c r="A4851" i="1"/>
  <c r="B4851" i="1"/>
  <c r="C4851" i="1"/>
  <c r="M4851" i="1"/>
  <c r="A4852" i="1"/>
  <c r="B4852" i="1"/>
  <c r="C4852" i="1"/>
  <c r="M4852" i="1"/>
  <c r="A4853" i="1"/>
  <c r="B4853" i="1"/>
  <c r="C4853" i="1"/>
  <c r="M4853" i="1"/>
  <c r="A4854" i="1"/>
  <c r="B4854" i="1"/>
  <c r="C4854" i="1"/>
  <c r="M4854" i="1"/>
  <c r="A4855" i="1"/>
  <c r="B4855" i="1"/>
  <c r="C4855" i="1"/>
  <c r="M4855" i="1"/>
  <c r="A4856" i="1"/>
  <c r="B4856" i="1"/>
  <c r="C4856" i="1"/>
  <c r="M4856" i="1"/>
  <c r="A4857" i="1"/>
  <c r="B4857" i="1"/>
  <c r="C4857" i="1"/>
  <c r="M4857" i="1"/>
  <c r="A4858" i="1"/>
  <c r="B4858" i="1"/>
  <c r="C4858" i="1"/>
  <c r="M4858" i="1"/>
  <c r="A4859" i="1"/>
  <c r="B4859" i="1"/>
  <c r="C4859" i="1"/>
  <c r="M4859" i="1"/>
  <c r="A4860" i="1"/>
  <c r="B4860" i="1"/>
  <c r="C4860" i="1"/>
  <c r="M4860" i="1"/>
  <c r="A4861" i="1"/>
  <c r="B4861" i="1"/>
  <c r="C4861" i="1"/>
  <c r="M4861" i="1"/>
  <c r="A4862" i="1"/>
  <c r="B4862" i="1"/>
  <c r="C4862" i="1"/>
  <c r="M4862" i="1"/>
  <c r="A4863" i="1"/>
  <c r="B4863" i="1"/>
  <c r="C4863" i="1"/>
  <c r="M4863" i="1"/>
  <c r="A4864" i="1"/>
  <c r="B4864" i="1"/>
  <c r="C4864" i="1"/>
  <c r="M4864" i="1"/>
  <c r="A4865" i="1"/>
  <c r="B4865" i="1"/>
  <c r="C4865" i="1"/>
  <c r="M4865" i="1"/>
  <c r="A4866" i="1"/>
  <c r="B4866" i="1"/>
  <c r="C4866" i="1"/>
  <c r="M4866" i="1"/>
  <c r="A4867" i="1"/>
  <c r="B4867" i="1"/>
  <c r="C4867" i="1"/>
  <c r="M4867" i="1"/>
  <c r="A4868" i="1"/>
  <c r="B4868" i="1"/>
  <c r="C4868" i="1"/>
  <c r="M4868" i="1"/>
  <c r="A4869" i="1"/>
  <c r="B4869" i="1"/>
  <c r="C4869" i="1"/>
  <c r="M4869" i="1"/>
  <c r="A4870" i="1"/>
  <c r="B4870" i="1"/>
  <c r="C4870" i="1"/>
  <c r="M4870" i="1"/>
  <c r="A4871" i="1"/>
  <c r="B4871" i="1"/>
  <c r="C4871" i="1"/>
  <c r="M4871" i="1"/>
  <c r="A4872" i="1"/>
  <c r="B4872" i="1"/>
  <c r="C4872" i="1"/>
  <c r="M4872" i="1"/>
  <c r="A4873" i="1"/>
  <c r="B4873" i="1"/>
  <c r="C4873" i="1"/>
  <c r="M4873" i="1"/>
  <c r="A4874" i="1"/>
  <c r="B4874" i="1"/>
  <c r="C4874" i="1"/>
  <c r="M4874" i="1"/>
  <c r="A4875" i="1"/>
  <c r="B4875" i="1"/>
  <c r="C4875" i="1"/>
  <c r="M4875" i="1"/>
  <c r="A4876" i="1"/>
  <c r="B4876" i="1"/>
  <c r="C4876" i="1"/>
  <c r="M4876" i="1"/>
  <c r="A4877" i="1"/>
  <c r="B4877" i="1"/>
  <c r="C4877" i="1"/>
  <c r="M4877" i="1"/>
  <c r="A4878" i="1"/>
  <c r="B4878" i="1"/>
  <c r="C4878" i="1"/>
  <c r="M4878" i="1"/>
  <c r="A4879" i="1"/>
  <c r="B4879" i="1"/>
  <c r="C4879" i="1"/>
  <c r="M4879" i="1"/>
  <c r="A4880" i="1"/>
  <c r="B4880" i="1"/>
  <c r="C4880" i="1"/>
  <c r="M4880" i="1"/>
  <c r="A4881" i="1"/>
  <c r="B4881" i="1"/>
  <c r="C4881" i="1"/>
  <c r="M4881" i="1"/>
  <c r="A4882" i="1"/>
  <c r="B4882" i="1"/>
  <c r="C4882" i="1"/>
  <c r="M4882" i="1"/>
  <c r="A4883" i="1"/>
  <c r="B4883" i="1"/>
  <c r="C4883" i="1"/>
  <c r="M4883" i="1"/>
  <c r="A4884" i="1"/>
  <c r="B4884" i="1"/>
  <c r="C4884" i="1"/>
  <c r="M4884" i="1"/>
  <c r="A4885" i="1"/>
  <c r="B4885" i="1"/>
  <c r="C4885" i="1"/>
  <c r="M4885" i="1"/>
  <c r="A4886" i="1"/>
  <c r="B4886" i="1"/>
  <c r="C4886" i="1"/>
  <c r="M4886" i="1"/>
  <c r="A4887" i="1"/>
  <c r="B4887" i="1"/>
  <c r="C4887" i="1"/>
  <c r="M4887" i="1"/>
  <c r="A4888" i="1"/>
  <c r="B4888" i="1"/>
  <c r="C4888" i="1"/>
  <c r="M4888" i="1"/>
  <c r="A4889" i="1"/>
  <c r="B4889" i="1"/>
  <c r="C4889" i="1"/>
  <c r="M4889" i="1"/>
  <c r="A4890" i="1"/>
  <c r="B4890" i="1"/>
  <c r="C4890" i="1"/>
  <c r="M4890" i="1"/>
  <c r="A4891" i="1"/>
  <c r="B4891" i="1"/>
  <c r="C4891" i="1"/>
  <c r="M4891" i="1"/>
  <c r="A4892" i="1"/>
  <c r="B4892" i="1"/>
  <c r="C4892" i="1"/>
  <c r="M4892" i="1"/>
  <c r="A4893" i="1"/>
  <c r="B4893" i="1"/>
  <c r="C4893" i="1"/>
  <c r="M4893" i="1"/>
  <c r="A4894" i="1"/>
  <c r="B4894" i="1"/>
  <c r="C4894" i="1"/>
  <c r="M4894" i="1"/>
  <c r="A4895" i="1"/>
  <c r="B4895" i="1"/>
  <c r="C4895" i="1"/>
  <c r="M4895" i="1"/>
  <c r="A4896" i="1"/>
  <c r="B4896" i="1"/>
  <c r="C4896" i="1"/>
  <c r="M4896" i="1"/>
  <c r="A4897" i="1"/>
  <c r="B4897" i="1"/>
  <c r="C4897" i="1"/>
  <c r="M4897" i="1"/>
  <c r="A4898" i="1"/>
  <c r="B4898" i="1"/>
  <c r="C4898" i="1"/>
  <c r="M4898" i="1"/>
  <c r="A4899" i="1"/>
  <c r="B4899" i="1"/>
  <c r="C4899" i="1"/>
  <c r="M4899" i="1"/>
  <c r="A4900" i="1"/>
  <c r="B4900" i="1"/>
  <c r="C4900" i="1"/>
  <c r="M4900" i="1"/>
  <c r="A4901" i="1"/>
  <c r="B4901" i="1"/>
  <c r="C4901" i="1"/>
  <c r="M4901" i="1"/>
  <c r="A4902" i="1"/>
  <c r="B4902" i="1"/>
  <c r="C4902" i="1"/>
  <c r="M4902" i="1"/>
  <c r="A4903" i="1"/>
  <c r="B4903" i="1"/>
  <c r="C4903" i="1"/>
  <c r="M4903" i="1"/>
  <c r="A4904" i="1"/>
  <c r="B4904" i="1"/>
  <c r="C4904" i="1"/>
  <c r="M4904" i="1"/>
  <c r="A4905" i="1"/>
  <c r="B4905" i="1"/>
  <c r="C4905" i="1"/>
  <c r="M4905" i="1"/>
  <c r="A4906" i="1"/>
  <c r="B4906" i="1"/>
  <c r="C4906" i="1"/>
  <c r="M4906" i="1"/>
  <c r="A4907" i="1"/>
  <c r="B4907" i="1"/>
  <c r="C4907" i="1"/>
  <c r="M4907" i="1"/>
  <c r="A4908" i="1"/>
  <c r="B4908" i="1"/>
  <c r="C4908" i="1"/>
  <c r="M4908" i="1"/>
  <c r="A4909" i="1"/>
  <c r="B4909" i="1"/>
  <c r="C4909" i="1"/>
  <c r="M4909" i="1"/>
  <c r="A4910" i="1"/>
  <c r="B4910" i="1"/>
  <c r="C4910" i="1"/>
  <c r="M4910" i="1"/>
  <c r="A4911" i="1"/>
  <c r="B4911" i="1"/>
  <c r="C4911" i="1"/>
  <c r="M4911" i="1"/>
  <c r="A4912" i="1"/>
  <c r="B4912" i="1"/>
  <c r="C4912" i="1"/>
  <c r="M4912" i="1"/>
  <c r="A4913" i="1"/>
  <c r="B4913" i="1"/>
  <c r="C4913" i="1"/>
  <c r="M4913" i="1"/>
  <c r="A4914" i="1"/>
  <c r="B4914" i="1"/>
  <c r="C4914" i="1"/>
  <c r="M4914" i="1"/>
  <c r="A4915" i="1"/>
  <c r="B4915" i="1"/>
  <c r="C4915" i="1"/>
  <c r="M4915" i="1"/>
  <c r="A4916" i="1"/>
  <c r="B4916" i="1"/>
  <c r="C4916" i="1"/>
  <c r="M4916" i="1"/>
  <c r="A4917" i="1"/>
  <c r="B4917" i="1"/>
  <c r="C4917" i="1"/>
  <c r="M4917" i="1"/>
  <c r="A4918" i="1"/>
  <c r="B4918" i="1"/>
  <c r="C4918" i="1"/>
  <c r="M4918" i="1"/>
  <c r="A4919" i="1"/>
  <c r="B4919" i="1"/>
  <c r="C4919" i="1"/>
  <c r="M4919" i="1"/>
  <c r="A4920" i="1"/>
  <c r="B4920" i="1"/>
  <c r="C4920" i="1"/>
  <c r="M4920" i="1"/>
  <c r="A4921" i="1"/>
  <c r="B4921" i="1"/>
  <c r="C4921" i="1"/>
  <c r="M4921" i="1"/>
  <c r="A4922" i="1"/>
  <c r="B4922" i="1"/>
  <c r="C4922" i="1"/>
  <c r="M4922" i="1"/>
  <c r="A4923" i="1"/>
  <c r="B4923" i="1"/>
  <c r="C4923" i="1"/>
  <c r="M4923" i="1"/>
  <c r="A4924" i="1"/>
  <c r="B4924" i="1"/>
  <c r="C4924" i="1"/>
  <c r="M4924" i="1"/>
  <c r="A4925" i="1"/>
  <c r="B4925" i="1"/>
  <c r="C4925" i="1"/>
  <c r="M4925" i="1"/>
  <c r="A4926" i="1"/>
  <c r="B4926" i="1"/>
  <c r="C4926" i="1"/>
  <c r="M4926" i="1"/>
  <c r="A4927" i="1"/>
  <c r="B4927" i="1"/>
  <c r="C4927" i="1"/>
  <c r="M4927" i="1"/>
  <c r="A4928" i="1"/>
  <c r="B4928" i="1"/>
  <c r="C4928" i="1"/>
  <c r="M4928" i="1"/>
  <c r="A4929" i="1"/>
  <c r="B4929" i="1"/>
  <c r="C4929" i="1"/>
  <c r="M4929" i="1"/>
  <c r="A4930" i="1"/>
  <c r="B4930" i="1"/>
  <c r="C4930" i="1"/>
  <c r="M4930" i="1"/>
  <c r="A4931" i="1"/>
  <c r="B4931" i="1"/>
  <c r="C4931" i="1"/>
  <c r="M4931" i="1"/>
  <c r="A4932" i="1"/>
  <c r="B4932" i="1"/>
  <c r="C4932" i="1"/>
  <c r="M4932" i="1"/>
  <c r="A4933" i="1"/>
  <c r="B4933" i="1"/>
  <c r="C4933" i="1"/>
  <c r="M4933" i="1"/>
  <c r="A4934" i="1"/>
  <c r="B4934" i="1"/>
  <c r="C4934" i="1"/>
  <c r="M4934" i="1"/>
  <c r="A4935" i="1"/>
  <c r="B4935" i="1"/>
  <c r="C4935" i="1"/>
  <c r="M4935" i="1"/>
  <c r="A4936" i="1"/>
  <c r="B4936" i="1"/>
  <c r="C4936" i="1"/>
  <c r="M4936" i="1"/>
  <c r="A4937" i="1"/>
  <c r="B4937" i="1"/>
  <c r="C4937" i="1"/>
  <c r="M4937" i="1"/>
  <c r="A4938" i="1"/>
  <c r="B4938" i="1"/>
  <c r="C4938" i="1"/>
  <c r="M4938" i="1"/>
  <c r="A4939" i="1"/>
  <c r="B4939" i="1"/>
  <c r="C4939" i="1"/>
  <c r="M4939" i="1"/>
  <c r="A4940" i="1"/>
  <c r="B4940" i="1"/>
  <c r="C4940" i="1"/>
  <c r="M4940" i="1"/>
  <c r="A4941" i="1"/>
  <c r="B4941" i="1"/>
  <c r="C4941" i="1"/>
  <c r="M4941" i="1"/>
  <c r="A4942" i="1"/>
  <c r="B4942" i="1"/>
  <c r="C4942" i="1"/>
  <c r="M4942" i="1"/>
  <c r="A4943" i="1"/>
  <c r="B4943" i="1"/>
  <c r="C4943" i="1"/>
  <c r="M4943" i="1"/>
  <c r="A4944" i="1"/>
  <c r="B4944" i="1"/>
  <c r="C4944" i="1"/>
  <c r="M4944" i="1"/>
  <c r="A4945" i="1"/>
  <c r="B4945" i="1"/>
  <c r="C4945" i="1"/>
  <c r="M4945" i="1"/>
  <c r="A4946" i="1"/>
  <c r="B4946" i="1"/>
  <c r="C4946" i="1"/>
  <c r="M4946" i="1"/>
  <c r="A4947" i="1"/>
  <c r="B4947" i="1"/>
  <c r="C4947" i="1"/>
  <c r="M4947" i="1"/>
  <c r="A4948" i="1"/>
  <c r="B4948" i="1"/>
  <c r="C4948" i="1"/>
  <c r="M4948" i="1"/>
  <c r="A4949" i="1"/>
  <c r="B4949" i="1"/>
  <c r="C4949" i="1"/>
  <c r="M4949" i="1"/>
  <c r="A4950" i="1"/>
  <c r="B4950" i="1"/>
  <c r="C4950" i="1"/>
  <c r="M4950" i="1"/>
  <c r="A4951" i="1"/>
  <c r="B4951" i="1"/>
  <c r="C4951" i="1"/>
  <c r="M4951" i="1"/>
  <c r="A4952" i="1"/>
  <c r="B4952" i="1"/>
  <c r="C4952" i="1"/>
  <c r="M4952" i="1"/>
  <c r="A4953" i="1"/>
  <c r="B4953" i="1"/>
  <c r="C4953" i="1"/>
  <c r="M4953" i="1"/>
  <c r="A4954" i="1"/>
  <c r="B4954" i="1"/>
  <c r="C4954" i="1"/>
  <c r="M4954" i="1"/>
  <c r="A4955" i="1"/>
  <c r="B4955" i="1"/>
  <c r="C4955" i="1"/>
  <c r="M4955" i="1"/>
  <c r="A4956" i="1"/>
  <c r="B4956" i="1"/>
  <c r="C4956" i="1"/>
  <c r="M4956" i="1"/>
  <c r="A4957" i="1"/>
  <c r="B4957" i="1"/>
  <c r="C4957" i="1"/>
  <c r="M4957" i="1"/>
  <c r="A4958" i="1"/>
  <c r="B4958" i="1"/>
  <c r="C4958" i="1"/>
  <c r="M4958" i="1"/>
  <c r="A4959" i="1"/>
  <c r="B4959" i="1"/>
  <c r="C4959" i="1"/>
  <c r="M4959" i="1"/>
  <c r="A4960" i="1"/>
  <c r="B4960" i="1"/>
  <c r="C4960" i="1"/>
  <c r="M4960" i="1"/>
  <c r="A4961" i="1"/>
  <c r="B4961" i="1"/>
  <c r="C4961" i="1"/>
  <c r="M4961" i="1"/>
  <c r="A4962" i="1"/>
  <c r="B4962" i="1"/>
  <c r="C4962" i="1"/>
  <c r="M4962" i="1"/>
  <c r="A4963" i="1"/>
  <c r="B4963" i="1"/>
  <c r="C4963" i="1"/>
  <c r="M4963" i="1"/>
  <c r="A4964" i="1"/>
  <c r="B4964" i="1"/>
  <c r="C4964" i="1"/>
  <c r="M4964" i="1"/>
  <c r="A4965" i="1"/>
  <c r="B4965" i="1"/>
  <c r="C4965" i="1"/>
  <c r="M4965" i="1"/>
  <c r="A4966" i="1"/>
  <c r="B4966" i="1"/>
  <c r="C4966" i="1"/>
  <c r="M4966" i="1"/>
  <c r="A4967" i="1"/>
  <c r="B4967" i="1"/>
  <c r="C4967" i="1"/>
  <c r="M4967" i="1"/>
  <c r="A4968" i="1"/>
  <c r="B4968" i="1"/>
  <c r="C4968" i="1"/>
  <c r="M4968" i="1"/>
  <c r="A4969" i="1"/>
  <c r="B4969" i="1"/>
  <c r="C4969" i="1"/>
  <c r="M4969" i="1"/>
  <c r="A4970" i="1"/>
  <c r="B4970" i="1"/>
  <c r="C4970" i="1"/>
  <c r="M4970" i="1"/>
  <c r="A4971" i="1"/>
  <c r="B4971" i="1"/>
  <c r="C4971" i="1"/>
  <c r="M4971" i="1"/>
  <c r="A4972" i="1"/>
  <c r="B4972" i="1"/>
  <c r="C4972" i="1"/>
  <c r="M4972" i="1"/>
  <c r="A4973" i="1"/>
  <c r="B4973" i="1"/>
  <c r="C4973" i="1"/>
  <c r="M4973" i="1"/>
  <c r="A4974" i="1"/>
  <c r="B4974" i="1"/>
  <c r="C4974" i="1"/>
  <c r="M4974" i="1"/>
  <c r="A4975" i="1"/>
  <c r="B4975" i="1"/>
  <c r="C4975" i="1"/>
  <c r="M4975" i="1"/>
  <c r="A4976" i="1"/>
  <c r="B4976" i="1"/>
  <c r="C4976" i="1"/>
  <c r="M4976" i="1"/>
  <c r="A4977" i="1"/>
  <c r="B4977" i="1"/>
  <c r="C4977" i="1"/>
  <c r="M4977" i="1"/>
  <c r="A4978" i="1"/>
  <c r="B4978" i="1"/>
  <c r="C4978" i="1"/>
  <c r="M4978" i="1"/>
  <c r="A4979" i="1"/>
  <c r="B4979" i="1"/>
  <c r="C4979" i="1"/>
  <c r="M4979" i="1"/>
  <c r="A4980" i="1"/>
  <c r="B4980" i="1"/>
  <c r="C4980" i="1"/>
  <c r="M4980" i="1"/>
  <c r="A4981" i="1"/>
  <c r="B4981" i="1"/>
  <c r="C4981" i="1"/>
  <c r="M4981" i="1"/>
  <c r="A4982" i="1"/>
  <c r="B4982" i="1"/>
  <c r="C4982" i="1"/>
  <c r="M4982" i="1"/>
  <c r="A4983" i="1"/>
  <c r="B4983" i="1"/>
  <c r="C4983" i="1"/>
  <c r="M4983" i="1"/>
  <c r="A4984" i="1"/>
  <c r="B4984" i="1"/>
  <c r="C4984" i="1"/>
  <c r="M4984" i="1"/>
  <c r="A4985" i="1"/>
  <c r="B4985" i="1"/>
  <c r="C4985" i="1"/>
  <c r="M4985" i="1"/>
  <c r="A4986" i="1"/>
  <c r="B4986" i="1"/>
  <c r="C4986" i="1"/>
  <c r="M4986" i="1"/>
  <c r="A4987" i="1"/>
  <c r="B4987" i="1"/>
  <c r="C4987" i="1"/>
  <c r="M4987" i="1"/>
  <c r="A4988" i="1"/>
  <c r="B4988" i="1"/>
  <c r="C4988" i="1"/>
  <c r="M4988" i="1"/>
  <c r="A4989" i="1"/>
  <c r="B4989" i="1"/>
  <c r="C4989" i="1"/>
  <c r="M4989" i="1"/>
  <c r="A4990" i="1"/>
  <c r="B4990" i="1"/>
  <c r="C4990" i="1"/>
  <c r="M4990" i="1"/>
  <c r="A4991" i="1"/>
  <c r="B4991" i="1"/>
  <c r="C4991" i="1"/>
  <c r="M4991" i="1"/>
  <c r="A4992" i="1"/>
  <c r="B4992" i="1"/>
  <c r="C4992" i="1"/>
  <c r="M4992" i="1"/>
  <c r="A4993" i="1"/>
  <c r="B4993" i="1"/>
  <c r="C4993" i="1"/>
  <c r="M4993" i="1"/>
  <c r="A4994" i="1"/>
  <c r="B4994" i="1"/>
  <c r="C4994" i="1"/>
  <c r="M4994" i="1"/>
  <c r="A4995" i="1"/>
  <c r="B4995" i="1"/>
  <c r="C4995" i="1"/>
  <c r="M4995" i="1"/>
  <c r="A4996" i="1"/>
  <c r="B4996" i="1"/>
  <c r="C4996" i="1"/>
  <c r="M4996" i="1"/>
  <c r="A4997" i="1"/>
  <c r="B4997" i="1"/>
  <c r="C4997" i="1"/>
  <c r="M4997" i="1"/>
  <c r="A4998" i="1"/>
  <c r="B4998" i="1"/>
  <c r="C4998" i="1"/>
  <c r="M4998" i="1"/>
  <c r="A4999" i="1"/>
  <c r="B4999" i="1"/>
  <c r="C4999" i="1"/>
  <c r="M4999" i="1"/>
  <c r="A5000" i="1"/>
  <c r="B5000" i="1"/>
  <c r="C5000" i="1"/>
  <c r="M5000" i="1"/>
  <c r="A5001" i="1"/>
  <c r="B5001" i="1"/>
  <c r="C5001" i="1"/>
  <c r="M5001" i="1"/>
  <c r="A5002" i="1"/>
  <c r="B5002" i="1"/>
  <c r="C5002" i="1"/>
  <c r="M5002" i="1"/>
  <c r="A5003" i="1"/>
  <c r="B5003" i="1"/>
  <c r="C5003" i="1"/>
  <c r="M5003" i="1"/>
  <c r="A5004" i="1"/>
  <c r="B5004" i="1"/>
  <c r="C5004" i="1"/>
  <c r="M5004" i="1"/>
  <c r="A5005" i="1"/>
  <c r="B5005" i="1"/>
  <c r="C5005" i="1"/>
  <c r="M5005" i="1"/>
  <c r="A5006" i="1"/>
  <c r="B5006" i="1"/>
  <c r="C5006" i="1"/>
  <c r="M5006" i="1"/>
  <c r="A5007" i="1"/>
  <c r="B5007" i="1"/>
  <c r="C5007" i="1"/>
  <c r="M5007" i="1"/>
  <c r="A5008" i="1"/>
  <c r="B5008" i="1"/>
  <c r="C5008" i="1"/>
  <c r="M5008" i="1"/>
  <c r="A5009" i="1"/>
  <c r="B5009" i="1"/>
  <c r="C5009" i="1"/>
  <c r="M5009" i="1"/>
  <c r="A5010" i="1"/>
  <c r="B5010" i="1"/>
  <c r="C5010" i="1"/>
  <c r="M5010" i="1"/>
  <c r="A5011" i="1"/>
  <c r="B5011" i="1"/>
  <c r="C5011" i="1"/>
  <c r="M5011" i="1"/>
  <c r="A5012" i="1"/>
  <c r="B5012" i="1"/>
  <c r="C5012" i="1"/>
  <c r="M5012" i="1"/>
  <c r="A5013" i="1"/>
  <c r="B5013" i="1"/>
  <c r="C5013" i="1"/>
  <c r="M5013" i="1"/>
  <c r="A5014" i="1"/>
  <c r="B5014" i="1"/>
  <c r="C5014" i="1"/>
  <c r="M5014" i="1"/>
  <c r="A5015" i="1"/>
  <c r="B5015" i="1"/>
  <c r="C5015" i="1"/>
  <c r="M5015" i="1"/>
  <c r="A5016" i="1"/>
  <c r="B5016" i="1"/>
  <c r="C5016" i="1"/>
  <c r="M5016" i="1"/>
  <c r="A5017" i="1"/>
  <c r="B5017" i="1"/>
  <c r="C5017" i="1"/>
  <c r="M5017" i="1"/>
  <c r="A5018" i="1"/>
  <c r="B5018" i="1"/>
  <c r="C5018" i="1"/>
  <c r="M5018" i="1"/>
  <c r="A5019" i="1"/>
  <c r="B5019" i="1"/>
  <c r="C5019" i="1"/>
  <c r="M5019" i="1"/>
  <c r="A5020" i="1"/>
  <c r="B5020" i="1"/>
  <c r="C5020" i="1"/>
  <c r="M5020" i="1"/>
  <c r="A5021" i="1"/>
  <c r="B5021" i="1"/>
  <c r="C5021" i="1"/>
  <c r="M5021" i="1"/>
  <c r="A5022" i="1"/>
  <c r="B5022" i="1"/>
  <c r="C5022" i="1"/>
  <c r="M5022" i="1"/>
  <c r="A5023" i="1"/>
  <c r="B5023" i="1"/>
  <c r="C5023" i="1"/>
  <c r="M5023" i="1"/>
  <c r="A5024" i="1"/>
  <c r="B5024" i="1"/>
  <c r="C5024" i="1"/>
  <c r="M5024" i="1"/>
  <c r="A5025" i="1"/>
  <c r="B5025" i="1"/>
  <c r="C5025" i="1"/>
  <c r="M5025" i="1"/>
  <c r="A5026" i="1"/>
  <c r="B5026" i="1"/>
  <c r="C5026" i="1"/>
  <c r="M5026" i="1"/>
  <c r="A5027" i="1"/>
  <c r="B5027" i="1"/>
  <c r="C5027" i="1"/>
  <c r="M5027" i="1"/>
  <c r="A5028" i="1"/>
  <c r="B5028" i="1"/>
  <c r="C5028" i="1"/>
  <c r="M5028" i="1"/>
  <c r="A5029" i="1"/>
  <c r="B5029" i="1"/>
  <c r="C5029" i="1"/>
  <c r="M5029" i="1"/>
  <c r="A5030" i="1"/>
  <c r="B5030" i="1"/>
  <c r="C5030" i="1"/>
  <c r="M5030" i="1"/>
  <c r="A5031" i="1"/>
  <c r="B5031" i="1"/>
  <c r="C5031" i="1"/>
  <c r="M5031" i="1"/>
  <c r="A5032" i="1"/>
  <c r="B5032" i="1"/>
  <c r="C5032" i="1"/>
  <c r="M5032" i="1"/>
  <c r="A5033" i="1"/>
  <c r="B5033" i="1"/>
  <c r="C5033" i="1"/>
  <c r="M5033" i="1"/>
  <c r="A5034" i="1"/>
  <c r="B5034" i="1"/>
  <c r="C5034" i="1"/>
  <c r="M5034" i="1"/>
  <c r="A5035" i="1"/>
  <c r="B5035" i="1"/>
  <c r="C5035" i="1"/>
  <c r="M5035" i="1"/>
  <c r="A5036" i="1"/>
  <c r="B5036" i="1"/>
  <c r="C5036" i="1"/>
  <c r="M5036" i="1"/>
  <c r="A5037" i="1"/>
  <c r="B5037" i="1"/>
  <c r="C5037" i="1"/>
  <c r="M5037" i="1"/>
  <c r="A5038" i="1"/>
  <c r="B5038" i="1"/>
  <c r="C5038" i="1"/>
  <c r="M5038" i="1"/>
  <c r="A5039" i="1"/>
  <c r="B5039" i="1"/>
  <c r="C5039" i="1"/>
  <c r="M5039" i="1"/>
  <c r="A5040" i="1"/>
  <c r="B5040" i="1"/>
  <c r="C5040" i="1"/>
  <c r="M5040" i="1"/>
  <c r="A5041" i="1"/>
  <c r="B5041" i="1"/>
  <c r="C5041" i="1"/>
  <c r="M5041" i="1"/>
  <c r="A5042" i="1"/>
  <c r="B5042" i="1"/>
  <c r="C5042" i="1"/>
  <c r="M5042" i="1"/>
  <c r="A5043" i="1"/>
  <c r="B5043" i="1"/>
  <c r="C5043" i="1"/>
  <c r="M5043" i="1"/>
  <c r="A5044" i="1"/>
  <c r="B5044" i="1"/>
  <c r="C5044" i="1"/>
  <c r="M5044" i="1"/>
  <c r="A5045" i="1"/>
  <c r="B5045" i="1"/>
  <c r="C5045" i="1"/>
  <c r="M5045" i="1"/>
  <c r="A5046" i="1"/>
  <c r="B5046" i="1"/>
  <c r="C5046" i="1"/>
  <c r="M5046" i="1"/>
  <c r="A5047" i="1"/>
  <c r="B5047" i="1"/>
  <c r="C5047" i="1"/>
  <c r="M5047" i="1"/>
  <c r="A5048" i="1"/>
  <c r="B5048" i="1"/>
  <c r="C5048" i="1"/>
  <c r="M5048" i="1"/>
  <c r="A5049" i="1"/>
  <c r="B5049" i="1"/>
  <c r="C5049" i="1"/>
  <c r="M5049" i="1"/>
  <c r="A5050" i="1"/>
  <c r="B5050" i="1"/>
  <c r="C5050" i="1"/>
  <c r="M5050" i="1"/>
  <c r="A5051" i="1"/>
  <c r="B5051" i="1"/>
  <c r="C5051" i="1"/>
  <c r="M5051" i="1"/>
  <c r="A5052" i="1"/>
  <c r="B5052" i="1"/>
  <c r="C5052" i="1"/>
  <c r="M5052" i="1"/>
  <c r="A5053" i="1"/>
  <c r="B5053" i="1"/>
  <c r="C5053" i="1"/>
  <c r="M5053" i="1"/>
  <c r="A5054" i="1"/>
  <c r="B5054" i="1"/>
  <c r="C5054" i="1"/>
  <c r="M5054" i="1"/>
  <c r="A5055" i="1"/>
  <c r="B5055" i="1"/>
  <c r="C5055" i="1"/>
  <c r="M5055" i="1"/>
  <c r="A5056" i="1"/>
  <c r="B5056" i="1"/>
  <c r="C5056" i="1"/>
  <c r="M5056" i="1"/>
  <c r="A5057" i="1"/>
  <c r="B5057" i="1"/>
  <c r="C5057" i="1"/>
  <c r="M5057" i="1"/>
  <c r="A5058" i="1"/>
  <c r="B5058" i="1"/>
  <c r="C5058" i="1"/>
  <c r="M5058" i="1"/>
  <c r="A5059" i="1"/>
  <c r="B5059" i="1"/>
  <c r="C5059" i="1"/>
  <c r="M5059" i="1"/>
  <c r="A5060" i="1"/>
  <c r="B5060" i="1"/>
  <c r="C5060" i="1"/>
  <c r="M5060" i="1"/>
  <c r="A5061" i="1"/>
  <c r="B5061" i="1"/>
  <c r="C5061" i="1"/>
  <c r="M5061" i="1"/>
  <c r="A5062" i="1"/>
  <c r="B5062" i="1"/>
  <c r="C5062" i="1"/>
  <c r="M5062" i="1"/>
  <c r="A5063" i="1"/>
  <c r="B5063" i="1"/>
  <c r="C5063" i="1"/>
  <c r="M5063" i="1"/>
  <c r="A5064" i="1"/>
  <c r="B5064" i="1"/>
  <c r="C5064" i="1"/>
  <c r="M5064" i="1"/>
  <c r="A5065" i="1"/>
  <c r="B5065" i="1"/>
  <c r="C5065" i="1"/>
  <c r="M5065" i="1"/>
  <c r="A5066" i="1"/>
  <c r="B5066" i="1"/>
  <c r="C5066" i="1"/>
  <c r="M5066" i="1"/>
  <c r="A5067" i="1"/>
  <c r="B5067" i="1"/>
  <c r="C5067" i="1"/>
  <c r="M5067" i="1"/>
  <c r="A5068" i="1"/>
  <c r="B5068" i="1"/>
  <c r="C5068" i="1"/>
  <c r="M5068" i="1"/>
  <c r="A5069" i="1"/>
  <c r="B5069" i="1"/>
  <c r="C5069" i="1"/>
  <c r="M5069" i="1"/>
  <c r="A5070" i="1"/>
  <c r="B5070" i="1"/>
  <c r="C5070" i="1"/>
  <c r="M5070" i="1"/>
  <c r="A5071" i="1"/>
  <c r="B5071" i="1"/>
  <c r="C5071" i="1"/>
  <c r="M5071" i="1"/>
  <c r="A5072" i="1"/>
  <c r="B5072" i="1"/>
  <c r="C5072" i="1"/>
  <c r="M5072" i="1"/>
  <c r="A5073" i="1"/>
  <c r="B5073" i="1"/>
  <c r="C5073" i="1"/>
  <c r="M5073" i="1"/>
  <c r="A5074" i="1"/>
  <c r="B5074" i="1"/>
  <c r="C5074" i="1"/>
  <c r="M5074" i="1"/>
  <c r="A5075" i="1"/>
  <c r="B5075" i="1"/>
  <c r="C5075" i="1"/>
  <c r="M5075" i="1"/>
  <c r="A5076" i="1"/>
  <c r="B5076" i="1"/>
  <c r="C5076" i="1"/>
  <c r="M5076" i="1"/>
  <c r="A5077" i="1"/>
  <c r="B5077" i="1"/>
  <c r="C5077" i="1"/>
  <c r="M5077" i="1"/>
  <c r="A5078" i="1"/>
  <c r="B5078" i="1"/>
  <c r="C5078" i="1"/>
  <c r="M5078" i="1"/>
  <c r="A5079" i="1"/>
  <c r="B5079" i="1"/>
  <c r="C5079" i="1"/>
  <c r="M5079" i="1"/>
  <c r="A5080" i="1"/>
  <c r="B5080" i="1"/>
  <c r="C5080" i="1"/>
  <c r="M5080" i="1"/>
  <c r="A5081" i="1"/>
  <c r="B5081" i="1"/>
  <c r="C5081" i="1"/>
  <c r="M5081" i="1"/>
  <c r="A5082" i="1"/>
  <c r="B5082" i="1"/>
  <c r="C5082" i="1"/>
  <c r="M5082" i="1"/>
  <c r="A5083" i="1"/>
  <c r="B5083" i="1"/>
  <c r="C5083" i="1"/>
  <c r="M5083" i="1"/>
  <c r="A5084" i="1"/>
  <c r="B5084" i="1"/>
  <c r="C5084" i="1"/>
  <c r="M5084" i="1"/>
  <c r="A5085" i="1"/>
  <c r="B5085" i="1"/>
  <c r="C5085" i="1"/>
  <c r="M5085" i="1"/>
  <c r="A5086" i="1"/>
  <c r="B5086" i="1"/>
  <c r="C5086" i="1"/>
  <c r="M5086" i="1"/>
  <c r="A5087" i="1"/>
  <c r="B5087" i="1"/>
  <c r="C5087" i="1"/>
  <c r="M5087" i="1"/>
  <c r="A5088" i="1"/>
  <c r="B5088" i="1"/>
  <c r="C5088" i="1"/>
  <c r="M5088" i="1"/>
  <c r="A5089" i="1"/>
  <c r="B5089" i="1"/>
  <c r="C5089" i="1"/>
  <c r="M5089" i="1"/>
  <c r="A5090" i="1"/>
  <c r="B5090" i="1"/>
  <c r="C5090" i="1"/>
  <c r="M5090" i="1"/>
  <c r="A5091" i="1"/>
  <c r="B5091" i="1"/>
  <c r="C5091" i="1"/>
  <c r="M5091" i="1"/>
  <c r="A5092" i="1"/>
  <c r="B5092" i="1"/>
  <c r="C5092" i="1"/>
  <c r="M5092" i="1"/>
  <c r="A5093" i="1"/>
  <c r="B5093" i="1"/>
  <c r="C5093" i="1"/>
  <c r="M5093" i="1"/>
  <c r="A5094" i="1"/>
  <c r="B5094" i="1"/>
  <c r="C5094" i="1"/>
  <c r="M5094" i="1"/>
  <c r="A5095" i="1"/>
  <c r="B5095" i="1"/>
  <c r="C5095" i="1"/>
  <c r="M5095" i="1"/>
  <c r="A5096" i="1"/>
  <c r="B5096" i="1"/>
  <c r="C5096" i="1"/>
  <c r="M5096" i="1"/>
  <c r="A5097" i="1"/>
  <c r="B5097" i="1"/>
  <c r="C5097" i="1"/>
  <c r="M5097" i="1"/>
  <c r="A5098" i="1"/>
  <c r="B5098" i="1"/>
  <c r="C5098" i="1"/>
  <c r="M5098" i="1"/>
  <c r="A5099" i="1"/>
  <c r="B5099" i="1"/>
  <c r="C5099" i="1"/>
  <c r="M5099" i="1"/>
  <c r="A5100" i="1"/>
  <c r="B5100" i="1"/>
  <c r="C5100" i="1"/>
  <c r="M5100" i="1"/>
  <c r="A5101" i="1"/>
  <c r="B5101" i="1"/>
  <c r="C5101" i="1"/>
  <c r="M5101" i="1"/>
  <c r="A5102" i="1"/>
  <c r="B5102" i="1"/>
  <c r="C5102" i="1"/>
  <c r="M5102" i="1"/>
  <c r="A5103" i="1"/>
  <c r="B5103" i="1"/>
  <c r="C5103" i="1"/>
  <c r="M5103" i="1"/>
  <c r="A5104" i="1"/>
  <c r="B5104" i="1"/>
  <c r="C5104" i="1"/>
  <c r="M5104" i="1"/>
  <c r="A5105" i="1"/>
  <c r="B5105" i="1"/>
  <c r="C5105" i="1"/>
  <c r="M5105" i="1"/>
  <c r="A5106" i="1"/>
  <c r="B5106" i="1"/>
  <c r="C5106" i="1"/>
  <c r="M5106" i="1"/>
  <c r="A5107" i="1"/>
  <c r="B5107" i="1"/>
  <c r="C5107" i="1"/>
  <c r="M5107" i="1"/>
  <c r="A5108" i="1"/>
  <c r="B5108" i="1"/>
  <c r="C5108" i="1"/>
  <c r="M5108" i="1"/>
  <c r="A5109" i="1"/>
  <c r="B5109" i="1"/>
  <c r="C5109" i="1"/>
  <c r="M5109" i="1"/>
  <c r="A5110" i="1"/>
  <c r="B5110" i="1"/>
  <c r="C5110" i="1"/>
  <c r="M5110" i="1"/>
  <c r="A5111" i="1"/>
  <c r="B5111" i="1"/>
  <c r="C5111" i="1"/>
  <c r="M5111" i="1"/>
  <c r="A5112" i="1"/>
  <c r="B5112" i="1"/>
  <c r="C5112" i="1"/>
  <c r="M5112" i="1"/>
  <c r="A5113" i="1"/>
  <c r="B5113" i="1"/>
  <c r="C5113" i="1"/>
  <c r="M5113" i="1"/>
  <c r="A5114" i="1"/>
  <c r="B5114" i="1"/>
  <c r="C5114" i="1"/>
  <c r="M5114" i="1"/>
  <c r="A5115" i="1"/>
  <c r="B5115" i="1"/>
  <c r="C5115" i="1"/>
  <c r="M5115" i="1"/>
  <c r="A5116" i="1"/>
  <c r="B5116" i="1"/>
  <c r="C5116" i="1"/>
  <c r="M5116" i="1"/>
  <c r="A5117" i="1"/>
  <c r="B5117" i="1"/>
  <c r="C5117" i="1"/>
  <c r="M5117" i="1"/>
  <c r="A5118" i="1"/>
  <c r="B5118" i="1"/>
  <c r="C5118" i="1"/>
  <c r="M5118" i="1"/>
  <c r="A5119" i="1"/>
  <c r="B5119" i="1"/>
  <c r="C5119" i="1"/>
  <c r="M5119" i="1"/>
  <c r="A5120" i="1"/>
  <c r="B5120" i="1"/>
  <c r="C5120" i="1"/>
  <c r="M5120" i="1"/>
  <c r="A5121" i="1"/>
  <c r="B5121" i="1"/>
  <c r="C5121" i="1"/>
  <c r="M5121" i="1"/>
  <c r="A5122" i="1"/>
  <c r="B5122" i="1"/>
  <c r="C5122" i="1"/>
  <c r="M5122" i="1"/>
  <c r="A5123" i="1"/>
  <c r="B5123" i="1"/>
  <c r="C5123" i="1"/>
  <c r="M5123" i="1"/>
  <c r="A5124" i="1"/>
  <c r="B5124" i="1"/>
  <c r="C5124" i="1"/>
  <c r="M5124" i="1"/>
  <c r="A5125" i="1"/>
  <c r="B5125" i="1"/>
  <c r="C5125" i="1"/>
  <c r="M5125" i="1"/>
  <c r="A5126" i="1"/>
  <c r="B5126" i="1"/>
  <c r="C5126" i="1"/>
  <c r="M5126" i="1"/>
  <c r="A5127" i="1"/>
  <c r="B5127" i="1"/>
  <c r="C5127" i="1"/>
  <c r="M5127" i="1"/>
  <c r="A5128" i="1"/>
  <c r="B5128" i="1"/>
  <c r="C5128" i="1"/>
  <c r="M5128" i="1"/>
  <c r="A5129" i="1"/>
  <c r="B5129" i="1"/>
  <c r="C5129" i="1"/>
  <c r="M5129" i="1"/>
  <c r="A5130" i="1"/>
  <c r="B5130" i="1"/>
  <c r="C5130" i="1"/>
  <c r="M5130" i="1"/>
  <c r="A5131" i="1"/>
  <c r="B5131" i="1"/>
  <c r="C5131" i="1"/>
  <c r="M5131" i="1"/>
  <c r="A5132" i="1"/>
  <c r="B5132" i="1"/>
  <c r="C5132" i="1"/>
  <c r="M5132" i="1"/>
  <c r="A5133" i="1"/>
  <c r="B5133" i="1"/>
  <c r="C5133" i="1"/>
  <c r="M5133" i="1"/>
  <c r="A5134" i="1"/>
  <c r="B5134" i="1"/>
  <c r="C5134" i="1"/>
  <c r="M5134" i="1"/>
  <c r="A5135" i="1"/>
  <c r="B5135" i="1"/>
  <c r="C5135" i="1"/>
  <c r="M5135" i="1"/>
  <c r="A5136" i="1"/>
  <c r="B5136" i="1"/>
  <c r="C5136" i="1"/>
  <c r="M5136" i="1"/>
  <c r="A5137" i="1"/>
  <c r="B5137" i="1"/>
  <c r="C5137" i="1"/>
  <c r="M5137" i="1"/>
  <c r="A5138" i="1"/>
  <c r="B5138" i="1"/>
  <c r="C5138" i="1"/>
  <c r="M5138" i="1"/>
  <c r="A5139" i="1"/>
  <c r="B5139" i="1"/>
  <c r="C5139" i="1"/>
  <c r="M5139" i="1"/>
  <c r="A5140" i="1"/>
  <c r="B5140" i="1"/>
  <c r="C5140" i="1"/>
  <c r="M5140" i="1"/>
  <c r="A5141" i="1"/>
  <c r="B5141" i="1"/>
  <c r="C5141" i="1"/>
  <c r="M5141" i="1"/>
  <c r="A5142" i="1"/>
  <c r="B5142" i="1"/>
  <c r="C5142" i="1"/>
  <c r="M5142" i="1"/>
  <c r="A5143" i="1"/>
  <c r="B5143" i="1"/>
  <c r="C5143" i="1"/>
  <c r="M5143" i="1"/>
  <c r="A5144" i="1"/>
  <c r="B5144" i="1"/>
  <c r="C5144" i="1"/>
  <c r="M5144" i="1"/>
  <c r="A5145" i="1"/>
  <c r="B5145" i="1"/>
  <c r="C5145" i="1"/>
  <c r="M5145" i="1"/>
  <c r="A5146" i="1"/>
  <c r="B5146" i="1"/>
  <c r="C5146" i="1"/>
  <c r="M5146" i="1"/>
  <c r="A5147" i="1"/>
  <c r="B5147" i="1"/>
  <c r="C5147" i="1"/>
  <c r="M5147" i="1"/>
  <c r="A5148" i="1"/>
  <c r="B5148" i="1"/>
  <c r="C5148" i="1"/>
  <c r="M5148" i="1"/>
  <c r="A5149" i="1"/>
  <c r="B5149" i="1"/>
  <c r="C5149" i="1"/>
  <c r="M5149" i="1"/>
  <c r="A5150" i="1"/>
  <c r="B5150" i="1"/>
  <c r="C5150" i="1"/>
  <c r="M5150" i="1"/>
  <c r="A5151" i="1"/>
  <c r="B5151" i="1"/>
  <c r="C5151" i="1"/>
  <c r="M5151" i="1"/>
  <c r="A5152" i="1"/>
  <c r="B5152" i="1"/>
  <c r="C5152" i="1"/>
  <c r="M5152" i="1"/>
  <c r="A5153" i="1"/>
  <c r="B5153" i="1"/>
  <c r="C5153" i="1"/>
  <c r="M5153" i="1"/>
  <c r="A5154" i="1"/>
  <c r="B5154" i="1"/>
  <c r="C5154" i="1"/>
  <c r="M5154" i="1"/>
  <c r="A5155" i="1"/>
  <c r="B5155" i="1"/>
  <c r="C5155" i="1"/>
  <c r="M5155" i="1"/>
  <c r="A5156" i="1"/>
  <c r="B5156" i="1"/>
  <c r="C5156" i="1"/>
  <c r="M5156" i="1"/>
  <c r="A5157" i="1"/>
  <c r="B5157" i="1"/>
  <c r="C5157" i="1"/>
  <c r="M5157" i="1"/>
  <c r="A5158" i="1"/>
  <c r="B5158" i="1"/>
  <c r="C5158" i="1"/>
  <c r="M5158" i="1"/>
  <c r="A5159" i="1"/>
  <c r="B5159" i="1"/>
  <c r="C5159" i="1"/>
  <c r="M5159" i="1"/>
  <c r="A5160" i="1"/>
  <c r="B5160" i="1"/>
  <c r="C5160" i="1"/>
  <c r="M5160" i="1"/>
  <c r="A5161" i="1"/>
  <c r="B5161" i="1"/>
  <c r="C5161" i="1"/>
  <c r="M5161" i="1"/>
  <c r="A5162" i="1"/>
  <c r="B5162" i="1"/>
  <c r="C5162" i="1"/>
  <c r="M5162" i="1"/>
  <c r="A5163" i="1"/>
  <c r="B5163" i="1"/>
  <c r="C5163" i="1"/>
  <c r="M5163" i="1"/>
  <c r="A5164" i="1"/>
  <c r="B5164" i="1"/>
  <c r="C5164" i="1"/>
  <c r="M5164" i="1"/>
  <c r="A5165" i="1"/>
  <c r="B5165" i="1"/>
  <c r="C5165" i="1"/>
  <c r="M5165" i="1"/>
  <c r="A5166" i="1"/>
  <c r="B5166" i="1"/>
  <c r="C5166" i="1"/>
  <c r="M5166" i="1"/>
  <c r="A5167" i="1"/>
  <c r="B5167" i="1"/>
  <c r="C5167" i="1"/>
  <c r="M5167" i="1"/>
  <c r="A5168" i="1"/>
  <c r="B5168" i="1"/>
  <c r="C5168" i="1"/>
  <c r="M5168" i="1"/>
  <c r="A5169" i="1"/>
  <c r="B5169" i="1"/>
  <c r="C5169" i="1"/>
  <c r="M5169" i="1"/>
  <c r="A5170" i="1"/>
  <c r="B5170" i="1"/>
  <c r="C5170" i="1"/>
  <c r="M5170" i="1"/>
  <c r="A5171" i="1"/>
  <c r="B5171" i="1"/>
  <c r="C5171" i="1"/>
  <c r="M5171" i="1"/>
  <c r="A5172" i="1"/>
  <c r="B5172" i="1"/>
  <c r="C5172" i="1"/>
  <c r="M5172" i="1"/>
  <c r="A5173" i="1"/>
  <c r="B5173" i="1"/>
  <c r="C5173" i="1"/>
  <c r="M5173" i="1"/>
  <c r="A5174" i="1"/>
  <c r="B5174" i="1"/>
  <c r="C5174" i="1"/>
  <c r="M5174" i="1"/>
  <c r="A5175" i="1"/>
  <c r="B5175" i="1"/>
  <c r="C5175" i="1"/>
  <c r="M5175" i="1"/>
  <c r="A5176" i="1"/>
  <c r="B5176" i="1"/>
  <c r="C5176" i="1"/>
  <c r="M5176" i="1"/>
  <c r="A5177" i="1"/>
  <c r="B5177" i="1"/>
  <c r="C5177" i="1"/>
  <c r="M5177" i="1"/>
  <c r="A5178" i="1"/>
  <c r="B5178" i="1"/>
  <c r="C5178" i="1"/>
  <c r="M5178" i="1"/>
  <c r="A5179" i="1"/>
  <c r="B5179" i="1"/>
  <c r="C5179" i="1"/>
  <c r="M5179" i="1"/>
  <c r="A5180" i="1"/>
  <c r="B5180" i="1"/>
  <c r="C5180" i="1"/>
  <c r="M5180" i="1"/>
  <c r="A5181" i="1"/>
  <c r="B5181" i="1"/>
  <c r="C5181" i="1"/>
  <c r="M5181" i="1"/>
  <c r="A5182" i="1"/>
  <c r="B5182" i="1"/>
  <c r="C5182" i="1"/>
  <c r="M5182" i="1"/>
  <c r="A5183" i="1"/>
  <c r="B5183" i="1"/>
  <c r="C5183" i="1"/>
  <c r="M5183" i="1"/>
  <c r="A5184" i="1"/>
  <c r="B5184" i="1"/>
  <c r="C5184" i="1"/>
  <c r="M5184" i="1"/>
  <c r="A5185" i="1"/>
  <c r="B5185" i="1"/>
  <c r="C5185" i="1"/>
  <c r="M5185" i="1"/>
  <c r="A5186" i="1"/>
  <c r="B5186" i="1"/>
  <c r="C5186" i="1"/>
  <c r="M5186" i="1"/>
  <c r="A5187" i="1"/>
  <c r="B5187" i="1"/>
  <c r="C5187" i="1"/>
  <c r="M5187" i="1"/>
  <c r="A5188" i="1"/>
  <c r="B5188" i="1"/>
  <c r="C5188" i="1"/>
  <c r="M5188" i="1"/>
  <c r="A5189" i="1"/>
  <c r="B5189" i="1"/>
  <c r="C5189" i="1"/>
  <c r="M5189" i="1"/>
  <c r="A5190" i="1"/>
  <c r="B5190" i="1"/>
  <c r="C5190" i="1"/>
  <c r="M5190" i="1"/>
  <c r="A5191" i="1"/>
  <c r="B5191" i="1"/>
  <c r="C5191" i="1"/>
  <c r="M5191" i="1"/>
  <c r="A5192" i="1"/>
  <c r="B5192" i="1"/>
  <c r="C5192" i="1"/>
  <c r="M5192" i="1"/>
  <c r="A5193" i="1"/>
  <c r="B5193" i="1"/>
  <c r="C5193" i="1"/>
  <c r="M5193" i="1"/>
  <c r="A5194" i="1"/>
  <c r="B5194" i="1"/>
  <c r="C5194" i="1"/>
  <c r="M5194" i="1"/>
  <c r="A5195" i="1"/>
  <c r="B5195" i="1"/>
  <c r="C5195" i="1"/>
  <c r="M5195" i="1"/>
  <c r="A5196" i="1"/>
  <c r="B5196" i="1"/>
  <c r="C5196" i="1"/>
  <c r="M5196" i="1"/>
  <c r="A5197" i="1"/>
  <c r="B5197" i="1"/>
  <c r="C5197" i="1"/>
  <c r="M5197" i="1"/>
  <c r="A5198" i="1"/>
  <c r="B5198" i="1"/>
  <c r="C5198" i="1"/>
  <c r="M5198" i="1"/>
  <c r="A5199" i="1"/>
  <c r="B5199" i="1"/>
  <c r="C5199" i="1"/>
  <c r="M5199" i="1"/>
  <c r="A5200" i="1"/>
  <c r="B5200" i="1"/>
  <c r="C5200" i="1"/>
  <c r="M5200" i="1"/>
  <c r="A5201" i="1"/>
  <c r="B5201" i="1"/>
  <c r="C5201" i="1"/>
  <c r="M5201" i="1"/>
  <c r="A5202" i="1"/>
  <c r="B5202" i="1"/>
  <c r="C5202" i="1"/>
  <c r="M5202" i="1"/>
  <c r="A5203" i="1"/>
  <c r="B5203" i="1"/>
  <c r="C5203" i="1"/>
  <c r="M5203" i="1"/>
  <c r="A5204" i="1"/>
  <c r="B5204" i="1"/>
  <c r="C5204" i="1"/>
  <c r="M5204" i="1"/>
  <c r="A5205" i="1"/>
  <c r="B5205" i="1"/>
  <c r="C5205" i="1"/>
  <c r="M5205" i="1"/>
  <c r="A5206" i="1"/>
  <c r="B5206" i="1"/>
  <c r="C5206" i="1"/>
  <c r="M5206" i="1"/>
  <c r="A5207" i="1"/>
  <c r="B5207" i="1"/>
  <c r="C5207" i="1"/>
  <c r="M5207" i="1"/>
  <c r="A5208" i="1"/>
  <c r="B5208" i="1"/>
  <c r="C5208" i="1"/>
  <c r="M5208" i="1"/>
  <c r="A5209" i="1"/>
  <c r="B5209" i="1"/>
  <c r="C5209" i="1"/>
  <c r="M5209" i="1"/>
  <c r="A5210" i="1"/>
  <c r="B5210" i="1"/>
  <c r="C5210" i="1"/>
  <c r="M5210" i="1"/>
  <c r="A5211" i="1"/>
  <c r="B5211" i="1"/>
  <c r="C5211" i="1"/>
  <c r="M5211" i="1"/>
  <c r="A5212" i="1"/>
  <c r="B5212" i="1"/>
  <c r="C5212" i="1"/>
  <c r="M5212" i="1"/>
  <c r="A5213" i="1"/>
  <c r="B5213" i="1"/>
  <c r="C5213" i="1"/>
  <c r="M5213" i="1"/>
  <c r="A5214" i="1"/>
  <c r="B5214" i="1"/>
  <c r="C5214" i="1"/>
  <c r="M5214" i="1"/>
  <c r="A5215" i="1"/>
  <c r="B5215" i="1"/>
  <c r="C5215" i="1"/>
  <c r="M5215" i="1"/>
  <c r="A5216" i="1"/>
  <c r="B5216" i="1"/>
  <c r="C5216" i="1"/>
  <c r="M5216" i="1"/>
  <c r="A5217" i="1"/>
  <c r="B5217" i="1"/>
  <c r="C5217" i="1"/>
  <c r="M5217" i="1"/>
  <c r="A5218" i="1"/>
  <c r="B5218" i="1"/>
  <c r="C5218" i="1"/>
  <c r="M5218" i="1"/>
  <c r="A5219" i="1"/>
  <c r="B5219" i="1"/>
  <c r="C5219" i="1"/>
  <c r="M5219" i="1"/>
  <c r="A5220" i="1"/>
  <c r="B5220" i="1"/>
  <c r="C5220" i="1"/>
  <c r="M5220" i="1"/>
  <c r="A5221" i="1"/>
  <c r="B5221" i="1"/>
  <c r="C5221" i="1"/>
  <c r="M5221" i="1"/>
  <c r="A5222" i="1"/>
  <c r="B5222" i="1"/>
  <c r="C5222" i="1"/>
  <c r="M5222" i="1"/>
  <c r="A5223" i="1"/>
  <c r="B5223" i="1"/>
  <c r="C5223" i="1"/>
  <c r="M5223" i="1"/>
  <c r="A5224" i="1"/>
  <c r="B5224" i="1"/>
  <c r="C5224" i="1"/>
  <c r="M5224" i="1"/>
  <c r="A5225" i="1"/>
  <c r="B5225" i="1"/>
  <c r="C5225" i="1"/>
  <c r="M5225" i="1"/>
  <c r="A5226" i="1"/>
  <c r="B5226" i="1"/>
  <c r="C5226" i="1"/>
  <c r="M5226" i="1"/>
  <c r="A5227" i="1"/>
  <c r="B5227" i="1"/>
  <c r="C5227" i="1"/>
  <c r="M5227" i="1"/>
  <c r="A5228" i="1"/>
  <c r="B5228" i="1"/>
  <c r="C5228" i="1"/>
  <c r="M5228" i="1"/>
  <c r="A5229" i="1"/>
  <c r="B5229" i="1"/>
  <c r="C5229" i="1"/>
  <c r="M5229" i="1"/>
  <c r="A5230" i="1"/>
  <c r="B5230" i="1"/>
  <c r="C5230" i="1"/>
  <c r="M5230" i="1"/>
  <c r="A5231" i="1"/>
  <c r="B5231" i="1"/>
  <c r="C5231" i="1"/>
  <c r="M5231" i="1"/>
  <c r="A5232" i="1"/>
  <c r="B5232" i="1"/>
  <c r="C5232" i="1"/>
  <c r="M5232" i="1"/>
  <c r="A5233" i="1"/>
  <c r="B5233" i="1"/>
  <c r="C5233" i="1"/>
  <c r="M5233" i="1"/>
  <c r="A5234" i="1"/>
  <c r="B5234" i="1"/>
  <c r="C5234" i="1"/>
  <c r="M5234" i="1"/>
  <c r="A5235" i="1"/>
  <c r="B5235" i="1"/>
  <c r="C5235" i="1"/>
  <c r="M5235" i="1"/>
  <c r="A5236" i="1"/>
  <c r="B5236" i="1"/>
  <c r="C5236" i="1"/>
  <c r="M5236" i="1"/>
  <c r="A5237" i="1"/>
  <c r="B5237" i="1"/>
  <c r="C5237" i="1"/>
  <c r="M5237" i="1"/>
  <c r="A5238" i="1"/>
  <c r="B5238" i="1"/>
  <c r="C5238" i="1"/>
  <c r="M5238" i="1"/>
  <c r="A5239" i="1"/>
  <c r="B5239" i="1"/>
  <c r="C5239" i="1"/>
  <c r="M5239" i="1"/>
  <c r="A5240" i="1"/>
  <c r="B5240" i="1"/>
  <c r="C5240" i="1"/>
  <c r="M5240" i="1"/>
  <c r="A5241" i="1"/>
  <c r="B5241" i="1"/>
  <c r="C5241" i="1"/>
  <c r="M5241" i="1"/>
  <c r="A5242" i="1"/>
  <c r="B5242" i="1"/>
  <c r="C5242" i="1"/>
  <c r="M5242" i="1"/>
  <c r="A5243" i="1"/>
  <c r="B5243" i="1"/>
  <c r="C5243" i="1"/>
  <c r="M5243" i="1"/>
  <c r="A5244" i="1"/>
  <c r="B5244" i="1"/>
  <c r="C5244" i="1"/>
  <c r="M5244" i="1"/>
  <c r="A5245" i="1"/>
  <c r="B5245" i="1"/>
  <c r="C5245" i="1"/>
  <c r="M5245" i="1"/>
  <c r="A5246" i="1"/>
  <c r="B5246" i="1"/>
  <c r="C5246" i="1"/>
  <c r="M5246" i="1"/>
  <c r="A5247" i="1"/>
  <c r="B5247" i="1"/>
  <c r="C5247" i="1"/>
  <c r="M5247" i="1"/>
  <c r="A5248" i="1"/>
  <c r="B5248" i="1"/>
  <c r="C5248" i="1"/>
  <c r="M5248" i="1"/>
  <c r="A5249" i="1"/>
  <c r="B5249" i="1"/>
  <c r="C5249" i="1"/>
  <c r="M5249" i="1"/>
  <c r="A5250" i="1"/>
  <c r="B5250" i="1"/>
  <c r="C5250" i="1"/>
  <c r="M5250" i="1"/>
  <c r="A5251" i="1"/>
  <c r="B5251" i="1"/>
  <c r="C5251" i="1"/>
  <c r="M5251" i="1"/>
  <c r="A5252" i="1"/>
  <c r="B5252" i="1"/>
  <c r="C5252" i="1"/>
  <c r="M5252" i="1"/>
  <c r="A5253" i="1"/>
  <c r="B5253" i="1"/>
  <c r="C5253" i="1"/>
  <c r="M5253" i="1"/>
  <c r="A5254" i="1"/>
  <c r="B5254" i="1"/>
  <c r="C5254" i="1"/>
  <c r="M5254" i="1"/>
  <c r="A5255" i="1"/>
  <c r="B5255" i="1"/>
  <c r="C5255" i="1"/>
  <c r="M5255" i="1"/>
  <c r="A5256" i="1"/>
  <c r="B5256" i="1"/>
  <c r="C5256" i="1"/>
  <c r="M5256" i="1"/>
  <c r="A5257" i="1"/>
  <c r="B5257" i="1"/>
  <c r="C5257" i="1"/>
  <c r="M5257" i="1"/>
  <c r="A5258" i="1"/>
  <c r="B5258" i="1"/>
  <c r="C5258" i="1"/>
  <c r="M5258" i="1"/>
  <c r="A5259" i="1"/>
  <c r="B5259" i="1"/>
  <c r="C5259" i="1"/>
  <c r="M5259" i="1"/>
  <c r="A5260" i="1"/>
  <c r="B5260" i="1"/>
  <c r="C5260" i="1"/>
  <c r="M5260" i="1"/>
  <c r="A5261" i="1"/>
  <c r="B5261" i="1"/>
  <c r="C5261" i="1"/>
  <c r="M5261" i="1"/>
  <c r="A5262" i="1"/>
  <c r="B5262" i="1"/>
  <c r="C5262" i="1"/>
  <c r="M5262" i="1"/>
  <c r="A5263" i="1"/>
  <c r="B5263" i="1"/>
  <c r="C5263" i="1"/>
  <c r="M5263" i="1"/>
  <c r="A5264" i="1"/>
  <c r="B5264" i="1"/>
  <c r="C5264" i="1"/>
  <c r="M5264" i="1"/>
  <c r="A5265" i="1"/>
  <c r="B5265" i="1"/>
  <c r="C5265" i="1"/>
  <c r="M5265" i="1"/>
  <c r="A5266" i="1"/>
  <c r="B5266" i="1"/>
  <c r="C5266" i="1"/>
  <c r="M5266" i="1"/>
  <c r="A5267" i="1"/>
  <c r="B5267" i="1"/>
  <c r="C5267" i="1"/>
  <c r="M5267" i="1"/>
  <c r="A5268" i="1"/>
  <c r="B5268" i="1"/>
  <c r="C5268" i="1"/>
  <c r="M5268" i="1"/>
  <c r="A5269" i="1"/>
  <c r="B5269" i="1"/>
  <c r="C5269" i="1"/>
  <c r="M5269" i="1"/>
  <c r="A5270" i="1"/>
  <c r="B5270" i="1"/>
  <c r="C5270" i="1"/>
  <c r="M5270" i="1"/>
  <c r="A5271" i="1"/>
  <c r="B5271" i="1"/>
  <c r="C5271" i="1"/>
  <c r="M5271" i="1"/>
  <c r="A5272" i="1"/>
  <c r="B5272" i="1"/>
  <c r="C5272" i="1"/>
  <c r="M5272" i="1"/>
  <c r="A5273" i="1"/>
  <c r="B5273" i="1"/>
  <c r="C5273" i="1"/>
  <c r="M5273" i="1"/>
  <c r="A5274" i="1"/>
  <c r="B5274" i="1"/>
  <c r="C5274" i="1"/>
  <c r="M5274" i="1"/>
  <c r="A5275" i="1"/>
  <c r="B5275" i="1"/>
  <c r="C5275" i="1"/>
  <c r="M5275" i="1"/>
  <c r="A5276" i="1"/>
  <c r="B5276" i="1"/>
  <c r="C5276" i="1"/>
  <c r="M5276" i="1"/>
  <c r="A5277" i="1"/>
  <c r="B5277" i="1"/>
  <c r="C5277" i="1"/>
  <c r="M5277" i="1"/>
  <c r="A5278" i="1"/>
  <c r="B5278" i="1"/>
  <c r="C5278" i="1"/>
  <c r="M5278" i="1"/>
  <c r="A5279" i="1"/>
  <c r="B5279" i="1"/>
  <c r="C5279" i="1"/>
  <c r="M5279" i="1"/>
  <c r="A5280" i="1"/>
  <c r="B5280" i="1"/>
  <c r="C5280" i="1"/>
  <c r="M5280" i="1"/>
  <c r="A5281" i="1"/>
  <c r="B5281" i="1"/>
  <c r="C5281" i="1"/>
  <c r="M5281" i="1"/>
  <c r="A5282" i="1"/>
  <c r="B5282" i="1"/>
  <c r="C5282" i="1"/>
  <c r="M5282" i="1"/>
  <c r="A5283" i="1"/>
  <c r="B5283" i="1"/>
  <c r="C5283" i="1"/>
  <c r="M5283" i="1"/>
  <c r="A5284" i="1"/>
  <c r="B5284" i="1"/>
  <c r="C5284" i="1"/>
  <c r="M5284" i="1"/>
  <c r="A5285" i="1"/>
  <c r="B5285" i="1"/>
  <c r="C5285" i="1"/>
  <c r="M5285" i="1"/>
  <c r="A5286" i="1"/>
  <c r="B5286" i="1"/>
  <c r="C5286" i="1"/>
  <c r="M5286" i="1"/>
  <c r="A5287" i="1"/>
  <c r="B5287" i="1"/>
  <c r="C5287" i="1"/>
  <c r="M5287" i="1"/>
  <c r="A5288" i="1"/>
  <c r="B5288" i="1"/>
  <c r="C5288" i="1"/>
  <c r="M5288" i="1"/>
  <c r="A5289" i="1"/>
  <c r="B5289" i="1"/>
  <c r="C5289" i="1"/>
  <c r="M5289" i="1"/>
  <c r="A5290" i="1"/>
  <c r="B5290" i="1"/>
  <c r="C5290" i="1"/>
  <c r="M5290" i="1"/>
  <c r="A5291" i="1"/>
  <c r="B5291" i="1"/>
  <c r="C5291" i="1"/>
  <c r="M5291" i="1"/>
  <c r="A5292" i="1"/>
  <c r="B5292" i="1"/>
  <c r="C5292" i="1"/>
  <c r="M5292" i="1"/>
  <c r="A5293" i="1"/>
  <c r="B5293" i="1"/>
  <c r="C5293" i="1"/>
  <c r="M5293" i="1"/>
  <c r="A5294" i="1"/>
  <c r="B5294" i="1"/>
  <c r="C5294" i="1"/>
  <c r="M5294" i="1"/>
  <c r="A5295" i="1"/>
  <c r="B5295" i="1"/>
  <c r="C5295" i="1"/>
  <c r="M5295" i="1"/>
  <c r="A5296" i="1"/>
  <c r="B5296" i="1"/>
  <c r="C5296" i="1"/>
  <c r="M5296" i="1"/>
  <c r="A5297" i="1"/>
  <c r="B5297" i="1"/>
  <c r="C5297" i="1"/>
  <c r="M5297" i="1"/>
  <c r="A5298" i="1"/>
  <c r="B5298" i="1"/>
  <c r="C5298" i="1"/>
  <c r="M5298" i="1"/>
  <c r="A5299" i="1"/>
  <c r="B5299" i="1"/>
  <c r="C5299" i="1"/>
  <c r="M5299" i="1"/>
  <c r="A5300" i="1"/>
  <c r="B5300" i="1"/>
  <c r="C5300" i="1"/>
  <c r="M5300" i="1"/>
  <c r="A5301" i="1"/>
  <c r="B5301" i="1"/>
  <c r="C5301" i="1"/>
  <c r="M5301" i="1"/>
  <c r="A5302" i="1"/>
  <c r="B5302" i="1"/>
  <c r="C5302" i="1"/>
  <c r="M5302" i="1"/>
  <c r="A5303" i="1"/>
  <c r="B5303" i="1"/>
  <c r="C5303" i="1"/>
  <c r="M5303" i="1"/>
  <c r="A5304" i="1"/>
  <c r="B5304" i="1"/>
  <c r="C5304" i="1"/>
  <c r="M5304" i="1"/>
  <c r="A5305" i="1"/>
  <c r="B5305" i="1"/>
  <c r="C5305" i="1"/>
  <c r="M5305" i="1"/>
  <c r="A5306" i="1"/>
  <c r="B5306" i="1"/>
  <c r="C5306" i="1"/>
  <c r="M5306" i="1"/>
  <c r="A5307" i="1"/>
  <c r="B5307" i="1"/>
  <c r="C5307" i="1"/>
  <c r="M5307" i="1"/>
  <c r="A5308" i="1"/>
  <c r="B5308" i="1"/>
  <c r="C5308" i="1"/>
  <c r="M5308" i="1"/>
  <c r="A5309" i="1"/>
  <c r="B5309" i="1"/>
  <c r="C5309" i="1"/>
  <c r="M5309" i="1"/>
  <c r="A5310" i="1"/>
  <c r="B5310" i="1"/>
  <c r="C5310" i="1"/>
  <c r="M5310" i="1"/>
  <c r="A5311" i="1"/>
  <c r="B5311" i="1"/>
  <c r="C5311" i="1"/>
  <c r="M5311" i="1"/>
  <c r="A5312" i="1"/>
  <c r="B5312" i="1"/>
  <c r="C5312" i="1"/>
  <c r="M5312" i="1"/>
  <c r="A5313" i="1"/>
  <c r="B5313" i="1"/>
  <c r="C5313" i="1"/>
  <c r="M5313" i="1"/>
  <c r="A5314" i="1"/>
  <c r="B5314" i="1"/>
  <c r="C5314" i="1"/>
  <c r="M5314" i="1"/>
  <c r="A5315" i="1"/>
  <c r="B5315" i="1"/>
  <c r="M5315" i="1"/>
  <c r="A5316" i="1"/>
  <c r="B5316" i="1"/>
  <c r="C5316" i="1"/>
  <c r="M5316" i="1"/>
  <c r="A5317" i="1"/>
  <c r="B5317" i="1"/>
  <c r="C5317" i="1"/>
  <c r="M5317" i="1"/>
  <c r="A5318" i="1"/>
  <c r="B5318" i="1"/>
  <c r="M5318" i="1"/>
  <c r="A5319" i="1"/>
  <c r="B5319" i="1"/>
  <c r="C5319" i="1"/>
  <c r="M5319" i="1"/>
  <c r="A5320" i="1"/>
  <c r="B5320" i="1"/>
  <c r="C5320" i="1"/>
  <c r="M5320" i="1"/>
  <c r="A5321" i="1"/>
  <c r="B5321" i="1"/>
  <c r="C5321" i="1"/>
  <c r="M5321" i="1"/>
  <c r="A5322" i="1"/>
  <c r="B5322" i="1"/>
  <c r="C5322" i="1"/>
  <c r="M5322" i="1"/>
  <c r="A5323" i="1"/>
  <c r="B5323" i="1"/>
  <c r="C5323" i="1"/>
  <c r="M5323" i="1"/>
  <c r="A5324" i="1"/>
  <c r="B5324" i="1"/>
  <c r="C5324" i="1"/>
  <c r="M5324" i="1"/>
  <c r="A5325" i="1"/>
  <c r="B5325" i="1"/>
  <c r="C5325" i="1"/>
  <c r="M5325" i="1"/>
  <c r="A5326" i="1"/>
  <c r="B5326" i="1"/>
  <c r="C5326" i="1"/>
  <c r="M5326" i="1"/>
  <c r="A5327" i="1"/>
  <c r="B5327" i="1"/>
  <c r="C5327" i="1"/>
  <c r="M5327" i="1"/>
  <c r="A5328" i="1"/>
  <c r="B5328" i="1"/>
  <c r="C5328" i="1"/>
  <c r="M5328" i="1"/>
  <c r="A5329" i="1"/>
  <c r="B5329" i="1"/>
  <c r="C5329" i="1"/>
  <c r="M5329" i="1"/>
  <c r="A5330" i="1"/>
  <c r="B5330" i="1"/>
  <c r="C5330" i="1"/>
  <c r="M5330" i="1"/>
  <c r="A5331" i="1"/>
  <c r="B5331" i="1"/>
  <c r="C5331" i="1"/>
  <c r="M5331" i="1"/>
  <c r="A5332" i="1"/>
  <c r="B5332" i="1"/>
  <c r="C5332" i="1"/>
  <c r="M5332" i="1"/>
  <c r="A5333" i="1"/>
  <c r="B5333" i="1"/>
  <c r="C5333" i="1"/>
  <c r="M5333" i="1"/>
  <c r="A5334" i="1"/>
  <c r="B5334" i="1"/>
  <c r="C5334" i="1"/>
  <c r="M5334" i="1"/>
  <c r="A5335" i="1"/>
  <c r="B5335" i="1"/>
  <c r="C5335" i="1"/>
  <c r="M5335" i="1"/>
  <c r="A5336" i="1"/>
  <c r="B5336" i="1"/>
  <c r="C5336" i="1"/>
  <c r="M5336" i="1"/>
  <c r="A5337" i="1"/>
  <c r="B5337" i="1"/>
  <c r="C5337" i="1"/>
  <c r="M5337" i="1"/>
  <c r="A5338" i="1"/>
  <c r="B5338" i="1"/>
  <c r="C5338" i="1"/>
  <c r="M5338" i="1"/>
  <c r="A5339" i="1"/>
  <c r="B5339" i="1"/>
  <c r="C5339" i="1"/>
  <c r="M5339" i="1"/>
  <c r="A5340" i="1"/>
  <c r="B5340" i="1"/>
  <c r="C5340" i="1"/>
  <c r="M5340" i="1"/>
  <c r="A5341" i="1"/>
  <c r="B5341" i="1"/>
  <c r="C5341" i="1"/>
  <c r="M5341" i="1"/>
  <c r="A5342" i="1"/>
  <c r="B5342" i="1"/>
  <c r="C5342" i="1"/>
  <c r="M5342" i="1"/>
  <c r="A5343" i="1"/>
  <c r="B5343" i="1"/>
  <c r="C5343" i="1"/>
  <c r="M5343" i="1"/>
  <c r="A5344" i="1"/>
  <c r="B5344" i="1"/>
  <c r="C5344" i="1"/>
  <c r="M5344" i="1"/>
  <c r="A5345" i="1"/>
  <c r="B5345" i="1"/>
  <c r="C5345" i="1"/>
  <c r="M5345" i="1"/>
  <c r="A5346" i="1"/>
  <c r="B5346" i="1"/>
  <c r="C5346" i="1"/>
  <c r="M5346" i="1"/>
  <c r="A5347" i="1"/>
  <c r="B5347" i="1"/>
  <c r="C5347" i="1"/>
  <c r="M5347" i="1"/>
  <c r="A5348" i="1"/>
  <c r="B5348" i="1"/>
  <c r="C5348" i="1"/>
  <c r="M5348" i="1"/>
  <c r="A5349" i="1"/>
  <c r="B5349" i="1"/>
  <c r="C5349" i="1"/>
  <c r="M5349" i="1"/>
  <c r="A5350" i="1"/>
  <c r="B5350" i="1"/>
  <c r="C5350" i="1"/>
  <c r="M5350" i="1"/>
  <c r="A5351" i="1"/>
  <c r="B5351" i="1"/>
  <c r="C5351" i="1"/>
  <c r="M5351" i="1"/>
  <c r="A5352" i="1"/>
  <c r="B5352" i="1"/>
  <c r="C5352" i="1"/>
  <c r="M5352" i="1"/>
  <c r="A5353" i="1"/>
  <c r="B5353" i="1"/>
  <c r="C5353" i="1"/>
  <c r="M5353" i="1"/>
  <c r="A5354" i="1"/>
  <c r="B5354" i="1"/>
  <c r="C5354" i="1"/>
  <c r="M5354" i="1"/>
  <c r="A5355" i="1"/>
  <c r="B5355" i="1"/>
  <c r="C5355" i="1"/>
  <c r="M5355" i="1"/>
  <c r="A5356" i="1"/>
  <c r="B5356" i="1"/>
  <c r="C5356" i="1"/>
  <c r="M5356" i="1"/>
  <c r="A5357" i="1"/>
  <c r="B5357" i="1"/>
  <c r="C5357" i="1"/>
  <c r="M5357" i="1"/>
  <c r="A5358" i="1"/>
  <c r="B5358" i="1"/>
  <c r="C5358" i="1"/>
  <c r="M5358" i="1"/>
  <c r="A5359" i="1"/>
  <c r="B5359" i="1"/>
  <c r="C5359" i="1"/>
  <c r="M5359" i="1"/>
  <c r="A5360" i="1"/>
  <c r="B5360" i="1"/>
  <c r="C5360" i="1"/>
  <c r="M5360" i="1"/>
  <c r="A5361" i="1"/>
  <c r="B5361" i="1"/>
  <c r="C5361" i="1"/>
  <c r="M5361" i="1"/>
  <c r="A5362" i="1"/>
  <c r="B5362" i="1"/>
  <c r="C5362" i="1"/>
  <c r="M5362" i="1"/>
  <c r="A5363" i="1"/>
  <c r="B5363" i="1"/>
  <c r="C5363" i="1"/>
  <c r="M5363" i="1"/>
  <c r="A5364" i="1"/>
  <c r="B5364" i="1"/>
  <c r="C5364" i="1"/>
  <c r="M5364" i="1"/>
  <c r="A5365" i="1"/>
  <c r="B5365" i="1"/>
  <c r="C5365" i="1"/>
  <c r="M5365" i="1"/>
  <c r="A5366" i="1"/>
  <c r="B5366" i="1"/>
  <c r="C5366" i="1"/>
  <c r="M5366" i="1"/>
  <c r="A5367" i="1"/>
  <c r="B5367" i="1"/>
  <c r="C5367" i="1"/>
  <c r="M5367" i="1"/>
  <c r="A5368" i="1"/>
  <c r="B5368" i="1"/>
  <c r="C5368" i="1"/>
  <c r="M5368" i="1"/>
  <c r="A5369" i="1"/>
  <c r="B5369" i="1"/>
  <c r="C5369" i="1"/>
  <c r="M5369" i="1"/>
  <c r="A5370" i="1"/>
  <c r="B5370" i="1"/>
  <c r="C5370" i="1"/>
  <c r="M5370" i="1"/>
  <c r="A5371" i="1"/>
  <c r="B5371" i="1"/>
  <c r="C5371" i="1"/>
  <c r="M5371" i="1"/>
  <c r="A5372" i="1"/>
  <c r="B5372" i="1"/>
  <c r="C5372" i="1"/>
  <c r="M5372" i="1"/>
  <c r="A5373" i="1"/>
  <c r="B5373" i="1"/>
  <c r="C5373" i="1"/>
  <c r="M5373" i="1"/>
  <c r="A5374" i="1"/>
  <c r="B5374" i="1"/>
  <c r="C5374" i="1"/>
  <c r="M5374" i="1"/>
  <c r="A5375" i="1"/>
  <c r="B5375" i="1"/>
  <c r="C5375" i="1"/>
  <c r="M5375" i="1"/>
  <c r="A5376" i="1"/>
  <c r="B5376" i="1"/>
  <c r="C5376" i="1"/>
  <c r="M5376" i="1"/>
  <c r="A5377" i="1"/>
  <c r="B5377" i="1"/>
  <c r="C5377" i="1"/>
  <c r="M5377" i="1"/>
  <c r="A5378" i="1"/>
  <c r="B5378" i="1"/>
  <c r="C5378" i="1"/>
  <c r="M5378" i="1"/>
  <c r="A5379" i="1"/>
  <c r="B5379" i="1"/>
  <c r="C5379" i="1"/>
  <c r="M5379" i="1"/>
  <c r="A5380" i="1"/>
  <c r="B5380" i="1"/>
  <c r="C5380" i="1"/>
  <c r="M5380" i="1"/>
  <c r="A5381" i="1"/>
  <c r="B5381" i="1"/>
  <c r="C5381" i="1"/>
  <c r="M5381" i="1"/>
  <c r="A5382" i="1"/>
  <c r="B5382" i="1"/>
  <c r="C5382" i="1"/>
  <c r="M5382" i="1"/>
  <c r="A5383" i="1"/>
  <c r="B5383" i="1"/>
  <c r="C5383" i="1"/>
  <c r="M5383" i="1"/>
  <c r="A5384" i="1"/>
  <c r="B5384" i="1"/>
  <c r="C5384" i="1"/>
  <c r="M5384" i="1"/>
  <c r="A5385" i="1"/>
  <c r="B5385" i="1"/>
  <c r="C5385" i="1"/>
  <c r="M5385" i="1"/>
  <c r="A5386" i="1"/>
  <c r="B5386" i="1"/>
  <c r="C5386" i="1"/>
  <c r="M5386" i="1"/>
  <c r="A5387" i="1"/>
  <c r="B5387" i="1"/>
  <c r="C5387" i="1"/>
  <c r="M5387" i="1"/>
  <c r="A5388" i="1"/>
  <c r="B5388" i="1"/>
  <c r="C5388" i="1"/>
  <c r="M5388" i="1"/>
  <c r="A5389" i="1"/>
  <c r="B5389" i="1"/>
  <c r="C5389" i="1"/>
  <c r="M5389" i="1"/>
  <c r="A5390" i="1"/>
  <c r="B5390" i="1"/>
  <c r="C5390" i="1"/>
  <c r="M5390" i="1"/>
  <c r="A5391" i="1"/>
  <c r="B5391" i="1"/>
  <c r="C5391" i="1"/>
  <c r="M5391" i="1"/>
  <c r="A5392" i="1"/>
  <c r="B5392" i="1"/>
  <c r="C5392" i="1"/>
  <c r="M5392" i="1"/>
  <c r="A5393" i="1"/>
  <c r="B5393" i="1"/>
  <c r="C5393" i="1"/>
  <c r="M5393" i="1"/>
  <c r="A5394" i="1"/>
  <c r="B5394" i="1"/>
  <c r="C5394" i="1"/>
  <c r="M5394" i="1"/>
  <c r="A5395" i="1"/>
  <c r="B5395" i="1"/>
  <c r="C5395" i="1"/>
  <c r="M5395" i="1"/>
  <c r="A5396" i="1"/>
  <c r="B5396" i="1"/>
  <c r="C5396" i="1"/>
  <c r="M5396" i="1"/>
  <c r="A5397" i="1"/>
  <c r="B5397" i="1"/>
  <c r="C5397" i="1"/>
  <c r="M5397" i="1"/>
  <c r="A5398" i="1"/>
  <c r="B5398" i="1"/>
  <c r="C5398" i="1"/>
  <c r="M5398" i="1"/>
  <c r="A5399" i="1"/>
  <c r="B5399" i="1"/>
  <c r="C5399" i="1"/>
  <c r="M5399" i="1"/>
  <c r="A5400" i="1"/>
  <c r="B5400" i="1"/>
  <c r="C5400" i="1"/>
  <c r="M5400" i="1"/>
  <c r="A5401" i="1"/>
  <c r="B5401" i="1"/>
  <c r="C5401" i="1"/>
  <c r="M5401" i="1"/>
  <c r="A5402" i="1"/>
  <c r="B5402" i="1"/>
  <c r="C5402" i="1"/>
  <c r="M5402" i="1"/>
  <c r="A5403" i="1"/>
  <c r="B5403" i="1"/>
  <c r="C5403" i="1"/>
  <c r="M5403" i="1"/>
  <c r="A5404" i="1"/>
  <c r="B5404" i="1"/>
  <c r="C5404" i="1"/>
  <c r="M5404" i="1"/>
  <c r="A5405" i="1"/>
  <c r="B5405" i="1"/>
  <c r="C5405" i="1"/>
  <c r="M5405" i="1"/>
  <c r="A5406" i="1"/>
  <c r="B5406" i="1"/>
  <c r="C5406" i="1"/>
  <c r="M5406" i="1"/>
  <c r="A5407" i="1"/>
  <c r="B5407" i="1"/>
  <c r="C5407" i="1"/>
  <c r="M5407" i="1"/>
  <c r="A5408" i="1"/>
  <c r="B5408" i="1"/>
  <c r="C5408" i="1"/>
  <c r="M5408" i="1"/>
  <c r="A5409" i="1"/>
  <c r="B5409" i="1"/>
  <c r="C5409" i="1"/>
  <c r="M5409" i="1"/>
  <c r="A5410" i="1"/>
  <c r="B5410" i="1"/>
  <c r="C5410" i="1"/>
  <c r="M5410" i="1"/>
  <c r="A5411" i="1"/>
  <c r="B5411" i="1"/>
  <c r="C5411" i="1"/>
  <c r="M5411" i="1"/>
  <c r="A5412" i="1"/>
  <c r="B5412" i="1"/>
  <c r="C5412" i="1"/>
  <c r="M5412" i="1"/>
  <c r="A5413" i="1"/>
  <c r="B5413" i="1"/>
  <c r="C5413" i="1"/>
  <c r="M5413" i="1"/>
  <c r="A5414" i="1"/>
  <c r="B5414" i="1"/>
  <c r="C5414" i="1"/>
  <c r="M5414" i="1"/>
  <c r="A5415" i="1"/>
  <c r="B5415" i="1"/>
  <c r="C5415" i="1"/>
  <c r="M5415" i="1"/>
  <c r="A5416" i="1"/>
  <c r="B5416" i="1"/>
  <c r="C5416" i="1"/>
  <c r="M5416" i="1"/>
  <c r="A5417" i="1"/>
  <c r="B5417" i="1"/>
  <c r="C5417" i="1"/>
  <c r="M5417" i="1"/>
  <c r="A5418" i="1"/>
  <c r="B5418" i="1"/>
  <c r="C5418" i="1"/>
  <c r="M5418" i="1"/>
  <c r="A5419" i="1"/>
  <c r="B5419" i="1"/>
  <c r="C5419" i="1"/>
  <c r="M5419" i="1"/>
  <c r="A5420" i="1"/>
  <c r="B5420" i="1"/>
  <c r="C5420" i="1"/>
  <c r="M5420" i="1"/>
  <c r="A5421" i="1"/>
  <c r="B5421" i="1"/>
  <c r="C5421" i="1"/>
  <c r="M5421" i="1"/>
  <c r="A5422" i="1"/>
  <c r="B5422" i="1"/>
  <c r="C5422" i="1"/>
  <c r="M5422" i="1"/>
  <c r="A5423" i="1"/>
  <c r="B5423" i="1"/>
  <c r="C5423" i="1"/>
  <c r="M5423" i="1"/>
  <c r="A5424" i="1"/>
  <c r="B5424" i="1"/>
  <c r="C5424" i="1"/>
  <c r="M5424" i="1"/>
  <c r="A5425" i="1"/>
  <c r="B5425" i="1"/>
  <c r="C5425" i="1"/>
  <c r="M5425" i="1"/>
  <c r="A5426" i="1"/>
  <c r="B5426" i="1"/>
  <c r="C5426" i="1"/>
  <c r="M5426" i="1"/>
  <c r="A5427" i="1"/>
  <c r="B5427" i="1"/>
  <c r="C5427" i="1"/>
  <c r="M5427" i="1"/>
  <c r="A5428" i="1"/>
  <c r="B5428" i="1"/>
  <c r="C5428" i="1"/>
  <c r="M5428" i="1"/>
  <c r="A5429" i="1"/>
  <c r="B5429" i="1"/>
  <c r="C5429" i="1"/>
  <c r="M5429" i="1"/>
  <c r="A5430" i="1"/>
  <c r="B5430" i="1"/>
  <c r="C5430" i="1"/>
  <c r="M5430" i="1"/>
  <c r="A5431" i="1"/>
  <c r="B5431" i="1"/>
  <c r="C5431" i="1"/>
  <c r="M5431" i="1"/>
  <c r="A5432" i="1"/>
  <c r="B5432" i="1"/>
  <c r="C5432" i="1"/>
  <c r="M5432" i="1"/>
  <c r="A5433" i="1"/>
  <c r="B5433" i="1"/>
  <c r="C5433" i="1"/>
  <c r="M5433" i="1"/>
  <c r="A5434" i="1"/>
  <c r="B5434" i="1"/>
  <c r="C5434" i="1"/>
  <c r="M5434" i="1"/>
  <c r="A5435" i="1"/>
  <c r="B5435" i="1"/>
  <c r="C5435" i="1"/>
  <c r="M5435" i="1"/>
  <c r="A5436" i="1"/>
  <c r="B5436" i="1"/>
  <c r="C5436" i="1"/>
  <c r="M5436" i="1"/>
  <c r="A5437" i="1"/>
  <c r="B5437" i="1"/>
  <c r="C5437" i="1"/>
  <c r="M5437" i="1"/>
  <c r="A5438" i="1"/>
  <c r="B5438" i="1"/>
  <c r="C5438" i="1"/>
  <c r="M5438" i="1"/>
  <c r="A5439" i="1"/>
  <c r="B5439" i="1"/>
  <c r="C5439" i="1"/>
  <c r="M5439" i="1"/>
  <c r="A5440" i="1"/>
  <c r="B5440" i="1"/>
  <c r="C5440" i="1"/>
  <c r="M5440" i="1"/>
  <c r="A5441" i="1"/>
  <c r="B5441" i="1"/>
  <c r="C5441" i="1"/>
  <c r="M5441" i="1"/>
  <c r="A5442" i="1"/>
  <c r="B5442" i="1"/>
  <c r="C5442" i="1"/>
  <c r="M5442" i="1"/>
  <c r="A5443" i="1"/>
  <c r="B5443" i="1"/>
  <c r="C5443" i="1"/>
  <c r="M5443" i="1"/>
  <c r="A5444" i="1"/>
  <c r="B5444" i="1"/>
  <c r="C5444" i="1"/>
  <c r="M5444" i="1"/>
  <c r="A5445" i="1"/>
  <c r="B5445" i="1"/>
  <c r="C5445" i="1"/>
  <c r="M5445" i="1"/>
  <c r="A5446" i="1"/>
  <c r="B5446" i="1"/>
  <c r="C5446" i="1"/>
  <c r="M5446" i="1"/>
  <c r="A5447" i="1"/>
  <c r="B5447" i="1"/>
  <c r="C5447" i="1"/>
  <c r="M5447" i="1"/>
  <c r="A5448" i="1"/>
  <c r="B5448" i="1"/>
  <c r="C5448" i="1"/>
  <c r="M5448" i="1"/>
  <c r="A5449" i="1"/>
  <c r="B5449" i="1"/>
  <c r="C5449" i="1"/>
  <c r="M5449" i="1"/>
  <c r="A5450" i="1"/>
  <c r="B5450" i="1"/>
  <c r="C5450" i="1"/>
  <c r="M5450" i="1"/>
  <c r="A5451" i="1"/>
  <c r="B5451" i="1"/>
  <c r="C5451" i="1"/>
  <c r="M5451" i="1"/>
  <c r="A5452" i="1"/>
  <c r="B5452" i="1"/>
  <c r="C5452" i="1"/>
  <c r="M5452" i="1"/>
  <c r="A5453" i="1"/>
  <c r="B5453" i="1"/>
  <c r="C5453" i="1"/>
  <c r="M5453" i="1"/>
  <c r="A5454" i="1"/>
  <c r="B5454" i="1"/>
  <c r="C5454" i="1"/>
  <c r="M5454" i="1"/>
  <c r="A5455" i="1"/>
  <c r="B5455" i="1"/>
  <c r="C5455" i="1"/>
  <c r="M5455" i="1"/>
  <c r="A5456" i="1"/>
  <c r="B5456" i="1"/>
  <c r="C5456" i="1"/>
  <c r="M5456" i="1"/>
  <c r="A5457" i="1"/>
  <c r="B5457" i="1"/>
  <c r="C5457" i="1"/>
  <c r="M5457" i="1"/>
  <c r="A5458" i="1"/>
  <c r="B5458" i="1"/>
  <c r="C5458" i="1"/>
  <c r="M5458" i="1"/>
  <c r="A5459" i="1"/>
  <c r="B5459" i="1"/>
  <c r="C5459" i="1"/>
  <c r="M5459" i="1"/>
  <c r="A5460" i="1"/>
  <c r="B5460" i="1"/>
  <c r="C5460" i="1"/>
  <c r="M5460" i="1"/>
  <c r="A5461" i="1"/>
  <c r="B5461" i="1"/>
  <c r="C5461" i="1"/>
  <c r="M5461" i="1"/>
  <c r="A5462" i="1"/>
  <c r="B5462" i="1"/>
  <c r="C5462" i="1"/>
  <c r="M5462" i="1"/>
  <c r="A5463" i="1"/>
  <c r="B5463" i="1"/>
  <c r="C5463" i="1"/>
  <c r="M5463" i="1"/>
  <c r="A5464" i="1"/>
  <c r="B5464" i="1"/>
  <c r="C5464" i="1"/>
  <c r="M5464" i="1"/>
  <c r="A5465" i="1"/>
  <c r="B5465" i="1"/>
  <c r="C5465" i="1"/>
  <c r="M5465" i="1"/>
  <c r="A5466" i="1"/>
  <c r="B5466" i="1"/>
  <c r="C5466" i="1"/>
  <c r="M5466" i="1"/>
  <c r="A5467" i="1"/>
  <c r="B5467" i="1"/>
  <c r="C5467" i="1"/>
  <c r="M5467" i="1"/>
  <c r="A5468" i="1"/>
  <c r="B5468" i="1"/>
  <c r="C5468" i="1"/>
  <c r="M5468" i="1"/>
  <c r="A5469" i="1"/>
  <c r="B5469" i="1"/>
  <c r="C5469" i="1"/>
  <c r="M5469" i="1"/>
  <c r="A5470" i="1"/>
  <c r="B5470" i="1"/>
  <c r="C5470" i="1"/>
  <c r="M5470" i="1"/>
  <c r="A5471" i="1"/>
  <c r="B5471" i="1"/>
  <c r="C5471" i="1"/>
  <c r="M5471" i="1"/>
  <c r="A5472" i="1"/>
  <c r="B5472" i="1"/>
  <c r="C5472" i="1"/>
  <c r="M5472" i="1"/>
  <c r="A5473" i="1"/>
  <c r="B5473" i="1"/>
  <c r="C5473" i="1"/>
  <c r="M5473" i="1"/>
  <c r="A5474" i="1"/>
  <c r="B5474" i="1"/>
  <c r="C5474" i="1"/>
  <c r="M5474" i="1"/>
  <c r="A5475" i="1"/>
  <c r="B5475" i="1"/>
  <c r="C5475" i="1"/>
  <c r="M5475" i="1"/>
  <c r="A5476" i="1"/>
  <c r="B5476" i="1"/>
  <c r="C5476" i="1"/>
  <c r="M5476" i="1"/>
  <c r="A5477" i="1"/>
  <c r="B5477" i="1"/>
  <c r="C5477" i="1"/>
  <c r="M5477" i="1"/>
  <c r="A5478" i="1"/>
  <c r="B5478" i="1"/>
  <c r="C5478" i="1"/>
  <c r="M5478" i="1"/>
  <c r="A5479" i="1"/>
  <c r="B5479" i="1"/>
  <c r="C5479" i="1"/>
  <c r="M5479" i="1"/>
  <c r="A5480" i="1"/>
  <c r="B5480" i="1"/>
  <c r="C5480" i="1"/>
  <c r="M5480" i="1"/>
  <c r="A5481" i="1"/>
  <c r="B5481" i="1"/>
  <c r="C5481" i="1"/>
  <c r="M5481" i="1"/>
  <c r="A5482" i="1"/>
  <c r="B5482" i="1"/>
  <c r="C5482" i="1"/>
  <c r="M5482" i="1"/>
  <c r="A5483" i="1"/>
  <c r="B5483" i="1"/>
  <c r="C5483" i="1"/>
  <c r="M5483" i="1"/>
  <c r="A5484" i="1"/>
  <c r="B5484" i="1"/>
  <c r="C5484" i="1"/>
  <c r="M5484" i="1"/>
  <c r="A5485" i="1"/>
  <c r="B5485" i="1"/>
  <c r="C5485" i="1"/>
  <c r="M5485" i="1"/>
  <c r="A5486" i="1"/>
  <c r="B5486" i="1"/>
  <c r="C5486" i="1"/>
  <c r="M5486" i="1"/>
  <c r="A5487" i="1"/>
  <c r="B5487" i="1"/>
  <c r="C5487" i="1"/>
  <c r="M5487" i="1"/>
  <c r="A5488" i="1"/>
  <c r="B5488" i="1"/>
  <c r="C5488" i="1"/>
  <c r="M5488" i="1"/>
  <c r="A5489" i="1"/>
  <c r="B5489" i="1"/>
  <c r="C5489" i="1"/>
  <c r="M5489" i="1"/>
  <c r="A5490" i="1"/>
  <c r="B5490" i="1"/>
  <c r="C5490" i="1"/>
  <c r="M5490" i="1"/>
  <c r="A5491" i="1"/>
  <c r="B5491" i="1"/>
  <c r="C5491" i="1"/>
  <c r="M5491" i="1"/>
  <c r="A5492" i="1"/>
  <c r="B5492" i="1"/>
  <c r="C5492" i="1"/>
  <c r="M5492" i="1"/>
  <c r="A5493" i="1"/>
  <c r="B5493" i="1"/>
  <c r="C5493" i="1"/>
  <c r="M5493" i="1"/>
  <c r="A5494" i="1"/>
  <c r="B5494" i="1"/>
  <c r="C5494" i="1"/>
  <c r="M5494" i="1"/>
  <c r="A5495" i="1"/>
  <c r="B5495" i="1"/>
  <c r="C5495" i="1"/>
  <c r="M5495" i="1"/>
  <c r="A5496" i="1"/>
  <c r="B5496" i="1"/>
  <c r="C5496" i="1"/>
  <c r="M5496" i="1"/>
  <c r="A5497" i="1"/>
  <c r="B5497" i="1"/>
  <c r="C5497" i="1"/>
  <c r="M5497" i="1"/>
  <c r="A5498" i="1"/>
  <c r="B5498" i="1"/>
  <c r="C5498" i="1"/>
  <c r="M5498" i="1"/>
  <c r="A5499" i="1"/>
  <c r="B5499" i="1"/>
  <c r="C5499" i="1"/>
  <c r="M5499" i="1"/>
  <c r="A5500" i="1"/>
  <c r="B5500" i="1"/>
  <c r="C5500" i="1"/>
  <c r="M5500" i="1"/>
  <c r="A5501" i="1"/>
  <c r="B5501" i="1"/>
  <c r="C5501" i="1"/>
  <c r="M5501" i="1"/>
  <c r="A5502" i="1"/>
  <c r="B5502" i="1"/>
  <c r="C5502" i="1"/>
  <c r="M5502" i="1"/>
  <c r="A5503" i="1"/>
  <c r="B5503" i="1"/>
  <c r="C5503" i="1"/>
  <c r="M5503" i="1"/>
  <c r="A5504" i="1"/>
  <c r="B5504" i="1"/>
  <c r="C5504" i="1"/>
  <c r="M5504" i="1"/>
  <c r="A5505" i="1"/>
  <c r="B5505" i="1"/>
  <c r="C5505" i="1"/>
  <c r="M5505" i="1"/>
  <c r="A5506" i="1"/>
  <c r="B5506" i="1"/>
  <c r="C5506" i="1"/>
  <c r="M5506" i="1"/>
  <c r="A5507" i="1"/>
  <c r="B5507" i="1"/>
  <c r="C5507" i="1"/>
  <c r="M5507" i="1"/>
  <c r="A5508" i="1"/>
  <c r="B5508" i="1"/>
  <c r="C5508" i="1"/>
  <c r="M5508" i="1"/>
  <c r="A5509" i="1"/>
  <c r="B5509" i="1"/>
  <c r="C5509" i="1"/>
  <c r="M5509" i="1"/>
  <c r="A5510" i="1"/>
  <c r="B5510" i="1"/>
  <c r="C5510" i="1"/>
  <c r="M5510" i="1"/>
  <c r="A5511" i="1"/>
  <c r="B5511" i="1"/>
  <c r="C5511" i="1"/>
  <c r="M5511" i="1"/>
  <c r="A5512" i="1"/>
  <c r="B5512" i="1"/>
  <c r="C5512" i="1"/>
  <c r="M5512" i="1"/>
  <c r="A5513" i="1"/>
  <c r="B5513" i="1"/>
  <c r="C5513" i="1"/>
  <c r="M5513" i="1"/>
  <c r="A5514" i="1"/>
  <c r="B5514" i="1"/>
  <c r="C5514" i="1"/>
  <c r="M5514" i="1"/>
  <c r="A5515" i="1"/>
  <c r="B5515" i="1"/>
  <c r="C5515" i="1"/>
  <c r="M5515" i="1"/>
  <c r="A5516" i="1"/>
  <c r="B5516" i="1"/>
  <c r="C5516" i="1"/>
  <c r="M5516" i="1"/>
  <c r="A5517" i="1"/>
  <c r="B5517" i="1"/>
  <c r="C5517" i="1"/>
  <c r="M5517" i="1"/>
  <c r="A5518" i="1"/>
  <c r="B5518" i="1"/>
  <c r="C5518" i="1"/>
  <c r="M5518" i="1"/>
  <c r="A5519" i="1"/>
  <c r="B5519" i="1"/>
  <c r="C5519" i="1"/>
  <c r="M5519" i="1"/>
  <c r="A5520" i="1"/>
  <c r="B5520" i="1"/>
  <c r="C5520" i="1"/>
  <c r="M5520" i="1"/>
  <c r="A5521" i="1"/>
  <c r="B5521" i="1"/>
  <c r="C5521" i="1"/>
  <c r="M5521" i="1"/>
  <c r="A5522" i="1"/>
  <c r="B5522" i="1"/>
  <c r="C5522" i="1"/>
  <c r="M5522" i="1"/>
  <c r="A5523" i="1"/>
  <c r="B5523" i="1"/>
  <c r="C5523" i="1"/>
  <c r="M5523" i="1"/>
  <c r="A5524" i="1"/>
  <c r="B5524" i="1"/>
  <c r="C5524" i="1"/>
  <c r="M5524" i="1"/>
  <c r="A5525" i="1"/>
  <c r="B5525" i="1"/>
  <c r="C5525" i="1"/>
  <c r="M5525" i="1"/>
  <c r="A5526" i="1"/>
  <c r="B5526" i="1"/>
  <c r="C5526" i="1"/>
  <c r="M5526" i="1"/>
  <c r="A5527" i="1"/>
  <c r="B5527" i="1"/>
  <c r="C5527" i="1"/>
  <c r="M5527" i="1"/>
  <c r="A5528" i="1"/>
  <c r="B5528" i="1"/>
  <c r="C5528" i="1"/>
  <c r="M5528" i="1"/>
  <c r="A5529" i="1"/>
  <c r="B5529" i="1"/>
  <c r="C5529" i="1"/>
  <c r="M5529" i="1"/>
  <c r="A5530" i="1"/>
  <c r="B5530" i="1"/>
  <c r="C5530" i="1"/>
  <c r="M5530" i="1"/>
  <c r="A5531" i="1"/>
  <c r="B5531" i="1"/>
  <c r="C5531" i="1"/>
  <c r="M5531" i="1"/>
  <c r="A5532" i="1"/>
  <c r="B5532" i="1"/>
  <c r="C5532" i="1"/>
  <c r="M5532" i="1"/>
  <c r="A5533" i="1"/>
  <c r="B5533" i="1"/>
  <c r="C5533" i="1"/>
  <c r="M5533" i="1"/>
  <c r="A5534" i="1"/>
  <c r="B5534" i="1"/>
  <c r="C5534" i="1"/>
  <c r="M5534" i="1"/>
  <c r="A5535" i="1"/>
  <c r="B5535" i="1"/>
  <c r="C5535" i="1"/>
  <c r="M5535" i="1"/>
  <c r="A5536" i="1"/>
  <c r="B5536" i="1"/>
  <c r="C5536" i="1"/>
  <c r="M5536" i="1"/>
  <c r="A5537" i="1"/>
  <c r="B5537" i="1"/>
  <c r="C5537" i="1"/>
  <c r="M5537" i="1"/>
  <c r="A5538" i="1"/>
  <c r="B5538" i="1"/>
  <c r="C5538" i="1"/>
  <c r="M5538" i="1"/>
  <c r="A5539" i="1"/>
  <c r="B5539" i="1"/>
  <c r="C5539" i="1"/>
  <c r="M5539" i="1"/>
  <c r="A5540" i="1"/>
  <c r="B5540" i="1"/>
  <c r="C5540" i="1"/>
  <c r="M5540" i="1"/>
  <c r="A5541" i="1"/>
  <c r="B5541" i="1"/>
  <c r="C5541" i="1"/>
  <c r="M5541" i="1"/>
  <c r="A5542" i="1"/>
  <c r="B5542" i="1"/>
  <c r="C5542" i="1"/>
  <c r="M5542" i="1"/>
  <c r="A5543" i="1"/>
  <c r="B5543" i="1"/>
  <c r="C5543" i="1"/>
  <c r="M5543" i="1"/>
  <c r="A5544" i="1"/>
  <c r="B5544" i="1"/>
  <c r="C5544" i="1"/>
  <c r="M5544" i="1"/>
  <c r="A5545" i="1"/>
  <c r="B5545" i="1"/>
  <c r="C5545" i="1"/>
  <c r="M5545" i="1"/>
  <c r="A5546" i="1"/>
  <c r="B5546" i="1"/>
  <c r="C5546" i="1"/>
  <c r="M5546" i="1"/>
  <c r="A5547" i="1"/>
  <c r="B5547" i="1"/>
  <c r="C5547" i="1"/>
  <c r="M5547" i="1"/>
  <c r="A5548" i="1"/>
  <c r="B5548" i="1"/>
  <c r="C5548" i="1"/>
  <c r="M5548" i="1"/>
  <c r="A5549" i="1"/>
  <c r="B5549" i="1"/>
  <c r="C5549" i="1"/>
  <c r="M5549" i="1"/>
  <c r="A5550" i="1"/>
  <c r="B5550" i="1"/>
  <c r="C5550" i="1"/>
  <c r="M5550" i="1"/>
  <c r="A5551" i="1"/>
  <c r="B5551" i="1"/>
  <c r="C5551" i="1"/>
  <c r="M5551" i="1"/>
  <c r="A5552" i="1"/>
  <c r="B5552" i="1"/>
  <c r="C5552" i="1"/>
  <c r="M5552" i="1"/>
  <c r="A5553" i="1"/>
  <c r="B5553" i="1"/>
  <c r="C5553" i="1"/>
  <c r="M5553" i="1"/>
  <c r="A5554" i="1"/>
  <c r="B5554" i="1"/>
  <c r="C5554" i="1"/>
  <c r="M5554" i="1"/>
  <c r="A5555" i="1"/>
  <c r="B5555" i="1"/>
  <c r="C5555" i="1"/>
  <c r="M5555" i="1"/>
  <c r="A5556" i="1"/>
  <c r="B5556" i="1"/>
  <c r="C5556" i="1"/>
  <c r="M5556" i="1"/>
  <c r="A5557" i="1"/>
  <c r="B5557" i="1"/>
  <c r="C5557" i="1"/>
  <c r="M5557" i="1"/>
  <c r="A5558" i="1"/>
  <c r="B5558" i="1"/>
  <c r="C5558" i="1"/>
  <c r="M5558" i="1"/>
  <c r="A5559" i="1"/>
  <c r="B5559" i="1"/>
  <c r="C5559" i="1"/>
  <c r="M5559" i="1"/>
  <c r="A5560" i="1"/>
  <c r="B5560" i="1"/>
  <c r="C5560" i="1"/>
  <c r="M5560" i="1"/>
  <c r="A5561" i="1"/>
  <c r="B5561" i="1"/>
  <c r="C5561" i="1"/>
  <c r="M5561" i="1"/>
  <c r="A5562" i="1"/>
  <c r="B5562" i="1"/>
  <c r="C5562" i="1"/>
  <c r="M5562" i="1"/>
  <c r="A5563" i="1"/>
  <c r="B5563" i="1"/>
  <c r="C5563" i="1"/>
  <c r="M5563" i="1"/>
  <c r="A5564" i="1"/>
  <c r="B5564" i="1"/>
  <c r="C5564" i="1"/>
  <c r="M5564" i="1"/>
  <c r="A5565" i="1"/>
  <c r="B5565" i="1"/>
  <c r="C5565" i="1"/>
  <c r="M5565" i="1"/>
  <c r="A5566" i="1"/>
  <c r="B5566" i="1"/>
  <c r="C5566" i="1"/>
  <c r="M5566" i="1"/>
  <c r="A5567" i="1"/>
  <c r="B5567" i="1"/>
  <c r="C5567" i="1"/>
  <c r="M5567" i="1"/>
  <c r="A5568" i="1"/>
  <c r="B5568" i="1"/>
  <c r="C5568" i="1"/>
  <c r="M5568" i="1"/>
  <c r="A5569" i="1"/>
  <c r="B5569" i="1"/>
  <c r="C5569" i="1"/>
  <c r="M5569" i="1"/>
  <c r="A5570" i="1"/>
  <c r="B5570" i="1"/>
  <c r="C5570" i="1"/>
  <c r="M5570" i="1"/>
  <c r="A5571" i="1"/>
  <c r="B5571" i="1"/>
  <c r="C5571" i="1"/>
  <c r="M5571" i="1"/>
  <c r="A5572" i="1"/>
  <c r="B5572" i="1"/>
  <c r="C5572" i="1"/>
  <c r="M5572" i="1"/>
  <c r="A5573" i="1"/>
  <c r="B5573" i="1"/>
  <c r="C5573" i="1"/>
  <c r="M5573" i="1"/>
  <c r="A5574" i="1"/>
  <c r="B5574" i="1"/>
  <c r="C5574" i="1"/>
  <c r="M5574" i="1"/>
  <c r="A5575" i="1"/>
  <c r="B5575" i="1"/>
  <c r="C5575" i="1"/>
  <c r="M5575" i="1"/>
  <c r="A5576" i="1"/>
  <c r="B5576" i="1"/>
  <c r="C5576" i="1"/>
  <c r="M5576" i="1"/>
  <c r="A5577" i="1"/>
  <c r="B5577" i="1"/>
  <c r="C5577" i="1"/>
  <c r="M5577" i="1"/>
  <c r="A5578" i="1"/>
  <c r="B5578" i="1"/>
  <c r="C5578" i="1"/>
  <c r="M5578" i="1"/>
  <c r="A5579" i="1"/>
  <c r="B5579" i="1"/>
  <c r="C5579" i="1"/>
  <c r="M5579" i="1"/>
  <c r="A5580" i="1"/>
  <c r="B5580" i="1"/>
  <c r="C5580" i="1"/>
  <c r="M5580" i="1"/>
  <c r="A5581" i="1"/>
  <c r="B5581" i="1"/>
  <c r="C5581" i="1"/>
  <c r="M5581" i="1"/>
  <c r="A5582" i="1"/>
  <c r="B5582" i="1"/>
  <c r="C5582" i="1"/>
  <c r="M5582" i="1"/>
  <c r="A5583" i="1"/>
  <c r="B5583" i="1"/>
  <c r="C5583" i="1"/>
  <c r="M5583" i="1"/>
  <c r="A5584" i="1"/>
  <c r="B5584" i="1"/>
  <c r="C5584" i="1"/>
  <c r="M5584" i="1"/>
  <c r="A5585" i="1"/>
  <c r="B5585" i="1"/>
  <c r="C5585" i="1"/>
  <c r="M5585" i="1"/>
  <c r="A5586" i="1"/>
  <c r="B5586" i="1"/>
  <c r="C5586" i="1"/>
  <c r="M5586" i="1"/>
  <c r="A5587" i="1"/>
  <c r="B5587" i="1"/>
  <c r="C5587" i="1"/>
  <c r="M5587" i="1"/>
  <c r="A5588" i="1"/>
  <c r="B5588" i="1"/>
  <c r="C5588" i="1"/>
  <c r="M5588" i="1"/>
  <c r="A5589" i="1"/>
  <c r="B5589" i="1"/>
  <c r="C5589" i="1"/>
  <c r="M5589" i="1"/>
  <c r="A5590" i="1"/>
  <c r="B5590" i="1"/>
  <c r="C5590" i="1"/>
  <c r="M5590" i="1"/>
  <c r="A5591" i="1"/>
  <c r="B5591" i="1"/>
  <c r="C5591" i="1"/>
  <c r="M5591" i="1"/>
  <c r="A5592" i="1"/>
  <c r="B5592" i="1"/>
  <c r="C5592" i="1"/>
  <c r="M5592" i="1"/>
  <c r="A5593" i="1"/>
  <c r="B5593" i="1"/>
  <c r="C5593" i="1"/>
  <c r="M5593" i="1"/>
  <c r="A5594" i="1"/>
  <c r="B5594" i="1"/>
  <c r="C5594" i="1"/>
  <c r="M5594" i="1"/>
  <c r="A5595" i="1"/>
  <c r="B5595" i="1"/>
  <c r="C5595" i="1"/>
  <c r="M5595" i="1"/>
  <c r="A5596" i="1"/>
  <c r="B5596" i="1"/>
  <c r="C5596" i="1"/>
  <c r="M5596" i="1"/>
  <c r="A5597" i="1"/>
  <c r="B5597" i="1"/>
  <c r="C5597" i="1"/>
  <c r="M5597" i="1"/>
  <c r="A5598" i="1"/>
  <c r="B5598" i="1"/>
  <c r="C5598" i="1"/>
  <c r="M5598" i="1"/>
  <c r="A5599" i="1"/>
  <c r="B5599" i="1"/>
  <c r="C5599" i="1"/>
  <c r="M5599" i="1"/>
  <c r="A5600" i="1"/>
  <c r="B5600" i="1"/>
  <c r="C5600" i="1"/>
  <c r="M5600" i="1"/>
  <c r="A5601" i="1"/>
  <c r="B5601" i="1"/>
  <c r="C5601" i="1"/>
  <c r="M5601" i="1"/>
  <c r="A5602" i="1"/>
  <c r="B5602" i="1"/>
  <c r="C5602" i="1"/>
  <c r="M5602" i="1"/>
  <c r="A5603" i="1"/>
  <c r="B5603" i="1"/>
  <c r="C5603" i="1"/>
  <c r="M5603" i="1"/>
  <c r="A5604" i="1"/>
  <c r="B5604" i="1"/>
  <c r="C5604" i="1"/>
  <c r="M5604" i="1"/>
  <c r="A5605" i="1"/>
  <c r="B5605" i="1"/>
  <c r="C5605" i="1"/>
  <c r="M5605" i="1"/>
  <c r="A5606" i="1"/>
  <c r="B5606" i="1"/>
  <c r="C5606" i="1"/>
  <c r="M5606" i="1"/>
  <c r="A5607" i="1"/>
  <c r="B5607" i="1"/>
  <c r="C5607" i="1"/>
  <c r="M5607" i="1"/>
  <c r="A5608" i="1"/>
  <c r="B5608" i="1"/>
  <c r="C5608" i="1"/>
  <c r="M5608" i="1"/>
  <c r="A5609" i="1"/>
  <c r="B5609" i="1"/>
  <c r="C5609" i="1"/>
  <c r="M5609" i="1"/>
  <c r="A5610" i="1"/>
  <c r="B5610" i="1"/>
  <c r="C5610" i="1"/>
  <c r="M5610" i="1"/>
  <c r="A5611" i="1"/>
  <c r="B5611" i="1"/>
  <c r="C5611" i="1"/>
  <c r="M5611" i="1"/>
  <c r="A5612" i="1"/>
  <c r="B5612" i="1"/>
  <c r="C5612" i="1"/>
  <c r="M5612" i="1"/>
  <c r="A5613" i="1"/>
  <c r="B5613" i="1"/>
  <c r="C5613" i="1"/>
  <c r="M5613" i="1"/>
  <c r="A5614" i="1"/>
  <c r="B5614" i="1"/>
  <c r="C5614" i="1"/>
  <c r="M5614" i="1"/>
  <c r="A5615" i="1"/>
  <c r="B5615" i="1"/>
  <c r="C5615" i="1"/>
  <c r="M5615" i="1"/>
  <c r="A5616" i="1"/>
  <c r="B5616" i="1"/>
  <c r="C5616" i="1"/>
  <c r="M5616" i="1"/>
  <c r="A5617" i="1"/>
  <c r="B5617" i="1"/>
  <c r="C5617" i="1"/>
  <c r="M5617" i="1"/>
  <c r="A5618" i="1"/>
  <c r="B5618" i="1"/>
  <c r="C5618" i="1"/>
  <c r="M5618" i="1"/>
  <c r="A5619" i="1"/>
  <c r="B5619" i="1"/>
  <c r="C5619" i="1"/>
  <c r="M5619" i="1"/>
  <c r="A5620" i="1"/>
  <c r="B5620" i="1"/>
  <c r="C5620" i="1"/>
  <c r="M5620" i="1"/>
  <c r="A5621" i="1"/>
  <c r="B5621" i="1"/>
  <c r="C5621" i="1"/>
  <c r="M5621" i="1"/>
  <c r="A5622" i="1"/>
  <c r="B5622" i="1"/>
  <c r="C5622" i="1"/>
  <c r="M5622" i="1"/>
  <c r="A5623" i="1"/>
  <c r="B5623" i="1"/>
  <c r="C5623" i="1"/>
  <c r="M5623" i="1"/>
  <c r="A5624" i="1"/>
  <c r="B5624" i="1"/>
  <c r="C5624" i="1"/>
  <c r="M5624" i="1"/>
  <c r="A5625" i="1"/>
  <c r="B5625" i="1"/>
  <c r="C5625" i="1"/>
  <c r="M5625" i="1"/>
  <c r="A5626" i="1"/>
  <c r="B5626" i="1"/>
  <c r="C5626" i="1"/>
  <c r="M5626" i="1"/>
  <c r="A5627" i="1"/>
  <c r="B5627" i="1"/>
  <c r="C5627" i="1"/>
  <c r="M5627" i="1"/>
  <c r="A5628" i="1"/>
  <c r="B5628" i="1"/>
  <c r="C5628" i="1"/>
  <c r="M5628" i="1"/>
  <c r="A5629" i="1"/>
  <c r="B5629" i="1"/>
  <c r="C5629" i="1"/>
  <c r="M5629" i="1"/>
  <c r="A5630" i="1"/>
  <c r="B5630" i="1"/>
  <c r="C5630" i="1"/>
  <c r="M5630" i="1"/>
  <c r="A5631" i="1"/>
  <c r="B5631" i="1"/>
  <c r="C5631" i="1"/>
  <c r="M5631" i="1"/>
  <c r="A5632" i="1"/>
  <c r="B5632" i="1"/>
  <c r="C5632" i="1"/>
  <c r="M5632" i="1"/>
  <c r="A5633" i="1"/>
  <c r="B5633" i="1"/>
  <c r="C5633" i="1"/>
  <c r="M5633" i="1"/>
  <c r="A5634" i="1"/>
  <c r="B5634" i="1"/>
  <c r="C5634" i="1"/>
  <c r="M5634" i="1"/>
  <c r="A5635" i="1"/>
  <c r="B5635" i="1"/>
  <c r="C5635" i="1"/>
  <c r="M5635" i="1"/>
  <c r="A5636" i="1"/>
  <c r="B5636" i="1"/>
  <c r="C5636" i="1"/>
  <c r="M5636" i="1"/>
  <c r="A5637" i="1"/>
  <c r="B5637" i="1"/>
  <c r="C5637" i="1"/>
  <c r="M5637" i="1"/>
  <c r="A5638" i="1"/>
  <c r="B5638" i="1"/>
  <c r="C5638" i="1"/>
  <c r="M5638" i="1"/>
  <c r="A5639" i="1"/>
  <c r="B5639" i="1"/>
  <c r="C5639" i="1"/>
  <c r="M5639" i="1"/>
  <c r="A5640" i="1"/>
  <c r="B5640" i="1"/>
  <c r="C5640" i="1"/>
  <c r="M5640" i="1"/>
  <c r="A5641" i="1"/>
  <c r="B5641" i="1"/>
  <c r="C5641" i="1"/>
  <c r="M5641" i="1"/>
  <c r="A5642" i="1"/>
  <c r="B5642" i="1"/>
  <c r="C5642" i="1"/>
  <c r="M5642" i="1"/>
  <c r="A5643" i="1"/>
  <c r="B5643" i="1"/>
  <c r="C5643" i="1"/>
  <c r="M5643" i="1"/>
  <c r="A5644" i="1"/>
  <c r="B5644" i="1"/>
  <c r="C5644" i="1"/>
  <c r="M5644" i="1"/>
  <c r="A5645" i="1"/>
  <c r="B5645" i="1"/>
  <c r="C5645" i="1"/>
  <c r="M5645" i="1"/>
  <c r="A5646" i="1"/>
  <c r="B5646" i="1"/>
  <c r="C5646" i="1"/>
  <c r="M5646" i="1"/>
  <c r="A5647" i="1"/>
  <c r="B5647" i="1"/>
  <c r="C5647" i="1"/>
  <c r="M5647" i="1"/>
  <c r="A5648" i="1"/>
  <c r="B5648" i="1"/>
  <c r="C5648" i="1"/>
  <c r="M5648" i="1"/>
  <c r="A5649" i="1"/>
  <c r="B5649" i="1"/>
  <c r="C5649" i="1"/>
  <c r="M5649" i="1"/>
  <c r="A5650" i="1"/>
  <c r="B5650" i="1"/>
  <c r="C5650" i="1"/>
  <c r="M5650" i="1"/>
  <c r="A5651" i="1"/>
  <c r="B5651" i="1"/>
  <c r="C5651" i="1"/>
  <c r="M5651" i="1"/>
  <c r="A5652" i="1"/>
  <c r="B5652" i="1"/>
  <c r="C5652" i="1"/>
  <c r="M5652" i="1"/>
  <c r="A5653" i="1"/>
  <c r="B5653" i="1"/>
  <c r="C5653" i="1"/>
  <c r="M5653" i="1"/>
  <c r="A5654" i="1"/>
  <c r="B5654" i="1"/>
  <c r="C5654" i="1"/>
  <c r="M5654" i="1"/>
  <c r="A5655" i="1"/>
  <c r="B5655" i="1"/>
  <c r="C5655" i="1"/>
  <c r="M5655" i="1"/>
  <c r="A5656" i="1"/>
  <c r="B5656" i="1"/>
  <c r="C5656" i="1"/>
  <c r="M5656" i="1"/>
  <c r="A5657" i="1"/>
  <c r="B5657" i="1"/>
  <c r="C5657" i="1"/>
  <c r="M5657" i="1"/>
  <c r="A5658" i="1"/>
  <c r="B5658" i="1"/>
  <c r="C5658" i="1"/>
  <c r="M5658" i="1"/>
  <c r="A5659" i="1"/>
  <c r="B5659" i="1"/>
  <c r="C5659" i="1"/>
  <c r="M5659" i="1"/>
  <c r="A5660" i="1"/>
  <c r="B5660" i="1"/>
  <c r="C5660" i="1"/>
  <c r="M5660" i="1"/>
  <c r="A5661" i="1"/>
  <c r="B5661" i="1"/>
  <c r="C5661" i="1"/>
  <c r="M5661" i="1"/>
  <c r="A5662" i="1"/>
  <c r="B5662" i="1"/>
  <c r="C5662" i="1"/>
  <c r="M5662" i="1"/>
  <c r="A5663" i="1"/>
  <c r="B5663" i="1"/>
  <c r="C5663" i="1"/>
  <c r="M5663" i="1"/>
  <c r="A5664" i="1"/>
  <c r="B5664" i="1"/>
  <c r="C5664" i="1"/>
  <c r="M5664" i="1"/>
  <c r="A5665" i="1"/>
  <c r="B5665" i="1"/>
  <c r="C5665" i="1"/>
  <c r="M5665" i="1"/>
  <c r="A5666" i="1"/>
  <c r="B5666" i="1"/>
  <c r="C5666" i="1"/>
  <c r="M5666" i="1"/>
  <c r="A5667" i="1"/>
  <c r="B5667" i="1"/>
  <c r="C5667" i="1"/>
  <c r="M5667" i="1"/>
  <c r="A5668" i="1"/>
  <c r="B5668" i="1"/>
  <c r="C5668" i="1"/>
  <c r="M5668" i="1"/>
  <c r="A5669" i="1"/>
  <c r="B5669" i="1"/>
  <c r="C5669" i="1"/>
  <c r="M5669" i="1"/>
  <c r="A5670" i="1"/>
  <c r="B5670" i="1"/>
  <c r="C5670" i="1"/>
  <c r="M5670" i="1"/>
  <c r="A5671" i="1"/>
  <c r="B5671" i="1"/>
  <c r="C5671" i="1"/>
  <c r="M5671" i="1"/>
  <c r="A5672" i="1"/>
  <c r="B5672" i="1"/>
  <c r="C5672" i="1"/>
  <c r="M5672" i="1"/>
  <c r="A5673" i="1"/>
  <c r="B5673" i="1"/>
  <c r="C5673" i="1"/>
  <c r="M5673" i="1"/>
  <c r="A5674" i="1"/>
  <c r="B5674" i="1"/>
  <c r="C5674" i="1"/>
  <c r="M5674" i="1"/>
  <c r="A5675" i="1"/>
  <c r="B5675" i="1"/>
  <c r="C5675" i="1"/>
  <c r="M5675" i="1"/>
  <c r="A5676" i="1"/>
  <c r="B5676" i="1"/>
  <c r="C5676" i="1"/>
  <c r="M5676" i="1"/>
  <c r="A5677" i="1"/>
  <c r="B5677" i="1"/>
  <c r="C5677" i="1"/>
  <c r="M5677" i="1"/>
  <c r="A5678" i="1"/>
  <c r="B5678" i="1"/>
  <c r="C5678" i="1"/>
  <c r="M5678" i="1"/>
  <c r="A5679" i="1"/>
  <c r="B5679" i="1"/>
  <c r="C5679" i="1"/>
  <c r="M5679" i="1"/>
  <c r="A5680" i="1"/>
  <c r="B5680" i="1"/>
  <c r="C5680" i="1"/>
  <c r="M5680" i="1"/>
  <c r="A5681" i="1"/>
  <c r="B5681" i="1"/>
  <c r="C5681" i="1"/>
  <c r="M5681" i="1"/>
  <c r="A5682" i="1"/>
  <c r="B5682" i="1"/>
  <c r="C5682" i="1"/>
  <c r="M5682" i="1"/>
  <c r="A5683" i="1"/>
  <c r="B5683" i="1"/>
  <c r="C5683" i="1"/>
  <c r="M5683" i="1"/>
  <c r="A5684" i="1"/>
  <c r="B5684" i="1"/>
  <c r="C5684" i="1"/>
  <c r="M5684" i="1"/>
  <c r="A5685" i="1"/>
  <c r="B5685" i="1"/>
  <c r="C5685" i="1"/>
  <c r="M5685" i="1"/>
  <c r="A5686" i="1"/>
  <c r="B5686" i="1"/>
  <c r="C5686" i="1"/>
  <c r="M5686" i="1"/>
  <c r="A5687" i="1"/>
  <c r="B5687" i="1"/>
  <c r="C5687" i="1"/>
  <c r="M5687" i="1"/>
  <c r="A5688" i="1"/>
  <c r="B5688" i="1"/>
  <c r="C5688" i="1"/>
  <c r="M5688" i="1"/>
  <c r="A5689" i="1"/>
  <c r="B5689" i="1"/>
  <c r="C5689" i="1"/>
  <c r="M5689" i="1"/>
  <c r="A5690" i="1"/>
  <c r="B5690" i="1"/>
  <c r="C5690" i="1"/>
  <c r="M5690" i="1"/>
  <c r="A5691" i="1"/>
  <c r="B5691" i="1"/>
  <c r="C5691" i="1"/>
  <c r="M5691" i="1"/>
  <c r="A5692" i="1"/>
  <c r="B5692" i="1"/>
  <c r="C5692" i="1"/>
  <c r="M5692" i="1"/>
  <c r="A5693" i="1"/>
  <c r="B5693" i="1"/>
  <c r="C5693" i="1"/>
  <c r="M5693" i="1"/>
  <c r="A5694" i="1"/>
  <c r="B5694" i="1"/>
  <c r="C5694" i="1"/>
  <c r="M5694" i="1"/>
  <c r="A5695" i="1"/>
  <c r="B5695" i="1"/>
  <c r="C5695" i="1"/>
  <c r="M5695" i="1"/>
  <c r="A5696" i="1"/>
  <c r="B5696" i="1"/>
  <c r="C5696" i="1"/>
  <c r="M5696" i="1"/>
  <c r="A5697" i="1"/>
  <c r="B5697" i="1"/>
  <c r="C5697" i="1"/>
  <c r="M5697" i="1"/>
  <c r="A5698" i="1"/>
  <c r="B5698" i="1"/>
  <c r="C5698" i="1"/>
  <c r="M5698" i="1"/>
  <c r="A5699" i="1"/>
  <c r="B5699" i="1"/>
  <c r="C5699" i="1"/>
  <c r="M5699" i="1"/>
  <c r="A5700" i="1"/>
  <c r="B5700" i="1"/>
  <c r="C5700" i="1"/>
  <c r="M5700" i="1"/>
  <c r="A5701" i="1"/>
  <c r="B5701" i="1"/>
  <c r="C5701" i="1"/>
  <c r="M5701" i="1"/>
  <c r="A5702" i="1"/>
  <c r="B5702" i="1"/>
  <c r="C5702" i="1"/>
  <c r="M5702" i="1"/>
  <c r="A5703" i="1"/>
  <c r="B5703" i="1"/>
  <c r="C5703" i="1"/>
  <c r="M5703" i="1"/>
  <c r="A5704" i="1"/>
  <c r="B5704" i="1"/>
  <c r="C5704" i="1"/>
  <c r="M5704" i="1"/>
  <c r="A5705" i="1"/>
  <c r="B5705" i="1"/>
  <c r="C5705" i="1"/>
  <c r="M5705" i="1"/>
  <c r="A5706" i="1"/>
  <c r="B5706" i="1"/>
  <c r="C5706" i="1"/>
  <c r="M5706" i="1"/>
  <c r="A5707" i="1"/>
  <c r="B5707" i="1"/>
  <c r="C5707" i="1"/>
  <c r="M5707" i="1"/>
  <c r="A5708" i="1"/>
  <c r="B5708" i="1"/>
  <c r="C5708" i="1"/>
  <c r="M5708" i="1"/>
  <c r="A5709" i="1"/>
  <c r="B5709" i="1"/>
  <c r="C5709" i="1"/>
  <c r="M5709" i="1"/>
  <c r="A5710" i="1"/>
  <c r="B5710" i="1"/>
  <c r="C5710" i="1"/>
  <c r="M5710" i="1"/>
  <c r="A5711" i="1"/>
  <c r="B5711" i="1"/>
  <c r="C5711" i="1"/>
  <c r="M5711" i="1"/>
  <c r="A5712" i="1"/>
  <c r="B5712" i="1"/>
  <c r="C5712" i="1"/>
  <c r="M5712" i="1"/>
  <c r="A5713" i="1"/>
  <c r="B5713" i="1"/>
  <c r="C5713" i="1"/>
  <c r="M5713" i="1"/>
  <c r="A5714" i="1"/>
  <c r="B5714" i="1"/>
  <c r="C5714" i="1"/>
  <c r="M5714" i="1"/>
  <c r="A5715" i="1"/>
  <c r="B5715" i="1"/>
  <c r="C5715" i="1"/>
  <c r="M5715" i="1"/>
  <c r="A5716" i="1"/>
  <c r="B5716" i="1"/>
  <c r="C5716" i="1"/>
  <c r="M5716" i="1"/>
  <c r="A5717" i="1"/>
  <c r="B5717" i="1"/>
  <c r="C5717" i="1"/>
  <c r="M5717" i="1"/>
  <c r="A5718" i="1"/>
  <c r="B5718" i="1"/>
  <c r="C5718" i="1"/>
  <c r="M5718" i="1"/>
  <c r="A5719" i="1"/>
  <c r="B5719" i="1"/>
  <c r="C5719" i="1"/>
  <c r="M5719" i="1"/>
  <c r="A5720" i="1"/>
  <c r="B5720" i="1"/>
  <c r="C5720" i="1"/>
  <c r="M5720" i="1"/>
  <c r="A5721" i="1"/>
  <c r="B5721" i="1"/>
  <c r="C5721" i="1"/>
  <c r="M5721" i="1"/>
  <c r="A5722" i="1"/>
  <c r="B5722" i="1"/>
  <c r="C5722" i="1"/>
  <c r="M5722" i="1"/>
  <c r="A5723" i="1"/>
  <c r="B5723" i="1"/>
  <c r="C5723" i="1"/>
  <c r="M5723" i="1"/>
  <c r="A5724" i="1"/>
  <c r="B5724" i="1"/>
  <c r="C5724" i="1"/>
  <c r="M5724" i="1"/>
  <c r="A5725" i="1"/>
  <c r="B5725" i="1"/>
  <c r="C5725" i="1"/>
  <c r="M5725" i="1"/>
  <c r="A5726" i="1"/>
  <c r="B5726" i="1"/>
  <c r="C5726" i="1"/>
  <c r="M5726" i="1"/>
  <c r="A5727" i="1"/>
  <c r="B5727" i="1"/>
  <c r="C5727" i="1"/>
  <c r="M5727" i="1"/>
  <c r="A5728" i="1"/>
  <c r="B5728" i="1"/>
  <c r="C5728" i="1"/>
  <c r="M5728" i="1"/>
  <c r="A5729" i="1"/>
  <c r="B5729" i="1"/>
  <c r="C5729" i="1"/>
  <c r="M5729" i="1"/>
  <c r="A5730" i="1"/>
  <c r="B5730" i="1"/>
  <c r="C5730" i="1"/>
  <c r="M5730" i="1"/>
  <c r="A5731" i="1"/>
  <c r="B5731" i="1"/>
  <c r="C5731" i="1"/>
  <c r="M5731" i="1"/>
  <c r="A5732" i="1"/>
  <c r="B5732" i="1"/>
  <c r="C5732" i="1"/>
  <c r="M5732" i="1"/>
  <c r="A5733" i="1"/>
  <c r="B5733" i="1"/>
  <c r="C5733" i="1"/>
  <c r="M5733" i="1"/>
  <c r="A5734" i="1"/>
  <c r="B5734" i="1"/>
  <c r="C5734" i="1"/>
  <c r="M5734" i="1"/>
  <c r="A5735" i="1"/>
  <c r="B5735" i="1"/>
  <c r="C5735" i="1"/>
  <c r="M5735" i="1"/>
  <c r="A5736" i="1"/>
  <c r="B5736" i="1"/>
  <c r="C5736" i="1"/>
  <c r="M5736" i="1"/>
  <c r="A5737" i="1"/>
  <c r="B5737" i="1"/>
  <c r="C5737" i="1"/>
  <c r="M5737" i="1"/>
  <c r="A5738" i="1"/>
  <c r="B5738" i="1"/>
  <c r="C5738" i="1"/>
  <c r="M5738" i="1"/>
  <c r="A5739" i="1"/>
  <c r="B5739" i="1"/>
  <c r="C5739" i="1"/>
  <c r="M5739" i="1"/>
  <c r="A5740" i="1"/>
  <c r="B5740" i="1"/>
  <c r="C5740" i="1"/>
  <c r="M5740" i="1"/>
  <c r="A5741" i="1"/>
  <c r="B5741" i="1"/>
  <c r="C5741" i="1"/>
  <c r="M5741" i="1"/>
  <c r="A5742" i="1"/>
  <c r="B5742" i="1"/>
  <c r="C5742" i="1"/>
  <c r="M5742" i="1"/>
  <c r="A5743" i="1"/>
  <c r="B5743" i="1"/>
  <c r="C5743" i="1"/>
  <c r="M5743" i="1"/>
  <c r="A5744" i="1"/>
  <c r="B5744" i="1"/>
  <c r="C5744" i="1"/>
  <c r="M5744" i="1"/>
  <c r="A5745" i="1"/>
  <c r="B5745" i="1"/>
  <c r="C5745" i="1"/>
  <c r="M5745" i="1"/>
  <c r="A5746" i="1"/>
  <c r="B5746" i="1"/>
  <c r="C5746" i="1"/>
  <c r="M5746" i="1"/>
  <c r="A5747" i="1"/>
  <c r="B5747" i="1"/>
  <c r="C5747" i="1"/>
  <c r="M5747" i="1"/>
  <c r="A5748" i="1"/>
  <c r="B5748" i="1"/>
  <c r="C5748" i="1"/>
  <c r="M5748" i="1"/>
  <c r="A5749" i="1"/>
  <c r="B5749" i="1"/>
  <c r="C5749" i="1"/>
  <c r="M5749" i="1"/>
  <c r="A5750" i="1"/>
  <c r="B5750" i="1"/>
  <c r="C5750" i="1"/>
  <c r="M5750" i="1"/>
  <c r="A5751" i="1"/>
  <c r="B5751" i="1"/>
  <c r="C5751" i="1"/>
  <c r="M5751" i="1"/>
  <c r="A5752" i="1"/>
  <c r="B5752" i="1"/>
  <c r="C5752" i="1"/>
  <c r="M5752" i="1"/>
  <c r="A5753" i="1"/>
  <c r="B5753" i="1"/>
  <c r="C5753" i="1"/>
  <c r="M5753" i="1"/>
  <c r="A5754" i="1"/>
  <c r="B5754" i="1"/>
  <c r="C5754" i="1"/>
  <c r="M5754" i="1"/>
  <c r="A5755" i="1"/>
  <c r="B5755" i="1"/>
  <c r="C5755" i="1"/>
  <c r="M5755" i="1"/>
  <c r="A5756" i="1"/>
  <c r="B5756" i="1"/>
  <c r="C5756" i="1"/>
  <c r="M5756" i="1"/>
  <c r="A5757" i="1"/>
  <c r="B5757" i="1"/>
  <c r="C5757" i="1"/>
  <c r="M5757" i="1"/>
  <c r="A5758" i="1"/>
  <c r="B5758" i="1"/>
  <c r="C5758" i="1"/>
  <c r="M5758" i="1"/>
  <c r="A5759" i="1"/>
  <c r="B5759" i="1"/>
  <c r="C5759" i="1"/>
  <c r="M5759" i="1"/>
  <c r="A5760" i="1"/>
  <c r="B5760" i="1"/>
  <c r="C5760" i="1"/>
  <c r="M5760" i="1"/>
  <c r="A5761" i="1"/>
  <c r="B5761" i="1"/>
  <c r="C5761" i="1"/>
  <c r="M5761" i="1"/>
  <c r="A5762" i="1"/>
  <c r="B5762" i="1"/>
  <c r="C5762" i="1"/>
  <c r="M5762" i="1"/>
  <c r="A5763" i="1"/>
  <c r="B5763" i="1"/>
  <c r="C5763" i="1"/>
  <c r="M5763" i="1"/>
  <c r="A5764" i="1"/>
  <c r="B5764" i="1"/>
  <c r="C5764" i="1"/>
  <c r="M5764" i="1"/>
  <c r="A5765" i="1"/>
  <c r="B5765" i="1"/>
  <c r="C5765" i="1"/>
  <c r="M5765" i="1"/>
  <c r="A5766" i="1"/>
  <c r="B5766" i="1"/>
  <c r="C5766" i="1"/>
  <c r="M5766" i="1"/>
  <c r="A5767" i="1"/>
  <c r="B5767" i="1"/>
  <c r="C5767" i="1"/>
  <c r="M5767" i="1"/>
  <c r="A5768" i="1"/>
  <c r="B5768" i="1"/>
  <c r="C5768" i="1"/>
  <c r="M5768" i="1"/>
  <c r="A5769" i="1"/>
  <c r="B5769" i="1"/>
  <c r="C5769" i="1"/>
  <c r="M5769" i="1"/>
  <c r="A5770" i="1"/>
  <c r="B5770" i="1"/>
  <c r="C5770" i="1"/>
  <c r="M5770" i="1"/>
  <c r="A5771" i="1"/>
  <c r="B5771" i="1"/>
  <c r="C5771" i="1"/>
  <c r="M5771" i="1"/>
  <c r="A5772" i="1"/>
  <c r="B5772" i="1"/>
  <c r="C5772" i="1"/>
  <c r="M5772" i="1"/>
  <c r="A5773" i="1"/>
  <c r="B5773" i="1"/>
  <c r="C5773" i="1"/>
  <c r="M5773" i="1"/>
  <c r="A5774" i="1"/>
  <c r="B5774" i="1"/>
  <c r="C5774" i="1"/>
  <c r="M5774" i="1"/>
  <c r="A5775" i="1"/>
  <c r="B5775" i="1"/>
  <c r="C5775" i="1"/>
  <c r="M5775" i="1"/>
  <c r="A5776" i="1"/>
  <c r="B5776" i="1"/>
  <c r="C5776" i="1"/>
  <c r="M5776" i="1"/>
  <c r="A5777" i="1"/>
  <c r="B5777" i="1"/>
  <c r="C5777" i="1"/>
  <c r="M5777" i="1"/>
  <c r="A5778" i="1"/>
  <c r="B5778" i="1"/>
  <c r="C5778" i="1"/>
  <c r="M5778" i="1"/>
  <c r="A5779" i="1"/>
  <c r="B5779" i="1"/>
  <c r="C5779" i="1"/>
  <c r="M5779" i="1"/>
  <c r="A5780" i="1"/>
  <c r="B5780" i="1"/>
  <c r="C5780" i="1"/>
  <c r="M5780" i="1"/>
  <c r="A5781" i="1"/>
  <c r="B5781" i="1"/>
  <c r="C5781" i="1"/>
  <c r="M5781" i="1"/>
  <c r="A5782" i="1"/>
  <c r="B5782" i="1"/>
  <c r="C5782" i="1"/>
  <c r="M5782" i="1"/>
  <c r="A5783" i="1"/>
  <c r="B5783" i="1"/>
  <c r="C5783" i="1"/>
  <c r="M5783" i="1"/>
  <c r="A5784" i="1"/>
  <c r="B5784" i="1"/>
  <c r="C5784" i="1"/>
  <c r="M5784" i="1"/>
  <c r="A5785" i="1"/>
  <c r="B5785" i="1"/>
  <c r="C5785" i="1"/>
  <c r="M5785" i="1"/>
  <c r="A5786" i="1"/>
  <c r="B5786" i="1"/>
  <c r="C5786" i="1"/>
  <c r="M5786" i="1"/>
  <c r="A5787" i="1"/>
  <c r="B5787" i="1"/>
  <c r="C5787" i="1"/>
  <c r="M5787" i="1"/>
  <c r="A5788" i="1"/>
  <c r="B5788" i="1"/>
  <c r="C5788" i="1"/>
  <c r="M5788" i="1"/>
  <c r="A5789" i="1"/>
  <c r="B5789" i="1"/>
  <c r="C5789" i="1"/>
  <c r="M5789" i="1"/>
  <c r="A5790" i="1"/>
  <c r="B5790" i="1"/>
  <c r="C5790" i="1"/>
  <c r="M5790" i="1"/>
  <c r="A5791" i="1"/>
  <c r="B5791" i="1"/>
  <c r="C5791" i="1"/>
  <c r="M5791" i="1"/>
  <c r="A5792" i="1"/>
  <c r="B5792" i="1"/>
  <c r="C5792" i="1"/>
  <c r="M5792" i="1"/>
  <c r="A5793" i="1"/>
  <c r="B5793" i="1"/>
  <c r="C5793" i="1"/>
  <c r="M5793" i="1"/>
  <c r="A5794" i="1"/>
  <c r="B5794" i="1"/>
  <c r="C5794" i="1"/>
  <c r="M5794" i="1"/>
  <c r="A5795" i="1"/>
  <c r="B5795" i="1"/>
  <c r="C5795" i="1"/>
  <c r="M5795" i="1"/>
  <c r="A5796" i="1"/>
  <c r="B5796" i="1"/>
  <c r="C5796" i="1"/>
  <c r="M5796" i="1"/>
  <c r="A5797" i="1"/>
  <c r="B5797" i="1"/>
  <c r="C5797" i="1"/>
  <c r="M5797" i="1"/>
  <c r="A5798" i="1"/>
  <c r="B5798" i="1"/>
  <c r="C5798" i="1"/>
  <c r="M5798" i="1"/>
  <c r="A5799" i="1"/>
  <c r="B5799" i="1"/>
  <c r="C5799" i="1"/>
  <c r="M5799" i="1"/>
  <c r="A5800" i="1"/>
  <c r="B5800" i="1"/>
  <c r="C5800" i="1"/>
  <c r="M5800" i="1"/>
  <c r="A5801" i="1"/>
  <c r="B5801" i="1"/>
  <c r="C5801" i="1"/>
  <c r="M5801" i="1"/>
  <c r="A5802" i="1"/>
  <c r="B5802" i="1"/>
  <c r="C5802" i="1"/>
  <c r="M5802" i="1"/>
  <c r="A5803" i="1"/>
  <c r="B5803" i="1"/>
  <c r="C5803" i="1"/>
  <c r="M5803" i="1"/>
  <c r="A5804" i="1"/>
  <c r="B5804" i="1"/>
  <c r="C5804" i="1"/>
  <c r="M5804" i="1"/>
  <c r="A5805" i="1"/>
  <c r="B5805" i="1"/>
  <c r="C5805" i="1"/>
  <c r="M5805" i="1"/>
  <c r="A5806" i="1"/>
  <c r="B5806" i="1"/>
  <c r="C5806" i="1"/>
  <c r="M5806" i="1"/>
  <c r="A5807" i="1"/>
  <c r="B5807" i="1"/>
  <c r="C5807" i="1"/>
  <c r="M5807" i="1"/>
  <c r="A5808" i="1"/>
  <c r="B5808" i="1"/>
  <c r="C5808" i="1"/>
  <c r="M5808" i="1"/>
  <c r="A5809" i="1"/>
  <c r="B5809" i="1"/>
  <c r="C5809" i="1"/>
  <c r="M5809" i="1"/>
  <c r="A5810" i="1"/>
  <c r="B5810" i="1"/>
  <c r="C5810" i="1"/>
  <c r="M5810" i="1"/>
  <c r="A5811" i="1"/>
  <c r="B5811" i="1"/>
  <c r="C5811" i="1"/>
  <c r="M5811" i="1"/>
  <c r="A5812" i="1"/>
  <c r="B5812" i="1"/>
  <c r="C5812" i="1"/>
  <c r="M5812" i="1"/>
  <c r="A5813" i="1"/>
  <c r="B5813" i="1"/>
  <c r="C5813" i="1"/>
  <c r="M5813" i="1"/>
  <c r="A5814" i="1"/>
  <c r="B5814" i="1"/>
  <c r="C5814" i="1"/>
  <c r="M5814" i="1"/>
  <c r="A5815" i="1"/>
  <c r="B5815" i="1"/>
  <c r="C5815" i="1"/>
  <c r="M5815" i="1"/>
  <c r="A5816" i="1"/>
  <c r="B5816" i="1"/>
  <c r="C5816" i="1"/>
  <c r="M5816" i="1"/>
  <c r="A5817" i="1"/>
  <c r="B5817" i="1"/>
  <c r="C5817" i="1"/>
  <c r="M5817" i="1"/>
  <c r="A5818" i="1"/>
  <c r="B5818" i="1"/>
  <c r="C5818" i="1"/>
  <c r="M5818" i="1"/>
  <c r="A5819" i="1"/>
  <c r="B5819" i="1"/>
  <c r="C5819" i="1"/>
  <c r="M5819" i="1"/>
  <c r="A5820" i="1"/>
  <c r="B5820" i="1"/>
  <c r="C5820" i="1"/>
  <c r="M5820" i="1"/>
  <c r="A5821" i="1"/>
  <c r="B5821" i="1"/>
  <c r="C5821" i="1"/>
  <c r="M5821" i="1"/>
  <c r="A5822" i="1"/>
  <c r="B5822" i="1"/>
  <c r="C5822" i="1"/>
  <c r="M5822" i="1"/>
  <c r="A5823" i="1"/>
  <c r="B5823" i="1"/>
  <c r="C5823" i="1"/>
  <c r="M5823" i="1"/>
  <c r="A5824" i="1"/>
  <c r="B5824" i="1"/>
  <c r="C5824" i="1"/>
  <c r="M5824" i="1"/>
  <c r="A5825" i="1"/>
  <c r="B5825" i="1"/>
  <c r="C5825" i="1"/>
  <c r="M5825" i="1"/>
  <c r="A5826" i="1"/>
  <c r="B5826" i="1"/>
  <c r="C5826" i="1"/>
  <c r="M5826" i="1"/>
  <c r="A5827" i="1"/>
  <c r="B5827" i="1"/>
  <c r="C5827" i="1"/>
  <c r="M5827" i="1"/>
  <c r="A5828" i="1"/>
  <c r="B5828" i="1"/>
  <c r="C5828" i="1"/>
  <c r="M5828" i="1"/>
  <c r="A5829" i="1"/>
  <c r="B5829" i="1"/>
  <c r="C5829" i="1"/>
  <c r="M5829" i="1"/>
  <c r="A5830" i="1"/>
  <c r="B5830" i="1"/>
  <c r="C5830" i="1"/>
  <c r="M5830" i="1"/>
  <c r="A5831" i="1"/>
  <c r="B5831" i="1"/>
  <c r="C5831" i="1"/>
  <c r="M5831" i="1"/>
  <c r="A5832" i="1"/>
  <c r="B5832" i="1"/>
  <c r="C5832" i="1"/>
  <c r="M5832" i="1"/>
  <c r="A5833" i="1"/>
  <c r="B5833" i="1"/>
  <c r="C5833" i="1"/>
  <c r="M5833" i="1"/>
  <c r="A5834" i="1"/>
  <c r="B5834" i="1"/>
  <c r="C5834" i="1"/>
  <c r="M5834" i="1"/>
  <c r="A5835" i="1"/>
  <c r="B5835" i="1"/>
  <c r="C5835" i="1"/>
  <c r="M5835" i="1"/>
  <c r="A5836" i="1"/>
  <c r="B5836" i="1"/>
  <c r="C5836" i="1"/>
  <c r="M5836" i="1"/>
  <c r="A5837" i="1"/>
  <c r="B5837" i="1"/>
  <c r="C5837" i="1"/>
  <c r="M5837" i="1"/>
  <c r="A5838" i="1"/>
  <c r="B5838" i="1"/>
  <c r="C5838" i="1"/>
  <c r="M5838" i="1"/>
  <c r="A5839" i="1"/>
  <c r="B5839" i="1"/>
  <c r="C5839" i="1"/>
  <c r="M5839" i="1"/>
  <c r="A5840" i="1"/>
  <c r="B5840" i="1"/>
  <c r="C5840" i="1"/>
  <c r="M5840" i="1"/>
  <c r="A5841" i="1"/>
  <c r="B5841" i="1"/>
  <c r="C5841" i="1"/>
  <c r="M5841" i="1"/>
  <c r="A5842" i="1"/>
  <c r="B5842" i="1"/>
  <c r="C5842" i="1"/>
  <c r="M5842" i="1"/>
  <c r="A5843" i="1"/>
  <c r="B5843" i="1"/>
  <c r="C5843" i="1"/>
  <c r="M5843" i="1"/>
  <c r="A5844" i="1"/>
  <c r="B5844" i="1"/>
  <c r="C5844" i="1"/>
  <c r="M5844" i="1"/>
  <c r="A5845" i="1"/>
  <c r="B5845" i="1"/>
  <c r="C5845" i="1"/>
  <c r="M5845" i="1"/>
  <c r="A5846" i="1"/>
  <c r="B5846" i="1"/>
  <c r="C5846" i="1"/>
  <c r="M5846" i="1"/>
  <c r="A5847" i="1"/>
  <c r="B5847" i="1"/>
  <c r="C5847" i="1"/>
  <c r="M5847" i="1"/>
  <c r="A5848" i="1"/>
  <c r="B5848" i="1"/>
  <c r="C5848" i="1"/>
  <c r="M5848" i="1"/>
  <c r="A5849" i="1"/>
  <c r="B5849" i="1"/>
  <c r="C5849" i="1"/>
  <c r="M5849" i="1"/>
  <c r="A5850" i="1"/>
  <c r="B5850" i="1"/>
  <c r="C5850" i="1"/>
  <c r="M5850" i="1"/>
  <c r="A5851" i="1"/>
  <c r="B5851" i="1"/>
  <c r="C5851" i="1"/>
  <c r="M5851" i="1"/>
  <c r="A5852" i="1"/>
  <c r="B5852" i="1"/>
  <c r="C5852" i="1"/>
  <c r="M5852" i="1"/>
  <c r="A5853" i="1"/>
  <c r="B5853" i="1"/>
  <c r="C5853" i="1"/>
  <c r="M5853" i="1"/>
  <c r="A5854" i="1"/>
  <c r="B5854" i="1"/>
  <c r="C5854" i="1"/>
  <c r="M5854" i="1"/>
  <c r="A5855" i="1"/>
  <c r="B5855" i="1"/>
  <c r="C5855" i="1"/>
  <c r="M5855" i="1"/>
  <c r="A5856" i="1"/>
  <c r="B5856" i="1"/>
  <c r="C5856" i="1"/>
  <c r="M5856" i="1"/>
  <c r="A5857" i="1"/>
  <c r="B5857" i="1"/>
  <c r="C5857" i="1"/>
  <c r="M5857" i="1"/>
  <c r="A5858" i="1"/>
  <c r="B5858" i="1"/>
  <c r="C5858" i="1"/>
  <c r="M5858" i="1"/>
  <c r="A5859" i="1"/>
  <c r="B5859" i="1"/>
  <c r="C5859" i="1"/>
  <c r="M5859" i="1"/>
  <c r="A5860" i="1"/>
  <c r="B5860" i="1"/>
  <c r="C5860" i="1"/>
  <c r="M5860" i="1"/>
  <c r="A5861" i="1"/>
  <c r="B5861" i="1"/>
  <c r="C5861" i="1"/>
  <c r="M5861" i="1"/>
  <c r="A5862" i="1"/>
  <c r="B5862" i="1"/>
  <c r="C5862" i="1"/>
  <c r="M5862" i="1"/>
  <c r="A5863" i="1"/>
  <c r="B5863" i="1"/>
  <c r="C5863" i="1"/>
  <c r="M5863" i="1"/>
  <c r="A5864" i="1"/>
  <c r="B5864" i="1"/>
  <c r="C5864" i="1"/>
  <c r="M5864" i="1"/>
  <c r="A5865" i="1"/>
  <c r="B5865" i="1"/>
  <c r="C5865" i="1"/>
  <c r="M5865" i="1"/>
  <c r="A5866" i="1"/>
  <c r="B5866" i="1"/>
  <c r="C5866" i="1"/>
  <c r="M5866" i="1"/>
  <c r="A5867" i="1"/>
  <c r="B5867" i="1"/>
  <c r="C5867" i="1"/>
  <c r="M5867" i="1"/>
  <c r="A5868" i="1"/>
  <c r="B5868" i="1"/>
  <c r="C5868" i="1"/>
  <c r="M5868" i="1"/>
  <c r="A5869" i="1"/>
  <c r="B5869" i="1"/>
  <c r="C5869" i="1"/>
  <c r="M5869" i="1"/>
  <c r="A5870" i="1"/>
  <c r="B5870" i="1"/>
  <c r="C5870" i="1"/>
  <c r="M5870" i="1"/>
  <c r="A5871" i="1"/>
  <c r="B5871" i="1"/>
  <c r="C5871" i="1"/>
  <c r="M5871" i="1"/>
  <c r="A5872" i="1"/>
  <c r="B5872" i="1"/>
  <c r="C5872" i="1"/>
  <c r="M5872" i="1"/>
  <c r="A5873" i="1"/>
  <c r="B5873" i="1"/>
  <c r="C5873" i="1"/>
  <c r="M5873" i="1"/>
  <c r="A5874" i="1"/>
  <c r="B5874" i="1"/>
  <c r="C5874" i="1"/>
  <c r="M5874" i="1"/>
  <c r="A5875" i="1"/>
  <c r="B5875" i="1"/>
  <c r="C5875" i="1"/>
  <c r="M5875" i="1"/>
  <c r="A5876" i="1"/>
  <c r="B5876" i="1"/>
  <c r="C5876" i="1"/>
  <c r="M5876" i="1"/>
  <c r="A5877" i="1"/>
  <c r="B5877" i="1"/>
  <c r="C5877" i="1"/>
  <c r="M5877" i="1"/>
  <c r="A5878" i="1"/>
  <c r="B5878" i="1"/>
  <c r="C5878" i="1"/>
  <c r="M5878" i="1"/>
  <c r="A5879" i="1"/>
  <c r="B5879" i="1"/>
  <c r="C5879" i="1"/>
  <c r="M5879" i="1"/>
  <c r="A5880" i="1"/>
  <c r="B5880" i="1"/>
  <c r="C5880" i="1"/>
  <c r="M5880" i="1"/>
  <c r="A5881" i="1"/>
  <c r="B5881" i="1"/>
  <c r="C5881" i="1"/>
  <c r="M5881" i="1"/>
  <c r="A5882" i="1"/>
  <c r="B5882" i="1"/>
  <c r="C5882" i="1"/>
  <c r="M5882" i="1"/>
  <c r="A5883" i="1"/>
  <c r="B5883" i="1"/>
  <c r="C5883" i="1"/>
  <c r="M5883" i="1"/>
  <c r="A5884" i="1"/>
  <c r="B5884" i="1"/>
  <c r="C5884" i="1"/>
  <c r="M5884" i="1"/>
  <c r="A5885" i="1"/>
  <c r="B5885" i="1"/>
  <c r="C5885" i="1"/>
  <c r="M5885" i="1"/>
  <c r="A5886" i="1"/>
  <c r="B5886" i="1"/>
  <c r="C5886" i="1"/>
  <c r="M5886" i="1"/>
  <c r="A5887" i="1"/>
  <c r="B5887" i="1"/>
  <c r="C5887" i="1"/>
  <c r="M5887" i="1"/>
  <c r="A5888" i="1"/>
  <c r="B5888" i="1"/>
  <c r="C5888" i="1"/>
  <c r="M5888" i="1"/>
  <c r="A5889" i="1"/>
  <c r="B5889" i="1"/>
  <c r="C5889" i="1"/>
  <c r="M5889" i="1"/>
  <c r="A5890" i="1"/>
  <c r="B5890" i="1"/>
  <c r="C5890" i="1"/>
  <c r="M5890" i="1"/>
  <c r="A5891" i="1"/>
  <c r="B5891" i="1"/>
  <c r="C5891" i="1"/>
  <c r="M5891" i="1"/>
  <c r="A5892" i="1"/>
  <c r="B5892" i="1"/>
  <c r="C5892" i="1"/>
  <c r="M5892" i="1"/>
  <c r="A5893" i="1"/>
  <c r="B5893" i="1"/>
  <c r="C5893" i="1"/>
  <c r="M5893" i="1"/>
  <c r="A5894" i="1"/>
  <c r="B5894" i="1"/>
  <c r="C5894" i="1"/>
  <c r="M5894" i="1"/>
  <c r="A5895" i="1"/>
  <c r="B5895" i="1"/>
  <c r="C5895" i="1"/>
  <c r="M5895" i="1"/>
  <c r="A5896" i="1"/>
  <c r="B5896" i="1"/>
  <c r="C5896" i="1"/>
  <c r="M5896" i="1"/>
  <c r="A5897" i="1"/>
  <c r="B5897" i="1"/>
  <c r="C5897" i="1"/>
  <c r="M5897" i="1"/>
  <c r="A5898" i="1"/>
  <c r="B5898" i="1"/>
  <c r="C5898" i="1"/>
  <c r="M5898" i="1"/>
  <c r="A5899" i="1"/>
  <c r="B5899" i="1"/>
  <c r="C5899" i="1"/>
  <c r="M5899" i="1"/>
  <c r="A5900" i="1"/>
  <c r="B5900" i="1"/>
  <c r="C5900" i="1"/>
  <c r="M5900" i="1"/>
  <c r="A5901" i="1"/>
  <c r="B5901" i="1"/>
  <c r="C5901" i="1"/>
  <c r="M5901" i="1"/>
  <c r="A5902" i="1"/>
  <c r="B5902" i="1"/>
  <c r="C5902" i="1"/>
  <c r="M5902" i="1"/>
  <c r="A5903" i="1"/>
  <c r="B5903" i="1"/>
  <c r="C5903" i="1"/>
  <c r="M5903" i="1"/>
  <c r="A5904" i="1"/>
  <c r="B5904" i="1"/>
  <c r="C5904" i="1"/>
  <c r="M5904" i="1"/>
  <c r="A5905" i="1"/>
  <c r="B5905" i="1"/>
  <c r="C5905" i="1"/>
  <c r="M5905" i="1"/>
  <c r="A5906" i="1"/>
  <c r="B5906" i="1"/>
  <c r="C5906" i="1"/>
  <c r="M5906" i="1"/>
  <c r="A5907" i="1"/>
  <c r="B5907" i="1"/>
  <c r="C5907" i="1"/>
  <c r="M5907" i="1"/>
  <c r="A5908" i="1"/>
  <c r="B5908" i="1"/>
  <c r="C5908" i="1"/>
  <c r="M5908" i="1"/>
  <c r="A5909" i="1"/>
  <c r="B5909" i="1"/>
  <c r="C5909" i="1"/>
  <c r="M5909" i="1"/>
  <c r="A5910" i="1"/>
  <c r="B5910" i="1"/>
  <c r="C5910" i="1"/>
  <c r="M5910" i="1"/>
  <c r="A5911" i="1"/>
  <c r="B5911" i="1"/>
  <c r="C5911" i="1"/>
  <c r="M5911" i="1"/>
  <c r="A5912" i="1"/>
  <c r="B5912" i="1"/>
  <c r="C5912" i="1"/>
  <c r="M5912" i="1"/>
  <c r="A5913" i="1"/>
  <c r="B5913" i="1"/>
  <c r="C5913" i="1"/>
  <c r="M5913" i="1"/>
  <c r="A5914" i="1"/>
  <c r="B5914" i="1"/>
  <c r="C5914" i="1"/>
  <c r="M5914" i="1"/>
  <c r="A5915" i="1"/>
  <c r="B5915" i="1"/>
  <c r="C5915" i="1"/>
  <c r="M5915" i="1"/>
  <c r="A5916" i="1"/>
  <c r="B5916" i="1"/>
  <c r="C5916" i="1"/>
  <c r="M5916" i="1"/>
  <c r="A5917" i="1"/>
  <c r="B5917" i="1"/>
  <c r="C5917" i="1"/>
  <c r="M5917" i="1"/>
  <c r="A5918" i="1"/>
  <c r="B5918" i="1"/>
  <c r="C5918" i="1"/>
  <c r="M5918" i="1"/>
  <c r="A5919" i="1"/>
  <c r="B5919" i="1"/>
  <c r="C5919" i="1"/>
  <c r="M5919" i="1"/>
  <c r="A5920" i="1"/>
  <c r="B5920" i="1"/>
  <c r="C5920" i="1"/>
  <c r="M5920" i="1"/>
  <c r="A5921" i="1"/>
  <c r="B5921" i="1"/>
  <c r="C5921" i="1"/>
  <c r="M5921" i="1"/>
  <c r="A5922" i="1"/>
  <c r="B5922" i="1"/>
  <c r="C5922" i="1"/>
  <c r="M5922" i="1"/>
  <c r="A5923" i="1"/>
  <c r="B5923" i="1"/>
  <c r="C5923" i="1"/>
  <c r="M5923" i="1"/>
  <c r="A5924" i="1"/>
  <c r="B5924" i="1"/>
  <c r="C5924" i="1"/>
  <c r="M5924" i="1"/>
  <c r="A5925" i="1"/>
  <c r="B5925" i="1"/>
  <c r="C5925" i="1"/>
  <c r="M5925" i="1"/>
  <c r="A5926" i="1"/>
  <c r="B5926" i="1"/>
  <c r="C5926" i="1"/>
  <c r="M5926" i="1"/>
  <c r="A5927" i="1"/>
  <c r="B5927" i="1"/>
  <c r="C5927" i="1"/>
  <c r="M5927" i="1"/>
  <c r="A5928" i="1"/>
  <c r="B5928" i="1"/>
  <c r="C5928" i="1"/>
  <c r="M5928" i="1"/>
  <c r="A5929" i="1"/>
  <c r="B5929" i="1"/>
  <c r="C5929" i="1"/>
  <c r="M5929" i="1"/>
  <c r="A5930" i="1"/>
  <c r="B5930" i="1"/>
  <c r="C5930" i="1"/>
  <c r="M5930" i="1"/>
  <c r="A5931" i="1"/>
  <c r="B5931" i="1"/>
  <c r="C5931" i="1"/>
  <c r="M5931" i="1"/>
  <c r="A5932" i="1"/>
  <c r="B5932" i="1"/>
  <c r="C5932" i="1"/>
  <c r="M5932" i="1"/>
  <c r="A5933" i="1"/>
  <c r="B5933" i="1"/>
  <c r="C5933" i="1"/>
  <c r="M5933" i="1"/>
  <c r="A5934" i="1"/>
  <c r="B5934" i="1"/>
  <c r="C5934" i="1"/>
  <c r="M5934" i="1"/>
  <c r="A5935" i="1"/>
  <c r="B5935" i="1"/>
  <c r="C5935" i="1"/>
  <c r="M5935" i="1"/>
  <c r="A5936" i="1"/>
  <c r="B5936" i="1"/>
  <c r="C5936" i="1"/>
  <c r="M5936" i="1"/>
  <c r="A5937" i="1"/>
  <c r="B5937" i="1"/>
  <c r="C5937" i="1"/>
  <c r="M5937" i="1"/>
  <c r="A5938" i="1"/>
  <c r="B5938" i="1"/>
  <c r="C5938" i="1"/>
  <c r="M5938" i="1"/>
  <c r="A5939" i="1"/>
  <c r="B5939" i="1"/>
  <c r="C5939" i="1"/>
  <c r="M5939" i="1"/>
  <c r="A5940" i="1"/>
  <c r="B5940" i="1"/>
  <c r="C5940" i="1"/>
  <c r="M5940" i="1"/>
  <c r="A5941" i="1"/>
  <c r="B5941" i="1"/>
  <c r="C5941" i="1"/>
  <c r="M5941" i="1"/>
  <c r="A5942" i="1"/>
  <c r="B5942" i="1"/>
  <c r="C5942" i="1"/>
  <c r="M5942" i="1"/>
  <c r="A5943" i="1"/>
  <c r="B5943" i="1"/>
  <c r="C5943" i="1"/>
  <c r="M5943" i="1"/>
  <c r="A5944" i="1"/>
  <c r="B5944" i="1"/>
  <c r="C5944" i="1"/>
  <c r="M5944" i="1"/>
  <c r="A5945" i="1"/>
  <c r="B5945" i="1"/>
  <c r="C5945" i="1"/>
  <c r="M5945" i="1"/>
  <c r="A5946" i="1"/>
  <c r="B5946" i="1"/>
  <c r="C5946" i="1"/>
  <c r="M5946" i="1"/>
  <c r="A5947" i="1"/>
  <c r="B5947" i="1"/>
  <c r="C5947" i="1"/>
  <c r="M5947" i="1"/>
  <c r="A5948" i="1"/>
  <c r="B5948" i="1"/>
  <c r="C5948" i="1"/>
  <c r="M5948" i="1"/>
  <c r="A5949" i="1"/>
  <c r="B5949" i="1"/>
  <c r="C5949" i="1"/>
  <c r="M5949" i="1"/>
  <c r="A5950" i="1"/>
  <c r="B5950" i="1"/>
  <c r="C5950" i="1"/>
  <c r="M5950" i="1"/>
  <c r="A5951" i="1"/>
  <c r="B5951" i="1"/>
  <c r="C5951" i="1"/>
  <c r="M5951" i="1"/>
  <c r="A5952" i="1"/>
  <c r="B5952" i="1"/>
  <c r="C5952" i="1"/>
  <c r="M5952" i="1"/>
  <c r="A5953" i="1"/>
  <c r="B5953" i="1"/>
  <c r="C5953" i="1"/>
  <c r="M5953" i="1"/>
  <c r="A5954" i="1"/>
  <c r="B5954" i="1"/>
  <c r="C5954" i="1"/>
  <c r="M5954" i="1"/>
  <c r="A5955" i="1"/>
  <c r="B5955" i="1"/>
  <c r="C5955" i="1"/>
  <c r="M5955" i="1"/>
  <c r="A5956" i="1"/>
  <c r="B5956" i="1"/>
  <c r="C5956" i="1"/>
  <c r="M5956" i="1"/>
  <c r="A5957" i="1"/>
  <c r="B5957" i="1"/>
  <c r="C5957" i="1"/>
  <c r="M5957" i="1"/>
  <c r="A5958" i="1"/>
  <c r="B5958" i="1"/>
  <c r="C5958" i="1"/>
  <c r="M5958" i="1"/>
  <c r="A5959" i="1"/>
  <c r="B5959" i="1"/>
  <c r="C5959" i="1"/>
  <c r="M5959" i="1"/>
  <c r="A5960" i="1"/>
  <c r="B5960" i="1"/>
  <c r="C5960" i="1"/>
  <c r="M5960" i="1"/>
  <c r="A5961" i="1"/>
  <c r="B5961" i="1"/>
  <c r="C5961" i="1"/>
  <c r="M5961" i="1"/>
  <c r="A5962" i="1"/>
  <c r="B5962" i="1"/>
  <c r="C5962" i="1"/>
  <c r="M5962" i="1"/>
  <c r="A5963" i="1"/>
  <c r="B5963" i="1"/>
  <c r="C5963" i="1"/>
  <c r="M5963" i="1"/>
  <c r="A5964" i="1"/>
  <c r="B5964" i="1"/>
  <c r="C5964" i="1"/>
  <c r="M5964" i="1"/>
  <c r="A5965" i="1"/>
  <c r="B5965" i="1"/>
  <c r="C5965" i="1"/>
  <c r="M5965" i="1"/>
  <c r="A5966" i="1"/>
  <c r="B5966" i="1"/>
  <c r="C5966" i="1"/>
  <c r="M5966" i="1"/>
  <c r="A5967" i="1"/>
  <c r="B5967" i="1"/>
  <c r="C5967" i="1"/>
  <c r="M5967" i="1"/>
  <c r="A5968" i="1"/>
  <c r="B5968" i="1"/>
  <c r="C5968" i="1"/>
  <c r="M5968" i="1"/>
  <c r="A5969" i="1"/>
  <c r="B5969" i="1"/>
  <c r="C5969" i="1"/>
  <c r="M5969" i="1"/>
  <c r="A5970" i="1"/>
  <c r="B5970" i="1"/>
  <c r="C5970" i="1"/>
  <c r="M5970" i="1"/>
  <c r="A5971" i="1"/>
  <c r="B5971" i="1"/>
  <c r="C5971" i="1"/>
  <c r="M5971" i="1"/>
  <c r="A5972" i="1"/>
  <c r="B5972" i="1"/>
  <c r="C5972" i="1"/>
  <c r="M5972" i="1"/>
  <c r="A5973" i="1"/>
  <c r="B5973" i="1"/>
  <c r="C5973" i="1"/>
  <c r="M5973" i="1"/>
  <c r="A5974" i="1"/>
  <c r="B5974" i="1"/>
  <c r="C5974" i="1"/>
  <c r="M5974" i="1"/>
  <c r="A5975" i="1"/>
  <c r="B5975" i="1"/>
  <c r="C5975" i="1"/>
  <c r="M5975" i="1"/>
  <c r="A5976" i="1"/>
  <c r="B5976" i="1"/>
  <c r="C5976" i="1"/>
  <c r="M5976" i="1"/>
  <c r="A5977" i="1"/>
  <c r="B5977" i="1"/>
  <c r="C5977" i="1"/>
  <c r="M5977" i="1"/>
  <c r="A5978" i="1"/>
  <c r="B5978" i="1"/>
  <c r="C5978" i="1"/>
  <c r="M5978" i="1"/>
  <c r="A5979" i="1"/>
  <c r="B5979" i="1"/>
  <c r="C5979" i="1"/>
  <c r="M5979" i="1"/>
  <c r="A5980" i="1"/>
  <c r="B5980" i="1"/>
  <c r="C5980" i="1"/>
  <c r="M5980" i="1"/>
  <c r="A5981" i="1"/>
  <c r="B5981" i="1"/>
  <c r="C5981" i="1"/>
  <c r="M5981" i="1"/>
  <c r="A5982" i="1"/>
  <c r="B5982" i="1"/>
  <c r="C5982" i="1"/>
  <c r="M5982" i="1"/>
  <c r="A5983" i="1"/>
  <c r="B5983" i="1"/>
  <c r="C5983" i="1"/>
  <c r="M5983" i="1"/>
  <c r="A5984" i="1"/>
  <c r="B5984" i="1"/>
  <c r="C5984" i="1"/>
  <c r="M5984" i="1"/>
  <c r="A5985" i="1"/>
  <c r="B5985" i="1"/>
  <c r="C5985" i="1"/>
  <c r="M5985" i="1"/>
  <c r="A5986" i="1"/>
  <c r="B5986" i="1"/>
  <c r="C5986" i="1"/>
  <c r="M5986" i="1"/>
  <c r="A5987" i="1"/>
  <c r="B5987" i="1"/>
  <c r="C5987" i="1"/>
  <c r="M5987" i="1"/>
  <c r="A5988" i="1"/>
  <c r="B5988" i="1"/>
  <c r="C5988" i="1"/>
  <c r="M5988" i="1"/>
  <c r="A5989" i="1"/>
  <c r="B5989" i="1"/>
  <c r="C5989" i="1"/>
  <c r="M5989" i="1"/>
  <c r="A5990" i="1"/>
  <c r="B5990" i="1"/>
  <c r="C5990" i="1"/>
  <c r="M5990" i="1"/>
  <c r="A5991" i="1"/>
  <c r="B5991" i="1"/>
  <c r="C5991" i="1"/>
  <c r="M5991" i="1"/>
  <c r="A5992" i="1"/>
  <c r="B5992" i="1"/>
  <c r="C5992" i="1"/>
  <c r="M5992" i="1"/>
  <c r="A5993" i="1"/>
  <c r="B5993" i="1"/>
  <c r="C5993" i="1"/>
  <c r="M5993" i="1"/>
  <c r="A5994" i="1"/>
  <c r="B5994" i="1"/>
  <c r="C5994" i="1"/>
  <c r="M5994" i="1"/>
  <c r="A5995" i="1"/>
  <c r="B5995" i="1"/>
  <c r="C5995" i="1"/>
  <c r="M5995" i="1"/>
  <c r="A5996" i="1"/>
  <c r="B5996" i="1"/>
  <c r="C5996" i="1"/>
  <c r="M5996" i="1"/>
  <c r="A5997" i="1"/>
  <c r="B5997" i="1"/>
  <c r="C5997" i="1"/>
  <c r="M5997" i="1"/>
  <c r="A5998" i="1"/>
  <c r="B5998" i="1"/>
  <c r="C5998" i="1"/>
  <c r="M5998" i="1"/>
  <c r="A5999" i="1"/>
  <c r="B5999" i="1"/>
  <c r="C5999" i="1"/>
  <c r="M5999" i="1"/>
  <c r="A6000" i="1"/>
  <c r="B6000" i="1"/>
  <c r="C6000" i="1"/>
  <c r="M6000" i="1"/>
  <c r="A6001" i="1"/>
  <c r="B6001" i="1"/>
  <c r="C6001" i="1"/>
  <c r="M6001" i="1"/>
  <c r="A6002" i="1"/>
  <c r="B6002" i="1"/>
  <c r="C6002" i="1"/>
  <c r="M6002" i="1"/>
  <c r="A6003" i="1"/>
  <c r="B6003" i="1"/>
  <c r="C6003" i="1"/>
  <c r="M6003" i="1"/>
  <c r="A6004" i="1"/>
  <c r="B6004" i="1"/>
  <c r="C6004" i="1"/>
  <c r="M6004" i="1"/>
  <c r="A6005" i="1"/>
  <c r="B6005" i="1"/>
  <c r="C6005" i="1"/>
  <c r="M6005" i="1"/>
  <c r="A6006" i="1"/>
  <c r="B6006" i="1"/>
  <c r="C6006" i="1"/>
  <c r="M6006" i="1"/>
  <c r="A6007" i="1"/>
  <c r="B6007" i="1"/>
  <c r="C6007" i="1"/>
  <c r="M6007" i="1"/>
  <c r="A6008" i="1"/>
  <c r="B6008" i="1"/>
  <c r="C6008" i="1"/>
  <c r="M6008" i="1"/>
  <c r="A6009" i="1"/>
  <c r="B6009" i="1"/>
  <c r="C6009" i="1"/>
  <c r="M6009" i="1"/>
  <c r="A6010" i="1"/>
  <c r="B6010" i="1"/>
  <c r="C6010" i="1"/>
  <c r="M6010" i="1"/>
  <c r="A6011" i="1"/>
  <c r="B6011" i="1"/>
  <c r="C6011" i="1"/>
  <c r="M6011" i="1"/>
  <c r="A6012" i="1"/>
  <c r="B6012" i="1"/>
  <c r="C6012" i="1"/>
  <c r="M6012" i="1"/>
  <c r="A6013" i="1"/>
  <c r="B6013" i="1"/>
  <c r="C6013" i="1"/>
  <c r="M6013" i="1"/>
  <c r="A6014" i="1"/>
  <c r="B6014" i="1"/>
  <c r="C6014" i="1"/>
  <c r="M6014" i="1"/>
  <c r="A6015" i="1"/>
  <c r="B6015" i="1"/>
  <c r="C6015" i="1"/>
  <c r="M6015" i="1"/>
  <c r="A6016" i="1"/>
  <c r="B6016" i="1"/>
  <c r="C6016" i="1"/>
  <c r="M6016" i="1"/>
  <c r="A6017" i="1"/>
  <c r="B6017" i="1"/>
  <c r="C6017" i="1"/>
  <c r="M6017" i="1"/>
  <c r="A6018" i="1"/>
  <c r="B6018" i="1"/>
  <c r="C6018" i="1"/>
  <c r="M6018" i="1"/>
  <c r="A6019" i="1"/>
  <c r="B6019" i="1"/>
  <c r="C6019" i="1"/>
  <c r="M6019" i="1"/>
  <c r="A6020" i="1"/>
  <c r="B6020" i="1"/>
  <c r="C6020" i="1"/>
  <c r="M6020" i="1"/>
  <c r="A6021" i="1"/>
  <c r="B6021" i="1"/>
  <c r="C6021" i="1"/>
  <c r="M6021" i="1"/>
  <c r="A6022" i="1"/>
  <c r="B6022" i="1"/>
  <c r="C6022" i="1"/>
  <c r="M6022" i="1"/>
  <c r="A6023" i="1"/>
  <c r="B6023" i="1"/>
  <c r="C6023" i="1"/>
  <c r="M6023" i="1"/>
  <c r="A6024" i="1"/>
  <c r="B6024" i="1"/>
  <c r="C6024" i="1"/>
  <c r="M6024" i="1"/>
  <c r="A6025" i="1"/>
  <c r="B6025" i="1"/>
  <c r="C6025" i="1"/>
  <c r="M6025" i="1"/>
  <c r="A6026" i="1"/>
  <c r="B6026" i="1"/>
  <c r="C6026" i="1"/>
  <c r="M6026" i="1"/>
  <c r="A6027" i="1"/>
  <c r="B6027" i="1"/>
  <c r="C6027" i="1"/>
  <c r="M6027" i="1"/>
  <c r="A6028" i="1"/>
  <c r="B6028" i="1"/>
  <c r="C6028" i="1"/>
  <c r="M6028" i="1"/>
  <c r="A6029" i="1"/>
  <c r="B6029" i="1"/>
  <c r="C6029" i="1"/>
  <c r="M6029" i="1"/>
  <c r="A6030" i="1"/>
  <c r="B6030" i="1"/>
  <c r="C6030" i="1"/>
  <c r="M6030" i="1"/>
  <c r="A6031" i="1"/>
  <c r="B6031" i="1"/>
  <c r="C6031" i="1"/>
  <c r="M6031" i="1"/>
  <c r="A6032" i="1"/>
  <c r="B6032" i="1"/>
  <c r="C6032" i="1"/>
  <c r="M6032" i="1"/>
  <c r="A6033" i="1"/>
  <c r="B6033" i="1"/>
  <c r="C6033" i="1"/>
  <c r="M6033" i="1"/>
  <c r="A6034" i="1"/>
  <c r="B6034" i="1"/>
  <c r="C6034" i="1"/>
  <c r="M6034" i="1"/>
  <c r="A6035" i="1"/>
  <c r="B6035" i="1"/>
  <c r="C6035" i="1"/>
  <c r="M6035" i="1"/>
  <c r="A6036" i="1"/>
  <c r="B6036" i="1"/>
  <c r="C6036" i="1"/>
  <c r="M6036" i="1"/>
  <c r="A6037" i="1"/>
  <c r="B6037" i="1"/>
  <c r="C6037" i="1"/>
  <c r="M6037" i="1"/>
  <c r="A6038" i="1"/>
  <c r="B6038" i="1"/>
  <c r="C6038" i="1"/>
  <c r="M6038" i="1"/>
  <c r="A6039" i="1"/>
  <c r="B6039" i="1"/>
  <c r="C6039" i="1"/>
  <c r="M6039" i="1"/>
  <c r="A6040" i="1"/>
  <c r="B6040" i="1"/>
  <c r="C6040" i="1"/>
  <c r="M6040" i="1"/>
  <c r="A6041" i="1"/>
  <c r="B6041" i="1"/>
  <c r="C6041" i="1"/>
  <c r="M6041" i="1"/>
  <c r="A6042" i="1"/>
  <c r="B6042" i="1"/>
  <c r="C6042" i="1"/>
  <c r="M6042" i="1"/>
  <c r="A6043" i="1"/>
  <c r="B6043" i="1"/>
  <c r="C6043" i="1"/>
  <c r="M6043" i="1"/>
  <c r="A6044" i="1"/>
  <c r="B6044" i="1"/>
  <c r="C6044" i="1"/>
  <c r="M6044" i="1"/>
  <c r="A6045" i="1"/>
  <c r="B6045" i="1"/>
  <c r="C6045" i="1"/>
  <c r="M6045" i="1"/>
  <c r="A6046" i="1"/>
  <c r="B6046" i="1"/>
  <c r="C6046" i="1"/>
  <c r="M6046" i="1"/>
  <c r="A6047" i="1"/>
  <c r="B6047" i="1"/>
  <c r="C6047" i="1"/>
  <c r="M6047" i="1"/>
  <c r="A6048" i="1"/>
  <c r="B6048" i="1"/>
  <c r="C6048" i="1"/>
  <c r="M6048" i="1"/>
  <c r="A6049" i="1"/>
  <c r="B6049" i="1"/>
  <c r="C6049" i="1"/>
  <c r="M6049" i="1"/>
  <c r="A6050" i="1"/>
  <c r="B6050" i="1"/>
  <c r="C6050" i="1"/>
  <c r="M6050" i="1"/>
  <c r="A6051" i="1"/>
  <c r="B6051" i="1"/>
  <c r="C6051" i="1"/>
  <c r="M6051" i="1"/>
  <c r="A6052" i="1"/>
  <c r="B6052" i="1"/>
  <c r="C6052" i="1"/>
  <c r="M6052" i="1"/>
  <c r="A6053" i="1"/>
  <c r="B6053" i="1"/>
  <c r="C6053" i="1"/>
  <c r="M6053" i="1"/>
  <c r="A6054" i="1"/>
  <c r="B6054" i="1"/>
  <c r="C6054" i="1"/>
  <c r="M6054" i="1"/>
  <c r="A6055" i="1"/>
  <c r="B6055" i="1"/>
  <c r="C6055" i="1"/>
  <c r="M6055" i="1"/>
  <c r="A6056" i="1"/>
  <c r="B6056" i="1"/>
  <c r="C6056" i="1"/>
  <c r="M6056" i="1"/>
  <c r="A6057" i="1"/>
  <c r="B6057" i="1"/>
  <c r="C6057" i="1"/>
  <c r="M6057" i="1"/>
  <c r="A6058" i="1"/>
  <c r="B6058" i="1"/>
  <c r="C6058" i="1"/>
  <c r="M6058" i="1"/>
  <c r="A6059" i="1"/>
  <c r="B6059" i="1"/>
  <c r="C6059" i="1"/>
  <c r="M6059" i="1"/>
  <c r="A6060" i="1"/>
  <c r="B6060" i="1"/>
  <c r="C6060" i="1"/>
  <c r="M6060" i="1"/>
  <c r="A6061" i="1"/>
  <c r="B6061" i="1"/>
  <c r="C6061" i="1"/>
  <c r="M6061" i="1"/>
  <c r="A6062" i="1"/>
  <c r="B6062" i="1"/>
  <c r="C6062" i="1"/>
  <c r="M6062" i="1"/>
  <c r="A6063" i="1"/>
  <c r="B6063" i="1"/>
  <c r="C6063" i="1"/>
  <c r="M6063" i="1"/>
  <c r="A6064" i="1"/>
  <c r="B6064" i="1"/>
  <c r="C6064" i="1"/>
  <c r="M6064" i="1"/>
  <c r="A6065" i="1"/>
  <c r="B6065" i="1"/>
  <c r="C6065" i="1"/>
  <c r="M6065" i="1"/>
  <c r="A6066" i="1"/>
  <c r="B6066" i="1"/>
  <c r="C6066" i="1"/>
  <c r="M6066" i="1"/>
  <c r="A6067" i="1"/>
  <c r="B6067" i="1"/>
  <c r="C6067" i="1"/>
  <c r="M6067" i="1"/>
  <c r="A6068" i="1"/>
  <c r="B6068" i="1"/>
  <c r="C6068" i="1"/>
  <c r="M6068" i="1"/>
  <c r="A6069" i="1"/>
  <c r="B6069" i="1"/>
  <c r="C6069" i="1"/>
  <c r="M6069" i="1"/>
  <c r="A6070" i="1"/>
  <c r="B6070" i="1"/>
  <c r="C6070" i="1"/>
  <c r="M6070" i="1"/>
  <c r="A6071" i="1"/>
  <c r="B6071" i="1"/>
  <c r="C6071" i="1"/>
  <c r="M6071" i="1"/>
  <c r="A6072" i="1"/>
  <c r="B6072" i="1"/>
  <c r="C6072" i="1"/>
  <c r="M6072" i="1"/>
  <c r="A6073" i="1"/>
  <c r="B6073" i="1"/>
  <c r="C6073" i="1"/>
  <c r="M6073" i="1"/>
  <c r="A6074" i="1"/>
  <c r="B6074" i="1"/>
  <c r="C6074" i="1"/>
  <c r="M6074" i="1"/>
  <c r="A6075" i="1"/>
  <c r="B6075" i="1"/>
  <c r="C6075" i="1"/>
  <c r="M6075" i="1"/>
  <c r="A6076" i="1"/>
  <c r="B6076" i="1"/>
  <c r="C6076" i="1"/>
  <c r="M6076" i="1"/>
  <c r="A6077" i="1"/>
  <c r="B6077" i="1"/>
  <c r="C6077" i="1"/>
  <c r="M6077" i="1"/>
  <c r="A6078" i="1"/>
  <c r="B6078" i="1"/>
  <c r="C6078" i="1"/>
  <c r="M6078" i="1"/>
  <c r="A6079" i="1"/>
  <c r="B6079" i="1"/>
  <c r="C6079" i="1"/>
  <c r="M6079" i="1"/>
  <c r="A6080" i="1"/>
  <c r="B6080" i="1"/>
  <c r="C6080" i="1"/>
  <c r="M6080" i="1"/>
  <c r="A6081" i="1"/>
  <c r="B6081" i="1"/>
  <c r="C6081" i="1"/>
  <c r="M6081" i="1"/>
  <c r="A6082" i="1"/>
  <c r="B6082" i="1"/>
  <c r="C6082" i="1"/>
  <c r="M6082" i="1"/>
  <c r="A6083" i="1"/>
  <c r="B6083" i="1"/>
  <c r="C6083" i="1"/>
  <c r="M6083" i="1"/>
  <c r="A6084" i="1"/>
  <c r="B6084" i="1"/>
  <c r="C6084" i="1"/>
  <c r="M6084" i="1"/>
  <c r="A6085" i="1"/>
  <c r="B6085" i="1"/>
  <c r="C6085" i="1"/>
  <c r="M6085" i="1"/>
  <c r="A6086" i="1"/>
  <c r="B6086" i="1"/>
  <c r="C6086" i="1"/>
  <c r="M6086" i="1"/>
  <c r="A6087" i="1"/>
  <c r="B6087" i="1"/>
  <c r="C6087" i="1"/>
  <c r="M6087" i="1"/>
  <c r="A6088" i="1"/>
  <c r="B6088" i="1"/>
  <c r="C6088" i="1"/>
  <c r="M6088" i="1"/>
  <c r="A6089" i="1"/>
  <c r="B6089" i="1"/>
  <c r="C6089" i="1"/>
  <c r="M6089" i="1"/>
  <c r="A6090" i="1"/>
  <c r="B6090" i="1"/>
  <c r="C6090" i="1"/>
  <c r="M6090" i="1"/>
  <c r="A6091" i="1"/>
  <c r="B6091" i="1"/>
  <c r="C6091" i="1"/>
  <c r="M6091" i="1"/>
  <c r="A6092" i="1"/>
  <c r="B6092" i="1"/>
  <c r="C6092" i="1"/>
  <c r="M6092" i="1"/>
  <c r="A6093" i="1"/>
  <c r="B6093" i="1"/>
  <c r="C6093" i="1"/>
  <c r="M6093" i="1"/>
  <c r="A6094" i="1"/>
  <c r="B6094" i="1"/>
  <c r="C6094" i="1"/>
  <c r="M6094" i="1"/>
  <c r="A6095" i="1"/>
  <c r="B6095" i="1"/>
  <c r="C6095" i="1"/>
  <c r="M6095" i="1"/>
  <c r="A6096" i="1"/>
  <c r="B6096" i="1"/>
  <c r="C6096" i="1"/>
  <c r="M6096" i="1"/>
  <c r="A6097" i="1"/>
  <c r="B6097" i="1"/>
  <c r="C6097" i="1"/>
  <c r="M6097" i="1"/>
  <c r="A6098" i="1"/>
  <c r="B6098" i="1"/>
  <c r="C6098" i="1"/>
  <c r="M6098" i="1"/>
  <c r="A6099" i="1"/>
  <c r="B6099" i="1"/>
  <c r="C6099" i="1"/>
  <c r="M6099" i="1"/>
  <c r="A6100" i="1"/>
  <c r="B6100" i="1"/>
  <c r="C6100" i="1"/>
  <c r="M6100" i="1"/>
  <c r="A6101" i="1"/>
  <c r="B6101" i="1"/>
  <c r="C6101" i="1"/>
  <c r="M6101" i="1"/>
  <c r="A6102" i="1"/>
  <c r="B6102" i="1"/>
  <c r="C6102" i="1"/>
  <c r="M6102" i="1"/>
  <c r="A6103" i="1"/>
  <c r="B6103" i="1"/>
  <c r="C6103" i="1"/>
  <c r="M6103" i="1"/>
  <c r="A6104" i="1"/>
  <c r="B6104" i="1"/>
  <c r="C6104" i="1"/>
  <c r="M6104" i="1"/>
  <c r="A6105" i="1"/>
  <c r="B6105" i="1"/>
  <c r="C6105" i="1"/>
  <c r="M6105" i="1"/>
  <c r="A6106" i="1"/>
  <c r="B6106" i="1"/>
  <c r="C6106" i="1"/>
  <c r="M6106" i="1"/>
  <c r="A6107" i="1"/>
  <c r="B6107" i="1"/>
  <c r="C6107" i="1"/>
  <c r="M6107" i="1"/>
  <c r="A6108" i="1"/>
  <c r="B6108" i="1"/>
  <c r="C6108" i="1"/>
  <c r="M6108" i="1"/>
  <c r="A6109" i="1"/>
  <c r="B6109" i="1"/>
  <c r="C6109" i="1"/>
  <c r="M6109" i="1"/>
  <c r="A6110" i="1"/>
  <c r="B6110" i="1"/>
  <c r="C6110" i="1"/>
  <c r="M6110" i="1"/>
  <c r="A6111" i="1"/>
  <c r="B6111" i="1"/>
  <c r="C6111" i="1"/>
  <c r="M6111" i="1"/>
  <c r="A6112" i="1"/>
  <c r="B6112" i="1"/>
  <c r="C6112" i="1"/>
  <c r="M6112" i="1"/>
  <c r="A6113" i="1"/>
  <c r="B6113" i="1"/>
  <c r="C6113" i="1"/>
  <c r="M6113" i="1"/>
  <c r="A6114" i="1"/>
  <c r="B6114" i="1"/>
  <c r="C6114" i="1"/>
  <c r="M6114" i="1"/>
  <c r="A6115" i="1"/>
  <c r="B6115" i="1"/>
  <c r="C6115" i="1"/>
  <c r="M6115" i="1"/>
  <c r="A6116" i="1"/>
  <c r="B6116" i="1"/>
  <c r="C6116" i="1"/>
  <c r="M6116" i="1"/>
  <c r="A6117" i="1"/>
  <c r="B6117" i="1"/>
  <c r="C6117" i="1"/>
  <c r="M6117" i="1"/>
  <c r="A6118" i="1"/>
  <c r="B6118" i="1"/>
  <c r="C6118" i="1"/>
  <c r="M6118" i="1"/>
  <c r="A6119" i="1"/>
  <c r="B6119" i="1"/>
  <c r="C6119" i="1"/>
  <c r="M6119" i="1"/>
  <c r="A6120" i="1"/>
  <c r="B6120" i="1"/>
  <c r="C6120" i="1"/>
  <c r="M6120" i="1"/>
  <c r="A6121" i="1"/>
  <c r="B6121" i="1"/>
  <c r="C6121" i="1"/>
  <c r="M6121" i="1"/>
  <c r="A6122" i="1"/>
  <c r="B6122" i="1"/>
  <c r="C6122" i="1"/>
  <c r="M6122" i="1"/>
  <c r="A6123" i="1"/>
  <c r="B6123" i="1"/>
  <c r="C6123" i="1"/>
  <c r="M6123" i="1"/>
  <c r="A6124" i="1"/>
  <c r="B6124" i="1"/>
  <c r="C6124" i="1"/>
  <c r="M6124" i="1"/>
  <c r="A6125" i="1"/>
  <c r="B6125" i="1"/>
  <c r="C6125" i="1"/>
  <c r="M6125" i="1"/>
  <c r="A6126" i="1"/>
  <c r="B6126" i="1"/>
  <c r="C6126" i="1"/>
  <c r="M6126" i="1"/>
  <c r="A6127" i="1"/>
  <c r="B6127" i="1"/>
  <c r="C6127" i="1"/>
  <c r="M6127" i="1"/>
  <c r="A6128" i="1"/>
  <c r="B6128" i="1"/>
  <c r="C6128" i="1"/>
  <c r="M6128" i="1"/>
  <c r="A6129" i="1"/>
  <c r="B6129" i="1"/>
  <c r="C6129" i="1"/>
  <c r="M6129" i="1"/>
  <c r="A6130" i="1"/>
  <c r="B6130" i="1"/>
  <c r="C6130" i="1"/>
  <c r="M6130" i="1"/>
  <c r="A6131" i="1"/>
  <c r="B6131" i="1"/>
  <c r="C6131" i="1"/>
  <c r="M6131" i="1"/>
  <c r="A6132" i="1"/>
  <c r="B6132" i="1"/>
  <c r="C6132" i="1"/>
  <c r="M6132" i="1"/>
  <c r="A6133" i="1"/>
  <c r="B6133" i="1"/>
  <c r="C6133" i="1"/>
  <c r="M6133" i="1"/>
  <c r="A6134" i="1"/>
  <c r="B6134" i="1"/>
  <c r="C6134" i="1"/>
  <c r="M6134" i="1"/>
  <c r="A6135" i="1"/>
  <c r="B6135" i="1"/>
  <c r="C6135" i="1"/>
  <c r="M6135" i="1"/>
  <c r="A6136" i="1"/>
  <c r="B6136" i="1"/>
  <c r="C6136" i="1"/>
  <c r="M6136" i="1"/>
  <c r="A6137" i="1"/>
  <c r="B6137" i="1"/>
  <c r="C6137" i="1"/>
  <c r="M6137" i="1"/>
  <c r="A6138" i="1"/>
  <c r="B6138" i="1"/>
  <c r="C6138" i="1"/>
  <c r="M6138" i="1"/>
  <c r="A6139" i="1"/>
  <c r="B6139" i="1"/>
  <c r="C6139" i="1"/>
  <c r="M6139" i="1"/>
  <c r="A6140" i="1"/>
  <c r="B6140" i="1"/>
  <c r="C6140" i="1"/>
  <c r="M6140" i="1"/>
  <c r="A6141" i="1"/>
  <c r="B6141" i="1"/>
  <c r="C6141" i="1"/>
  <c r="M6141" i="1"/>
  <c r="A6142" i="1"/>
  <c r="B6142" i="1"/>
  <c r="C6142" i="1"/>
  <c r="M6142" i="1"/>
  <c r="A6143" i="1"/>
  <c r="B6143" i="1"/>
  <c r="C6143" i="1"/>
  <c r="M6143" i="1"/>
  <c r="A6144" i="1"/>
  <c r="B6144" i="1"/>
  <c r="C6144" i="1"/>
  <c r="M6144" i="1"/>
  <c r="A6145" i="1"/>
  <c r="B6145" i="1"/>
  <c r="C6145" i="1"/>
  <c r="M6145" i="1"/>
  <c r="A6146" i="1"/>
  <c r="B6146" i="1"/>
  <c r="C6146" i="1"/>
  <c r="M6146" i="1"/>
  <c r="A6147" i="1"/>
  <c r="B6147" i="1"/>
  <c r="C6147" i="1"/>
  <c r="M6147" i="1"/>
  <c r="A6148" i="1"/>
  <c r="B6148" i="1"/>
  <c r="C6148" i="1"/>
  <c r="M6148" i="1"/>
  <c r="A6149" i="1"/>
  <c r="B6149" i="1"/>
  <c r="C6149" i="1"/>
  <c r="M6149" i="1"/>
  <c r="A6150" i="1"/>
  <c r="B6150" i="1"/>
  <c r="C6150" i="1"/>
  <c r="M6150" i="1"/>
  <c r="A6151" i="1"/>
  <c r="B6151" i="1"/>
  <c r="C6151" i="1"/>
  <c r="M6151" i="1"/>
  <c r="A6152" i="1"/>
  <c r="B6152" i="1"/>
  <c r="C6152" i="1"/>
  <c r="M6152" i="1"/>
  <c r="A6153" i="1"/>
  <c r="B6153" i="1"/>
  <c r="C6153" i="1"/>
  <c r="M6153" i="1"/>
  <c r="A6154" i="1"/>
  <c r="B6154" i="1"/>
  <c r="C6154" i="1"/>
  <c r="M6154" i="1"/>
  <c r="A6155" i="1"/>
  <c r="B6155" i="1"/>
  <c r="C6155" i="1"/>
  <c r="M6155" i="1"/>
  <c r="A6156" i="1"/>
  <c r="B6156" i="1"/>
  <c r="C6156" i="1"/>
  <c r="M6156" i="1"/>
  <c r="A6157" i="1"/>
  <c r="B6157" i="1"/>
  <c r="C6157" i="1"/>
  <c r="M6157" i="1"/>
  <c r="A6158" i="1"/>
  <c r="B6158" i="1"/>
  <c r="C6158" i="1"/>
  <c r="M6158" i="1"/>
  <c r="A6159" i="1"/>
  <c r="B6159" i="1"/>
  <c r="C6159" i="1"/>
  <c r="M6159" i="1"/>
  <c r="A6160" i="1"/>
  <c r="B6160" i="1"/>
  <c r="C6160" i="1"/>
  <c r="M6160" i="1"/>
  <c r="A6161" i="1"/>
  <c r="B6161" i="1"/>
  <c r="C6161" i="1"/>
  <c r="M6161" i="1"/>
  <c r="A6162" i="1"/>
  <c r="B6162" i="1"/>
  <c r="C6162" i="1"/>
  <c r="M6162" i="1"/>
  <c r="A6163" i="1"/>
  <c r="B6163" i="1"/>
  <c r="C6163" i="1"/>
  <c r="M6163" i="1"/>
  <c r="A6164" i="1"/>
  <c r="B6164" i="1"/>
  <c r="C6164" i="1"/>
  <c r="M6164" i="1"/>
  <c r="A6165" i="1"/>
  <c r="B6165" i="1"/>
  <c r="C6165" i="1"/>
  <c r="M6165" i="1"/>
  <c r="A6166" i="1"/>
  <c r="B6166" i="1"/>
  <c r="C6166" i="1"/>
  <c r="M6166" i="1"/>
  <c r="A6167" i="1"/>
  <c r="B6167" i="1"/>
  <c r="C6167" i="1"/>
  <c r="M6167" i="1"/>
  <c r="A6168" i="1"/>
  <c r="B6168" i="1"/>
  <c r="C6168" i="1"/>
  <c r="M6168" i="1"/>
  <c r="A6169" i="1"/>
  <c r="B6169" i="1"/>
  <c r="C6169" i="1"/>
  <c r="M6169" i="1"/>
  <c r="A6170" i="1"/>
  <c r="B6170" i="1"/>
  <c r="C6170" i="1"/>
  <c r="M6170" i="1"/>
  <c r="A6171" i="1"/>
  <c r="B6171" i="1"/>
  <c r="C6171" i="1"/>
  <c r="M6171" i="1"/>
  <c r="A6172" i="1"/>
  <c r="B6172" i="1"/>
  <c r="C6172" i="1"/>
  <c r="M6172" i="1"/>
  <c r="A6173" i="1"/>
  <c r="B6173" i="1"/>
  <c r="C6173" i="1"/>
  <c r="M6173" i="1"/>
  <c r="A6174" i="1"/>
  <c r="B6174" i="1"/>
  <c r="C6174" i="1"/>
  <c r="M6174" i="1"/>
  <c r="A6175" i="1"/>
  <c r="B6175" i="1"/>
  <c r="C6175" i="1"/>
  <c r="M6175" i="1"/>
  <c r="A6176" i="1"/>
  <c r="B6176" i="1"/>
  <c r="C6176" i="1"/>
  <c r="M6176" i="1"/>
  <c r="A6177" i="1"/>
  <c r="B6177" i="1"/>
  <c r="C6177" i="1"/>
  <c r="M6177" i="1"/>
  <c r="A6178" i="1"/>
  <c r="B6178" i="1"/>
  <c r="C6178" i="1"/>
  <c r="M6178" i="1"/>
  <c r="A6179" i="1"/>
  <c r="B6179" i="1"/>
  <c r="C6179" i="1"/>
  <c r="M6179" i="1"/>
  <c r="A6180" i="1"/>
  <c r="B6180" i="1"/>
  <c r="C6180" i="1"/>
  <c r="M6180" i="1"/>
  <c r="A6181" i="1"/>
  <c r="B6181" i="1"/>
  <c r="C6181" i="1"/>
  <c r="M6181" i="1"/>
  <c r="A6182" i="1"/>
  <c r="B6182" i="1"/>
  <c r="C6182" i="1"/>
  <c r="M6182" i="1"/>
  <c r="A6183" i="1"/>
  <c r="B6183" i="1"/>
  <c r="C6183" i="1"/>
  <c r="M6183" i="1"/>
  <c r="A6184" i="1"/>
  <c r="B6184" i="1"/>
  <c r="C6184" i="1"/>
  <c r="M6184" i="1"/>
  <c r="A6185" i="1"/>
  <c r="B6185" i="1"/>
  <c r="C6185" i="1"/>
  <c r="M6185" i="1"/>
  <c r="A6186" i="1"/>
  <c r="B6186" i="1"/>
  <c r="C6186" i="1"/>
  <c r="M6186" i="1"/>
  <c r="A6187" i="1"/>
  <c r="B6187" i="1"/>
  <c r="C6187" i="1"/>
  <c r="M6187" i="1"/>
  <c r="A6188" i="1"/>
  <c r="B6188" i="1"/>
  <c r="C6188" i="1"/>
  <c r="M6188" i="1"/>
  <c r="A6189" i="1"/>
  <c r="B6189" i="1"/>
  <c r="C6189" i="1"/>
  <c r="M6189" i="1"/>
  <c r="A6190" i="1"/>
  <c r="B6190" i="1"/>
  <c r="C6190" i="1"/>
  <c r="M6190" i="1"/>
  <c r="A6191" i="1"/>
  <c r="B6191" i="1"/>
  <c r="C6191" i="1"/>
  <c r="M6191" i="1"/>
  <c r="A6192" i="1"/>
  <c r="B6192" i="1"/>
  <c r="C6192" i="1"/>
  <c r="M6192" i="1"/>
  <c r="A6193" i="1"/>
  <c r="B6193" i="1"/>
  <c r="C6193" i="1"/>
  <c r="M6193" i="1"/>
  <c r="A6194" i="1"/>
  <c r="B6194" i="1"/>
  <c r="C6194" i="1"/>
  <c r="M6194" i="1"/>
  <c r="A6195" i="1"/>
  <c r="B6195" i="1"/>
  <c r="C6195" i="1"/>
  <c r="M6195" i="1"/>
  <c r="A6196" i="1"/>
  <c r="B6196" i="1"/>
  <c r="C6196" i="1"/>
  <c r="M6196" i="1"/>
  <c r="A6197" i="1"/>
  <c r="B6197" i="1"/>
  <c r="C6197" i="1"/>
  <c r="M6197" i="1"/>
  <c r="A6198" i="1"/>
  <c r="B6198" i="1"/>
  <c r="C6198" i="1"/>
  <c r="M6198" i="1"/>
  <c r="A6199" i="1"/>
  <c r="B6199" i="1"/>
  <c r="C6199" i="1"/>
  <c r="M6199" i="1"/>
  <c r="A6200" i="1"/>
  <c r="B6200" i="1"/>
  <c r="C6200" i="1"/>
  <c r="M6200" i="1"/>
  <c r="A6201" i="1"/>
  <c r="B6201" i="1"/>
  <c r="C6201" i="1"/>
  <c r="M6201" i="1"/>
  <c r="A6202" i="1"/>
  <c r="B6202" i="1"/>
  <c r="C6202" i="1"/>
  <c r="M6202" i="1"/>
  <c r="A6203" i="1"/>
  <c r="B6203" i="1"/>
  <c r="C6203" i="1"/>
  <c r="M6203" i="1"/>
  <c r="A6204" i="1"/>
  <c r="B6204" i="1"/>
  <c r="C6204" i="1"/>
  <c r="M6204" i="1"/>
  <c r="A6205" i="1"/>
  <c r="B6205" i="1"/>
  <c r="C6205" i="1"/>
  <c r="M6205" i="1"/>
  <c r="A6206" i="1"/>
  <c r="B6206" i="1"/>
  <c r="C6206" i="1"/>
  <c r="M6206" i="1"/>
  <c r="A6207" i="1"/>
  <c r="B6207" i="1"/>
  <c r="C6207" i="1"/>
  <c r="M6207" i="1"/>
  <c r="A6208" i="1"/>
  <c r="B6208" i="1"/>
  <c r="C6208" i="1"/>
  <c r="M6208" i="1"/>
  <c r="A6209" i="1"/>
  <c r="B6209" i="1"/>
  <c r="C6209" i="1"/>
  <c r="M6209" i="1"/>
  <c r="A6210" i="1"/>
  <c r="B6210" i="1"/>
  <c r="C6210" i="1"/>
  <c r="M6210" i="1"/>
  <c r="A6211" i="1"/>
  <c r="B6211" i="1"/>
  <c r="C6211" i="1"/>
  <c r="M6211" i="1"/>
  <c r="A6212" i="1"/>
  <c r="B6212" i="1"/>
  <c r="C6212" i="1"/>
  <c r="M6212" i="1"/>
  <c r="A6213" i="1"/>
  <c r="B6213" i="1"/>
  <c r="C6213" i="1"/>
  <c r="M6213" i="1"/>
  <c r="A6214" i="1"/>
  <c r="B6214" i="1"/>
  <c r="C6214" i="1"/>
  <c r="M6214" i="1"/>
  <c r="A6215" i="1"/>
  <c r="B6215" i="1"/>
  <c r="C6215" i="1"/>
  <c r="M6215" i="1"/>
  <c r="A6216" i="1"/>
  <c r="B6216" i="1"/>
  <c r="C6216" i="1"/>
  <c r="M6216" i="1"/>
  <c r="A6217" i="1"/>
  <c r="B6217" i="1"/>
  <c r="C6217" i="1"/>
  <c r="M6217" i="1"/>
  <c r="A6218" i="1"/>
  <c r="B6218" i="1"/>
  <c r="C6218" i="1"/>
  <c r="M6218" i="1"/>
  <c r="A6219" i="1"/>
  <c r="B6219" i="1"/>
  <c r="C6219" i="1"/>
  <c r="M6219" i="1"/>
  <c r="A6220" i="1"/>
  <c r="B6220" i="1"/>
  <c r="C6220" i="1"/>
  <c r="M6220" i="1"/>
  <c r="A6221" i="1"/>
  <c r="B6221" i="1"/>
  <c r="C6221" i="1"/>
  <c r="M6221" i="1"/>
  <c r="A6222" i="1"/>
  <c r="B6222" i="1"/>
  <c r="C6222" i="1"/>
  <c r="M6222" i="1"/>
  <c r="A6223" i="1"/>
  <c r="B6223" i="1"/>
  <c r="C6223" i="1"/>
  <c r="M6223" i="1"/>
  <c r="A6224" i="1"/>
  <c r="B6224" i="1"/>
  <c r="C6224" i="1"/>
  <c r="M6224" i="1"/>
  <c r="A6225" i="1"/>
  <c r="B6225" i="1"/>
  <c r="C6225" i="1"/>
  <c r="M6225" i="1"/>
  <c r="A6226" i="1"/>
  <c r="B6226" i="1"/>
  <c r="C6226" i="1"/>
  <c r="M6226" i="1"/>
  <c r="A6227" i="1"/>
  <c r="B6227" i="1"/>
  <c r="C6227" i="1"/>
  <c r="M6227" i="1"/>
  <c r="A6228" i="1"/>
  <c r="B6228" i="1"/>
  <c r="C6228" i="1"/>
  <c r="M6228" i="1"/>
  <c r="A6229" i="1"/>
  <c r="B6229" i="1"/>
  <c r="C6229" i="1"/>
  <c r="M6229" i="1"/>
  <c r="A6230" i="1"/>
  <c r="B6230" i="1"/>
  <c r="C6230" i="1"/>
  <c r="M6230" i="1"/>
  <c r="A6231" i="1"/>
  <c r="B6231" i="1"/>
  <c r="C6231" i="1"/>
  <c r="M6231" i="1"/>
  <c r="A6232" i="1"/>
  <c r="B6232" i="1"/>
  <c r="C6232" i="1"/>
  <c r="M6232" i="1"/>
  <c r="A6233" i="1"/>
  <c r="B6233" i="1"/>
  <c r="C6233" i="1"/>
  <c r="M6233" i="1"/>
  <c r="A6234" i="1"/>
  <c r="B6234" i="1"/>
  <c r="C6234" i="1"/>
  <c r="M6234" i="1"/>
  <c r="A6235" i="1"/>
  <c r="B6235" i="1"/>
  <c r="C6235" i="1"/>
  <c r="M6235" i="1"/>
  <c r="A6236" i="1"/>
  <c r="B6236" i="1"/>
  <c r="C6236" i="1"/>
  <c r="M6236" i="1"/>
  <c r="A6237" i="1"/>
  <c r="B6237" i="1"/>
  <c r="C6237" i="1"/>
  <c r="M6237" i="1"/>
  <c r="A6238" i="1"/>
  <c r="B6238" i="1"/>
  <c r="C6238" i="1"/>
  <c r="M6238" i="1"/>
  <c r="A6239" i="1"/>
  <c r="B6239" i="1"/>
  <c r="C6239" i="1"/>
  <c r="M6239" i="1"/>
  <c r="A6240" i="1"/>
  <c r="B6240" i="1"/>
  <c r="C6240" i="1"/>
  <c r="M6240" i="1"/>
  <c r="A6241" i="1"/>
  <c r="B6241" i="1"/>
  <c r="C6241" i="1"/>
  <c r="M6241" i="1"/>
  <c r="A6242" i="1"/>
  <c r="B6242" i="1"/>
  <c r="C6242" i="1"/>
  <c r="M6242" i="1"/>
  <c r="A6243" i="1"/>
  <c r="B6243" i="1"/>
  <c r="C6243" i="1"/>
  <c r="M6243" i="1"/>
  <c r="A6244" i="1"/>
  <c r="B6244" i="1"/>
  <c r="C6244" i="1"/>
  <c r="M6244" i="1"/>
  <c r="A6245" i="1"/>
  <c r="B6245" i="1"/>
  <c r="C6245" i="1"/>
  <c r="M6245" i="1"/>
  <c r="A6246" i="1"/>
  <c r="B6246" i="1"/>
  <c r="C6246" i="1"/>
  <c r="M6246" i="1"/>
  <c r="A6247" i="1"/>
  <c r="B6247" i="1"/>
  <c r="C6247" i="1"/>
  <c r="M6247" i="1"/>
  <c r="A6248" i="1"/>
  <c r="B6248" i="1"/>
  <c r="C6248" i="1"/>
  <c r="M6248" i="1"/>
  <c r="A6249" i="1"/>
  <c r="B6249" i="1"/>
  <c r="C6249" i="1"/>
  <c r="M6249" i="1"/>
  <c r="A6250" i="1"/>
  <c r="B6250" i="1"/>
  <c r="C6250" i="1"/>
  <c r="M6250" i="1"/>
  <c r="A6251" i="1"/>
  <c r="B6251" i="1"/>
  <c r="C6251" i="1"/>
  <c r="M6251" i="1"/>
  <c r="A6252" i="1"/>
  <c r="B6252" i="1"/>
  <c r="C6252" i="1"/>
  <c r="M6252" i="1"/>
  <c r="A6253" i="1"/>
  <c r="B6253" i="1"/>
  <c r="C6253" i="1"/>
  <c r="M6253" i="1"/>
  <c r="A6254" i="1"/>
  <c r="B6254" i="1"/>
  <c r="C6254" i="1"/>
  <c r="M6254" i="1"/>
  <c r="A6255" i="1"/>
  <c r="B6255" i="1"/>
  <c r="C6255" i="1"/>
  <c r="M6255" i="1"/>
  <c r="A6256" i="1"/>
  <c r="B6256" i="1"/>
  <c r="C6256" i="1"/>
  <c r="M6256" i="1"/>
  <c r="A6257" i="1"/>
  <c r="B6257" i="1"/>
  <c r="C6257" i="1"/>
  <c r="M6257" i="1"/>
  <c r="A6258" i="1"/>
  <c r="B6258" i="1"/>
  <c r="C6258" i="1"/>
  <c r="M6258" i="1"/>
  <c r="A6259" i="1"/>
  <c r="B6259" i="1"/>
  <c r="C6259" i="1"/>
  <c r="M6259" i="1"/>
  <c r="A6260" i="1"/>
  <c r="B6260" i="1"/>
  <c r="C6260" i="1"/>
  <c r="M6260" i="1"/>
  <c r="A6261" i="1"/>
  <c r="B6261" i="1"/>
  <c r="C6261" i="1"/>
  <c r="M6261" i="1"/>
  <c r="A6262" i="1"/>
  <c r="B6262" i="1"/>
  <c r="C6262" i="1"/>
  <c r="M6262" i="1"/>
  <c r="A6263" i="1"/>
  <c r="B6263" i="1"/>
  <c r="C6263" i="1"/>
  <c r="M6263" i="1"/>
  <c r="A6264" i="1"/>
  <c r="B6264" i="1"/>
  <c r="C6264" i="1"/>
  <c r="M6264" i="1"/>
  <c r="A6265" i="1"/>
  <c r="B6265" i="1"/>
  <c r="C6265" i="1"/>
  <c r="M6265" i="1"/>
  <c r="A6266" i="1"/>
  <c r="B6266" i="1"/>
  <c r="C6266" i="1"/>
  <c r="M6266" i="1"/>
  <c r="A6267" i="1"/>
  <c r="B6267" i="1"/>
  <c r="C6267" i="1"/>
  <c r="M6267" i="1"/>
  <c r="A6268" i="1"/>
  <c r="B6268" i="1"/>
  <c r="C6268" i="1"/>
  <c r="M6268" i="1"/>
  <c r="A6269" i="1"/>
  <c r="B6269" i="1"/>
  <c r="C6269" i="1"/>
  <c r="M6269" i="1"/>
  <c r="A6270" i="1"/>
  <c r="B6270" i="1"/>
  <c r="C6270" i="1"/>
  <c r="M6270" i="1"/>
  <c r="A6271" i="1"/>
  <c r="B6271" i="1"/>
  <c r="C6271" i="1"/>
  <c r="M6271" i="1"/>
  <c r="A6272" i="1"/>
  <c r="B6272" i="1"/>
  <c r="C6272" i="1"/>
  <c r="M6272" i="1"/>
  <c r="A6273" i="1"/>
  <c r="B6273" i="1"/>
  <c r="C6273" i="1"/>
  <c r="M6273" i="1"/>
  <c r="A6274" i="1"/>
  <c r="B6274" i="1"/>
  <c r="C6274" i="1"/>
  <c r="M6274" i="1"/>
  <c r="A6275" i="1"/>
  <c r="B6275" i="1"/>
  <c r="C6275" i="1"/>
  <c r="M6275" i="1"/>
  <c r="A6276" i="1"/>
  <c r="B6276" i="1"/>
  <c r="C6276" i="1"/>
  <c r="M6276" i="1"/>
  <c r="A6277" i="1"/>
  <c r="B6277" i="1"/>
  <c r="C6277" i="1"/>
  <c r="M6277" i="1"/>
  <c r="A6278" i="1"/>
  <c r="B6278" i="1"/>
  <c r="C6278" i="1"/>
  <c r="M6278" i="1"/>
  <c r="A6279" i="1"/>
  <c r="B6279" i="1"/>
  <c r="C6279" i="1"/>
  <c r="M6279" i="1"/>
  <c r="A6280" i="1"/>
  <c r="B6280" i="1"/>
  <c r="C6280" i="1"/>
  <c r="M6280" i="1"/>
  <c r="A6281" i="1"/>
  <c r="B6281" i="1"/>
  <c r="C6281" i="1"/>
  <c r="M6281" i="1"/>
  <c r="A6282" i="1"/>
  <c r="B6282" i="1"/>
  <c r="C6282" i="1"/>
  <c r="M6282" i="1"/>
  <c r="A6283" i="1"/>
  <c r="B6283" i="1"/>
  <c r="C6283" i="1"/>
  <c r="M6283" i="1"/>
  <c r="A6284" i="1"/>
  <c r="B6284" i="1"/>
  <c r="C6284" i="1"/>
  <c r="M6284" i="1"/>
  <c r="A6285" i="1"/>
  <c r="B6285" i="1"/>
  <c r="C6285" i="1"/>
  <c r="M6285" i="1"/>
  <c r="A6286" i="1"/>
  <c r="B6286" i="1"/>
  <c r="C6286" i="1"/>
  <c r="M6286" i="1"/>
  <c r="A6287" i="1"/>
  <c r="B6287" i="1"/>
  <c r="C6287" i="1"/>
  <c r="M6287" i="1"/>
  <c r="A6288" i="1"/>
  <c r="B6288" i="1"/>
  <c r="C6288" i="1"/>
  <c r="M6288" i="1"/>
  <c r="A6289" i="1"/>
  <c r="B6289" i="1"/>
  <c r="C6289" i="1"/>
  <c r="M6289" i="1"/>
  <c r="A6290" i="1"/>
  <c r="B6290" i="1"/>
  <c r="C6290" i="1"/>
  <c r="M6290" i="1"/>
  <c r="A6291" i="1"/>
  <c r="B6291" i="1"/>
  <c r="C6291" i="1"/>
  <c r="M6291" i="1"/>
  <c r="A6292" i="1"/>
  <c r="B6292" i="1"/>
  <c r="C6292" i="1"/>
  <c r="M6292" i="1"/>
  <c r="A6293" i="1"/>
  <c r="B6293" i="1"/>
  <c r="C6293" i="1"/>
  <c r="M6293" i="1"/>
  <c r="A6294" i="1"/>
  <c r="B6294" i="1"/>
  <c r="C6294" i="1"/>
  <c r="M6294" i="1"/>
  <c r="A6295" i="1"/>
  <c r="B6295" i="1"/>
  <c r="C6295" i="1"/>
  <c r="M6295" i="1"/>
  <c r="A6296" i="1"/>
  <c r="B6296" i="1"/>
  <c r="C6296" i="1"/>
  <c r="M6296" i="1"/>
  <c r="A6297" i="1"/>
  <c r="B6297" i="1"/>
  <c r="C6297" i="1"/>
  <c r="M6297" i="1"/>
  <c r="A6298" i="1"/>
  <c r="B6298" i="1"/>
  <c r="C6298" i="1"/>
  <c r="M6298" i="1"/>
  <c r="A6299" i="1"/>
  <c r="B6299" i="1"/>
  <c r="C6299" i="1"/>
  <c r="M6299" i="1"/>
  <c r="A6300" i="1"/>
  <c r="B6300" i="1"/>
  <c r="C6300" i="1"/>
  <c r="M6300" i="1"/>
  <c r="A6301" i="1"/>
  <c r="B6301" i="1"/>
  <c r="C6301" i="1"/>
  <c r="M6301" i="1"/>
  <c r="A6302" i="1"/>
  <c r="B6302" i="1"/>
  <c r="C6302" i="1"/>
  <c r="M6302" i="1"/>
  <c r="A6303" i="1"/>
  <c r="B6303" i="1"/>
  <c r="C6303" i="1"/>
  <c r="M6303" i="1"/>
  <c r="A6304" i="1"/>
  <c r="B6304" i="1"/>
  <c r="C6304" i="1"/>
  <c r="M6304" i="1"/>
  <c r="A6305" i="1"/>
  <c r="B6305" i="1"/>
  <c r="C6305" i="1"/>
  <c r="M6305" i="1"/>
  <c r="A6306" i="1"/>
  <c r="B6306" i="1"/>
  <c r="C6306" i="1"/>
  <c r="M6306" i="1"/>
  <c r="A6307" i="1"/>
  <c r="B6307" i="1"/>
  <c r="C6307" i="1"/>
  <c r="M6307" i="1"/>
  <c r="A6308" i="1"/>
  <c r="B6308" i="1"/>
  <c r="C6308" i="1"/>
  <c r="M6308" i="1"/>
  <c r="A6309" i="1"/>
  <c r="B6309" i="1"/>
  <c r="C6309" i="1"/>
  <c r="M6309" i="1"/>
  <c r="A6310" i="1"/>
  <c r="B6310" i="1"/>
  <c r="C6310" i="1"/>
  <c r="M6310" i="1"/>
  <c r="A6311" i="1"/>
  <c r="B6311" i="1"/>
  <c r="C6311" i="1"/>
  <c r="M6311" i="1"/>
  <c r="A6312" i="1"/>
  <c r="B6312" i="1"/>
  <c r="C6312" i="1"/>
  <c r="M6312" i="1"/>
  <c r="A6313" i="1"/>
  <c r="B6313" i="1"/>
  <c r="C6313" i="1"/>
  <c r="M6313" i="1"/>
  <c r="A6314" i="1"/>
  <c r="B6314" i="1"/>
  <c r="C6314" i="1"/>
  <c r="M6314" i="1"/>
  <c r="A6315" i="1"/>
  <c r="B6315" i="1"/>
  <c r="C6315" i="1"/>
  <c r="M6315" i="1"/>
  <c r="A6316" i="1"/>
  <c r="B6316" i="1"/>
  <c r="C6316" i="1"/>
  <c r="M6316" i="1"/>
  <c r="A6317" i="1"/>
  <c r="B6317" i="1"/>
  <c r="C6317" i="1"/>
  <c r="M6317" i="1"/>
  <c r="A6318" i="1"/>
  <c r="B6318" i="1"/>
  <c r="C6318" i="1"/>
  <c r="M6318" i="1"/>
  <c r="A6319" i="1"/>
  <c r="B6319" i="1"/>
  <c r="C6319" i="1"/>
  <c r="M6319" i="1"/>
  <c r="A6320" i="1"/>
  <c r="B6320" i="1"/>
  <c r="C6320" i="1"/>
  <c r="M6320" i="1"/>
  <c r="A6321" i="1"/>
  <c r="B6321" i="1"/>
  <c r="C6321" i="1"/>
  <c r="M6321" i="1"/>
  <c r="A6322" i="1"/>
  <c r="B6322" i="1"/>
  <c r="C6322" i="1"/>
  <c r="M6322" i="1"/>
  <c r="A6323" i="1"/>
  <c r="B6323" i="1"/>
  <c r="C6323" i="1"/>
  <c r="M6323" i="1"/>
  <c r="A6324" i="1"/>
  <c r="B6324" i="1"/>
  <c r="C6324" i="1"/>
  <c r="M6324" i="1"/>
  <c r="A6325" i="1"/>
  <c r="B6325" i="1"/>
  <c r="C6325" i="1"/>
  <c r="M6325" i="1"/>
  <c r="A6326" i="1"/>
  <c r="B6326" i="1"/>
  <c r="C6326" i="1"/>
  <c r="M6326" i="1"/>
  <c r="A6327" i="1"/>
  <c r="B6327" i="1"/>
  <c r="C6327" i="1"/>
  <c r="M6327" i="1"/>
  <c r="A6328" i="1"/>
  <c r="B6328" i="1"/>
  <c r="C6328" i="1"/>
  <c r="M6328" i="1"/>
  <c r="A6329" i="1"/>
  <c r="B6329" i="1"/>
  <c r="C6329" i="1"/>
  <c r="M6329" i="1"/>
  <c r="A6330" i="1"/>
  <c r="B6330" i="1"/>
  <c r="C6330" i="1"/>
  <c r="M6330" i="1"/>
  <c r="A6331" i="1"/>
  <c r="B6331" i="1"/>
  <c r="C6331" i="1"/>
  <c r="M6331" i="1"/>
  <c r="A6332" i="1"/>
  <c r="B6332" i="1"/>
  <c r="C6332" i="1"/>
  <c r="M6332" i="1"/>
  <c r="A6333" i="1"/>
  <c r="B6333" i="1"/>
  <c r="C6333" i="1"/>
  <c r="M6333" i="1"/>
  <c r="A6334" i="1"/>
  <c r="B6334" i="1"/>
  <c r="C6334" i="1"/>
  <c r="M6334" i="1"/>
  <c r="A6335" i="1"/>
  <c r="B6335" i="1"/>
  <c r="C6335" i="1"/>
  <c r="M6335" i="1"/>
  <c r="A6336" i="1"/>
  <c r="B6336" i="1"/>
  <c r="C6336" i="1"/>
  <c r="M6336" i="1"/>
  <c r="A6337" i="1"/>
  <c r="B6337" i="1"/>
  <c r="C6337" i="1"/>
  <c r="M6337" i="1"/>
  <c r="A6338" i="1"/>
  <c r="B6338" i="1"/>
  <c r="C6338" i="1"/>
  <c r="M6338" i="1"/>
  <c r="A6339" i="1"/>
  <c r="B6339" i="1"/>
  <c r="C6339" i="1"/>
  <c r="M6339" i="1"/>
  <c r="A6340" i="1"/>
  <c r="B6340" i="1"/>
  <c r="C6340" i="1"/>
  <c r="M6340" i="1"/>
  <c r="A6341" i="1"/>
  <c r="B6341" i="1"/>
  <c r="C6341" i="1"/>
  <c r="M6341" i="1"/>
  <c r="A6342" i="1"/>
  <c r="B6342" i="1"/>
  <c r="C6342" i="1"/>
  <c r="M6342" i="1"/>
  <c r="A6343" i="1"/>
  <c r="B6343" i="1"/>
  <c r="C6343" i="1"/>
  <c r="M6343" i="1"/>
  <c r="A6344" i="1"/>
  <c r="B6344" i="1"/>
  <c r="C6344" i="1"/>
  <c r="M6344" i="1"/>
  <c r="A6345" i="1"/>
  <c r="B6345" i="1"/>
  <c r="C6345" i="1"/>
  <c r="M6345" i="1"/>
  <c r="A6346" i="1"/>
  <c r="B6346" i="1"/>
  <c r="C6346" i="1"/>
  <c r="M6346" i="1"/>
  <c r="A6347" i="1"/>
  <c r="B6347" i="1"/>
  <c r="C6347" i="1"/>
  <c r="M6347" i="1"/>
  <c r="A6348" i="1"/>
  <c r="B6348" i="1"/>
  <c r="C6348" i="1"/>
  <c r="M6348" i="1"/>
  <c r="A6349" i="1"/>
  <c r="B6349" i="1"/>
  <c r="C6349" i="1"/>
  <c r="M6349" i="1"/>
  <c r="A6350" i="1"/>
  <c r="B6350" i="1"/>
  <c r="C6350" i="1"/>
  <c r="M6350" i="1"/>
  <c r="A6351" i="1"/>
  <c r="B6351" i="1"/>
  <c r="C6351" i="1"/>
  <c r="M6351" i="1"/>
  <c r="A6352" i="1"/>
  <c r="B6352" i="1"/>
  <c r="C6352" i="1"/>
  <c r="M6352" i="1"/>
  <c r="A6353" i="1"/>
  <c r="B6353" i="1"/>
  <c r="C6353" i="1"/>
  <c r="M6353" i="1"/>
  <c r="A6354" i="1"/>
  <c r="B6354" i="1"/>
  <c r="C6354" i="1"/>
  <c r="M6354" i="1"/>
  <c r="A6355" i="1"/>
  <c r="B6355" i="1"/>
  <c r="C6355" i="1"/>
  <c r="M6355" i="1"/>
  <c r="A6356" i="1"/>
  <c r="B6356" i="1"/>
  <c r="C6356" i="1"/>
  <c r="M6356" i="1"/>
  <c r="A6357" i="1"/>
  <c r="B6357" i="1"/>
  <c r="C6357" i="1"/>
  <c r="M6357" i="1"/>
  <c r="A6358" i="1"/>
  <c r="B6358" i="1"/>
  <c r="C6358" i="1"/>
  <c r="M6358" i="1"/>
  <c r="A6359" i="1"/>
  <c r="B6359" i="1"/>
  <c r="C6359" i="1"/>
  <c r="M6359" i="1"/>
  <c r="A6360" i="1"/>
  <c r="B6360" i="1"/>
  <c r="C6360" i="1"/>
  <c r="M6360" i="1"/>
  <c r="A6361" i="1"/>
  <c r="B6361" i="1"/>
  <c r="C6361" i="1"/>
  <c r="M6361" i="1"/>
  <c r="A6362" i="1"/>
  <c r="B6362" i="1"/>
  <c r="C6362" i="1"/>
  <c r="M6362" i="1"/>
  <c r="A6363" i="1"/>
  <c r="B6363" i="1"/>
  <c r="C6363" i="1"/>
  <c r="M6363" i="1"/>
  <c r="A6364" i="1"/>
  <c r="B6364" i="1"/>
  <c r="C6364" i="1"/>
  <c r="M6364" i="1"/>
  <c r="A6365" i="1"/>
  <c r="B6365" i="1"/>
  <c r="C6365" i="1"/>
  <c r="M6365" i="1"/>
  <c r="A6366" i="1"/>
  <c r="B6366" i="1"/>
  <c r="C6366" i="1"/>
  <c r="M6366" i="1"/>
  <c r="A6367" i="1"/>
  <c r="B6367" i="1"/>
  <c r="C6367" i="1"/>
  <c r="M6367" i="1"/>
  <c r="A6368" i="1"/>
  <c r="B6368" i="1"/>
  <c r="C6368" i="1"/>
  <c r="M6368" i="1"/>
  <c r="A6369" i="1"/>
  <c r="B6369" i="1"/>
  <c r="C6369" i="1"/>
  <c r="M6369" i="1"/>
  <c r="A6370" i="1"/>
  <c r="B6370" i="1"/>
  <c r="C6370" i="1"/>
  <c r="M6370" i="1"/>
  <c r="A6371" i="1"/>
  <c r="B6371" i="1"/>
  <c r="C6371" i="1"/>
  <c r="M6371" i="1"/>
  <c r="A6372" i="1"/>
  <c r="B6372" i="1"/>
  <c r="C6372" i="1"/>
  <c r="M6372" i="1"/>
  <c r="A6373" i="1"/>
  <c r="B6373" i="1"/>
  <c r="C6373" i="1"/>
  <c r="M6373" i="1"/>
  <c r="A6374" i="1"/>
  <c r="B6374" i="1"/>
  <c r="C6374" i="1"/>
  <c r="M6374" i="1"/>
  <c r="A6375" i="1"/>
  <c r="B6375" i="1"/>
  <c r="C6375" i="1"/>
  <c r="M6375" i="1"/>
  <c r="A6376" i="1"/>
  <c r="B6376" i="1"/>
  <c r="C6376" i="1"/>
  <c r="M6376" i="1"/>
  <c r="A6377" i="1"/>
  <c r="B6377" i="1"/>
  <c r="C6377" i="1"/>
  <c r="M6377" i="1"/>
  <c r="A6378" i="1"/>
  <c r="B6378" i="1"/>
  <c r="C6378" i="1"/>
  <c r="M6378" i="1"/>
  <c r="A6379" i="1"/>
  <c r="B6379" i="1"/>
  <c r="C6379" i="1"/>
  <c r="M6379" i="1"/>
  <c r="A6380" i="1"/>
  <c r="B6380" i="1"/>
  <c r="C6380" i="1"/>
  <c r="M6380" i="1"/>
  <c r="A6381" i="1"/>
  <c r="B6381" i="1"/>
  <c r="C6381" i="1"/>
  <c r="M6381" i="1"/>
  <c r="A6382" i="1"/>
  <c r="B6382" i="1"/>
  <c r="C6382" i="1"/>
  <c r="M6382" i="1"/>
  <c r="A6383" i="1"/>
  <c r="B6383" i="1"/>
  <c r="C6383" i="1"/>
  <c r="M6383" i="1"/>
  <c r="A6384" i="1"/>
  <c r="B6384" i="1"/>
  <c r="C6384" i="1"/>
  <c r="M6384" i="1"/>
  <c r="A6385" i="1"/>
  <c r="B6385" i="1"/>
  <c r="C6385" i="1"/>
  <c r="M6385" i="1"/>
  <c r="A6386" i="1"/>
  <c r="B6386" i="1"/>
  <c r="C6386" i="1"/>
  <c r="M6386" i="1"/>
  <c r="A6387" i="1"/>
  <c r="B6387" i="1"/>
  <c r="C6387" i="1"/>
  <c r="M6387" i="1"/>
  <c r="A6388" i="1"/>
  <c r="B6388" i="1"/>
  <c r="C6388" i="1"/>
  <c r="M6388" i="1"/>
  <c r="A6389" i="1"/>
  <c r="B6389" i="1"/>
  <c r="C6389" i="1"/>
  <c r="M6389" i="1"/>
  <c r="A6390" i="1"/>
  <c r="B6390" i="1"/>
  <c r="C6390" i="1"/>
  <c r="M6390" i="1"/>
  <c r="A6391" i="1"/>
  <c r="B6391" i="1"/>
  <c r="C6391" i="1"/>
  <c r="M6391" i="1"/>
  <c r="A6392" i="1"/>
  <c r="B6392" i="1"/>
  <c r="C6392" i="1"/>
  <c r="M6392" i="1"/>
  <c r="A6393" i="1"/>
  <c r="B6393" i="1"/>
  <c r="C6393" i="1"/>
  <c r="M6393" i="1"/>
  <c r="A6394" i="1"/>
  <c r="B6394" i="1"/>
  <c r="C6394" i="1"/>
  <c r="M6394" i="1"/>
  <c r="A6395" i="1"/>
  <c r="B6395" i="1"/>
  <c r="C6395" i="1"/>
  <c r="M6395" i="1"/>
  <c r="A6396" i="1"/>
  <c r="B6396" i="1"/>
  <c r="C6396" i="1"/>
  <c r="M6396" i="1"/>
  <c r="A6397" i="1"/>
  <c r="B6397" i="1"/>
  <c r="C6397" i="1"/>
  <c r="M6397" i="1"/>
  <c r="A6398" i="1"/>
  <c r="B6398" i="1"/>
  <c r="C6398" i="1"/>
  <c r="M6398" i="1"/>
  <c r="A6399" i="1"/>
  <c r="B6399" i="1"/>
  <c r="C6399" i="1"/>
  <c r="M6399" i="1"/>
  <c r="A6400" i="1"/>
  <c r="B6400" i="1"/>
  <c r="C6400" i="1"/>
  <c r="M6400" i="1"/>
  <c r="A6401" i="1"/>
  <c r="B6401" i="1"/>
  <c r="C6401" i="1"/>
  <c r="M6401" i="1"/>
  <c r="A6402" i="1"/>
  <c r="B6402" i="1"/>
  <c r="C6402" i="1"/>
  <c r="M6402" i="1"/>
  <c r="A6403" i="1"/>
  <c r="B6403" i="1"/>
  <c r="C6403" i="1"/>
  <c r="M6403" i="1"/>
  <c r="A6404" i="1"/>
  <c r="B6404" i="1"/>
  <c r="C6404" i="1"/>
  <c r="M6404" i="1"/>
  <c r="A6405" i="1"/>
  <c r="B6405" i="1"/>
  <c r="C6405" i="1"/>
  <c r="M6405" i="1"/>
  <c r="A6406" i="1"/>
  <c r="B6406" i="1"/>
  <c r="C6406" i="1"/>
  <c r="M6406" i="1"/>
  <c r="A6407" i="1"/>
  <c r="B6407" i="1"/>
  <c r="C6407" i="1"/>
  <c r="M6407" i="1"/>
  <c r="A6408" i="1"/>
  <c r="B6408" i="1"/>
  <c r="C6408" i="1"/>
  <c r="M6408" i="1"/>
  <c r="A6409" i="1"/>
  <c r="B6409" i="1"/>
  <c r="C6409" i="1"/>
  <c r="M6409" i="1"/>
  <c r="A6410" i="1"/>
  <c r="B6410" i="1"/>
  <c r="C6410" i="1"/>
  <c r="M6410" i="1"/>
  <c r="A6411" i="1"/>
  <c r="B6411" i="1"/>
  <c r="C6411" i="1"/>
  <c r="M6411" i="1"/>
  <c r="A6412" i="1"/>
  <c r="B6412" i="1"/>
  <c r="C6412" i="1"/>
  <c r="M6412" i="1"/>
  <c r="A6413" i="1"/>
  <c r="B6413" i="1"/>
  <c r="C6413" i="1"/>
  <c r="M6413" i="1"/>
  <c r="A6414" i="1"/>
  <c r="B6414" i="1"/>
  <c r="C6414" i="1"/>
  <c r="M6414" i="1"/>
  <c r="A6415" i="1"/>
  <c r="B6415" i="1"/>
  <c r="C6415" i="1"/>
  <c r="M6415" i="1"/>
  <c r="A6416" i="1"/>
  <c r="B6416" i="1"/>
  <c r="C6416" i="1"/>
  <c r="M6416" i="1"/>
  <c r="A6417" i="1"/>
  <c r="B6417" i="1"/>
  <c r="C6417" i="1"/>
  <c r="M6417" i="1"/>
  <c r="A6418" i="1"/>
  <c r="B6418" i="1"/>
  <c r="C6418" i="1"/>
  <c r="M6418" i="1"/>
  <c r="A6419" i="1"/>
  <c r="B6419" i="1"/>
  <c r="C6419" i="1"/>
  <c r="M6419" i="1"/>
  <c r="A6420" i="1"/>
  <c r="B6420" i="1"/>
  <c r="C6420" i="1"/>
  <c r="M6420" i="1"/>
  <c r="A6421" i="1"/>
  <c r="B6421" i="1"/>
  <c r="C6421" i="1"/>
  <c r="M6421" i="1"/>
  <c r="A6422" i="1"/>
  <c r="B6422" i="1"/>
  <c r="C6422" i="1"/>
  <c r="M6422" i="1"/>
  <c r="A6423" i="1"/>
  <c r="B6423" i="1"/>
  <c r="C6423" i="1"/>
  <c r="M6423" i="1"/>
  <c r="A6424" i="1"/>
  <c r="B6424" i="1"/>
  <c r="C6424" i="1"/>
  <c r="M6424" i="1"/>
  <c r="A6425" i="1"/>
  <c r="B6425" i="1"/>
  <c r="C6425" i="1"/>
  <c r="M6425" i="1"/>
  <c r="A6426" i="1"/>
  <c r="B6426" i="1"/>
  <c r="C6426" i="1"/>
  <c r="M6426" i="1"/>
  <c r="A6427" i="1"/>
  <c r="B6427" i="1"/>
  <c r="C6427" i="1"/>
  <c r="M6427" i="1"/>
  <c r="A6428" i="1"/>
  <c r="B6428" i="1"/>
  <c r="C6428" i="1"/>
  <c r="M6428" i="1"/>
  <c r="A6429" i="1"/>
  <c r="B6429" i="1"/>
  <c r="C6429" i="1"/>
  <c r="M6429" i="1"/>
  <c r="A6430" i="1"/>
  <c r="B6430" i="1"/>
  <c r="C6430" i="1"/>
  <c r="M6430" i="1"/>
  <c r="A6431" i="1"/>
  <c r="B6431" i="1"/>
  <c r="C6431" i="1"/>
  <c r="M6431" i="1"/>
  <c r="A6432" i="1"/>
  <c r="B6432" i="1"/>
  <c r="C6432" i="1"/>
  <c r="M6432" i="1"/>
  <c r="A6433" i="1"/>
  <c r="B6433" i="1"/>
  <c r="C6433" i="1"/>
  <c r="M6433" i="1"/>
  <c r="A6434" i="1"/>
  <c r="B6434" i="1"/>
  <c r="C6434" i="1"/>
  <c r="M6434" i="1"/>
  <c r="A6435" i="1"/>
  <c r="B6435" i="1"/>
  <c r="C6435" i="1"/>
  <c r="M6435" i="1"/>
  <c r="A6436" i="1"/>
  <c r="B6436" i="1"/>
  <c r="C6436" i="1"/>
  <c r="M6436" i="1"/>
  <c r="A6437" i="1"/>
  <c r="B6437" i="1"/>
  <c r="C6437" i="1"/>
  <c r="M6437" i="1"/>
  <c r="A6438" i="1"/>
  <c r="B6438" i="1"/>
  <c r="C6438" i="1"/>
  <c r="M6438" i="1"/>
  <c r="A6439" i="1"/>
  <c r="B6439" i="1"/>
  <c r="C6439" i="1"/>
  <c r="M6439" i="1"/>
  <c r="A6440" i="1"/>
  <c r="B6440" i="1"/>
  <c r="C6440" i="1"/>
  <c r="M6440" i="1"/>
  <c r="A6441" i="1"/>
  <c r="B6441" i="1"/>
  <c r="C6441" i="1"/>
  <c r="M6441" i="1"/>
  <c r="A6442" i="1"/>
  <c r="B6442" i="1"/>
  <c r="C6442" i="1"/>
  <c r="M6442" i="1"/>
  <c r="A6443" i="1"/>
  <c r="B6443" i="1"/>
  <c r="C6443" i="1"/>
  <c r="M6443" i="1"/>
  <c r="A6444" i="1"/>
  <c r="B6444" i="1"/>
  <c r="C6444" i="1"/>
  <c r="M6444" i="1"/>
  <c r="A6445" i="1"/>
  <c r="B6445" i="1"/>
  <c r="C6445" i="1"/>
  <c r="M6445" i="1"/>
  <c r="A6446" i="1"/>
  <c r="B6446" i="1"/>
  <c r="C6446" i="1"/>
  <c r="M6446" i="1"/>
  <c r="A6447" i="1"/>
  <c r="B6447" i="1"/>
  <c r="C6447" i="1"/>
  <c r="M6447" i="1"/>
  <c r="A6448" i="1"/>
  <c r="B6448" i="1"/>
  <c r="C6448" i="1"/>
  <c r="M6448" i="1"/>
  <c r="A6449" i="1"/>
  <c r="B6449" i="1"/>
  <c r="C6449" i="1"/>
  <c r="M6449" i="1"/>
  <c r="A6450" i="1"/>
  <c r="B6450" i="1"/>
  <c r="C6450" i="1"/>
  <c r="M6450" i="1"/>
  <c r="A6451" i="1"/>
  <c r="B6451" i="1"/>
  <c r="C6451" i="1"/>
  <c r="M6451" i="1"/>
  <c r="A6452" i="1"/>
  <c r="B6452" i="1"/>
  <c r="C6452" i="1"/>
  <c r="M6452" i="1"/>
  <c r="A6453" i="1"/>
  <c r="B6453" i="1"/>
  <c r="C6453" i="1"/>
  <c r="M6453" i="1"/>
  <c r="A6454" i="1"/>
  <c r="B6454" i="1"/>
  <c r="C6454" i="1"/>
  <c r="M6454" i="1"/>
  <c r="A6455" i="1"/>
  <c r="B6455" i="1"/>
  <c r="C6455" i="1"/>
  <c r="M6455" i="1"/>
  <c r="A6456" i="1"/>
  <c r="B6456" i="1"/>
  <c r="C6456" i="1"/>
  <c r="M6456" i="1"/>
  <c r="A6457" i="1"/>
  <c r="B6457" i="1"/>
  <c r="C6457" i="1"/>
  <c r="M6457" i="1"/>
  <c r="A6458" i="1"/>
  <c r="B6458" i="1"/>
  <c r="C6458" i="1"/>
  <c r="M6458" i="1"/>
  <c r="A6459" i="1"/>
  <c r="B6459" i="1"/>
  <c r="C6459" i="1"/>
  <c r="M6459" i="1"/>
  <c r="A6460" i="1"/>
  <c r="B6460" i="1"/>
  <c r="C6460" i="1"/>
  <c r="M6460" i="1"/>
  <c r="A6461" i="1"/>
  <c r="B6461" i="1"/>
  <c r="C6461" i="1"/>
  <c r="M6461" i="1"/>
  <c r="A6462" i="1"/>
  <c r="B6462" i="1"/>
  <c r="C6462" i="1"/>
  <c r="M6462" i="1"/>
  <c r="A6463" i="1"/>
  <c r="B6463" i="1"/>
  <c r="C6463" i="1"/>
  <c r="M6463" i="1"/>
  <c r="A6464" i="1"/>
  <c r="B6464" i="1"/>
  <c r="C6464" i="1"/>
  <c r="M6464" i="1"/>
  <c r="A6465" i="1"/>
  <c r="B6465" i="1"/>
  <c r="C6465" i="1"/>
  <c r="M6465" i="1"/>
  <c r="A6466" i="1"/>
  <c r="B6466" i="1"/>
  <c r="C6466" i="1"/>
  <c r="M6466" i="1"/>
  <c r="A6467" i="1"/>
  <c r="B6467" i="1"/>
  <c r="C6467" i="1"/>
  <c r="M6467" i="1"/>
  <c r="A6468" i="1"/>
  <c r="B6468" i="1"/>
  <c r="C6468" i="1"/>
  <c r="M6468" i="1"/>
  <c r="A6469" i="1"/>
  <c r="B6469" i="1"/>
  <c r="C6469" i="1"/>
  <c r="M6469" i="1"/>
  <c r="A6470" i="1"/>
  <c r="B6470" i="1"/>
  <c r="C6470" i="1"/>
  <c r="M6470" i="1"/>
  <c r="A6471" i="1"/>
  <c r="B6471" i="1"/>
  <c r="C6471" i="1"/>
  <c r="M6471" i="1"/>
  <c r="A6472" i="1"/>
  <c r="B6472" i="1"/>
  <c r="C6472" i="1"/>
  <c r="M6472" i="1"/>
  <c r="A6473" i="1"/>
  <c r="B6473" i="1"/>
  <c r="C6473" i="1"/>
  <c r="M6473" i="1"/>
  <c r="A6474" i="1"/>
  <c r="B6474" i="1"/>
  <c r="C6474" i="1"/>
  <c r="M6474" i="1"/>
  <c r="A6475" i="1"/>
  <c r="B6475" i="1"/>
  <c r="C6475" i="1"/>
  <c r="M6475" i="1"/>
  <c r="A6476" i="1"/>
  <c r="B6476" i="1"/>
  <c r="C6476" i="1"/>
  <c r="M6476" i="1"/>
  <c r="A6477" i="1"/>
  <c r="B6477" i="1"/>
  <c r="C6477" i="1"/>
  <c r="M6477" i="1"/>
  <c r="A6478" i="1"/>
  <c r="B6478" i="1"/>
  <c r="C6478" i="1"/>
  <c r="M6478" i="1"/>
  <c r="A6479" i="1"/>
  <c r="B6479" i="1"/>
  <c r="C6479" i="1"/>
  <c r="M6479" i="1"/>
  <c r="A6480" i="1"/>
  <c r="B6480" i="1"/>
  <c r="C6480" i="1"/>
  <c r="M6480" i="1"/>
  <c r="A6481" i="1"/>
  <c r="B6481" i="1"/>
  <c r="C6481" i="1"/>
  <c r="M6481" i="1"/>
  <c r="A6482" i="1"/>
  <c r="B6482" i="1"/>
  <c r="C6482" i="1"/>
  <c r="M6482" i="1"/>
  <c r="A6483" i="1"/>
  <c r="B6483" i="1"/>
  <c r="C6483" i="1"/>
  <c r="M6483" i="1"/>
  <c r="A6484" i="1"/>
  <c r="B6484" i="1"/>
  <c r="C6484" i="1"/>
  <c r="M6484" i="1"/>
  <c r="A6485" i="1"/>
  <c r="B6485" i="1"/>
  <c r="C6485" i="1"/>
  <c r="M6485" i="1"/>
  <c r="A6486" i="1"/>
  <c r="B6486" i="1"/>
  <c r="C6486" i="1"/>
  <c r="M6486" i="1"/>
  <c r="A6487" i="1"/>
  <c r="B6487" i="1"/>
  <c r="C6487" i="1"/>
  <c r="M6487" i="1"/>
  <c r="A6488" i="1"/>
  <c r="B6488" i="1"/>
  <c r="C6488" i="1"/>
  <c r="M6488" i="1"/>
  <c r="A6489" i="1"/>
  <c r="B6489" i="1"/>
  <c r="C6489" i="1"/>
  <c r="M6489" i="1"/>
  <c r="A6490" i="1"/>
  <c r="B6490" i="1"/>
  <c r="C6490" i="1"/>
  <c r="M6490" i="1"/>
  <c r="A6491" i="1"/>
  <c r="B6491" i="1"/>
  <c r="C6491" i="1"/>
  <c r="M6491" i="1"/>
  <c r="A6492" i="1"/>
  <c r="B6492" i="1"/>
  <c r="C6492" i="1"/>
  <c r="M6492" i="1"/>
  <c r="A6493" i="1"/>
  <c r="B6493" i="1"/>
  <c r="C6493" i="1"/>
  <c r="M6493" i="1"/>
  <c r="A6494" i="1"/>
  <c r="B6494" i="1"/>
  <c r="C6494" i="1"/>
  <c r="M6494" i="1"/>
  <c r="A6495" i="1"/>
  <c r="B6495" i="1"/>
  <c r="C6495" i="1"/>
  <c r="M6495" i="1"/>
  <c r="A6496" i="1"/>
  <c r="B6496" i="1"/>
  <c r="C6496" i="1"/>
  <c r="M6496" i="1"/>
  <c r="A6497" i="1"/>
  <c r="B6497" i="1"/>
  <c r="C6497" i="1"/>
  <c r="M6497" i="1"/>
  <c r="A6498" i="1"/>
  <c r="B6498" i="1"/>
  <c r="C6498" i="1"/>
  <c r="M6498" i="1"/>
  <c r="A6499" i="1"/>
  <c r="B6499" i="1"/>
  <c r="C6499" i="1"/>
  <c r="M6499" i="1"/>
  <c r="A6500" i="1"/>
  <c r="B6500" i="1"/>
  <c r="C6500" i="1"/>
  <c r="M6500" i="1"/>
  <c r="A6501" i="1"/>
  <c r="B6501" i="1"/>
  <c r="C6501" i="1"/>
  <c r="M6501" i="1"/>
  <c r="A6502" i="1"/>
  <c r="B6502" i="1"/>
  <c r="C6502" i="1"/>
  <c r="M6502" i="1"/>
  <c r="A6503" i="1"/>
  <c r="B6503" i="1"/>
  <c r="C6503" i="1"/>
  <c r="M6503" i="1"/>
  <c r="A6504" i="1"/>
  <c r="B6504" i="1"/>
  <c r="C6504" i="1"/>
  <c r="M6504" i="1"/>
  <c r="A6505" i="1"/>
  <c r="B6505" i="1"/>
  <c r="C6505" i="1"/>
  <c r="M6505" i="1"/>
  <c r="A6506" i="1"/>
  <c r="B6506" i="1"/>
  <c r="C6506" i="1"/>
  <c r="M6506" i="1"/>
  <c r="A6507" i="1"/>
  <c r="B6507" i="1"/>
  <c r="C6507" i="1"/>
  <c r="M6507" i="1"/>
  <c r="A6508" i="1"/>
  <c r="B6508" i="1"/>
  <c r="C6508" i="1"/>
  <c r="M6508" i="1"/>
  <c r="A6509" i="1"/>
  <c r="B6509" i="1"/>
  <c r="C6509" i="1"/>
  <c r="M6509" i="1"/>
  <c r="A6510" i="1"/>
  <c r="B6510" i="1"/>
  <c r="C6510" i="1"/>
  <c r="M6510" i="1"/>
  <c r="A6511" i="1"/>
  <c r="B6511" i="1"/>
  <c r="C6511" i="1"/>
  <c r="M6511" i="1"/>
  <c r="A6512" i="1"/>
  <c r="B6512" i="1"/>
  <c r="C6512" i="1"/>
  <c r="M6512" i="1"/>
  <c r="A6513" i="1"/>
  <c r="B6513" i="1"/>
  <c r="C6513" i="1"/>
  <c r="M6513" i="1"/>
  <c r="A6514" i="1"/>
  <c r="B6514" i="1"/>
  <c r="C6514" i="1"/>
  <c r="M6514" i="1"/>
  <c r="A6515" i="1"/>
  <c r="B6515" i="1"/>
  <c r="C6515" i="1"/>
  <c r="M6515" i="1"/>
  <c r="A6516" i="1"/>
  <c r="B6516" i="1"/>
  <c r="C6516" i="1"/>
  <c r="M6516" i="1"/>
  <c r="A6517" i="1"/>
  <c r="B6517" i="1"/>
  <c r="C6517" i="1"/>
  <c r="M6517" i="1"/>
  <c r="A6518" i="1"/>
  <c r="B6518" i="1"/>
  <c r="C6518" i="1"/>
  <c r="M6518" i="1"/>
  <c r="A6519" i="1"/>
  <c r="B6519" i="1"/>
  <c r="C6519" i="1"/>
  <c r="M6519" i="1"/>
  <c r="A6520" i="1"/>
  <c r="B6520" i="1"/>
  <c r="C6520" i="1"/>
  <c r="M6520" i="1"/>
  <c r="A6521" i="1"/>
  <c r="B6521" i="1"/>
  <c r="C6521" i="1"/>
  <c r="M6521" i="1"/>
  <c r="A6522" i="1"/>
  <c r="B6522" i="1"/>
  <c r="C6522" i="1"/>
  <c r="M6522" i="1"/>
  <c r="A6523" i="1"/>
  <c r="B6523" i="1"/>
  <c r="C6523" i="1"/>
  <c r="M6523" i="1"/>
  <c r="A6524" i="1"/>
  <c r="B6524" i="1"/>
  <c r="C6524" i="1"/>
  <c r="M6524" i="1"/>
  <c r="A6525" i="1"/>
  <c r="B6525" i="1"/>
  <c r="C6525" i="1"/>
  <c r="M6525" i="1"/>
  <c r="A6526" i="1"/>
  <c r="B6526" i="1"/>
  <c r="C6526" i="1"/>
  <c r="M6526" i="1"/>
  <c r="A6527" i="1"/>
  <c r="B6527" i="1"/>
  <c r="C6527" i="1"/>
  <c r="M6527" i="1"/>
  <c r="A6528" i="1"/>
  <c r="B6528" i="1"/>
  <c r="C6528" i="1"/>
  <c r="M6528" i="1"/>
  <c r="A6529" i="1"/>
  <c r="B6529" i="1"/>
  <c r="C6529" i="1"/>
  <c r="M6529" i="1"/>
  <c r="A6530" i="1"/>
  <c r="B6530" i="1"/>
  <c r="C6530" i="1"/>
  <c r="M6530" i="1"/>
  <c r="A6531" i="1"/>
  <c r="B6531" i="1"/>
  <c r="C6531" i="1"/>
  <c r="M6531" i="1"/>
  <c r="A6532" i="1"/>
  <c r="B6532" i="1"/>
  <c r="C6532" i="1"/>
  <c r="M6532" i="1"/>
  <c r="A6533" i="1"/>
  <c r="B6533" i="1"/>
  <c r="C6533" i="1"/>
  <c r="M6533" i="1"/>
  <c r="A6534" i="1"/>
  <c r="B6534" i="1"/>
  <c r="C6534" i="1"/>
  <c r="M6534" i="1"/>
  <c r="A6535" i="1"/>
  <c r="B6535" i="1"/>
  <c r="C6535" i="1"/>
  <c r="M6535" i="1"/>
  <c r="A6536" i="1"/>
  <c r="B6536" i="1"/>
  <c r="C6536" i="1"/>
  <c r="M6536" i="1"/>
  <c r="A6537" i="1"/>
  <c r="B6537" i="1"/>
  <c r="C6537" i="1"/>
  <c r="M6537" i="1"/>
  <c r="A6538" i="1"/>
  <c r="B6538" i="1"/>
  <c r="C6538" i="1"/>
  <c r="M6538" i="1"/>
  <c r="A6539" i="1"/>
  <c r="B6539" i="1"/>
  <c r="C6539" i="1"/>
  <c r="M6539" i="1"/>
  <c r="A6540" i="1"/>
  <c r="B6540" i="1"/>
  <c r="C6540" i="1"/>
  <c r="M6540" i="1"/>
  <c r="A6541" i="1"/>
  <c r="B6541" i="1"/>
  <c r="C6541" i="1"/>
  <c r="M6541" i="1"/>
  <c r="A6542" i="1"/>
  <c r="B6542" i="1"/>
  <c r="C6542" i="1"/>
  <c r="M6542" i="1"/>
  <c r="A6543" i="1"/>
  <c r="B6543" i="1"/>
  <c r="C6543" i="1"/>
  <c r="M6543" i="1"/>
  <c r="A6544" i="1"/>
  <c r="B6544" i="1"/>
  <c r="C6544" i="1"/>
  <c r="M6544" i="1"/>
  <c r="A6545" i="1"/>
  <c r="B6545" i="1"/>
  <c r="C6545" i="1"/>
  <c r="M6545" i="1"/>
  <c r="A6546" i="1"/>
  <c r="B6546" i="1"/>
  <c r="C6546" i="1"/>
  <c r="M6546" i="1"/>
  <c r="A6547" i="1"/>
  <c r="B6547" i="1"/>
  <c r="C6547" i="1"/>
  <c r="M6547" i="1"/>
  <c r="A6548" i="1"/>
  <c r="B6548" i="1"/>
  <c r="C6548" i="1"/>
  <c r="M6548" i="1"/>
  <c r="A6549" i="1"/>
  <c r="B6549" i="1"/>
  <c r="C6549" i="1"/>
  <c r="M6549" i="1"/>
  <c r="A6550" i="1"/>
  <c r="B6550" i="1"/>
  <c r="C6550" i="1"/>
  <c r="M6550" i="1"/>
  <c r="A6551" i="1"/>
  <c r="B6551" i="1"/>
  <c r="C6551" i="1"/>
  <c r="M6551" i="1"/>
  <c r="A6552" i="1"/>
  <c r="B6552" i="1"/>
  <c r="C6552" i="1"/>
  <c r="M6552" i="1"/>
  <c r="A6553" i="1"/>
  <c r="B6553" i="1"/>
  <c r="C6553" i="1"/>
  <c r="M6553" i="1"/>
  <c r="A6554" i="1"/>
  <c r="B6554" i="1"/>
  <c r="C6554" i="1"/>
  <c r="M6554" i="1"/>
  <c r="A6555" i="1"/>
  <c r="B6555" i="1"/>
  <c r="C6555" i="1"/>
  <c r="M6555" i="1"/>
  <c r="A6556" i="1"/>
  <c r="B6556" i="1"/>
  <c r="C6556" i="1"/>
  <c r="M6556" i="1"/>
  <c r="A6557" i="1"/>
  <c r="B6557" i="1"/>
  <c r="C6557" i="1"/>
  <c r="M6557" i="1"/>
  <c r="A6558" i="1"/>
  <c r="B6558" i="1"/>
  <c r="C6558" i="1"/>
  <c r="M6558" i="1"/>
  <c r="A6559" i="1"/>
  <c r="B6559" i="1"/>
  <c r="C6559" i="1"/>
  <c r="M6559" i="1"/>
  <c r="A6560" i="1"/>
  <c r="B6560" i="1"/>
  <c r="C6560" i="1"/>
  <c r="M6560" i="1"/>
  <c r="A6561" i="1"/>
  <c r="B6561" i="1"/>
  <c r="C6561" i="1"/>
  <c r="M6561" i="1"/>
  <c r="A6562" i="1"/>
  <c r="B6562" i="1"/>
  <c r="C6562" i="1"/>
  <c r="M6562" i="1"/>
  <c r="A6563" i="1"/>
  <c r="B6563" i="1"/>
  <c r="C6563" i="1"/>
  <c r="M6563" i="1"/>
  <c r="A6564" i="1"/>
  <c r="B6564" i="1"/>
  <c r="C6564" i="1"/>
  <c r="M6564" i="1"/>
  <c r="A6565" i="1"/>
  <c r="B6565" i="1"/>
  <c r="C6565" i="1"/>
  <c r="M6565" i="1"/>
  <c r="A6566" i="1"/>
  <c r="B6566" i="1"/>
  <c r="C6566" i="1"/>
  <c r="M6566" i="1"/>
  <c r="A6567" i="1"/>
  <c r="B6567" i="1"/>
  <c r="C6567" i="1"/>
  <c r="M6567" i="1"/>
  <c r="A6568" i="1"/>
  <c r="B6568" i="1"/>
  <c r="C6568" i="1"/>
  <c r="M6568" i="1"/>
  <c r="A6569" i="1"/>
  <c r="B6569" i="1"/>
  <c r="C6569" i="1"/>
  <c r="M6569" i="1"/>
  <c r="A6570" i="1"/>
  <c r="B6570" i="1"/>
  <c r="C6570" i="1"/>
  <c r="M6570" i="1"/>
  <c r="A6571" i="1"/>
  <c r="B6571" i="1"/>
  <c r="C6571" i="1"/>
  <c r="M6571" i="1"/>
  <c r="A6572" i="1"/>
  <c r="B6572" i="1"/>
  <c r="C6572" i="1"/>
  <c r="M6572" i="1"/>
  <c r="A6573" i="1"/>
  <c r="B6573" i="1"/>
  <c r="C6573" i="1"/>
  <c r="M6573" i="1"/>
  <c r="A6574" i="1"/>
  <c r="B6574" i="1"/>
  <c r="C6574" i="1"/>
  <c r="M6574" i="1"/>
  <c r="A6575" i="1"/>
  <c r="B6575" i="1"/>
  <c r="C6575" i="1"/>
  <c r="M6575" i="1"/>
  <c r="A6576" i="1"/>
  <c r="B6576" i="1"/>
  <c r="C6576" i="1"/>
  <c r="M6576" i="1"/>
  <c r="A6577" i="1"/>
  <c r="B6577" i="1"/>
  <c r="C6577" i="1"/>
  <c r="M6577" i="1"/>
  <c r="A6578" i="1"/>
  <c r="B6578" i="1"/>
  <c r="C6578" i="1"/>
  <c r="M6578" i="1"/>
  <c r="A6579" i="1"/>
  <c r="B6579" i="1"/>
  <c r="C6579" i="1"/>
  <c r="M6579" i="1"/>
  <c r="A6580" i="1"/>
  <c r="B6580" i="1"/>
  <c r="C6580" i="1"/>
  <c r="M6580" i="1"/>
  <c r="A6581" i="1"/>
  <c r="B6581" i="1"/>
  <c r="C6581" i="1"/>
  <c r="M6581" i="1"/>
  <c r="A6582" i="1"/>
  <c r="B6582" i="1"/>
  <c r="C6582" i="1"/>
  <c r="M6582" i="1"/>
  <c r="A6583" i="1"/>
  <c r="B6583" i="1"/>
  <c r="C6583" i="1"/>
  <c r="M6583" i="1"/>
  <c r="A6584" i="1"/>
  <c r="B6584" i="1"/>
  <c r="C6584" i="1"/>
  <c r="M6584" i="1"/>
  <c r="A6585" i="1"/>
  <c r="B6585" i="1"/>
  <c r="C6585" i="1"/>
  <c r="M6585" i="1"/>
  <c r="A6586" i="1"/>
  <c r="B6586" i="1"/>
  <c r="C6586" i="1"/>
  <c r="M6586" i="1"/>
  <c r="A6587" i="1"/>
  <c r="B6587" i="1"/>
  <c r="C6587" i="1"/>
  <c r="M6587" i="1"/>
  <c r="A6588" i="1"/>
  <c r="B6588" i="1"/>
  <c r="C6588" i="1"/>
  <c r="M6588" i="1"/>
  <c r="A6589" i="1"/>
  <c r="B6589" i="1"/>
  <c r="C6589" i="1"/>
  <c r="M6589" i="1"/>
  <c r="A6590" i="1"/>
  <c r="B6590" i="1"/>
  <c r="C6590" i="1"/>
  <c r="M6590" i="1"/>
  <c r="A6591" i="1"/>
  <c r="B6591" i="1"/>
  <c r="C6591" i="1"/>
  <c r="M6591" i="1"/>
  <c r="A6592" i="1"/>
  <c r="B6592" i="1"/>
  <c r="C6592" i="1"/>
  <c r="M6592" i="1"/>
  <c r="A6593" i="1"/>
  <c r="B6593" i="1"/>
  <c r="C6593" i="1"/>
  <c r="M6593" i="1"/>
  <c r="A6594" i="1"/>
  <c r="B6594" i="1"/>
  <c r="C6594" i="1"/>
  <c r="M6594" i="1"/>
  <c r="A6595" i="1"/>
  <c r="B6595" i="1"/>
  <c r="C6595" i="1"/>
  <c r="M6595" i="1"/>
  <c r="A6596" i="1"/>
  <c r="B6596" i="1"/>
  <c r="C6596" i="1"/>
  <c r="M6596" i="1"/>
  <c r="A6597" i="1"/>
  <c r="B6597" i="1"/>
  <c r="C6597" i="1"/>
  <c r="M6597" i="1"/>
  <c r="A6598" i="1"/>
  <c r="B6598" i="1"/>
  <c r="C6598" i="1"/>
  <c r="M6598" i="1"/>
  <c r="A6599" i="1"/>
  <c r="B6599" i="1"/>
  <c r="C6599" i="1"/>
  <c r="M6599" i="1"/>
  <c r="A6600" i="1"/>
  <c r="B6600" i="1"/>
  <c r="C6600" i="1"/>
  <c r="M6600" i="1"/>
  <c r="A6601" i="1"/>
  <c r="B6601" i="1"/>
  <c r="C6601" i="1"/>
  <c r="M6601" i="1"/>
  <c r="A6602" i="1"/>
  <c r="B6602" i="1"/>
  <c r="C6602" i="1"/>
  <c r="M6602" i="1"/>
  <c r="A6603" i="1"/>
  <c r="B6603" i="1"/>
  <c r="C6603" i="1"/>
  <c r="M6603" i="1"/>
  <c r="A6604" i="1"/>
  <c r="B6604" i="1"/>
  <c r="C6604" i="1"/>
  <c r="M6604" i="1"/>
  <c r="A6605" i="1"/>
  <c r="B6605" i="1"/>
  <c r="C6605" i="1"/>
  <c r="M6605" i="1"/>
  <c r="A6606" i="1"/>
  <c r="B6606" i="1"/>
  <c r="C6606" i="1"/>
  <c r="M6606" i="1"/>
  <c r="A6607" i="1"/>
  <c r="B6607" i="1"/>
  <c r="C6607" i="1"/>
  <c r="M6607" i="1"/>
  <c r="A6608" i="1"/>
  <c r="B6608" i="1"/>
  <c r="C6608" i="1"/>
  <c r="M6608" i="1"/>
  <c r="A6609" i="1"/>
  <c r="B6609" i="1"/>
  <c r="C6609" i="1"/>
  <c r="M6609" i="1"/>
  <c r="A6610" i="1"/>
  <c r="B6610" i="1"/>
  <c r="C6610" i="1"/>
  <c r="M6610" i="1"/>
  <c r="A6611" i="1"/>
  <c r="B6611" i="1"/>
  <c r="C6611" i="1"/>
  <c r="M6611" i="1"/>
  <c r="A6612" i="1"/>
  <c r="B6612" i="1"/>
  <c r="C6612" i="1"/>
  <c r="M6612" i="1"/>
  <c r="A6613" i="1"/>
  <c r="B6613" i="1"/>
  <c r="C6613" i="1"/>
  <c r="M6613" i="1"/>
  <c r="A6614" i="1"/>
  <c r="B6614" i="1"/>
  <c r="C6614" i="1"/>
  <c r="M6614" i="1"/>
  <c r="A6615" i="1"/>
  <c r="B6615" i="1"/>
  <c r="C6615" i="1"/>
  <c r="M6615" i="1"/>
  <c r="A6616" i="1"/>
  <c r="B6616" i="1"/>
  <c r="C6616" i="1"/>
  <c r="M6616" i="1"/>
  <c r="A6617" i="1"/>
  <c r="B6617" i="1"/>
  <c r="C6617" i="1"/>
  <c r="M6617" i="1"/>
  <c r="A6618" i="1"/>
  <c r="B6618" i="1"/>
  <c r="C6618" i="1"/>
  <c r="M6618" i="1"/>
  <c r="A6619" i="1"/>
  <c r="B6619" i="1"/>
  <c r="C6619" i="1"/>
  <c r="M6619" i="1"/>
  <c r="A6620" i="1"/>
  <c r="B6620" i="1"/>
  <c r="C6620" i="1"/>
  <c r="M6620" i="1"/>
  <c r="A6621" i="1"/>
  <c r="B6621" i="1"/>
  <c r="C6621" i="1"/>
  <c r="M6621" i="1"/>
  <c r="A6622" i="1"/>
  <c r="B6622" i="1"/>
  <c r="C6622" i="1"/>
  <c r="M6622" i="1"/>
  <c r="A6623" i="1"/>
  <c r="B6623" i="1"/>
  <c r="C6623" i="1"/>
  <c r="M6623" i="1"/>
  <c r="A6624" i="1"/>
  <c r="B6624" i="1"/>
  <c r="C6624" i="1"/>
  <c r="M6624" i="1"/>
  <c r="A6625" i="1"/>
  <c r="B6625" i="1"/>
  <c r="C6625" i="1"/>
  <c r="M6625" i="1"/>
  <c r="A6626" i="1"/>
  <c r="B6626" i="1"/>
  <c r="C6626" i="1"/>
  <c r="M6626" i="1"/>
  <c r="A6627" i="1"/>
  <c r="B6627" i="1"/>
  <c r="C6627" i="1"/>
  <c r="M6627" i="1"/>
  <c r="A6628" i="1"/>
  <c r="B6628" i="1"/>
  <c r="C6628" i="1"/>
  <c r="M6628" i="1"/>
  <c r="A6629" i="1"/>
  <c r="B6629" i="1"/>
  <c r="C6629" i="1"/>
  <c r="M6629" i="1"/>
  <c r="A6630" i="1"/>
  <c r="B6630" i="1"/>
  <c r="C6630" i="1"/>
  <c r="M6630" i="1"/>
  <c r="A6631" i="1"/>
  <c r="B6631" i="1"/>
  <c r="C6631" i="1"/>
  <c r="M6631" i="1"/>
  <c r="A6632" i="1"/>
  <c r="B6632" i="1"/>
  <c r="C6632" i="1"/>
  <c r="M6632" i="1"/>
  <c r="A6633" i="1"/>
  <c r="B6633" i="1"/>
  <c r="C6633" i="1"/>
  <c r="M6633" i="1"/>
  <c r="A6634" i="1"/>
  <c r="B6634" i="1"/>
  <c r="C6634" i="1"/>
  <c r="M6634" i="1"/>
  <c r="A6635" i="1"/>
  <c r="B6635" i="1"/>
  <c r="C6635" i="1"/>
  <c r="M6635" i="1"/>
  <c r="A6636" i="1"/>
  <c r="B6636" i="1"/>
  <c r="C6636" i="1"/>
  <c r="M6636" i="1"/>
  <c r="A6637" i="1"/>
  <c r="B6637" i="1"/>
  <c r="C6637" i="1"/>
  <c r="M6637" i="1"/>
  <c r="A6638" i="1"/>
  <c r="B6638" i="1"/>
  <c r="C6638" i="1"/>
  <c r="M6638" i="1"/>
  <c r="A6639" i="1"/>
  <c r="B6639" i="1"/>
  <c r="C6639" i="1"/>
  <c r="M6639" i="1"/>
  <c r="A6640" i="1"/>
  <c r="B6640" i="1"/>
  <c r="C6640" i="1"/>
  <c r="M6640" i="1"/>
  <c r="A6641" i="1"/>
  <c r="B6641" i="1"/>
  <c r="C6641" i="1"/>
  <c r="M6641" i="1"/>
  <c r="A6642" i="1"/>
  <c r="B6642" i="1"/>
  <c r="C6642" i="1"/>
  <c r="M6642" i="1"/>
  <c r="A6643" i="1"/>
  <c r="B6643" i="1"/>
  <c r="C6643" i="1"/>
  <c r="M6643" i="1"/>
  <c r="A6644" i="1"/>
  <c r="B6644" i="1"/>
  <c r="C6644" i="1"/>
  <c r="M6644" i="1"/>
  <c r="A6645" i="1"/>
  <c r="B6645" i="1"/>
  <c r="C6645" i="1"/>
  <c r="M6645" i="1"/>
  <c r="A6646" i="1"/>
  <c r="B6646" i="1"/>
  <c r="C6646" i="1"/>
  <c r="M6646" i="1"/>
  <c r="A6647" i="1"/>
  <c r="B6647" i="1"/>
  <c r="C6647" i="1"/>
  <c r="M6647" i="1"/>
  <c r="A6648" i="1"/>
  <c r="B6648" i="1"/>
  <c r="C6648" i="1"/>
  <c r="M6648" i="1"/>
  <c r="A6649" i="1"/>
  <c r="B6649" i="1"/>
  <c r="C6649" i="1"/>
  <c r="M6649" i="1"/>
  <c r="A6650" i="1"/>
  <c r="B6650" i="1"/>
  <c r="C6650" i="1"/>
  <c r="M6650" i="1"/>
  <c r="A6651" i="1"/>
  <c r="B6651" i="1"/>
  <c r="C6651" i="1"/>
  <c r="M6651" i="1"/>
  <c r="A6652" i="1"/>
  <c r="B6652" i="1"/>
  <c r="C6652" i="1"/>
  <c r="M6652" i="1"/>
  <c r="A6653" i="1"/>
  <c r="B6653" i="1"/>
  <c r="C6653" i="1"/>
  <c r="M6653" i="1"/>
  <c r="A6654" i="1"/>
  <c r="B6654" i="1"/>
  <c r="C6654" i="1"/>
  <c r="M6654" i="1"/>
  <c r="A6655" i="1"/>
  <c r="B6655" i="1"/>
  <c r="C6655" i="1"/>
  <c r="M6655" i="1"/>
  <c r="A6656" i="1"/>
  <c r="B6656" i="1"/>
  <c r="C6656" i="1"/>
  <c r="M6656" i="1"/>
  <c r="A6657" i="1"/>
  <c r="B6657" i="1"/>
  <c r="C6657" i="1"/>
  <c r="M6657" i="1"/>
  <c r="A6658" i="1"/>
  <c r="B6658" i="1"/>
  <c r="C6658" i="1"/>
  <c r="M6658" i="1"/>
  <c r="A6659" i="1"/>
  <c r="B6659" i="1"/>
  <c r="C6659" i="1"/>
  <c r="M6659" i="1"/>
  <c r="A6660" i="1"/>
  <c r="B6660" i="1"/>
  <c r="C6660" i="1"/>
  <c r="M6660" i="1"/>
  <c r="A6661" i="1"/>
  <c r="B6661" i="1"/>
  <c r="C6661" i="1"/>
  <c r="M6661" i="1"/>
  <c r="A6662" i="1"/>
  <c r="B6662" i="1"/>
  <c r="C6662" i="1"/>
  <c r="M6662" i="1"/>
  <c r="A6663" i="1"/>
  <c r="B6663" i="1"/>
  <c r="C6663" i="1"/>
  <c r="M6663" i="1"/>
  <c r="A6664" i="1"/>
  <c r="B6664" i="1"/>
  <c r="C6664" i="1"/>
  <c r="M6664" i="1"/>
  <c r="A6665" i="1"/>
  <c r="B6665" i="1"/>
  <c r="C6665" i="1"/>
  <c r="M6665" i="1"/>
  <c r="A6666" i="1"/>
  <c r="B6666" i="1"/>
  <c r="C6666" i="1"/>
  <c r="M6666" i="1"/>
  <c r="A6667" i="1"/>
  <c r="B6667" i="1"/>
  <c r="C6667" i="1"/>
  <c r="M6667" i="1"/>
  <c r="A6668" i="1"/>
  <c r="B6668" i="1"/>
  <c r="C6668" i="1"/>
  <c r="M6668" i="1"/>
  <c r="A6669" i="1"/>
  <c r="B6669" i="1"/>
  <c r="C6669" i="1"/>
  <c r="M6669" i="1"/>
  <c r="A6670" i="1"/>
  <c r="B6670" i="1"/>
  <c r="C6670" i="1"/>
  <c r="M6670" i="1"/>
  <c r="A6671" i="1"/>
  <c r="B6671" i="1"/>
  <c r="C6671" i="1"/>
  <c r="M6671" i="1"/>
  <c r="A6672" i="1"/>
  <c r="B6672" i="1"/>
  <c r="C6672" i="1"/>
  <c r="M6672" i="1"/>
  <c r="A6673" i="1"/>
  <c r="B6673" i="1"/>
  <c r="C6673" i="1"/>
  <c r="M6673" i="1"/>
  <c r="A6674" i="1"/>
  <c r="B6674" i="1"/>
  <c r="C6674" i="1"/>
  <c r="M6674" i="1"/>
  <c r="A6675" i="1"/>
  <c r="B6675" i="1"/>
  <c r="C6675" i="1"/>
  <c r="M6675" i="1"/>
  <c r="A6676" i="1"/>
  <c r="B6676" i="1"/>
  <c r="C6676" i="1"/>
  <c r="M6676" i="1"/>
  <c r="A6677" i="1"/>
  <c r="B6677" i="1"/>
  <c r="C6677" i="1"/>
  <c r="M6677" i="1"/>
  <c r="A6678" i="1"/>
  <c r="B6678" i="1"/>
  <c r="C6678" i="1"/>
  <c r="M6678" i="1"/>
  <c r="A6679" i="1"/>
  <c r="B6679" i="1"/>
  <c r="C6679" i="1"/>
  <c r="M6679" i="1"/>
  <c r="A6680" i="1"/>
  <c r="B6680" i="1"/>
  <c r="C6680" i="1"/>
  <c r="M6680" i="1"/>
  <c r="A6681" i="1"/>
  <c r="B6681" i="1"/>
  <c r="C6681" i="1"/>
  <c r="M6681" i="1"/>
  <c r="A6682" i="1"/>
  <c r="B6682" i="1"/>
  <c r="C6682" i="1"/>
  <c r="M6682" i="1"/>
  <c r="A6683" i="1"/>
  <c r="B6683" i="1"/>
  <c r="C6683" i="1"/>
  <c r="M6683" i="1"/>
  <c r="A6684" i="1"/>
  <c r="B6684" i="1"/>
  <c r="C6684" i="1"/>
  <c r="M6684" i="1"/>
  <c r="A6685" i="1"/>
  <c r="B6685" i="1"/>
  <c r="C6685" i="1"/>
  <c r="M6685" i="1"/>
  <c r="A6686" i="1"/>
  <c r="B6686" i="1"/>
  <c r="C6686" i="1"/>
  <c r="M6686" i="1"/>
  <c r="A6687" i="1"/>
  <c r="B6687" i="1"/>
  <c r="C6687" i="1"/>
  <c r="M6687" i="1"/>
  <c r="A6688" i="1"/>
  <c r="B6688" i="1"/>
  <c r="C6688" i="1"/>
  <c r="M6688" i="1"/>
  <c r="A6689" i="1"/>
  <c r="B6689" i="1"/>
  <c r="C6689" i="1"/>
  <c r="M6689" i="1"/>
  <c r="A6690" i="1"/>
  <c r="B6690" i="1"/>
  <c r="C6690" i="1"/>
  <c r="M6690" i="1"/>
  <c r="A6691" i="1"/>
  <c r="B6691" i="1"/>
  <c r="C6691" i="1"/>
  <c r="M6691" i="1"/>
  <c r="A6692" i="1"/>
  <c r="B6692" i="1"/>
  <c r="C6692" i="1"/>
  <c r="M6692" i="1"/>
  <c r="A6693" i="1"/>
  <c r="B6693" i="1"/>
  <c r="C6693" i="1"/>
  <c r="M6693" i="1"/>
  <c r="A6694" i="1"/>
  <c r="B6694" i="1"/>
  <c r="C6694" i="1"/>
  <c r="M6694" i="1"/>
  <c r="A6695" i="1"/>
  <c r="B6695" i="1"/>
  <c r="C6695" i="1"/>
  <c r="M6695" i="1"/>
  <c r="A6696" i="1"/>
  <c r="B6696" i="1"/>
  <c r="C6696" i="1"/>
  <c r="M6696" i="1"/>
  <c r="A6697" i="1"/>
  <c r="B6697" i="1"/>
  <c r="C6697" i="1"/>
  <c r="M6697" i="1"/>
  <c r="A6698" i="1"/>
  <c r="B6698" i="1"/>
  <c r="C6698" i="1"/>
  <c r="M6698" i="1"/>
  <c r="A6699" i="1"/>
  <c r="B6699" i="1"/>
  <c r="C6699" i="1"/>
  <c r="M6699" i="1"/>
  <c r="A6700" i="1"/>
  <c r="B6700" i="1"/>
  <c r="C6700" i="1"/>
  <c r="M6700" i="1"/>
  <c r="A6701" i="1"/>
  <c r="B6701" i="1"/>
  <c r="C6701" i="1"/>
  <c r="M6701" i="1"/>
  <c r="A6702" i="1"/>
  <c r="B6702" i="1"/>
  <c r="C6702" i="1"/>
  <c r="M6702" i="1"/>
  <c r="A6703" i="1"/>
  <c r="B6703" i="1"/>
  <c r="C6703" i="1"/>
  <c r="M6703" i="1"/>
  <c r="A6704" i="1"/>
  <c r="B6704" i="1"/>
  <c r="C6704" i="1"/>
  <c r="M6704" i="1"/>
  <c r="A6705" i="1"/>
  <c r="B6705" i="1"/>
  <c r="C6705" i="1"/>
  <c r="M6705" i="1"/>
  <c r="A6706" i="1"/>
  <c r="B6706" i="1"/>
  <c r="C6706" i="1"/>
  <c r="M6706" i="1"/>
  <c r="A6707" i="1"/>
  <c r="B6707" i="1"/>
  <c r="C6707" i="1"/>
  <c r="M6707" i="1"/>
  <c r="A6708" i="1"/>
  <c r="B6708" i="1"/>
  <c r="C6708" i="1"/>
  <c r="M6708" i="1"/>
  <c r="A6709" i="1"/>
  <c r="B6709" i="1"/>
  <c r="C6709" i="1"/>
  <c r="M6709" i="1"/>
  <c r="A6710" i="1"/>
  <c r="B6710" i="1"/>
  <c r="C6710" i="1"/>
  <c r="M6710" i="1"/>
  <c r="A6711" i="1"/>
  <c r="B6711" i="1"/>
  <c r="C6711" i="1"/>
  <c r="M6711" i="1"/>
  <c r="A6712" i="1"/>
  <c r="B6712" i="1"/>
  <c r="C6712" i="1"/>
  <c r="M6712" i="1"/>
  <c r="A6713" i="1"/>
  <c r="B6713" i="1"/>
  <c r="C6713" i="1"/>
  <c r="M6713" i="1"/>
  <c r="A6714" i="1"/>
  <c r="B6714" i="1"/>
  <c r="C6714" i="1"/>
  <c r="M6714" i="1"/>
  <c r="A6715" i="1"/>
  <c r="B6715" i="1"/>
  <c r="C6715" i="1"/>
  <c r="M6715" i="1"/>
  <c r="A6716" i="1"/>
  <c r="B6716" i="1"/>
  <c r="C6716" i="1"/>
  <c r="M6716" i="1"/>
  <c r="A6717" i="1"/>
  <c r="B6717" i="1"/>
  <c r="C6717" i="1"/>
  <c r="M6717" i="1"/>
  <c r="A6718" i="1"/>
  <c r="B6718" i="1"/>
  <c r="C6718" i="1"/>
  <c r="M6718" i="1"/>
  <c r="A6719" i="1"/>
  <c r="B6719" i="1"/>
  <c r="C6719" i="1"/>
  <c r="M6719" i="1"/>
  <c r="A6720" i="1"/>
  <c r="B6720" i="1"/>
  <c r="C6720" i="1"/>
  <c r="M6720" i="1"/>
  <c r="A6721" i="1"/>
  <c r="B6721" i="1"/>
  <c r="C6721" i="1"/>
  <c r="M6721" i="1"/>
  <c r="A6722" i="1"/>
  <c r="B6722" i="1"/>
  <c r="C6722" i="1"/>
  <c r="M6722" i="1"/>
  <c r="A6723" i="1"/>
  <c r="B6723" i="1"/>
  <c r="C6723" i="1"/>
  <c r="M6723" i="1"/>
  <c r="A6724" i="1"/>
  <c r="B6724" i="1"/>
  <c r="C6724" i="1"/>
  <c r="M6724" i="1"/>
  <c r="A6725" i="1"/>
  <c r="B6725" i="1"/>
  <c r="C6725" i="1"/>
  <c r="M6725" i="1"/>
  <c r="A6726" i="1"/>
  <c r="B6726" i="1"/>
  <c r="C6726" i="1"/>
  <c r="M6726" i="1"/>
  <c r="A6727" i="1"/>
  <c r="B6727" i="1"/>
  <c r="C6727" i="1"/>
  <c r="M6727" i="1"/>
  <c r="A6728" i="1"/>
  <c r="B6728" i="1"/>
  <c r="C6728" i="1"/>
  <c r="M6728" i="1"/>
  <c r="A6729" i="1"/>
  <c r="B6729" i="1"/>
  <c r="C6729" i="1"/>
  <c r="M6729" i="1"/>
  <c r="A6730" i="1"/>
  <c r="B6730" i="1"/>
  <c r="C6730" i="1"/>
  <c r="M6730" i="1"/>
  <c r="A6731" i="1"/>
  <c r="B6731" i="1"/>
  <c r="C6731" i="1"/>
  <c r="M6731" i="1"/>
  <c r="A6732" i="1"/>
  <c r="B6732" i="1"/>
  <c r="C6732" i="1"/>
  <c r="M6732" i="1"/>
  <c r="A6733" i="1"/>
  <c r="B6733" i="1"/>
  <c r="C6733" i="1"/>
  <c r="M6733" i="1"/>
  <c r="A6734" i="1"/>
  <c r="B6734" i="1"/>
  <c r="C6734" i="1"/>
  <c r="M6734" i="1"/>
  <c r="A6735" i="1"/>
  <c r="B6735" i="1"/>
  <c r="C6735" i="1"/>
  <c r="M6735" i="1"/>
  <c r="A6736" i="1"/>
  <c r="B6736" i="1"/>
  <c r="C6736" i="1"/>
  <c r="M6736" i="1"/>
  <c r="A6737" i="1"/>
  <c r="B6737" i="1"/>
  <c r="C6737" i="1"/>
  <c r="M6737" i="1"/>
  <c r="A6738" i="1"/>
  <c r="B6738" i="1"/>
  <c r="C6738" i="1"/>
  <c r="M6738" i="1"/>
  <c r="A6739" i="1"/>
  <c r="B6739" i="1"/>
  <c r="C6739" i="1"/>
  <c r="M6739" i="1"/>
  <c r="A6740" i="1"/>
  <c r="B6740" i="1"/>
  <c r="C6740" i="1"/>
  <c r="M6740" i="1"/>
  <c r="A6741" i="1"/>
  <c r="B6741" i="1"/>
  <c r="C6741" i="1"/>
  <c r="M6741" i="1"/>
  <c r="A6742" i="1"/>
  <c r="B6742" i="1"/>
  <c r="C6742" i="1"/>
  <c r="M6742" i="1"/>
  <c r="A6743" i="1"/>
  <c r="B6743" i="1"/>
  <c r="C6743" i="1"/>
  <c r="M6743" i="1"/>
  <c r="A6744" i="1"/>
  <c r="B6744" i="1"/>
  <c r="C6744" i="1"/>
  <c r="M6744" i="1"/>
  <c r="A6745" i="1"/>
  <c r="B6745" i="1"/>
  <c r="C6745" i="1"/>
  <c r="M6745" i="1"/>
  <c r="A6746" i="1"/>
  <c r="B6746" i="1"/>
  <c r="C6746" i="1"/>
  <c r="M6746" i="1"/>
  <c r="A6747" i="1"/>
  <c r="B6747" i="1"/>
  <c r="C6747" i="1"/>
  <c r="M6747" i="1"/>
  <c r="A6748" i="1"/>
  <c r="B6748" i="1"/>
  <c r="C6748" i="1"/>
  <c r="M6748" i="1"/>
  <c r="A6749" i="1"/>
  <c r="B6749" i="1"/>
  <c r="C6749" i="1"/>
  <c r="M6749" i="1"/>
  <c r="A6750" i="1"/>
  <c r="B6750" i="1"/>
  <c r="C6750" i="1"/>
  <c r="M6750" i="1"/>
  <c r="A6751" i="1"/>
  <c r="B6751" i="1"/>
  <c r="C6751" i="1"/>
  <c r="M6751" i="1"/>
  <c r="A6752" i="1"/>
  <c r="B6752" i="1"/>
  <c r="C6752" i="1"/>
  <c r="M6752" i="1"/>
  <c r="A6753" i="1"/>
  <c r="B6753" i="1"/>
  <c r="C6753" i="1"/>
  <c r="M6753" i="1"/>
  <c r="A6754" i="1"/>
  <c r="B6754" i="1"/>
  <c r="C6754" i="1"/>
  <c r="M6754" i="1"/>
  <c r="A6755" i="1"/>
  <c r="B6755" i="1"/>
  <c r="C6755" i="1"/>
  <c r="M6755" i="1"/>
  <c r="A6756" i="1"/>
  <c r="B6756" i="1"/>
  <c r="C6756" i="1"/>
  <c r="M6756" i="1"/>
  <c r="A6757" i="1"/>
  <c r="B6757" i="1"/>
  <c r="C6757" i="1"/>
  <c r="M6757" i="1"/>
  <c r="A6758" i="1"/>
  <c r="B6758" i="1"/>
  <c r="C6758" i="1"/>
  <c r="M6758" i="1"/>
  <c r="A6759" i="1"/>
  <c r="B6759" i="1"/>
  <c r="C6759" i="1"/>
  <c r="M6759" i="1"/>
  <c r="A6760" i="1"/>
  <c r="B6760" i="1"/>
  <c r="C6760" i="1"/>
  <c r="M6760" i="1"/>
  <c r="A6761" i="1"/>
  <c r="B6761" i="1"/>
  <c r="C6761" i="1"/>
  <c r="M6761" i="1"/>
  <c r="A6762" i="1"/>
  <c r="B6762" i="1"/>
  <c r="C6762" i="1"/>
  <c r="M6762" i="1"/>
  <c r="A6763" i="1"/>
  <c r="B6763" i="1"/>
  <c r="C6763" i="1"/>
  <c r="M6763" i="1"/>
  <c r="A6764" i="1"/>
  <c r="B6764" i="1"/>
  <c r="C6764" i="1"/>
  <c r="M6764" i="1"/>
  <c r="A6765" i="1"/>
  <c r="B6765" i="1"/>
  <c r="C6765" i="1"/>
  <c r="M6765" i="1"/>
  <c r="A6766" i="1"/>
  <c r="B6766" i="1"/>
  <c r="C6766" i="1"/>
  <c r="M6766" i="1"/>
  <c r="A6767" i="1"/>
  <c r="B6767" i="1"/>
  <c r="C6767" i="1"/>
  <c r="M6767" i="1"/>
  <c r="A6768" i="1"/>
  <c r="B6768" i="1"/>
  <c r="C6768" i="1"/>
  <c r="M6768" i="1"/>
  <c r="A6769" i="1"/>
  <c r="B6769" i="1"/>
  <c r="C6769" i="1"/>
  <c r="M6769" i="1"/>
  <c r="A6770" i="1"/>
  <c r="B6770" i="1"/>
  <c r="C6770" i="1"/>
  <c r="M6770" i="1"/>
  <c r="A6771" i="1"/>
  <c r="B6771" i="1"/>
  <c r="C6771" i="1"/>
  <c r="M6771" i="1"/>
  <c r="A6772" i="1"/>
  <c r="B6772" i="1"/>
  <c r="C6772" i="1"/>
  <c r="M6772" i="1"/>
  <c r="A6773" i="1"/>
  <c r="B6773" i="1"/>
  <c r="C6773" i="1"/>
  <c r="M6773" i="1"/>
  <c r="A6774" i="1"/>
  <c r="B6774" i="1"/>
  <c r="C6774" i="1"/>
  <c r="M6774" i="1"/>
  <c r="A6775" i="1"/>
  <c r="B6775" i="1"/>
  <c r="C6775" i="1"/>
  <c r="M6775" i="1"/>
  <c r="A6776" i="1"/>
  <c r="B6776" i="1"/>
  <c r="C6776" i="1"/>
  <c r="M6776" i="1"/>
  <c r="A6777" i="1"/>
  <c r="B6777" i="1"/>
  <c r="C6777" i="1"/>
  <c r="M6777" i="1"/>
  <c r="A6778" i="1"/>
  <c r="B6778" i="1"/>
  <c r="C6778" i="1"/>
  <c r="M6778" i="1"/>
  <c r="A6779" i="1"/>
  <c r="B6779" i="1"/>
  <c r="C6779" i="1"/>
  <c r="M6779" i="1"/>
  <c r="A6780" i="1"/>
  <c r="B6780" i="1"/>
  <c r="C6780" i="1"/>
  <c r="M6780" i="1"/>
  <c r="A6781" i="1"/>
  <c r="B6781" i="1"/>
  <c r="C6781" i="1"/>
  <c r="M6781" i="1"/>
  <c r="A6782" i="1"/>
  <c r="B6782" i="1"/>
  <c r="C6782" i="1"/>
  <c r="M6782" i="1"/>
  <c r="A6783" i="1"/>
  <c r="B6783" i="1"/>
  <c r="C6783" i="1"/>
  <c r="M6783" i="1"/>
  <c r="A6784" i="1"/>
  <c r="B6784" i="1"/>
  <c r="C6784" i="1"/>
  <c r="M6784" i="1"/>
  <c r="A6785" i="1"/>
  <c r="B6785" i="1"/>
  <c r="C6785" i="1"/>
  <c r="M6785" i="1"/>
  <c r="A6786" i="1"/>
  <c r="B6786" i="1"/>
  <c r="C6786" i="1"/>
  <c r="M6786" i="1"/>
  <c r="A6787" i="1"/>
  <c r="B6787" i="1"/>
  <c r="C6787" i="1"/>
  <c r="M6787" i="1"/>
  <c r="A6788" i="1"/>
  <c r="B6788" i="1"/>
  <c r="C6788" i="1"/>
  <c r="M6788" i="1"/>
  <c r="A6789" i="1"/>
  <c r="B6789" i="1"/>
  <c r="C6789" i="1"/>
  <c r="M6789" i="1"/>
  <c r="A6790" i="1"/>
  <c r="B6790" i="1"/>
  <c r="C6790" i="1"/>
  <c r="M6790" i="1"/>
  <c r="A6791" i="1"/>
  <c r="B6791" i="1"/>
  <c r="C6791" i="1"/>
  <c r="M6791" i="1"/>
  <c r="A6792" i="1"/>
  <c r="B6792" i="1"/>
  <c r="C6792" i="1"/>
  <c r="M6792" i="1"/>
  <c r="A6793" i="1"/>
  <c r="B6793" i="1"/>
  <c r="C6793" i="1"/>
  <c r="M6793" i="1"/>
  <c r="A6794" i="1"/>
  <c r="B6794" i="1"/>
  <c r="C6794" i="1"/>
  <c r="M6794" i="1"/>
  <c r="A6795" i="1"/>
  <c r="B6795" i="1"/>
  <c r="C6795" i="1"/>
  <c r="M6795" i="1"/>
  <c r="A6796" i="1"/>
  <c r="B6796" i="1"/>
  <c r="C6796" i="1"/>
  <c r="M6796" i="1"/>
  <c r="A6797" i="1"/>
  <c r="B6797" i="1"/>
  <c r="C6797" i="1"/>
  <c r="M6797" i="1"/>
  <c r="A6798" i="1"/>
  <c r="B6798" i="1"/>
  <c r="C6798" i="1"/>
  <c r="M6798" i="1"/>
  <c r="A6799" i="1"/>
  <c r="B6799" i="1"/>
  <c r="C6799" i="1"/>
  <c r="M6799" i="1"/>
  <c r="A6800" i="1"/>
  <c r="B6800" i="1"/>
  <c r="C6800" i="1"/>
  <c r="M6800" i="1"/>
  <c r="A6801" i="1"/>
  <c r="B6801" i="1"/>
  <c r="C6801" i="1"/>
  <c r="M6801" i="1"/>
  <c r="A6802" i="1"/>
  <c r="B6802" i="1"/>
  <c r="C6802" i="1"/>
  <c r="M6802" i="1"/>
  <c r="A6803" i="1"/>
  <c r="B6803" i="1"/>
  <c r="C6803" i="1"/>
  <c r="M6803" i="1"/>
  <c r="A6804" i="1"/>
  <c r="B6804" i="1"/>
  <c r="C6804" i="1"/>
  <c r="M6804" i="1"/>
  <c r="A6805" i="1"/>
  <c r="B6805" i="1"/>
  <c r="C6805" i="1"/>
  <c r="M6805" i="1"/>
  <c r="A6806" i="1"/>
  <c r="B6806" i="1"/>
  <c r="C6806" i="1"/>
  <c r="M6806" i="1"/>
  <c r="A6807" i="1"/>
  <c r="B6807" i="1"/>
  <c r="C6807" i="1"/>
  <c r="M6807" i="1"/>
  <c r="A6808" i="1"/>
  <c r="B6808" i="1"/>
  <c r="C6808" i="1"/>
  <c r="M6808" i="1"/>
  <c r="A6809" i="1"/>
  <c r="B6809" i="1"/>
  <c r="C6809" i="1"/>
  <c r="M6809" i="1"/>
  <c r="A6810" i="1"/>
  <c r="B6810" i="1"/>
  <c r="C6810" i="1"/>
  <c r="M6810" i="1"/>
  <c r="A6811" i="1"/>
  <c r="B6811" i="1"/>
  <c r="C6811" i="1"/>
  <c r="M6811" i="1"/>
  <c r="A6812" i="1"/>
  <c r="B6812" i="1"/>
  <c r="C6812" i="1"/>
  <c r="M6812" i="1"/>
  <c r="A6813" i="1"/>
  <c r="B6813" i="1"/>
  <c r="C6813" i="1"/>
  <c r="M6813" i="1"/>
  <c r="A6814" i="1"/>
  <c r="B6814" i="1"/>
  <c r="C6814" i="1"/>
  <c r="M6814" i="1"/>
  <c r="A6815" i="1"/>
  <c r="B6815" i="1"/>
  <c r="C6815" i="1"/>
  <c r="M6815" i="1"/>
  <c r="A6816" i="1"/>
  <c r="B6816" i="1"/>
  <c r="C6816" i="1"/>
  <c r="M6816" i="1"/>
  <c r="A6817" i="1"/>
  <c r="B6817" i="1"/>
  <c r="C6817" i="1"/>
  <c r="M6817" i="1"/>
  <c r="A6818" i="1"/>
  <c r="B6818" i="1"/>
  <c r="C6818" i="1"/>
  <c r="M6818" i="1"/>
  <c r="A6819" i="1"/>
  <c r="B6819" i="1"/>
  <c r="C6819" i="1"/>
  <c r="M6819" i="1"/>
  <c r="A6820" i="1"/>
  <c r="B6820" i="1"/>
  <c r="C6820" i="1"/>
  <c r="M6820" i="1"/>
  <c r="A6821" i="1"/>
  <c r="B6821" i="1"/>
  <c r="C6821" i="1"/>
  <c r="M6821" i="1"/>
  <c r="A6822" i="1"/>
  <c r="B6822" i="1"/>
  <c r="C6822" i="1"/>
  <c r="M6822" i="1"/>
  <c r="A6823" i="1"/>
  <c r="B6823" i="1"/>
  <c r="C6823" i="1"/>
  <c r="M6823" i="1"/>
  <c r="A6824" i="1"/>
  <c r="B6824" i="1"/>
  <c r="C6824" i="1"/>
  <c r="M6824" i="1"/>
  <c r="A6825" i="1"/>
  <c r="B6825" i="1"/>
  <c r="C6825" i="1"/>
  <c r="M6825" i="1"/>
  <c r="A6826" i="1"/>
  <c r="B6826" i="1"/>
  <c r="C6826" i="1"/>
  <c r="M6826" i="1"/>
  <c r="A6827" i="1"/>
  <c r="B6827" i="1"/>
  <c r="C6827" i="1"/>
  <c r="M6827" i="1"/>
  <c r="A6828" i="1"/>
  <c r="B6828" i="1"/>
  <c r="C6828" i="1"/>
  <c r="M6828" i="1"/>
  <c r="A6829" i="1"/>
  <c r="B6829" i="1"/>
  <c r="C6829" i="1"/>
  <c r="M6829" i="1"/>
  <c r="A6830" i="1"/>
  <c r="B6830" i="1"/>
  <c r="C6830" i="1"/>
  <c r="M6830" i="1"/>
  <c r="A6831" i="1"/>
  <c r="B6831" i="1"/>
  <c r="C6831" i="1"/>
  <c r="M6831" i="1"/>
  <c r="A6832" i="1"/>
  <c r="B6832" i="1"/>
  <c r="C6832" i="1"/>
  <c r="M6832" i="1"/>
  <c r="A6833" i="1"/>
  <c r="B6833" i="1"/>
  <c r="C6833" i="1"/>
  <c r="M6833" i="1"/>
  <c r="A6834" i="1"/>
  <c r="B6834" i="1"/>
  <c r="C6834" i="1"/>
  <c r="M6834" i="1"/>
  <c r="A6835" i="1"/>
  <c r="B6835" i="1"/>
  <c r="C6835" i="1"/>
  <c r="M6835" i="1"/>
  <c r="A6836" i="1"/>
  <c r="B6836" i="1"/>
  <c r="C6836" i="1"/>
  <c r="M6836" i="1"/>
  <c r="A6837" i="1"/>
  <c r="B6837" i="1"/>
  <c r="C6837" i="1"/>
  <c r="M6837" i="1"/>
  <c r="A6838" i="1"/>
  <c r="B6838" i="1"/>
  <c r="C6838" i="1"/>
  <c r="M6838" i="1"/>
  <c r="A6839" i="1"/>
  <c r="B6839" i="1"/>
  <c r="C6839" i="1"/>
  <c r="M6839" i="1"/>
  <c r="A6840" i="1"/>
  <c r="B6840" i="1"/>
  <c r="C6840" i="1"/>
  <c r="M6840" i="1"/>
  <c r="A6841" i="1"/>
  <c r="B6841" i="1"/>
  <c r="C6841" i="1"/>
  <c r="M6841" i="1"/>
  <c r="A6842" i="1"/>
  <c r="B6842" i="1"/>
  <c r="C6842" i="1"/>
  <c r="M6842" i="1"/>
  <c r="A6843" i="1"/>
  <c r="B6843" i="1"/>
  <c r="C6843" i="1"/>
  <c r="M6843" i="1"/>
  <c r="A6844" i="1"/>
  <c r="B6844" i="1"/>
  <c r="C6844" i="1"/>
  <c r="M6844" i="1"/>
  <c r="A6845" i="1"/>
  <c r="B6845" i="1"/>
  <c r="C6845" i="1"/>
  <c r="M6845" i="1"/>
  <c r="A6846" i="1"/>
  <c r="B6846" i="1"/>
  <c r="C6846" i="1"/>
  <c r="M6846" i="1"/>
  <c r="A6847" i="1"/>
  <c r="B6847" i="1"/>
  <c r="C6847" i="1"/>
  <c r="M6847" i="1"/>
  <c r="A6848" i="1"/>
  <c r="B6848" i="1"/>
  <c r="C6848" i="1"/>
  <c r="M6848" i="1"/>
  <c r="A6849" i="1"/>
  <c r="B6849" i="1"/>
  <c r="C6849" i="1"/>
  <c r="M6849" i="1"/>
  <c r="A6850" i="1"/>
  <c r="B6850" i="1"/>
  <c r="C6850" i="1"/>
  <c r="M6850" i="1"/>
  <c r="A6851" i="1"/>
  <c r="B6851" i="1"/>
  <c r="C6851" i="1"/>
  <c r="M6851" i="1"/>
  <c r="A6852" i="1"/>
  <c r="B6852" i="1"/>
  <c r="C6852" i="1"/>
  <c r="M6852" i="1"/>
  <c r="A6853" i="1"/>
  <c r="B6853" i="1"/>
  <c r="C6853" i="1"/>
  <c r="M6853" i="1"/>
  <c r="A6854" i="1"/>
  <c r="B6854" i="1"/>
  <c r="C6854" i="1"/>
  <c r="M6854" i="1"/>
  <c r="A6855" i="1"/>
  <c r="B6855" i="1"/>
  <c r="C6855" i="1"/>
  <c r="M6855" i="1"/>
  <c r="A6856" i="1"/>
  <c r="B6856" i="1"/>
  <c r="C6856" i="1"/>
  <c r="M6856" i="1"/>
  <c r="A6857" i="1"/>
  <c r="B6857" i="1"/>
  <c r="C6857" i="1"/>
  <c r="M6857" i="1"/>
  <c r="A6858" i="1"/>
  <c r="B6858" i="1"/>
  <c r="C6858" i="1"/>
  <c r="M6858" i="1"/>
  <c r="A6859" i="1"/>
  <c r="B6859" i="1"/>
  <c r="C6859" i="1"/>
  <c r="M6859" i="1"/>
  <c r="A6860" i="1"/>
  <c r="B6860" i="1"/>
  <c r="C6860" i="1"/>
  <c r="M6860" i="1"/>
  <c r="A6861" i="1"/>
  <c r="B6861" i="1"/>
  <c r="C6861" i="1"/>
  <c r="M6861" i="1"/>
  <c r="A6862" i="1"/>
  <c r="B6862" i="1"/>
  <c r="C6862" i="1"/>
  <c r="M6862" i="1"/>
  <c r="A6863" i="1"/>
  <c r="B6863" i="1"/>
  <c r="C6863" i="1"/>
  <c r="M6863" i="1"/>
  <c r="A6864" i="1"/>
  <c r="B6864" i="1"/>
  <c r="C6864" i="1"/>
  <c r="M6864" i="1"/>
  <c r="A6865" i="1"/>
  <c r="B6865" i="1"/>
  <c r="C6865" i="1"/>
  <c r="M6865" i="1"/>
  <c r="A6866" i="1"/>
  <c r="B6866" i="1"/>
  <c r="C6866" i="1"/>
  <c r="M6866" i="1"/>
  <c r="A6867" i="1"/>
  <c r="B6867" i="1"/>
  <c r="C6867" i="1"/>
  <c r="M6867" i="1"/>
  <c r="A6868" i="1"/>
  <c r="B6868" i="1"/>
  <c r="C6868" i="1"/>
  <c r="M6868" i="1"/>
  <c r="A6869" i="1"/>
  <c r="B6869" i="1"/>
  <c r="C6869" i="1"/>
  <c r="M6869" i="1"/>
  <c r="A6870" i="1"/>
  <c r="B6870" i="1"/>
  <c r="C6870" i="1"/>
  <c r="M6870" i="1"/>
  <c r="A6871" i="1"/>
  <c r="B6871" i="1"/>
  <c r="C6871" i="1"/>
  <c r="M6871" i="1"/>
  <c r="A6872" i="1"/>
  <c r="B6872" i="1"/>
  <c r="C6872" i="1"/>
  <c r="M6872" i="1"/>
  <c r="A6873" i="1"/>
  <c r="B6873" i="1"/>
  <c r="C6873" i="1"/>
  <c r="M6873" i="1"/>
  <c r="A6874" i="1"/>
  <c r="B6874" i="1"/>
  <c r="C6874" i="1"/>
  <c r="M6874" i="1"/>
  <c r="A6875" i="1"/>
  <c r="B6875" i="1"/>
  <c r="C6875" i="1"/>
  <c r="M6875" i="1"/>
  <c r="A6876" i="1"/>
  <c r="B6876" i="1"/>
  <c r="C6876" i="1"/>
  <c r="M6876" i="1"/>
  <c r="A6877" i="1"/>
  <c r="B6877" i="1"/>
  <c r="C6877" i="1"/>
  <c r="M6877" i="1"/>
  <c r="A6878" i="1"/>
  <c r="B6878" i="1"/>
  <c r="C6878" i="1"/>
  <c r="M6878" i="1"/>
  <c r="A6879" i="1"/>
  <c r="B6879" i="1"/>
  <c r="C6879" i="1"/>
  <c r="M6879" i="1"/>
  <c r="A6880" i="1"/>
  <c r="B6880" i="1"/>
  <c r="C6880" i="1"/>
  <c r="M6880" i="1"/>
  <c r="A6881" i="1"/>
  <c r="B6881" i="1"/>
  <c r="C6881" i="1"/>
  <c r="M6881" i="1"/>
  <c r="A6882" i="1"/>
  <c r="B6882" i="1"/>
  <c r="C6882" i="1"/>
  <c r="M6882" i="1"/>
  <c r="A6883" i="1"/>
  <c r="B6883" i="1"/>
  <c r="C6883" i="1"/>
  <c r="M6883" i="1"/>
  <c r="A6884" i="1"/>
  <c r="B6884" i="1"/>
  <c r="C6884" i="1"/>
  <c r="M6884" i="1"/>
  <c r="A6885" i="1"/>
  <c r="B6885" i="1"/>
  <c r="C6885" i="1"/>
  <c r="M6885" i="1"/>
  <c r="A6886" i="1"/>
  <c r="B6886" i="1"/>
  <c r="C6886" i="1"/>
  <c r="M6886" i="1"/>
  <c r="A6887" i="1"/>
  <c r="B6887" i="1"/>
  <c r="C6887" i="1"/>
  <c r="M6887" i="1"/>
  <c r="A6888" i="1"/>
  <c r="B6888" i="1"/>
  <c r="C6888" i="1"/>
  <c r="M6888" i="1"/>
  <c r="A6889" i="1"/>
  <c r="B6889" i="1"/>
  <c r="C6889" i="1"/>
  <c r="M6889" i="1"/>
  <c r="A6890" i="1"/>
  <c r="B6890" i="1"/>
  <c r="C6890" i="1"/>
  <c r="M6890" i="1"/>
  <c r="A6891" i="1"/>
  <c r="B6891" i="1"/>
  <c r="C6891" i="1"/>
  <c r="M6891" i="1"/>
  <c r="A6892" i="1"/>
  <c r="B6892" i="1"/>
  <c r="C6892" i="1"/>
  <c r="M6892" i="1"/>
  <c r="A6893" i="1"/>
  <c r="B6893" i="1"/>
  <c r="C6893" i="1"/>
  <c r="M6893" i="1"/>
  <c r="A6894" i="1"/>
  <c r="B6894" i="1"/>
  <c r="C6894" i="1"/>
  <c r="M6894" i="1"/>
  <c r="A6895" i="1"/>
  <c r="B6895" i="1"/>
  <c r="C6895" i="1"/>
  <c r="M6895" i="1"/>
  <c r="A6896" i="1"/>
  <c r="B6896" i="1"/>
  <c r="C6896" i="1"/>
  <c r="M6896" i="1"/>
  <c r="A6897" i="1"/>
  <c r="B6897" i="1"/>
  <c r="C6897" i="1"/>
  <c r="M6897" i="1"/>
  <c r="A6898" i="1"/>
  <c r="B6898" i="1"/>
  <c r="C6898" i="1"/>
  <c r="M6898" i="1"/>
  <c r="A6899" i="1"/>
  <c r="B6899" i="1"/>
  <c r="C6899" i="1"/>
  <c r="M6899" i="1"/>
  <c r="A6900" i="1"/>
  <c r="B6900" i="1"/>
  <c r="C6900" i="1"/>
  <c r="M6900" i="1"/>
  <c r="A6901" i="1"/>
  <c r="B6901" i="1"/>
  <c r="C6901" i="1"/>
  <c r="M6901" i="1"/>
  <c r="A6902" i="1"/>
  <c r="B6902" i="1"/>
  <c r="C6902" i="1"/>
  <c r="M6902" i="1"/>
  <c r="A6903" i="1"/>
  <c r="B6903" i="1"/>
  <c r="C6903" i="1"/>
  <c r="M6903" i="1"/>
  <c r="A6904" i="1"/>
  <c r="B6904" i="1"/>
  <c r="C6904" i="1"/>
  <c r="M6904" i="1"/>
  <c r="A6905" i="1"/>
  <c r="B6905" i="1"/>
  <c r="C6905" i="1"/>
  <c r="M6905" i="1"/>
  <c r="A6906" i="1"/>
  <c r="B6906" i="1"/>
  <c r="C6906" i="1"/>
  <c r="M6906" i="1"/>
  <c r="A6907" i="1"/>
  <c r="B6907" i="1"/>
  <c r="C6907" i="1"/>
  <c r="M6907" i="1"/>
  <c r="A6908" i="1"/>
  <c r="B6908" i="1"/>
  <c r="C6908" i="1"/>
  <c r="M6908" i="1"/>
  <c r="A6909" i="1"/>
  <c r="B6909" i="1"/>
  <c r="C6909" i="1"/>
  <c r="M6909" i="1"/>
  <c r="A6910" i="1"/>
  <c r="B6910" i="1"/>
  <c r="C6910" i="1"/>
  <c r="M6910" i="1"/>
  <c r="A6911" i="1"/>
  <c r="B6911" i="1"/>
  <c r="C6911" i="1"/>
  <c r="M6911" i="1"/>
  <c r="A6912" i="1"/>
  <c r="B6912" i="1"/>
  <c r="C6912" i="1"/>
  <c r="M6912" i="1"/>
  <c r="A6913" i="1"/>
  <c r="B6913" i="1"/>
  <c r="C6913" i="1"/>
  <c r="M6913" i="1"/>
  <c r="A6914" i="1"/>
  <c r="B6914" i="1"/>
  <c r="C6914" i="1"/>
  <c r="M6914" i="1"/>
  <c r="A6915" i="1"/>
  <c r="B6915" i="1"/>
  <c r="C6915" i="1"/>
  <c r="M6915" i="1"/>
  <c r="A6916" i="1"/>
  <c r="B6916" i="1"/>
  <c r="C6916" i="1"/>
  <c r="M6916" i="1"/>
  <c r="A6917" i="1"/>
  <c r="B6917" i="1"/>
  <c r="C6917" i="1"/>
  <c r="M6917" i="1"/>
  <c r="A6918" i="1"/>
  <c r="B6918" i="1"/>
  <c r="C6918" i="1"/>
  <c r="M6918" i="1"/>
  <c r="A6919" i="1"/>
  <c r="B6919" i="1"/>
  <c r="C6919" i="1"/>
  <c r="M6919" i="1"/>
  <c r="A6920" i="1"/>
  <c r="B6920" i="1"/>
  <c r="C6920" i="1"/>
  <c r="M6920" i="1"/>
  <c r="A6921" i="1"/>
  <c r="B6921" i="1"/>
  <c r="C6921" i="1"/>
  <c r="M6921" i="1"/>
  <c r="A6922" i="1"/>
  <c r="B6922" i="1"/>
  <c r="C6922" i="1"/>
  <c r="M6922" i="1"/>
  <c r="A6923" i="1"/>
  <c r="B6923" i="1"/>
  <c r="C6923" i="1"/>
  <c r="M6923" i="1"/>
  <c r="A6924" i="1"/>
  <c r="B6924" i="1"/>
  <c r="C6924" i="1"/>
  <c r="M6924" i="1"/>
  <c r="A6925" i="1"/>
  <c r="B6925" i="1"/>
  <c r="C6925" i="1"/>
  <c r="M6925" i="1"/>
  <c r="A6926" i="1"/>
  <c r="B6926" i="1"/>
  <c r="C6926" i="1"/>
  <c r="M6926" i="1"/>
  <c r="A6927" i="1"/>
  <c r="B6927" i="1"/>
  <c r="C6927" i="1"/>
  <c r="M6927" i="1"/>
  <c r="A6928" i="1"/>
  <c r="B6928" i="1"/>
  <c r="C6928" i="1"/>
  <c r="M6928" i="1"/>
  <c r="A6929" i="1"/>
  <c r="B6929" i="1"/>
  <c r="C6929" i="1"/>
  <c r="M6929" i="1"/>
  <c r="A6930" i="1"/>
  <c r="B6930" i="1"/>
  <c r="C6930" i="1"/>
  <c r="M6930" i="1"/>
  <c r="A6931" i="1"/>
  <c r="B6931" i="1"/>
  <c r="C6931" i="1"/>
  <c r="M6931" i="1"/>
  <c r="A6932" i="1"/>
  <c r="B6932" i="1"/>
  <c r="C6932" i="1"/>
  <c r="M6932" i="1"/>
  <c r="A6933" i="1"/>
  <c r="B6933" i="1"/>
  <c r="C6933" i="1"/>
  <c r="M6933" i="1"/>
  <c r="A6934" i="1"/>
  <c r="B6934" i="1"/>
  <c r="C6934" i="1"/>
  <c r="M6934" i="1"/>
  <c r="A6935" i="1"/>
  <c r="B6935" i="1"/>
  <c r="C6935" i="1"/>
  <c r="M6935" i="1"/>
  <c r="A6936" i="1"/>
  <c r="B6936" i="1"/>
  <c r="C6936" i="1"/>
  <c r="M6936" i="1"/>
  <c r="A6937" i="1"/>
  <c r="B6937" i="1"/>
  <c r="C6937" i="1"/>
  <c r="M6937" i="1"/>
  <c r="A6938" i="1"/>
  <c r="B6938" i="1"/>
  <c r="C6938" i="1"/>
  <c r="M6938" i="1"/>
  <c r="A6939" i="1"/>
  <c r="B6939" i="1"/>
  <c r="C6939" i="1"/>
  <c r="M6939" i="1"/>
  <c r="A6940" i="1"/>
  <c r="B6940" i="1"/>
  <c r="C6940" i="1"/>
  <c r="M6940" i="1"/>
  <c r="A6941" i="1"/>
  <c r="B6941" i="1"/>
  <c r="C6941" i="1"/>
  <c r="M6941" i="1"/>
  <c r="A6942" i="1"/>
  <c r="B6942" i="1"/>
  <c r="C6942" i="1"/>
  <c r="M6942" i="1"/>
  <c r="A6943" i="1"/>
  <c r="B6943" i="1"/>
  <c r="C6943" i="1"/>
  <c r="M6943" i="1"/>
  <c r="A6944" i="1"/>
  <c r="B6944" i="1"/>
  <c r="C6944" i="1"/>
  <c r="M6944" i="1"/>
  <c r="A6945" i="1"/>
  <c r="B6945" i="1"/>
  <c r="C6945" i="1"/>
  <c r="M6945" i="1"/>
  <c r="A6946" i="1"/>
  <c r="B6946" i="1"/>
  <c r="C6946" i="1"/>
  <c r="M6946" i="1"/>
  <c r="A6947" i="1"/>
  <c r="B6947" i="1"/>
  <c r="C6947" i="1"/>
  <c r="M6947" i="1"/>
  <c r="A6948" i="1"/>
  <c r="B6948" i="1"/>
  <c r="C6948" i="1"/>
  <c r="M6948" i="1"/>
  <c r="A6949" i="1"/>
  <c r="B6949" i="1"/>
  <c r="C6949" i="1"/>
  <c r="M6949" i="1"/>
  <c r="A6950" i="1"/>
  <c r="B6950" i="1"/>
  <c r="C6950" i="1"/>
  <c r="M6950" i="1"/>
  <c r="A6951" i="1"/>
  <c r="B6951" i="1"/>
  <c r="C6951" i="1"/>
  <c r="M6951" i="1"/>
  <c r="A6952" i="1"/>
  <c r="B6952" i="1"/>
  <c r="C6952" i="1"/>
  <c r="M6952" i="1"/>
  <c r="A6953" i="1"/>
  <c r="B6953" i="1"/>
  <c r="C6953" i="1"/>
  <c r="M6953" i="1"/>
  <c r="A6954" i="1"/>
  <c r="B6954" i="1"/>
  <c r="C6954" i="1"/>
  <c r="M6954" i="1"/>
  <c r="A6955" i="1"/>
  <c r="B6955" i="1"/>
  <c r="C6955" i="1"/>
  <c r="M6955" i="1"/>
  <c r="A6956" i="1"/>
  <c r="B6956" i="1"/>
  <c r="C6956" i="1"/>
  <c r="M6956" i="1"/>
  <c r="A6957" i="1"/>
  <c r="B6957" i="1"/>
  <c r="C6957" i="1"/>
  <c r="M6957" i="1"/>
  <c r="A6958" i="1"/>
  <c r="B6958" i="1"/>
  <c r="C6958" i="1"/>
  <c r="M6958" i="1"/>
  <c r="A6959" i="1"/>
  <c r="B6959" i="1"/>
  <c r="C6959" i="1"/>
  <c r="M6959" i="1"/>
  <c r="A6960" i="1"/>
  <c r="B6960" i="1"/>
  <c r="C6960" i="1"/>
  <c r="M6960" i="1"/>
  <c r="A6961" i="1"/>
  <c r="B6961" i="1"/>
  <c r="C6961" i="1"/>
  <c r="M6961" i="1"/>
  <c r="A6962" i="1"/>
  <c r="B6962" i="1"/>
  <c r="C6962" i="1"/>
  <c r="M6962" i="1"/>
  <c r="A6963" i="1"/>
  <c r="B6963" i="1"/>
  <c r="C6963" i="1"/>
  <c r="M6963" i="1"/>
  <c r="A6964" i="1"/>
  <c r="B6964" i="1"/>
  <c r="C6964" i="1"/>
  <c r="M6964" i="1"/>
  <c r="A6965" i="1"/>
  <c r="B6965" i="1"/>
  <c r="C6965" i="1"/>
  <c r="M6965" i="1"/>
  <c r="A6966" i="1"/>
  <c r="B6966" i="1"/>
  <c r="C6966" i="1"/>
  <c r="M6966" i="1"/>
  <c r="A6967" i="1"/>
  <c r="B6967" i="1"/>
  <c r="C6967" i="1"/>
  <c r="M6967" i="1"/>
  <c r="A6968" i="1"/>
  <c r="B6968" i="1"/>
  <c r="C6968" i="1"/>
  <c r="M6968" i="1"/>
  <c r="A6969" i="1"/>
  <c r="B6969" i="1"/>
  <c r="C6969" i="1"/>
  <c r="M6969" i="1"/>
  <c r="A6970" i="1"/>
  <c r="B6970" i="1"/>
  <c r="C6970" i="1"/>
  <c r="M6970" i="1"/>
  <c r="A6971" i="1"/>
  <c r="B6971" i="1"/>
  <c r="C6971" i="1"/>
  <c r="M6971" i="1"/>
  <c r="A6972" i="1"/>
  <c r="B6972" i="1"/>
  <c r="C6972" i="1"/>
  <c r="M6972" i="1"/>
  <c r="A6973" i="1"/>
  <c r="B6973" i="1"/>
  <c r="C6973" i="1"/>
  <c r="M6973" i="1"/>
  <c r="A6974" i="1"/>
  <c r="B6974" i="1"/>
  <c r="C6974" i="1"/>
  <c r="M6974" i="1"/>
  <c r="A6975" i="1"/>
  <c r="B6975" i="1"/>
  <c r="C6975" i="1"/>
  <c r="M6975" i="1"/>
  <c r="A6976" i="1"/>
  <c r="B6976" i="1"/>
  <c r="C6976" i="1"/>
  <c r="M6976" i="1"/>
  <c r="A6977" i="1"/>
  <c r="B6977" i="1"/>
  <c r="C6977" i="1"/>
  <c r="M6977" i="1"/>
  <c r="A6978" i="1"/>
  <c r="B6978" i="1"/>
  <c r="C6978" i="1"/>
  <c r="M6978" i="1"/>
  <c r="A6979" i="1"/>
  <c r="B6979" i="1"/>
  <c r="C6979" i="1"/>
  <c r="M6979" i="1"/>
  <c r="A6980" i="1"/>
  <c r="B6980" i="1"/>
  <c r="C6980" i="1"/>
  <c r="M6980" i="1"/>
  <c r="A6981" i="1"/>
  <c r="B6981" i="1"/>
  <c r="C6981" i="1"/>
  <c r="M6981" i="1"/>
  <c r="A6982" i="1"/>
  <c r="B6982" i="1"/>
  <c r="C6982" i="1"/>
  <c r="M6982" i="1"/>
  <c r="A6983" i="1"/>
  <c r="B6983" i="1"/>
  <c r="C6983" i="1"/>
  <c r="M6983" i="1"/>
  <c r="A6984" i="1"/>
  <c r="B6984" i="1"/>
  <c r="C6984" i="1"/>
  <c r="M6984" i="1"/>
  <c r="A6985" i="1"/>
  <c r="B6985" i="1"/>
  <c r="C6985" i="1"/>
  <c r="M6985" i="1"/>
  <c r="A6986" i="1"/>
  <c r="B6986" i="1"/>
  <c r="C6986" i="1"/>
  <c r="M6986" i="1"/>
  <c r="A6987" i="1"/>
  <c r="B6987" i="1"/>
  <c r="C6987" i="1"/>
  <c r="M6987" i="1"/>
  <c r="A6988" i="1"/>
  <c r="B6988" i="1"/>
  <c r="C6988" i="1"/>
  <c r="M6988" i="1"/>
  <c r="A6989" i="1"/>
  <c r="B6989" i="1"/>
  <c r="C6989" i="1"/>
  <c r="M6989" i="1"/>
  <c r="A6990" i="1"/>
  <c r="B6990" i="1"/>
  <c r="C6990" i="1"/>
  <c r="M6990" i="1"/>
  <c r="A6991" i="1"/>
  <c r="B6991" i="1"/>
  <c r="C6991" i="1"/>
  <c r="M6991" i="1"/>
  <c r="A6992" i="1"/>
  <c r="B6992" i="1"/>
  <c r="C6992" i="1"/>
  <c r="M6992" i="1"/>
  <c r="A6993" i="1"/>
  <c r="B6993" i="1"/>
  <c r="C6993" i="1"/>
  <c r="M6993" i="1"/>
  <c r="A6994" i="1"/>
  <c r="B6994" i="1"/>
  <c r="C6994" i="1"/>
  <c r="M6994" i="1"/>
  <c r="A6995" i="1"/>
  <c r="B6995" i="1"/>
  <c r="C6995" i="1"/>
  <c r="M6995" i="1"/>
  <c r="A6996" i="1"/>
  <c r="B6996" i="1"/>
  <c r="C6996" i="1"/>
  <c r="M6996" i="1"/>
  <c r="A6997" i="1"/>
  <c r="B6997" i="1"/>
  <c r="C6997" i="1"/>
  <c r="M6997" i="1"/>
  <c r="A6998" i="1"/>
  <c r="B6998" i="1"/>
  <c r="C6998" i="1"/>
  <c r="M6998" i="1"/>
  <c r="A6999" i="1"/>
  <c r="B6999" i="1"/>
  <c r="C6999" i="1"/>
  <c r="M6999" i="1"/>
  <c r="A7000" i="1"/>
  <c r="B7000" i="1"/>
  <c r="C7000" i="1"/>
  <c r="M7000" i="1"/>
  <c r="A7001" i="1"/>
  <c r="B7001" i="1"/>
  <c r="C7001" i="1"/>
  <c r="M7001" i="1"/>
  <c r="A7002" i="1"/>
  <c r="B7002" i="1"/>
  <c r="C7002" i="1"/>
  <c r="M7002" i="1"/>
  <c r="A7003" i="1"/>
  <c r="B7003" i="1"/>
  <c r="C7003" i="1"/>
  <c r="M7003" i="1"/>
  <c r="A7004" i="1"/>
  <c r="B7004" i="1"/>
  <c r="C7004" i="1"/>
  <c r="M7004" i="1"/>
  <c r="A7005" i="1"/>
  <c r="B7005" i="1"/>
  <c r="C7005" i="1"/>
  <c r="M7005" i="1"/>
  <c r="A7006" i="1"/>
  <c r="B7006" i="1"/>
  <c r="C7006" i="1"/>
  <c r="M7006" i="1"/>
  <c r="A7007" i="1"/>
  <c r="B7007" i="1"/>
  <c r="C7007" i="1"/>
  <c r="M7007" i="1"/>
  <c r="A7008" i="1"/>
  <c r="B7008" i="1"/>
  <c r="C7008" i="1"/>
  <c r="M7008" i="1"/>
  <c r="A7009" i="1"/>
  <c r="B7009" i="1"/>
  <c r="C7009" i="1"/>
  <c r="M7009" i="1"/>
  <c r="A7010" i="1"/>
  <c r="B7010" i="1"/>
  <c r="C7010" i="1"/>
  <c r="M7010" i="1"/>
  <c r="A7011" i="1"/>
  <c r="B7011" i="1"/>
  <c r="C7011" i="1"/>
  <c r="M7011" i="1"/>
  <c r="A7012" i="1"/>
  <c r="B7012" i="1"/>
  <c r="C7012" i="1"/>
  <c r="M7012" i="1"/>
  <c r="A7013" i="1"/>
  <c r="B7013" i="1"/>
  <c r="C7013" i="1"/>
  <c r="M7013" i="1"/>
  <c r="A7014" i="1"/>
  <c r="B7014" i="1"/>
  <c r="C7014" i="1"/>
  <c r="M7014" i="1"/>
  <c r="A7015" i="1"/>
  <c r="B7015" i="1"/>
  <c r="C7015" i="1"/>
  <c r="M7015" i="1"/>
  <c r="A7016" i="1"/>
  <c r="B7016" i="1"/>
  <c r="C7016" i="1"/>
  <c r="M7016" i="1"/>
  <c r="A7017" i="1"/>
  <c r="B7017" i="1"/>
  <c r="C7017" i="1"/>
  <c r="M7017" i="1"/>
  <c r="A7018" i="1"/>
  <c r="B7018" i="1"/>
  <c r="C7018" i="1"/>
  <c r="M7018" i="1"/>
  <c r="A7019" i="1"/>
  <c r="B7019" i="1"/>
  <c r="C7019" i="1"/>
  <c r="M7019" i="1"/>
  <c r="A7020" i="1"/>
  <c r="B7020" i="1"/>
  <c r="C7020" i="1"/>
  <c r="M7020" i="1"/>
  <c r="A7021" i="1"/>
  <c r="B7021" i="1"/>
  <c r="C7021" i="1"/>
  <c r="M7021" i="1"/>
  <c r="A7022" i="1"/>
  <c r="B7022" i="1"/>
  <c r="C7022" i="1"/>
  <c r="M7022" i="1"/>
  <c r="A7023" i="1"/>
  <c r="B7023" i="1"/>
  <c r="C7023" i="1"/>
  <c r="M7023" i="1"/>
  <c r="A7024" i="1"/>
  <c r="B7024" i="1"/>
  <c r="C7024" i="1"/>
  <c r="M7024" i="1"/>
  <c r="A7025" i="1"/>
  <c r="B7025" i="1"/>
  <c r="C7025" i="1"/>
  <c r="M7025" i="1"/>
  <c r="A7026" i="1"/>
  <c r="B7026" i="1"/>
  <c r="C7026" i="1"/>
  <c r="M7026" i="1"/>
  <c r="A7027" i="1"/>
  <c r="B7027" i="1"/>
  <c r="C7027" i="1"/>
  <c r="M7027" i="1"/>
  <c r="A7028" i="1"/>
  <c r="B7028" i="1"/>
  <c r="C7028" i="1"/>
  <c r="M7028" i="1"/>
  <c r="A7029" i="1"/>
  <c r="B7029" i="1"/>
  <c r="C7029" i="1"/>
  <c r="M7029" i="1"/>
  <c r="A7030" i="1"/>
  <c r="B7030" i="1"/>
  <c r="C7030" i="1"/>
  <c r="M7030" i="1"/>
  <c r="A7031" i="1"/>
  <c r="B7031" i="1"/>
  <c r="C7031" i="1"/>
  <c r="M7031" i="1"/>
  <c r="A7032" i="1"/>
  <c r="B7032" i="1"/>
  <c r="C7032" i="1"/>
  <c r="M7032" i="1"/>
  <c r="A7033" i="1"/>
  <c r="B7033" i="1"/>
  <c r="C7033" i="1"/>
  <c r="M7033" i="1"/>
  <c r="A7034" i="1"/>
  <c r="B7034" i="1"/>
  <c r="C7034" i="1"/>
  <c r="M7034" i="1"/>
  <c r="A7035" i="1"/>
  <c r="B7035" i="1"/>
  <c r="C7035" i="1"/>
  <c r="M7035" i="1"/>
  <c r="A7036" i="1"/>
  <c r="B7036" i="1"/>
  <c r="C7036" i="1"/>
  <c r="M7036" i="1"/>
  <c r="A7037" i="1"/>
  <c r="B7037" i="1"/>
  <c r="C7037" i="1"/>
  <c r="M7037" i="1"/>
  <c r="A7038" i="1"/>
  <c r="B7038" i="1"/>
  <c r="C7038" i="1"/>
  <c r="M7038" i="1"/>
  <c r="A7039" i="1"/>
  <c r="B7039" i="1"/>
  <c r="C7039" i="1"/>
  <c r="M7039" i="1"/>
  <c r="A7040" i="1"/>
  <c r="B7040" i="1"/>
  <c r="C7040" i="1"/>
  <c r="M7040" i="1"/>
  <c r="A7041" i="1"/>
  <c r="B7041" i="1"/>
  <c r="C7041" i="1"/>
  <c r="M7041" i="1"/>
  <c r="A7042" i="1"/>
  <c r="B7042" i="1"/>
  <c r="C7042" i="1"/>
  <c r="M7042" i="1"/>
  <c r="A7043" i="1"/>
  <c r="B7043" i="1"/>
  <c r="C7043" i="1"/>
  <c r="M7043" i="1"/>
  <c r="A7044" i="1"/>
  <c r="B7044" i="1"/>
  <c r="C7044" i="1"/>
  <c r="M7044" i="1"/>
  <c r="A7045" i="1"/>
  <c r="B7045" i="1"/>
  <c r="C7045" i="1"/>
  <c r="M7045" i="1"/>
  <c r="A7046" i="1"/>
  <c r="B7046" i="1"/>
  <c r="C7046" i="1"/>
  <c r="M7046" i="1"/>
  <c r="A7047" i="1"/>
  <c r="B7047" i="1"/>
  <c r="C7047" i="1"/>
  <c r="M7047" i="1"/>
  <c r="A7048" i="1"/>
  <c r="B7048" i="1"/>
  <c r="C7048" i="1"/>
  <c r="M7048" i="1"/>
  <c r="A7049" i="1"/>
  <c r="B7049" i="1"/>
  <c r="C7049" i="1"/>
  <c r="M7049" i="1"/>
  <c r="A7050" i="1"/>
  <c r="B7050" i="1"/>
  <c r="C7050" i="1"/>
  <c r="M7050" i="1"/>
  <c r="A7051" i="1"/>
  <c r="B7051" i="1"/>
  <c r="C7051" i="1"/>
  <c r="M7051" i="1"/>
  <c r="A7052" i="1"/>
  <c r="B7052" i="1"/>
  <c r="C7052" i="1"/>
  <c r="M7052" i="1"/>
  <c r="A7053" i="1"/>
  <c r="B7053" i="1"/>
  <c r="C7053" i="1"/>
  <c r="M7053" i="1"/>
  <c r="A7054" i="1"/>
  <c r="B7054" i="1"/>
  <c r="C7054" i="1"/>
  <c r="M7054" i="1"/>
  <c r="A7055" i="1"/>
  <c r="B7055" i="1"/>
  <c r="C7055" i="1"/>
  <c r="M7055" i="1"/>
  <c r="A7056" i="1"/>
  <c r="B7056" i="1"/>
  <c r="C7056" i="1"/>
  <c r="M7056" i="1"/>
  <c r="A7057" i="1"/>
  <c r="B7057" i="1"/>
  <c r="C7057" i="1"/>
  <c r="M7057" i="1"/>
  <c r="A7058" i="1"/>
  <c r="B7058" i="1"/>
  <c r="C7058" i="1"/>
  <c r="M7058" i="1"/>
  <c r="A7059" i="1"/>
  <c r="B7059" i="1"/>
  <c r="C7059" i="1"/>
  <c r="M7059" i="1"/>
  <c r="A7060" i="1"/>
  <c r="B7060" i="1"/>
  <c r="C7060" i="1"/>
  <c r="M7060" i="1"/>
  <c r="A7061" i="1"/>
  <c r="B7061" i="1"/>
  <c r="C7061" i="1"/>
  <c r="M7061" i="1"/>
  <c r="A7062" i="1"/>
  <c r="B7062" i="1"/>
  <c r="C7062" i="1"/>
  <c r="M7062" i="1"/>
  <c r="A7063" i="1"/>
  <c r="B7063" i="1"/>
  <c r="C7063" i="1"/>
  <c r="M7063" i="1"/>
  <c r="A7064" i="1"/>
  <c r="B7064" i="1"/>
  <c r="C7064" i="1"/>
  <c r="M7064" i="1"/>
  <c r="A7065" i="1"/>
  <c r="B7065" i="1"/>
  <c r="C7065" i="1"/>
  <c r="M7065" i="1"/>
  <c r="A7066" i="1"/>
  <c r="B7066" i="1"/>
  <c r="C7066" i="1"/>
  <c r="M7066" i="1"/>
  <c r="A7067" i="1"/>
  <c r="B7067" i="1"/>
  <c r="C7067" i="1"/>
  <c r="M7067" i="1"/>
  <c r="A7068" i="1"/>
  <c r="B7068" i="1"/>
  <c r="C7068" i="1"/>
  <c r="M7068" i="1"/>
  <c r="A7069" i="1"/>
  <c r="B7069" i="1"/>
  <c r="C7069" i="1"/>
  <c r="M7069" i="1"/>
  <c r="A7070" i="1"/>
  <c r="B7070" i="1"/>
  <c r="C7070" i="1"/>
  <c r="M7070" i="1"/>
  <c r="A7071" i="1"/>
  <c r="B7071" i="1"/>
  <c r="C7071" i="1"/>
  <c r="M7071" i="1"/>
  <c r="A7072" i="1"/>
  <c r="B7072" i="1"/>
  <c r="C7072" i="1"/>
  <c r="M7072" i="1"/>
  <c r="A7073" i="1"/>
  <c r="B7073" i="1"/>
  <c r="C7073" i="1"/>
  <c r="M7073" i="1"/>
  <c r="A7074" i="1"/>
  <c r="B7074" i="1"/>
  <c r="C7074" i="1"/>
  <c r="M7074" i="1"/>
  <c r="A7075" i="1"/>
  <c r="B7075" i="1"/>
  <c r="C7075" i="1"/>
  <c r="M7075" i="1"/>
  <c r="A7076" i="1"/>
  <c r="B7076" i="1"/>
  <c r="C7076" i="1"/>
  <c r="M7076" i="1"/>
  <c r="A7077" i="1"/>
  <c r="B7077" i="1"/>
  <c r="C7077" i="1"/>
  <c r="M7077" i="1"/>
  <c r="A7078" i="1"/>
  <c r="B7078" i="1"/>
  <c r="C7078" i="1"/>
  <c r="M7078" i="1"/>
  <c r="A7079" i="1"/>
  <c r="B7079" i="1"/>
  <c r="C7079" i="1"/>
  <c r="M7079" i="1"/>
  <c r="A7080" i="1"/>
  <c r="B7080" i="1"/>
  <c r="C7080" i="1"/>
  <c r="M7080" i="1"/>
  <c r="A7081" i="1"/>
  <c r="B7081" i="1"/>
  <c r="C7081" i="1"/>
  <c r="M7081" i="1"/>
  <c r="A7082" i="1"/>
  <c r="B7082" i="1"/>
  <c r="C7082" i="1"/>
  <c r="M7082" i="1"/>
  <c r="A7083" i="1"/>
  <c r="B7083" i="1"/>
  <c r="C7083" i="1"/>
  <c r="M7083" i="1"/>
  <c r="A7084" i="1"/>
  <c r="B7084" i="1"/>
  <c r="C7084" i="1"/>
  <c r="M7084" i="1"/>
  <c r="A7085" i="1"/>
  <c r="B7085" i="1"/>
  <c r="C7085" i="1"/>
  <c r="M7085" i="1"/>
  <c r="A7086" i="1"/>
  <c r="B7086" i="1"/>
  <c r="C7086" i="1"/>
  <c r="M7086" i="1"/>
  <c r="A7087" i="1"/>
  <c r="B7087" i="1"/>
  <c r="C7087" i="1"/>
  <c r="M7087" i="1"/>
  <c r="A7088" i="1"/>
  <c r="B7088" i="1"/>
  <c r="C7088" i="1"/>
  <c r="M7088" i="1"/>
  <c r="A7089" i="1"/>
  <c r="B7089" i="1"/>
  <c r="C7089" i="1"/>
  <c r="M7089" i="1"/>
  <c r="A7090" i="1"/>
  <c r="B7090" i="1"/>
  <c r="C7090" i="1"/>
  <c r="M7090" i="1"/>
  <c r="A7091" i="1"/>
  <c r="B7091" i="1"/>
  <c r="C7091" i="1"/>
  <c r="M7091" i="1"/>
  <c r="A7092" i="1"/>
  <c r="B7092" i="1"/>
  <c r="C7092" i="1"/>
  <c r="M7092" i="1"/>
  <c r="A7093" i="1"/>
  <c r="B7093" i="1"/>
  <c r="C7093" i="1"/>
  <c r="M7093" i="1"/>
  <c r="A7094" i="1"/>
  <c r="B7094" i="1"/>
  <c r="C7094" i="1"/>
  <c r="M7094" i="1"/>
  <c r="A7095" i="1"/>
  <c r="B7095" i="1"/>
  <c r="C7095" i="1"/>
  <c r="M7095" i="1"/>
  <c r="A7096" i="1"/>
  <c r="B7096" i="1"/>
  <c r="C7096" i="1"/>
  <c r="M7096" i="1"/>
  <c r="A7097" i="1"/>
  <c r="B7097" i="1"/>
  <c r="C7097" i="1"/>
  <c r="M7097" i="1"/>
  <c r="A7098" i="1"/>
  <c r="B7098" i="1"/>
  <c r="C7098" i="1"/>
  <c r="M7098" i="1"/>
  <c r="A7099" i="1"/>
  <c r="B7099" i="1"/>
  <c r="C7099" i="1"/>
  <c r="M7099" i="1"/>
  <c r="A7100" i="1"/>
  <c r="B7100" i="1"/>
  <c r="C7100" i="1"/>
  <c r="M7100" i="1"/>
  <c r="A7101" i="1"/>
  <c r="B7101" i="1"/>
  <c r="C7101" i="1"/>
  <c r="M7101" i="1"/>
  <c r="A7102" i="1"/>
  <c r="B7102" i="1"/>
  <c r="C7102" i="1"/>
  <c r="M7102" i="1"/>
  <c r="A7103" i="1"/>
  <c r="B7103" i="1"/>
  <c r="C7103" i="1"/>
  <c r="M7103" i="1"/>
  <c r="A7104" i="1"/>
  <c r="B7104" i="1"/>
  <c r="C7104" i="1"/>
  <c r="M7104" i="1"/>
  <c r="A7105" i="1"/>
  <c r="B7105" i="1"/>
  <c r="C7105" i="1"/>
  <c r="M7105" i="1"/>
  <c r="A7106" i="1"/>
  <c r="B7106" i="1"/>
  <c r="C7106" i="1"/>
  <c r="M7106" i="1"/>
  <c r="A7107" i="1"/>
  <c r="B7107" i="1"/>
  <c r="C7107" i="1"/>
  <c r="M7107" i="1"/>
  <c r="A7108" i="1"/>
  <c r="B7108" i="1"/>
  <c r="C7108" i="1"/>
  <c r="M7108" i="1"/>
  <c r="A7109" i="1"/>
  <c r="B7109" i="1"/>
  <c r="C7109" i="1"/>
  <c r="M7109" i="1"/>
  <c r="A7110" i="1"/>
  <c r="B7110" i="1"/>
  <c r="C7110" i="1"/>
  <c r="M7110" i="1"/>
  <c r="A7111" i="1"/>
  <c r="B7111" i="1"/>
  <c r="C7111" i="1"/>
  <c r="M7111" i="1"/>
  <c r="A7112" i="1"/>
  <c r="B7112" i="1"/>
  <c r="C7112" i="1"/>
  <c r="M7112" i="1"/>
  <c r="A7113" i="1"/>
  <c r="B7113" i="1"/>
  <c r="C7113" i="1"/>
  <c r="M7113" i="1"/>
  <c r="A7114" i="1"/>
  <c r="B7114" i="1"/>
  <c r="C7114" i="1"/>
  <c r="M7114" i="1"/>
  <c r="A7115" i="1"/>
  <c r="B7115" i="1"/>
  <c r="C7115" i="1"/>
  <c r="M7115" i="1"/>
  <c r="A7116" i="1"/>
  <c r="B7116" i="1"/>
  <c r="C7116" i="1"/>
  <c r="M7116" i="1"/>
  <c r="A7117" i="1"/>
  <c r="B7117" i="1"/>
  <c r="C7117" i="1"/>
  <c r="M7117" i="1"/>
  <c r="A7118" i="1"/>
  <c r="B7118" i="1"/>
  <c r="C7118" i="1"/>
  <c r="M7118" i="1"/>
  <c r="A7119" i="1"/>
  <c r="B7119" i="1"/>
  <c r="C7119" i="1"/>
  <c r="M7119" i="1"/>
  <c r="A7120" i="1"/>
  <c r="B7120" i="1"/>
  <c r="C7120" i="1"/>
  <c r="M7120" i="1"/>
  <c r="A7121" i="1"/>
  <c r="B7121" i="1"/>
  <c r="C7121" i="1"/>
  <c r="M7121" i="1"/>
  <c r="A7122" i="1"/>
  <c r="B7122" i="1"/>
  <c r="C7122" i="1"/>
  <c r="M7122" i="1"/>
  <c r="A7123" i="1"/>
  <c r="B7123" i="1"/>
  <c r="C7123" i="1"/>
  <c r="M7123" i="1"/>
  <c r="A7124" i="1"/>
  <c r="B7124" i="1"/>
  <c r="C7124" i="1"/>
  <c r="M7124" i="1"/>
  <c r="A7125" i="1"/>
  <c r="B7125" i="1"/>
  <c r="C7125" i="1"/>
  <c r="M7125" i="1"/>
  <c r="A7126" i="1"/>
  <c r="B7126" i="1"/>
  <c r="C7126" i="1"/>
  <c r="M7126" i="1"/>
  <c r="A7127" i="1"/>
  <c r="B7127" i="1"/>
  <c r="C7127" i="1"/>
  <c r="M7127" i="1"/>
  <c r="A7128" i="1"/>
  <c r="B7128" i="1"/>
  <c r="C7128" i="1"/>
  <c r="M7128" i="1"/>
  <c r="A7129" i="1"/>
  <c r="B7129" i="1"/>
  <c r="C7129" i="1"/>
  <c r="M7129" i="1"/>
  <c r="A7130" i="1"/>
  <c r="B7130" i="1"/>
  <c r="C7130" i="1"/>
  <c r="M7130" i="1"/>
  <c r="A7131" i="1"/>
  <c r="B7131" i="1"/>
  <c r="C7131" i="1"/>
  <c r="M7131" i="1"/>
  <c r="A7132" i="1"/>
  <c r="B7132" i="1"/>
  <c r="C7132" i="1"/>
  <c r="M7132" i="1"/>
  <c r="A7133" i="1"/>
  <c r="B7133" i="1"/>
  <c r="C7133" i="1"/>
  <c r="M7133" i="1"/>
  <c r="A7134" i="1"/>
  <c r="B7134" i="1"/>
  <c r="C7134" i="1"/>
  <c r="M7134" i="1"/>
  <c r="A7135" i="1"/>
  <c r="B7135" i="1"/>
  <c r="C7135" i="1"/>
  <c r="M7135" i="1"/>
  <c r="A7136" i="1"/>
  <c r="B7136" i="1"/>
  <c r="C7136" i="1"/>
  <c r="M7136" i="1"/>
  <c r="A7137" i="1"/>
  <c r="B7137" i="1"/>
  <c r="C7137" i="1"/>
  <c r="M7137" i="1"/>
  <c r="A7138" i="1"/>
  <c r="B7138" i="1"/>
  <c r="C7138" i="1"/>
  <c r="M7138" i="1"/>
  <c r="A7139" i="1"/>
  <c r="B7139" i="1"/>
  <c r="C7139" i="1"/>
  <c r="M7139" i="1"/>
  <c r="A7140" i="1"/>
  <c r="B7140" i="1"/>
  <c r="C7140" i="1"/>
  <c r="M7140" i="1"/>
  <c r="A7141" i="1"/>
  <c r="B7141" i="1"/>
  <c r="C7141" i="1"/>
  <c r="M7141" i="1"/>
  <c r="A7142" i="1"/>
  <c r="B7142" i="1"/>
  <c r="C7142" i="1"/>
  <c r="M7142" i="1"/>
  <c r="A7143" i="1"/>
  <c r="B7143" i="1"/>
  <c r="C7143" i="1"/>
  <c r="M7143" i="1"/>
  <c r="A7144" i="1"/>
  <c r="B7144" i="1"/>
  <c r="C7144" i="1"/>
  <c r="M7144" i="1"/>
  <c r="A7145" i="1"/>
  <c r="B7145" i="1"/>
  <c r="C7145" i="1"/>
  <c r="M7145" i="1"/>
  <c r="A7146" i="1"/>
  <c r="B7146" i="1"/>
  <c r="C7146" i="1"/>
  <c r="M7146" i="1"/>
  <c r="A7147" i="1"/>
  <c r="B7147" i="1"/>
  <c r="C7147" i="1"/>
  <c r="M7147" i="1"/>
  <c r="A7148" i="1"/>
  <c r="B7148" i="1"/>
  <c r="C7148" i="1"/>
  <c r="M7148" i="1"/>
  <c r="A7149" i="1"/>
  <c r="B7149" i="1"/>
  <c r="C7149" i="1"/>
  <c r="M7149" i="1"/>
  <c r="A7150" i="1"/>
  <c r="B7150" i="1"/>
  <c r="C7150" i="1"/>
  <c r="M7150" i="1"/>
  <c r="A7151" i="1"/>
  <c r="B7151" i="1"/>
  <c r="C7151" i="1"/>
  <c r="M7151" i="1"/>
  <c r="A7152" i="1"/>
  <c r="B7152" i="1"/>
  <c r="C7152" i="1"/>
  <c r="M7152" i="1"/>
  <c r="A7153" i="1"/>
  <c r="B7153" i="1"/>
  <c r="C7153" i="1"/>
  <c r="M7153" i="1"/>
  <c r="A7154" i="1"/>
  <c r="B7154" i="1"/>
  <c r="C7154" i="1"/>
  <c r="M7154" i="1"/>
  <c r="A7155" i="1"/>
  <c r="B7155" i="1"/>
  <c r="C7155" i="1"/>
  <c r="M7155" i="1"/>
  <c r="A7156" i="1"/>
  <c r="B7156" i="1"/>
  <c r="C7156" i="1"/>
  <c r="M7156" i="1"/>
  <c r="A7157" i="1"/>
  <c r="B7157" i="1"/>
  <c r="C7157" i="1"/>
  <c r="M7157" i="1"/>
  <c r="A7158" i="1"/>
  <c r="B7158" i="1"/>
  <c r="C7158" i="1"/>
  <c r="M7158" i="1"/>
  <c r="A7159" i="1"/>
  <c r="B7159" i="1"/>
  <c r="C7159" i="1"/>
  <c r="M7159" i="1"/>
  <c r="A7160" i="1"/>
  <c r="B7160" i="1"/>
  <c r="C7160" i="1"/>
  <c r="M7160" i="1"/>
  <c r="A7161" i="1"/>
  <c r="B7161" i="1"/>
  <c r="C7161" i="1"/>
  <c r="M7161" i="1"/>
  <c r="A7162" i="1"/>
  <c r="B7162" i="1"/>
  <c r="C7162" i="1"/>
  <c r="M7162" i="1"/>
  <c r="A7163" i="1"/>
  <c r="B7163" i="1"/>
  <c r="C7163" i="1"/>
  <c r="M7163" i="1"/>
  <c r="A7164" i="1"/>
  <c r="B7164" i="1"/>
  <c r="C7164" i="1"/>
  <c r="M7164" i="1"/>
  <c r="A7165" i="1"/>
  <c r="B7165" i="1"/>
  <c r="C7165" i="1"/>
  <c r="M7165" i="1"/>
  <c r="A7166" i="1"/>
  <c r="B7166" i="1"/>
  <c r="C7166" i="1"/>
  <c r="M7166" i="1"/>
  <c r="A7167" i="1"/>
  <c r="B7167" i="1"/>
  <c r="C7167" i="1"/>
  <c r="M7167" i="1"/>
  <c r="A7168" i="1"/>
  <c r="B7168" i="1"/>
  <c r="C7168" i="1"/>
  <c r="M7168" i="1"/>
  <c r="A7169" i="1"/>
  <c r="B7169" i="1"/>
  <c r="C7169" i="1"/>
  <c r="M7169" i="1"/>
  <c r="A7170" i="1"/>
  <c r="B7170" i="1"/>
  <c r="C7170" i="1"/>
  <c r="M7170" i="1"/>
  <c r="A7171" i="1"/>
  <c r="B7171" i="1"/>
  <c r="C7171" i="1"/>
  <c r="M7171" i="1"/>
  <c r="A7172" i="1"/>
  <c r="B7172" i="1"/>
  <c r="C7172" i="1"/>
  <c r="M7172" i="1"/>
  <c r="A7173" i="1"/>
  <c r="B7173" i="1"/>
  <c r="C7173" i="1"/>
  <c r="M7173" i="1"/>
  <c r="A7174" i="1"/>
  <c r="B7174" i="1"/>
  <c r="C7174" i="1"/>
  <c r="M7174" i="1"/>
  <c r="A7175" i="1"/>
  <c r="B7175" i="1"/>
  <c r="C7175" i="1"/>
  <c r="M7175" i="1"/>
  <c r="A7176" i="1"/>
  <c r="B7176" i="1"/>
  <c r="C7176" i="1"/>
  <c r="M7176" i="1"/>
  <c r="A7177" i="1"/>
  <c r="B7177" i="1"/>
  <c r="C7177" i="1"/>
  <c r="M7177" i="1"/>
  <c r="A7178" i="1"/>
  <c r="B7178" i="1"/>
  <c r="C7178" i="1"/>
  <c r="M7178" i="1"/>
  <c r="A7179" i="1"/>
  <c r="B7179" i="1"/>
  <c r="C7179" i="1"/>
  <c r="M7179" i="1"/>
  <c r="A7180" i="1"/>
  <c r="B7180" i="1"/>
  <c r="C7180" i="1"/>
  <c r="M7180" i="1"/>
  <c r="A7181" i="1"/>
  <c r="B7181" i="1"/>
  <c r="C7181" i="1"/>
  <c r="M7181" i="1"/>
  <c r="A7182" i="1"/>
  <c r="B7182" i="1"/>
  <c r="C7182" i="1"/>
  <c r="M7182" i="1"/>
  <c r="A7183" i="1"/>
  <c r="B7183" i="1"/>
  <c r="C7183" i="1"/>
  <c r="M7183" i="1"/>
  <c r="A7184" i="1"/>
  <c r="B7184" i="1"/>
  <c r="C7184" i="1"/>
  <c r="M7184" i="1"/>
  <c r="A7185" i="1"/>
  <c r="B7185" i="1"/>
  <c r="C7185" i="1"/>
  <c r="M7185" i="1"/>
  <c r="A7186" i="1"/>
  <c r="B7186" i="1"/>
  <c r="C7186" i="1"/>
  <c r="M7186" i="1"/>
  <c r="A7187" i="1"/>
  <c r="B7187" i="1"/>
  <c r="C7187" i="1"/>
  <c r="M7187" i="1"/>
  <c r="A7188" i="1"/>
  <c r="B7188" i="1"/>
  <c r="C7188" i="1"/>
  <c r="M7188" i="1"/>
  <c r="A7189" i="1"/>
  <c r="B7189" i="1"/>
  <c r="C7189" i="1"/>
  <c r="M7189" i="1"/>
  <c r="A7190" i="1"/>
  <c r="B7190" i="1"/>
  <c r="C7190" i="1"/>
  <c r="M7190" i="1"/>
  <c r="A7191" i="1"/>
  <c r="B7191" i="1"/>
  <c r="C7191" i="1"/>
  <c r="M7191" i="1"/>
  <c r="A7192" i="1"/>
  <c r="B7192" i="1"/>
  <c r="C7192" i="1"/>
  <c r="M7192" i="1"/>
  <c r="A7193" i="1"/>
  <c r="B7193" i="1"/>
  <c r="C7193" i="1"/>
  <c r="M7193" i="1"/>
  <c r="A7194" i="1"/>
  <c r="B7194" i="1"/>
  <c r="C7194" i="1"/>
  <c r="M7194" i="1"/>
  <c r="A7195" i="1"/>
  <c r="B7195" i="1"/>
  <c r="C7195" i="1"/>
  <c r="M7195" i="1"/>
  <c r="A7196" i="1"/>
  <c r="B7196" i="1"/>
  <c r="C7196" i="1"/>
  <c r="M7196" i="1"/>
  <c r="A7197" i="1"/>
  <c r="B7197" i="1"/>
  <c r="C7197" i="1"/>
  <c r="M7197" i="1"/>
  <c r="A7198" i="1"/>
  <c r="B7198" i="1"/>
  <c r="C7198" i="1"/>
  <c r="M7198" i="1"/>
  <c r="A7199" i="1"/>
  <c r="B7199" i="1"/>
  <c r="C7199" i="1"/>
  <c r="M7199" i="1"/>
  <c r="A7200" i="1"/>
  <c r="B7200" i="1"/>
  <c r="C7200" i="1"/>
  <c r="M7200" i="1"/>
  <c r="A7201" i="1"/>
  <c r="B7201" i="1"/>
  <c r="C7201" i="1"/>
  <c r="M7201" i="1"/>
  <c r="A7202" i="1"/>
  <c r="B7202" i="1"/>
  <c r="C7202" i="1"/>
  <c r="M7202" i="1"/>
  <c r="A7203" i="1"/>
  <c r="B7203" i="1"/>
  <c r="C7203" i="1"/>
  <c r="M7203" i="1"/>
  <c r="A7204" i="1"/>
  <c r="B7204" i="1"/>
  <c r="C7204" i="1"/>
  <c r="M7204" i="1"/>
  <c r="A7205" i="1"/>
  <c r="B7205" i="1"/>
  <c r="C7205" i="1"/>
  <c r="M7205" i="1"/>
  <c r="A7206" i="1"/>
  <c r="B7206" i="1"/>
  <c r="C7206" i="1"/>
  <c r="M7206" i="1"/>
  <c r="A7207" i="1"/>
  <c r="B7207" i="1"/>
  <c r="C7207" i="1"/>
  <c r="M7207" i="1"/>
  <c r="A7208" i="1"/>
  <c r="B7208" i="1"/>
  <c r="C7208" i="1"/>
  <c r="M7208" i="1"/>
  <c r="A7209" i="1"/>
  <c r="B7209" i="1"/>
  <c r="C7209" i="1"/>
  <c r="M7209" i="1"/>
  <c r="A7210" i="1"/>
  <c r="B7210" i="1"/>
  <c r="C7210" i="1"/>
  <c r="M7210" i="1"/>
  <c r="A7211" i="1"/>
  <c r="B7211" i="1"/>
  <c r="C7211" i="1"/>
  <c r="M7211" i="1"/>
  <c r="A7212" i="1"/>
  <c r="B7212" i="1"/>
  <c r="C7212" i="1"/>
  <c r="M7212" i="1"/>
  <c r="A7213" i="1"/>
  <c r="B7213" i="1"/>
  <c r="C7213" i="1"/>
  <c r="M7213" i="1"/>
  <c r="A7214" i="1"/>
  <c r="B7214" i="1"/>
  <c r="C7214" i="1"/>
  <c r="M7214" i="1"/>
  <c r="A7215" i="1"/>
  <c r="B7215" i="1"/>
  <c r="C7215" i="1"/>
  <c r="M7215" i="1"/>
  <c r="A7216" i="1"/>
  <c r="B7216" i="1"/>
  <c r="C7216" i="1"/>
  <c r="M7216" i="1"/>
  <c r="A7217" i="1"/>
  <c r="B7217" i="1"/>
  <c r="C7217" i="1"/>
  <c r="M7217" i="1"/>
  <c r="A7218" i="1"/>
  <c r="B7218" i="1"/>
  <c r="C7218" i="1"/>
  <c r="M7218" i="1"/>
  <c r="A7219" i="1"/>
  <c r="B7219" i="1"/>
  <c r="C7219" i="1"/>
  <c r="M7219" i="1"/>
  <c r="A7220" i="1"/>
  <c r="B7220" i="1"/>
  <c r="C7220" i="1"/>
  <c r="M7220" i="1"/>
  <c r="A7221" i="1"/>
  <c r="B7221" i="1"/>
  <c r="C7221" i="1"/>
  <c r="M7221" i="1"/>
  <c r="A7222" i="1"/>
  <c r="B7222" i="1"/>
  <c r="C7222" i="1"/>
  <c r="M7222" i="1"/>
  <c r="A7223" i="1"/>
  <c r="B7223" i="1"/>
  <c r="C7223" i="1"/>
  <c r="M7223" i="1"/>
  <c r="A7224" i="1"/>
  <c r="B7224" i="1"/>
  <c r="C7224" i="1"/>
  <c r="M7224" i="1"/>
  <c r="A7225" i="1"/>
  <c r="B7225" i="1"/>
  <c r="C7225" i="1"/>
  <c r="M7225" i="1"/>
  <c r="A7226" i="1"/>
  <c r="B7226" i="1"/>
  <c r="C7226" i="1"/>
  <c r="M7226" i="1"/>
  <c r="A7227" i="1"/>
  <c r="B7227" i="1"/>
  <c r="C7227" i="1"/>
  <c r="M7227" i="1"/>
  <c r="A7228" i="1"/>
  <c r="B7228" i="1"/>
  <c r="C7228" i="1"/>
  <c r="M7228" i="1"/>
  <c r="A7229" i="1"/>
  <c r="B7229" i="1"/>
  <c r="C7229" i="1"/>
  <c r="M7229" i="1"/>
  <c r="A7230" i="1"/>
  <c r="B7230" i="1"/>
  <c r="C7230" i="1"/>
  <c r="M7230" i="1"/>
  <c r="A7231" i="1"/>
  <c r="B7231" i="1"/>
  <c r="C7231" i="1"/>
  <c r="M7231" i="1"/>
  <c r="A7232" i="1"/>
  <c r="B7232" i="1"/>
  <c r="C7232" i="1"/>
  <c r="M7232" i="1"/>
  <c r="A7233" i="1"/>
  <c r="B7233" i="1"/>
  <c r="C7233" i="1"/>
  <c r="M7233" i="1"/>
  <c r="A7234" i="1"/>
  <c r="B7234" i="1"/>
  <c r="C7234" i="1"/>
  <c r="M7234" i="1"/>
  <c r="A7235" i="1"/>
  <c r="B7235" i="1"/>
  <c r="C7235" i="1"/>
  <c r="M7235" i="1"/>
  <c r="A7236" i="1"/>
  <c r="B7236" i="1"/>
  <c r="C7236" i="1"/>
  <c r="M7236" i="1"/>
  <c r="A7237" i="1"/>
  <c r="B7237" i="1"/>
  <c r="C7237" i="1"/>
  <c r="M7237" i="1"/>
  <c r="A7238" i="1"/>
  <c r="B7238" i="1"/>
  <c r="C7238" i="1"/>
  <c r="M7238" i="1"/>
  <c r="A7239" i="1"/>
  <c r="B7239" i="1"/>
  <c r="C7239" i="1"/>
  <c r="M7239" i="1"/>
  <c r="A7240" i="1"/>
  <c r="B7240" i="1"/>
  <c r="C7240" i="1"/>
  <c r="M7240" i="1"/>
  <c r="A7241" i="1"/>
  <c r="B7241" i="1"/>
  <c r="C7241" i="1"/>
  <c r="M7241" i="1"/>
  <c r="A7242" i="1"/>
  <c r="B7242" i="1"/>
  <c r="C7242" i="1"/>
  <c r="M7242" i="1"/>
  <c r="A7243" i="1"/>
  <c r="B7243" i="1"/>
  <c r="C7243" i="1"/>
  <c r="M7243" i="1"/>
  <c r="A7244" i="1"/>
  <c r="B7244" i="1"/>
  <c r="C7244" i="1"/>
  <c r="M7244" i="1"/>
  <c r="A7245" i="1"/>
  <c r="B7245" i="1"/>
  <c r="C7245" i="1"/>
  <c r="M7245" i="1"/>
  <c r="A7246" i="1"/>
  <c r="B7246" i="1"/>
  <c r="C7246" i="1"/>
  <c r="M7246" i="1"/>
  <c r="A7247" i="1"/>
  <c r="B7247" i="1"/>
  <c r="C7247" i="1"/>
  <c r="M7247" i="1"/>
  <c r="A7248" i="1"/>
  <c r="B7248" i="1"/>
  <c r="C7248" i="1"/>
  <c r="M7248" i="1"/>
  <c r="A7249" i="1"/>
  <c r="B7249" i="1"/>
  <c r="C7249" i="1"/>
  <c r="M7249" i="1"/>
  <c r="A7250" i="1"/>
  <c r="B7250" i="1"/>
  <c r="C7250" i="1"/>
  <c r="M7250" i="1"/>
  <c r="A7251" i="1"/>
  <c r="B7251" i="1"/>
  <c r="C7251" i="1"/>
  <c r="M7251" i="1"/>
  <c r="A7252" i="1"/>
  <c r="B7252" i="1"/>
  <c r="C7252" i="1"/>
  <c r="M7252" i="1"/>
  <c r="A7253" i="1"/>
  <c r="B7253" i="1"/>
  <c r="C7253" i="1"/>
  <c r="M7253" i="1"/>
  <c r="A7254" i="1"/>
  <c r="B7254" i="1"/>
  <c r="C7254" i="1"/>
  <c r="M7254" i="1"/>
  <c r="A7255" i="1"/>
  <c r="B7255" i="1"/>
  <c r="C7255" i="1"/>
  <c r="M7255" i="1"/>
  <c r="A7256" i="1"/>
  <c r="B7256" i="1"/>
  <c r="C7256" i="1"/>
  <c r="M7256" i="1"/>
  <c r="A7257" i="1"/>
  <c r="B7257" i="1"/>
  <c r="C7257" i="1"/>
  <c r="M7257" i="1"/>
  <c r="A7258" i="1"/>
  <c r="B7258" i="1"/>
  <c r="C7258" i="1"/>
  <c r="M7258" i="1"/>
  <c r="A7259" i="1"/>
  <c r="B7259" i="1"/>
  <c r="C7259" i="1"/>
  <c r="M7259" i="1"/>
  <c r="A7260" i="1"/>
  <c r="B7260" i="1"/>
  <c r="C7260" i="1"/>
  <c r="M7260" i="1"/>
  <c r="A7261" i="1"/>
  <c r="B7261" i="1"/>
  <c r="C7261" i="1"/>
  <c r="M7261" i="1"/>
  <c r="A7262" i="1"/>
  <c r="B7262" i="1"/>
  <c r="C7262" i="1"/>
  <c r="M7262" i="1"/>
  <c r="A7263" i="1"/>
  <c r="B7263" i="1"/>
  <c r="C7263" i="1"/>
  <c r="M7263" i="1"/>
  <c r="A7264" i="1"/>
  <c r="B7264" i="1"/>
  <c r="C7264" i="1"/>
  <c r="M7264" i="1"/>
  <c r="A7265" i="1"/>
  <c r="B7265" i="1"/>
  <c r="C7265" i="1"/>
  <c r="M7265" i="1"/>
  <c r="A7266" i="1"/>
  <c r="B7266" i="1"/>
  <c r="C7266" i="1"/>
  <c r="M7266" i="1"/>
  <c r="A7267" i="1"/>
  <c r="B7267" i="1"/>
  <c r="C7267" i="1"/>
  <c r="M7267" i="1"/>
  <c r="A7268" i="1"/>
  <c r="B7268" i="1"/>
  <c r="C7268" i="1"/>
  <c r="M7268" i="1"/>
  <c r="A7269" i="1"/>
  <c r="B7269" i="1"/>
  <c r="C7269" i="1"/>
  <c r="M7269" i="1"/>
  <c r="A7270" i="1"/>
  <c r="B7270" i="1"/>
  <c r="C7270" i="1"/>
  <c r="M7270" i="1"/>
  <c r="A7271" i="1"/>
  <c r="B7271" i="1"/>
  <c r="C7271" i="1"/>
  <c r="M7271" i="1"/>
  <c r="A7272" i="1"/>
  <c r="B7272" i="1"/>
  <c r="C7272" i="1"/>
  <c r="M7272" i="1"/>
  <c r="A7273" i="1"/>
  <c r="B7273" i="1"/>
  <c r="C7273" i="1"/>
  <c r="M7273" i="1"/>
  <c r="A7274" i="1"/>
  <c r="B7274" i="1"/>
  <c r="C7274" i="1"/>
  <c r="M7274" i="1"/>
  <c r="A7275" i="1"/>
  <c r="B7275" i="1"/>
  <c r="C7275" i="1"/>
  <c r="M7275" i="1"/>
  <c r="A7276" i="1"/>
  <c r="B7276" i="1"/>
  <c r="C7276" i="1"/>
  <c r="M7276" i="1"/>
  <c r="A7277" i="1"/>
  <c r="B7277" i="1"/>
  <c r="C7277" i="1"/>
  <c r="M7277" i="1"/>
  <c r="A7278" i="1"/>
  <c r="B7278" i="1"/>
  <c r="C7278" i="1"/>
  <c r="M7278" i="1"/>
  <c r="A7279" i="1"/>
  <c r="B7279" i="1"/>
  <c r="C7279" i="1"/>
  <c r="M7279" i="1"/>
  <c r="A7280" i="1"/>
  <c r="B7280" i="1"/>
  <c r="C7280" i="1"/>
  <c r="M7280" i="1"/>
  <c r="A7281" i="1"/>
  <c r="B7281" i="1"/>
  <c r="C7281" i="1"/>
  <c r="M7281" i="1"/>
  <c r="A7282" i="1"/>
  <c r="B7282" i="1"/>
  <c r="C7282" i="1"/>
  <c r="M7282" i="1"/>
  <c r="A7283" i="1"/>
  <c r="B7283" i="1"/>
  <c r="C7283" i="1"/>
  <c r="M7283" i="1"/>
  <c r="A7284" i="1"/>
  <c r="B7284" i="1"/>
  <c r="C7284" i="1"/>
  <c r="M7284" i="1"/>
  <c r="A7285" i="1"/>
  <c r="B7285" i="1"/>
  <c r="C7285" i="1"/>
  <c r="M7285" i="1"/>
  <c r="A7286" i="1"/>
  <c r="B7286" i="1"/>
  <c r="C7286" i="1"/>
  <c r="M7286" i="1"/>
  <c r="A7287" i="1"/>
  <c r="B7287" i="1"/>
  <c r="C7287" i="1"/>
  <c r="M7287" i="1"/>
  <c r="A7288" i="1"/>
  <c r="B7288" i="1"/>
  <c r="C7288" i="1"/>
  <c r="M7288" i="1"/>
  <c r="A7289" i="1"/>
  <c r="B7289" i="1"/>
  <c r="C7289" i="1"/>
  <c r="M7289" i="1"/>
  <c r="A7290" i="1"/>
  <c r="B7290" i="1"/>
  <c r="C7290" i="1"/>
  <c r="M7290" i="1"/>
  <c r="A7291" i="1"/>
  <c r="B7291" i="1"/>
  <c r="C7291" i="1"/>
  <c r="M7291" i="1"/>
  <c r="A7292" i="1"/>
  <c r="B7292" i="1"/>
  <c r="C7292" i="1"/>
  <c r="M7292" i="1"/>
  <c r="A7293" i="1"/>
  <c r="B7293" i="1"/>
  <c r="C7293" i="1"/>
  <c r="M7293" i="1"/>
  <c r="A7294" i="1"/>
  <c r="B7294" i="1"/>
  <c r="C7294" i="1"/>
  <c r="M7294" i="1"/>
  <c r="A7295" i="1"/>
  <c r="B7295" i="1"/>
  <c r="C7295" i="1"/>
  <c r="M7295" i="1"/>
  <c r="A7296" i="1"/>
  <c r="B7296" i="1"/>
  <c r="C7296" i="1"/>
  <c r="M7296" i="1"/>
  <c r="A7297" i="1"/>
  <c r="B7297" i="1"/>
  <c r="C7297" i="1"/>
  <c r="M7297" i="1"/>
  <c r="A7298" i="1"/>
  <c r="B7298" i="1"/>
  <c r="C7298" i="1"/>
  <c r="M7298" i="1"/>
  <c r="A7299" i="1"/>
  <c r="B7299" i="1"/>
  <c r="C7299" i="1"/>
  <c r="M7299" i="1"/>
  <c r="A7300" i="1"/>
  <c r="B7300" i="1"/>
  <c r="C7300" i="1"/>
  <c r="M7300" i="1"/>
  <c r="A7301" i="1"/>
  <c r="B7301" i="1"/>
  <c r="C7301" i="1"/>
  <c r="M7301" i="1"/>
  <c r="A7302" i="1"/>
  <c r="B7302" i="1"/>
  <c r="C7302" i="1"/>
  <c r="M7302" i="1"/>
  <c r="A7303" i="1"/>
  <c r="B7303" i="1"/>
  <c r="C7303" i="1"/>
  <c r="M7303" i="1"/>
  <c r="A7304" i="1"/>
  <c r="B7304" i="1"/>
  <c r="C7304" i="1"/>
  <c r="M7304" i="1"/>
  <c r="A7305" i="1"/>
  <c r="B7305" i="1"/>
  <c r="C7305" i="1"/>
  <c r="M7305" i="1"/>
  <c r="A7306" i="1"/>
  <c r="B7306" i="1"/>
  <c r="C7306" i="1"/>
  <c r="M7306" i="1"/>
  <c r="A7307" i="1"/>
  <c r="B7307" i="1"/>
  <c r="C7307" i="1"/>
  <c r="M7307" i="1"/>
  <c r="A7308" i="1"/>
  <c r="B7308" i="1"/>
  <c r="C7308" i="1"/>
  <c r="M7308" i="1"/>
  <c r="A7309" i="1"/>
  <c r="B7309" i="1"/>
  <c r="C7309" i="1"/>
  <c r="M7309" i="1"/>
  <c r="A7310" i="1"/>
  <c r="B7310" i="1"/>
  <c r="C7310" i="1"/>
  <c r="M7310" i="1"/>
  <c r="A7311" i="1"/>
  <c r="B7311" i="1"/>
  <c r="C7311" i="1"/>
  <c r="M7311" i="1"/>
  <c r="A7312" i="1"/>
  <c r="B7312" i="1"/>
  <c r="C7312" i="1"/>
  <c r="M7312" i="1"/>
  <c r="A7313" i="1"/>
  <c r="B7313" i="1"/>
  <c r="C7313" i="1"/>
  <c r="M7313" i="1"/>
  <c r="A7314" i="1"/>
  <c r="B7314" i="1"/>
  <c r="C7314" i="1"/>
  <c r="M7314" i="1"/>
  <c r="A7315" i="1"/>
  <c r="B7315" i="1"/>
  <c r="C7315" i="1"/>
  <c r="M7315" i="1"/>
  <c r="A7316" i="1"/>
  <c r="B7316" i="1"/>
  <c r="C7316" i="1"/>
  <c r="M7316" i="1"/>
  <c r="A7317" i="1"/>
  <c r="B7317" i="1"/>
  <c r="C7317" i="1"/>
  <c r="M7317" i="1"/>
  <c r="A7318" i="1"/>
  <c r="B7318" i="1"/>
  <c r="C7318" i="1"/>
  <c r="M7318" i="1"/>
  <c r="A7319" i="1"/>
  <c r="B7319" i="1"/>
  <c r="C7319" i="1"/>
  <c r="M7319" i="1"/>
  <c r="A7320" i="1"/>
  <c r="B7320" i="1"/>
  <c r="C7320" i="1"/>
  <c r="M7320" i="1"/>
  <c r="A7321" i="1"/>
  <c r="B7321" i="1"/>
  <c r="C7321" i="1"/>
  <c r="M7321" i="1"/>
  <c r="A7322" i="1"/>
  <c r="B7322" i="1"/>
  <c r="C7322" i="1"/>
  <c r="M7322" i="1"/>
  <c r="A7323" i="1"/>
  <c r="B7323" i="1"/>
  <c r="C7323" i="1"/>
  <c r="M7323" i="1"/>
  <c r="A7324" i="1"/>
  <c r="B7324" i="1"/>
  <c r="C7324" i="1"/>
  <c r="M7324" i="1"/>
  <c r="A7325" i="1"/>
  <c r="B7325" i="1"/>
  <c r="C7325" i="1"/>
  <c r="M7325" i="1"/>
  <c r="A7326" i="1"/>
  <c r="B7326" i="1"/>
  <c r="C7326" i="1"/>
  <c r="M7326" i="1"/>
  <c r="A7327" i="1"/>
  <c r="B7327" i="1"/>
  <c r="C7327" i="1"/>
  <c r="M7327" i="1"/>
  <c r="A7328" i="1"/>
  <c r="B7328" i="1"/>
  <c r="C7328" i="1"/>
  <c r="M7328" i="1"/>
  <c r="A7329" i="1"/>
  <c r="B7329" i="1"/>
  <c r="C7329" i="1"/>
  <c r="M7329" i="1"/>
  <c r="A7330" i="1"/>
  <c r="B7330" i="1"/>
  <c r="C7330" i="1"/>
  <c r="M7330" i="1"/>
  <c r="A7331" i="1"/>
  <c r="B7331" i="1"/>
  <c r="C7331" i="1"/>
  <c r="M7331" i="1"/>
  <c r="A7332" i="1"/>
  <c r="B7332" i="1"/>
  <c r="C7332" i="1"/>
  <c r="M7332" i="1"/>
  <c r="A7333" i="1"/>
  <c r="B7333" i="1"/>
  <c r="C7333" i="1"/>
  <c r="M7333" i="1"/>
  <c r="A7334" i="1"/>
  <c r="B7334" i="1"/>
  <c r="C7334" i="1"/>
  <c r="M7334" i="1"/>
  <c r="A7335" i="1"/>
  <c r="B7335" i="1"/>
  <c r="C7335" i="1"/>
  <c r="M7335" i="1"/>
  <c r="A7336" i="1"/>
  <c r="B7336" i="1"/>
  <c r="C7336" i="1"/>
  <c r="M7336" i="1"/>
  <c r="A7337" i="1"/>
  <c r="B7337" i="1"/>
  <c r="C7337" i="1"/>
  <c r="M7337" i="1"/>
  <c r="A7338" i="1"/>
  <c r="B7338" i="1"/>
  <c r="C7338" i="1"/>
  <c r="M7338" i="1"/>
  <c r="A7339" i="1"/>
  <c r="B7339" i="1"/>
  <c r="C7339" i="1"/>
  <c r="M7339" i="1"/>
  <c r="A7340" i="1"/>
  <c r="B7340" i="1"/>
  <c r="C7340" i="1"/>
  <c r="M7340" i="1"/>
  <c r="A7341" i="1"/>
  <c r="B7341" i="1"/>
  <c r="C7341" i="1"/>
  <c r="M7341" i="1"/>
  <c r="A7342" i="1"/>
  <c r="B7342" i="1"/>
  <c r="C7342" i="1"/>
  <c r="M7342" i="1"/>
  <c r="A7343" i="1"/>
  <c r="B7343" i="1"/>
  <c r="C7343" i="1"/>
  <c r="M7343" i="1"/>
  <c r="A7344" i="1"/>
  <c r="B7344" i="1"/>
  <c r="C7344" i="1"/>
  <c r="M7344" i="1"/>
  <c r="A7345" i="1"/>
  <c r="B7345" i="1"/>
  <c r="C7345" i="1"/>
  <c r="M7345" i="1"/>
  <c r="A7346" i="1"/>
  <c r="B7346" i="1"/>
  <c r="C7346" i="1"/>
  <c r="M7346" i="1"/>
  <c r="A7347" i="1"/>
  <c r="B7347" i="1"/>
  <c r="C7347" i="1"/>
  <c r="M7347" i="1"/>
  <c r="A7348" i="1"/>
  <c r="B7348" i="1"/>
  <c r="C7348" i="1"/>
  <c r="M7348" i="1"/>
  <c r="A7349" i="1"/>
  <c r="B7349" i="1"/>
  <c r="C7349" i="1"/>
  <c r="M7349" i="1"/>
  <c r="A7350" i="1"/>
  <c r="B7350" i="1"/>
  <c r="C7350" i="1"/>
  <c r="M7350" i="1"/>
  <c r="A7351" i="1"/>
  <c r="B7351" i="1"/>
  <c r="C7351" i="1"/>
  <c r="M7351" i="1"/>
  <c r="A7352" i="1"/>
  <c r="B7352" i="1"/>
  <c r="C7352" i="1"/>
  <c r="M7352" i="1"/>
  <c r="A7353" i="1"/>
  <c r="B7353" i="1"/>
  <c r="C7353" i="1"/>
  <c r="M7353" i="1"/>
  <c r="A7354" i="1"/>
  <c r="B7354" i="1"/>
  <c r="C7354" i="1"/>
  <c r="M7354" i="1"/>
  <c r="A7355" i="1"/>
  <c r="B7355" i="1"/>
  <c r="C7355" i="1"/>
  <c r="M7355" i="1"/>
  <c r="A7356" i="1"/>
  <c r="B7356" i="1"/>
  <c r="C7356" i="1"/>
  <c r="M7356" i="1"/>
  <c r="A7357" i="1"/>
  <c r="B7357" i="1"/>
  <c r="C7357" i="1"/>
  <c r="M7357" i="1"/>
  <c r="A7358" i="1"/>
  <c r="B7358" i="1"/>
  <c r="C7358" i="1"/>
  <c r="M7358" i="1"/>
  <c r="A7359" i="1"/>
  <c r="B7359" i="1"/>
  <c r="C7359" i="1"/>
  <c r="M7359" i="1"/>
  <c r="A7360" i="1"/>
  <c r="B7360" i="1"/>
  <c r="C7360" i="1"/>
  <c r="M7360" i="1"/>
  <c r="A7361" i="1"/>
  <c r="B7361" i="1"/>
  <c r="C7361" i="1"/>
  <c r="M7361" i="1"/>
  <c r="A7362" i="1"/>
  <c r="B7362" i="1"/>
  <c r="C7362" i="1"/>
  <c r="M7362" i="1"/>
  <c r="A7363" i="1"/>
  <c r="B7363" i="1"/>
  <c r="C7363" i="1"/>
  <c r="M7363" i="1"/>
  <c r="A7364" i="1"/>
  <c r="B7364" i="1"/>
  <c r="C7364" i="1"/>
  <c r="M7364" i="1"/>
  <c r="A7365" i="1"/>
  <c r="B7365" i="1"/>
  <c r="C7365" i="1"/>
  <c r="M7365" i="1"/>
  <c r="A7366" i="1"/>
  <c r="B7366" i="1"/>
  <c r="C7366" i="1"/>
  <c r="M7366" i="1"/>
  <c r="A7367" i="1"/>
  <c r="B7367" i="1"/>
  <c r="C7367" i="1"/>
  <c r="M7367" i="1"/>
  <c r="A7368" i="1"/>
  <c r="B7368" i="1"/>
  <c r="C7368" i="1"/>
  <c r="M7368" i="1"/>
  <c r="A7369" i="1"/>
  <c r="B7369" i="1"/>
  <c r="C7369" i="1"/>
  <c r="M7369" i="1"/>
  <c r="A7370" i="1"/>
  <c r="B7370" i="1"/>
  <c r="C7370" i="1"/>
  <c r="M7370" i="1"/>
  <c r="A7371" i="1"/>
  <c r="B7371" i="1"/>
  <c r="C7371" i="1"/>
  <c r="M7371" i="1"/>
  <c r="A7372" i="1"/>
  <c r="B7372" i="1"/>
  <c r="C7372" i="1"/>
  <c r="M7372" i="1"/>
  <c r="A7373" i="1"/>
  <c r="B7373" i="1"/>
  <c r="C7373" i="1"/>
  <c r="M7373" i="1"/>
  <c r="A7374" i="1"/>
  <c r="B7374" i="1"/>
  <c r="C7374" i="1"/>
  <c r="M7374" i="1"/>
  <c r="A7375" i="1"/>
  <c r="B7375" i="1"/>
  <c r="C7375" i="1"/>
  <c r="M7375" i="1"/>
  <c r="A7376" i="1"/>
  <c r="B7376" i="1"/>
  <c r="C7376" i="1"/>
  <c r="M7376" i="1"/>
  <c r="A7377" i="1"/>
  <c r="B7377" i="1"/>
  <c r="C7377" i="1"/>
  <c r="M7377" i="1"/>
  <c r="A7378" i="1"/>
  <c r="B7378" i="1"/>
  <c r="C7378" i="1"/>
  <c r="M7378" i="1"/>
  <c r="A7379" i="1"/>
  <c r="B7379" i="1"/>
  <c r="C7379" i="1"/>
  <c r="M7379" i="1"/>
  <c r="A7380" i="1"/>
  <c r="B7380" i="1"/>
  <c r="C7380" i="1"/>
  <c r="M7380" i="1"/>
  <c r="A7381" i="1"/>
  <c r="B7381" i="1"/>
  <c r="C7381" i="1"/>
  <c r="M7381" i="1"/>
  <c r="A7382" i="1"/>
  <c r="B7382" i="1"/>
  <c r="C7382" i="1"/>
  <c r="M7382" i="1"/>
  <c r="A7383" i="1"/>
  <c r="B7383" i="1"/>
  <c r="C7383" i="1"/>
  <c r="M7383" i="1"/>
  <c r="A7384" i="1"/>
  <c r="B7384" i="1"/>
  <c r="C7384" i="1"/>
  <c r="M7384" i="1"/>
  <c r="A7385" i="1"/>
  <c r="B7385" i="1"/>
  <c r="C7385" i="1"/>
  <c r="M7385" i="1"/>
  <c r="A7386" i="1"/>
  <c r="B7386" i="1"/>
  <c r="C7386" i="1"/>
  <c r="M7386" i="1"/>
  <c r="A7387" i="1"/>
  <c r="B7387" i="1"/>
  <c r="C7387" i="1"/>
  <c r="M7387" i="1"/>
  <c r="A7388" i="1"/>
  <c r="B7388" i="1"/>
  <c r="C7388" i="1"/>
  <c r="M7388" i="1"/>
  <c r="A7389" i="1"/>
  <c r="B7389" i="1"/>
  <c r="C7389" i="1"/>
  <c r="M7389" i="1"/>
  <c r="A7390" i="1"/>
  <c r="B7390" i="1"/>
  <c r="C7390" i="1"/>
  <c r="M7390" i="1"/>
  <c r="A7391" i="1"/>
  <c r="B7391" i="1"/>
  <c r="C7391" i="1"/>
  <c r="M7391" i="1"/>
  <c r="A7392" i="1"/>
  <c r="B7392" i="1"/>
  <c r="C7392" i="1"/>
  <c r="M7392" i="1"/>
  <c r="A7393" i="1"/>
  <c r="B7393" i="1"/>
  <c r="C7393" i="1"/>
  <c r="M7393" i="1"/>
  <c r="A7394" i="1"/>
  <c r="B7394" i="1"/>
  <c r="C7394" i="1"/>
  <c r="M7394" i="1"/>
  <c r="A7395" i="1"/>
  <c r="B7395" i="1"/>
  <c r="C7395" i="1"/>
  <c r="M7395" i="1"/>
  <c r="A7396" i="1"/>
  <c r="B7396" i="1"/>
  <c r="C7396" i="1"/>
  <c r="M7396" i="1"/>
  <c r="A7397" i="1"/>
  <c r="B7397" i="1"/>
  <c r="C7397" i="1"/>
  <c r="M7397" i="1"/>
  <c r="A7398" i="1"/>
  <c r="B7398" i="1"/>
  <c r="C7398" i="1"/>
  <c r="M7398" i="1"/>
  <c r="A7399" i="1"/>
  <c r="B7399" i="1"/>
  <c r="C7399" i="1"/>
  <c r="M7399" i="1"/>
  <c r="A7400" i="1"/>
  <c r="B7400" i="1"/>
  <c r="C7400" i="1"/>
  <c r="M7400" i="1"/>
  <c r="A7401" i="1"/>
  <c r="B7401" i="1"/>
  <c r="C7401" i="1"/>
  <c r="M7401" i="1"/>
  <c r="A7402" i="1"/>
  <c r="B7402" i="1"/>
  <c r="C7402" i="1"/>
  <c r="M7402" i="1"/>
  <c r="A7403" i="1"/>
  <c r="B7403" i="1"/>
  <c r="C7403" i="1"/>
  <c r="M7403" i="1"/>
  <c r="A7404" i="1"/>
  <c r="B7404" i="1"/>
  <c r="C7404" i="1"/>
  <c r="M7404" i="1"/>
  <c r="A7405" i="1"/>
  <c r="B7405" i="1"/>
  <c r="C7405" i="1"/>
  <c r="M7405" i="1"/>
  <c r="A7406" i="1"/>
  <c r="B7406" i="1"/>
  <c r="C7406" i="1"/>
  <c r="M7406" i="1"/>
  <c r="A7407" i="1"/>
  <c r="B7407" i="1"/>
  <c r="C7407" i="1"/>
  <c r="M7407" i="1"/>
  <c r="A7408" i="1"/>
  <c r="B7408" i="1"/>
  <c r="C7408" i="1"/>
  <c r="M7408" i="1"/>
  <c r="A7409" i="1"/>
  <c r="B7409" i="1"/>
  <c r="C7409" i="1"/>
  <c r="M7409" i="1"/>
  <c r="A7410" i="1"/>
  <c r="B7410" i="1"/>
  <c r="C7410" i="1"/>
  <c r="M7410" i="1"/>
  <c r="A7411" i="1"/>
  <c r="B7411" i="1"/>
  <c r="C7411" i="1"/>
  <c r="M7411" i="1"/>
  <c r="A7412" i="1"/>
  <c r="B7412" i="1"/>
  <c r="C7412" i="1"/>
  <c r="M7412" i="1"/>
  <c r="A7413" i="1"/>
  <c r="B7413" i="1"/>
  <c r="C7413" i="1"/>
  <c r="M7413" i="1"/>
  <c r="A7414" i="1"/>
  <c r="B7414" i="1"/>
  <c r="C7414" i="1"/>
  <c r="M7414" i="1"/>
  <c r="A7415" i="1"/>
  <c r="B7415" i="1"/>
  <c r="C7415" i="1"/>
  <c r="M7415" i="1"/>
  <c r="A7416" i="1"/>
  <c r="B7416" i="1"/>
  <c r="C7416" i="1"/>
  <c r="M7416" i="1"/>
  <c r="A7417" i="1"/>
  <c r="B7417" i="1"/>
  <c r="C7417" i="1"/>
  <c r="M7417" i="1"/>
  <c r="A7418" i="1"/>
  <c r="B7418" i="1"/>
  <c r="C7418" i="1"/>
  <c r="M7418" i="1"/>
  <c r="A7419" i="1"/>
  <c r="B7419" i="1"/>
  <c r="C7419" i="1"/>
  <c r="M7419" i="1"/>
  <c r="A7420" i="1"/>
  <c r="B7420" i="1"/>
  <c r="C7420" i="1"/>
  <c r="M7420" i="1"/>
  <c r="A7421" i="1"/>
  <c r="B7421" i="1"/>
  <c r="C7421" i="1"/>
  <c r="M7421" i="1"/>
  <c r="A7422" i="1"/>
  <c r="B7422" i="1"/>
  <c r="C7422" i="1"/>
  <c r="M7422" i="1"/>
  <c r="A7423" i="1"/>
  <c r="B7423" i="1"/>
  <c r="C7423" i="1"/>
  <c r="M7423" i="1"/>
  <c r="A7424" i="1"/>
  <c r="B7424" i="1"/>
  <c r="C7424" i="1"/>
  <c r="M7424" i="1"/>
  <c r="A7425" i="1"/>
  <c r="B7425" i="1"/>
  <c r="C7425" i="1"/>
  <c r="M7425" i="1"/>
  <c r="A7426" i="1"/>
  <c r="B7426" i="1"/>
  <c r="C7426" i="1"/>
  <c r="M7426" i="1"/>
  <c r="A7427" i="1"/>
  <c r="B7427" i="1"/>
  <c r="C7427" i="1"/>
  <c r="M7427" i="1"/>
  <c r="A7428" i="1"/>
  <c r="B7428" i="1"/>
  <c r="C7428" i="1"/>
  <c r="M7428" i="1"/>
  <c r="A7429" i="1"/>
  <c r="B7429" i="1"/>
  <c r="C7429" i="1"/>
  <c r="M7429" i="1"/>
  <c r="A7430" i="1"/>
  <c r="B7430" i="1"/>
  <c r="C7430" i="1"/>
  <c r="M7430" i="1"/>
  <c r="A7431" i="1"/>
  <c r="B7431" i="1"/>
  <c r="C7431" i="1"/>
  <c r="M7431" i="1"/>
  <c r="A7432" i="1"/>
  <c r="B7432" i="1"/>
  <c r="C7432" i="1"/>
  <c r="M7432" i="1"/>
  <c r="A7433" i="1"/>
  <c r="B7433" i="1"/>
  <c r="C7433" i="1"/>
  <c r="M7433" i="1"/>
  <c r="A7434" i="1"/>
  <c r="B7434" i="1"/>
  <c r="C7434" i="1"/>
  <c r="M7434" i="1"/>
  <c r="A7435" i="1"/>
  <c r="B7435" i="1"/>
  <c r="C7435" i="1"/>
  <c r="M7435" i="1"/>
  <c r="A7436" i="1"/>
  <c r="B7436" i="1"/>
  <c r="C7436" i="1"/>
  <c r="M7436" i="1"/>
  <c r="A7437" i="1"/>
  <c r="B7437" i="1"/>
  <c r="C7437" i="1"/>
  <c r="M7437" i="1"/>
  <c r="A7438" i="1"/>
  <c r="B7438" i="1"/>
  <c r="C7438" i="1"/>
  <c r="M7438" i="1"/>
  <c r="A7439" i="1"/>
  <c r="B7439" i="1"/>
  <c r="C7439" i="1"/>
  <c r="M7439" i="1"/>
  <c r="A7440" i="1"/>
  <c r="B7440" i="1"/>
  <c r="C7440" i="1"/>
  <c r="M7440" i="1"/>
  <c r="A7441" i="1"/>
  <c r="B7441" i="1"/>
  <c r="C7441" i="1"/>
  <c r="M7441" i="1"/>
  <c r="A7442" i="1"/>
  <c r="B7442" i="1"/>
  <c r="C7442" i="1"/>
  <c r="M7442" i="1"/>
  <c r="A7443" i="1"/>
  <c r="B7443" i="1"/>
  <c r="C7443" i="1"/>
  <c r="M7443" i="1"/>
  <c r="A7444" i="1"/>
  <c r="B7444" i="1"/>
  <c r="C7444" i="1"/>
  <c r="M7444" i="1"/>
  <c r="A7445" i="1"/>
  <c r="B7445" i="1"/>
  <c r="C7445" i="1"/>
  <c r="M7445" i="1"/>
  <c r="A7446" i="1"/>
  <c r="B7446" i="1"/>
  <c r="C7446" i="1"/>
  <c r="M7446" i="1"/>
  <c r="A7447" i="1"/>
  <c r="B7447" i="1"/>
  <c r="C7447" i="1"/>
  <c r="M7447" i="1"/>
  <c r="A7448" i="1"/>
  <c r="B7448" i="1"/>
  <c r="C7448" i="1"/>
  <c r="M7448" i="1"/>
  <c r="A7449" i="1"/>
  <c r="B7449" i="1"/>
  <c r="C7449" i="1"/>
  <c r="M7449" i="1"/>
  <c r="A7450" i="1"/>
  <c r="B7450" i="1"/>
  <c r="C7450" i="1"/>
  <c r="M7450" i="1"/>
  <c r="A7451" i="1"/>
  <c r="B7451" i="1"/>
  <c r="C7451" i="1"/>
  <c r="M7451" i="1"/>
  <c r="A7452" i="1"/>
  <c r="B7452" i="1"/>
  <c r="C7452" i="1"/>
  <c r="M7452" i="1"/>
  <c r="A7453" i="1"/>
  <c r="B7453" i="1"/>
  <c r="C7453" i="1"/>
  <c r="M7453" i="1"/>
  <c r="A7454" i="1"/>
  <c r="B7454" i="1"/>
  <c r="C7454" i="1"/>
  <c r="M7454" i="1"/>
  <c r="A7455" i="1"/>
  <c r="B7455" i="1"/>
  <c r="C7455" i="1"/>
  <c r="M7455" i="1"/>
  <c r="A7456" i="1"/>
  <c r="B7456" i="1"/>
  <c r="C7456" i="1"/>
  <c r="M7456" i="1"/>
  <c r="A7457" i="1"/>
  <c r="B7457" i="1"/>
  <c r="C7457" i="1"/>
  <c r="M7457" i="1"/>
  <c r="A7458" i="1"/>
  <c r="B7458" i="1"/>
  <c r="C7458" i="1"/>
  <c r="M7458" i="1"/>
  <c r="A7459" i="1"/>
  <c r="B7459" i="1"/>
  <c r="C7459" i="1"/>
  <c r="M7459" i="1"/>
  <c r="A7460" i="1"/>
  <c r="B7460" i="1"/>
  <c r="C7460" i="1"/>
  <c r="M7460" i="1"/>
  <c r="A7461" i="1"/>
  <c r="B7461" i="1"/>
  <c r="C7461" i="1"/>
  <c r="M7461" i="1"/>
  <c r="A7462" i="1"/>
  <c r="B7462" i="1"/>
  <c r="C7462" i="1"/>
  <c r="M7462" i="1"/>
  <c r="A7463" i="1"/>
  <c r="B7463" i="1"/>
  <c r="C7463" i="1"/>
  <c r="M7463" i="1"/>
  <c r="A7464" i="1"/>
  <c r="B7464" i="1"/>
  <c r="C7464" i="1"/>
  <c r="M7464" i="1"/>
  <c r="A7465" i="1"/>
  <c r="B7465" i="1"/>
  <c r="C7465" i="1"/>
  <c r="M7465" i="1"/>
  <c r="A7466" i="1"/>
  <c r="B7466" i="1"/>
  <c r="C7466" i="1"/>
  <c r="M7466" i="1"/>
  <c r="A7467" i="1"/>
  <c r="B7467" i="1"/>
  <c r="C7467" i="1"/>
  <c r="M7467" i="1"/>
  <c r="A7468" i="1"/>
  <c r="B7468" i="1"/>
  <c r="C7468" i="1"/>
  <c r="M7468" i="1"/>
  <c r="A7469" i="1"/>
  <c r="B7469" i="1"/>
  <c r="C7469" i="1"/>
  <c r="M7469" i="1"/>
  <c r="A7470" i="1"/>
  <c r="B7470" i="1"/>
  <c r="C7470" i="1"/>
  <c r="M7470" i="1"/>
  <c r="A7471" i="1"/>
  <c r="B7471" i="1"/>
  <c r="C7471" i="1"/>
  <c r="M7471" i="1"/>
  <c r="A7472" i="1"/>
  <c r="B7472" i="1"/>
  <c r="C7472" i="1"/>
  <c r="M7472" i="1"/>
  <c r="A7473" i="1"/>
  <c r="B7473" i="1"/>
  <c r="C7473" i="1"/>
  <c r="M7473" i="1"/>
  <c r="A7474" i="1"/>
  <c r="B7474" i="1"/>
  <c r="C7474" i="1"/>
  <c r="M7474" i="1"/>
  <c r="A7475" i="1"/>
  <c r="B7475" i="1"/>
  <c r="C7475" i="1"/>
  <c r="M7475" i="1"/>
  <c r="A7476" i="1"/>
  <c r="B7476" i="1"/>
  <c r="C7476" i="1"/>
  <c r="M7476" i="1"/>
  <c r="A7477" i="1"/>
  <c r="B7477" i="1"/>
  <c r="C7477" i="1"/>
  <c r="M7477" i="1"/>
  <c r="A7478" i="1"/>
  <c r="B7478" i="1"/>
  <c r="C7478" i="1"/>
  <c r="M7478" i="1"/>
  <c r="A7479" i="1"/>
  <c r="B7479" i="1"/>
  <c r="C7479" i="1"/>
  <c r="M7479" i="1"/>
  <c r="A7480" i="1"/>
  <c r="B7480" i="1"/>
  <c r="C7480" i="1"/>
  <c r="M7480" i="1"/>
  <c r="A7481" i="1"/>
  <c r="B7481" i="1"/>
  <c r="C7481" i="1"/>
  <c r="M7481" i="1"/>
  <c r="A7482" i="1"/>
  <c r="B7482" i="1"/>
  <c r="C7482" i="1"/>
  <c r="M7482" i="1"/>
  <c r="A7483" i="1"/>
  <c r="B7483" i="1"/>
  <c r="C7483" i="1"/>
  <c r="M7483" i="1"/>
  <c r="A7484" i="1"/>
  <c r="B7484" i="1"/>
  <c r="C7484" i="1"/>
  <c r="M7484" i="1"/>
  <c r="A7485" i="1"/>
  <c r="B7485" i="1"/>
  <c r="C7485" i="1"/>
  <c r="M7485" i="1"/>
  <c r="A7486" i="1"/>
  <c r="B7486" i="1"/>
  <c r="C7486" i="1"/>
  <c r="M7486" i="1"/>
  <c r="A7487" i="1"/>
  <c r="B7487" i="1"/>
  <c r="C7487" i="1"/>
  <c r="M7487" i="1"/>
  <c r="A7488" i="1"/>
  <c r="B7488" i="1"/>
  <c r="C7488" i="1"/>
  <c r="M7488" i="1"/>
  <c r="A7489" i="1"/>
  <c r="B7489" i="1"/>
  <c r="C7489" i="1"/>
  <c r="M7489" i="1"/>
  <c r="A7490" i="1"/>
  <c r="B7490" i="1"/>
  <c r="C7490" i="1"/>
  <c r="M7490" i="1"/>
  <c r="A7491" i="1"/>
  <c r="B7491" i="1"/>
  <c r="C7491" i="1"/>
  <c r="M7491" i="1"/>
  <c r="A7492" i="1"/>
  <c r="B7492" i="1"/>
  <c r="C7492" i="1"/>
  <c r="M7492" i="1"/>
  <c r="A7493" i="1"/>
  <c r="B7493" i="1"/>
  <c r="C7493" i="1"/>
  <c r="M7493" i="1"/>
  <c r="A7494" i="1"/>
  <c r="B7494" i="1"/>
  <c r="C7494" i="1"/>
  <c r="M7494" i="1"/>
  <c r="A7495" i="1"/>
  <c r="B7495" i="1"/>
  <c r="C7495" i="1"/>
  <c r="M7495" i="1"/>
  <c r="A7496" i="1"/>
  <c r="B7496" i="1"/>
  <c r="C7496" i="1"/>
  <c r="M7496" i="1"/>
  <c r="A7497" i="1"/>
  <c r="B7497" i="1"/>
  <c r="C7497" i="1"/>
  <c r="M7497" i="1"/>
  <c r="A7498" i="1"/>
  <c r="B7498" i="1"/>
  <c r="C7498" i="1"/>
  <c r="M7498" i="1"/>
  <c r="A7499" i="1"/>
  <c r="B7499" i="1"/>
  <c r="C7499" i="1"/>
  <c r="M7499" i="1"/>
  <c r="A7500" i="1"/>
  <c r="B7500" i="1"/>
  <c r="C7500" i="1"/>
  <c r="M7500" i="1"/>
  <c r="A7501" i="1"/>
  <c r="B7501" i="1"/>
  <c r="C7501" i="1"/>
  <c r="M7501" i="1"/>
  <c r="A7502" i="1"/>
  <c r="B7502" i="1"/>
  <c r="C7502" i="1"/>
  <c r="M7502" i="1"/>
  <c r="A7503" i="1"/>
  <c r="B7503" i="1"/>
  <c r="C7503" i="1"/>
  <c r="M7503" i="1"/>
  <c r="A7504" i="1"/>
  <c r="B7504" i="1"/>
  <c r="C7504" i="1"/>
  <c r="M7504" i="1"/>
  <c r="A7505" i="1"/>
  <c r="B7505" i="1"/>
  <c r="C7505" i="1"/>
  <c r="M7505" i="1"/>
  <c r="A7506" i="1"/>
  <c r="B7506" i="1"/>
  <c r="C7506" i="1"/>
  <c r="M7506" i="1"/>
  <c r="A7507" i="1"/>
  <c r="B7507" i="1"/>
  <c r="C7507" i="1"/>
  <c r="M7507" i="1"/>
  <c r="A7508" i="1"/>
  <c r="B7508" i="1"/>
  <c r="C7508" i="1"/>
  <c r="M7508" i="1"/>
  <c r="A7509" i="1"/>
  <c r="B7509" i="1"/>
  <c r="C7509" i="1"/>
  <c r="M7509" i="1"/>
  <c r="A7510" i="1"/>
  <c r="B7510" i="1"/>
  <c r="C7510" i="1"/>
  <c r="M7510" i="1"/>
  <c r="A7511" i="1"/>
  <c r="B7511" i="1"/>
  <c r="C7511" i="1"/>
  <c r="M7511" i="1"/>
  <c r="A7512" i="1"/>
  <c r="B7512" i="1"/>
  <c r="C7512" i="1"/>
  <c r="M7512" i="1"/>
  <c r="A7513" i="1"/>
  <c r="B7513" i="1"/>
  <c r="C7513" i="1"/>
  <c r="M7513" i="1"/>
  <c r="A7514" i="1"/>
  <c r="B7514" i="1"/>
  <c r="C7514" i="1"/>
  <c r="M7514" i="1"/>
  <c r="A7515" i="1"/>
  <c r="B7515" i="1"/>
  <c r="C7515" i="1"/>
  <c r="M7515" i="1"/>
  <c r="A7516" i="1"/>
  <c r="B7516" i="1"/>
  <c r="C7516" i="1"/>
  <c r="M7516" i="1"/>
  <c r="A7517" i="1"/>
  <c r="B7517" i="1"/>
  <c r="C7517" i="1"/>
  <c r="M7517" i="1"/>
  <c r="A7518" i="1"/>
  <c r="B7518" i="1"/>
  <c r="C7518" i="1"/>
  <c r="M7518" i="1"/>
  <c r="A7519" i="1"/>
  <c r="B7519" i="1"/>
  <c r="C7519" i="1"/>
  <c r="M7519" i="1"/>
  <c r="A7520" i="1"/>
  <c r="B7520" i="1"/>
  <c r="C7520" i="1"/>
  <c r="M7520" i="1"/>
  <c r="A7521" i="1"/>
  <c r="B7521" i="1"/>
  <c r="C7521" i="1"/>
  <c r="M7521" i="1"/>
  <c r="A7522" i="1"/>
  <c r="B7522" i="1"/>
  <c r="C7522" i="1"/>
  <c r="M7522" i="1"/>
  <c r="A7523" i="1"/>
  <c r="B7523" i="1"/>
  <c r="C7523" i="1"/>
  <c r="M7523" i="1"/>
  <c r="A7524" i="1"/>
  <c r="B7524" i="1"/>
  <c r="C7524" i="1"/>
  <c r="M7524" i="1"/>
  <c r="A7525" i="1"/>
  <c r="B7525" i="1"/>
  <c r="C7525" i="1"/>
  <c r="M7525" i="1"/>
  <c r="A7526" i="1"/>
  <c r="B7526" i="1"/>
  <c r="C7526" i="1"/>
  <c r="M7526" i="1"/>
  <c r="A7527" i="1"/>
  <c r="B7527" i="1"/>
  <c r="C7527" i="1"/>
  <c r="M7527" i="1"/>
  <c r="A7528" i="1"/>
  <c r="B7528" i="1"/>
  <c r="C7528" i="1"/>
  <c r="M7528" i="1"/>
  <c r="A7529" i="1"/>
  <c r="B7529" i="1"/>
  <c r="C7529" i="1"/>
  <c r="M7529" i="1"/>
  <c r="A7530" i="1"/>
  <c r="B7530" i="1"/>
  <c r="C7530" i="1"/>
  <c r="M7530" i="1"/>
  <c r="A7531" i="1"/>
  <c r="B7531" i="1"/>
  <c r="C7531" i="1"/>
  <c r="M7531" i="1"/>
  <c r="A7532" i="1"/>
  <c r="B7532" i="1"/>
  <c r="C7532" i="1"/>
  <c r="M7532" i="1"/>
  <c r="A7533" i="1"/>
  <c r="B7533" i="1"/>
  <c r="C7533" i="1"/>
  <c r="M7533" i="1"/>
  <c r="A7534" i="1"/>
  <c r="B7534" i="1"/>
  <c r="C7534" i="1"/>
  <c r="M7534" i="1"/>
  <c r="A7535" i="1"/>
  <c r="B7535" i="1"/>
  <c r="C7535" i="1"/>
  <c r="M7535" i="1"/>
  <c r="A7536" i="1"/>
  <c r="B7536" i="1"/>
  <c r="C7536" i="1"/>
  <c r="M7536" i="1"/>
  <c r="A7537" i="1"/>
  <c r="B7537" i="1"/>
  <c r="C7537" i="1"/>
  <c r="M7537" i="1"/>
  <c r="A7538" i="1"/>
  <c r="B7538" i="1"/>
  <c r="C7538" i="1"/>
  <c r="M7538" i="1"/>
  <c r="A7539" i="1"/>
  <c r="B7539" i="1"/>
  <c r="C7539" i="1"/>
  <c r="M7539" i="1"/>
  <c r="A7540" i="1"/>
  <c r="B7540" i="1"/>
  <c r="C7540" i="1"/>
  <c r="M7540" i="1"/>
  <c r="A7541" i="1"/>
  <c r="B7541" i="1"/>
  <c r="C7541" i="1"/>
  <c r="M7541" i="1"/>
  <c r="A7542" i="1"/>
  <c r="B7542" i="1"/>
  <c r="C7542" i="1"/>
  <c r="M7542" i="1"/>
  <c r="A7543" i="1"/>
  <c r="B7543" i="1"/>
  <c r="C7543" i="1"/>
  <c r="M7543" i="1"/>
  <c r="A7544" i="1"/>
  <c r="B7544" i="1"/>
  <c r="C7544" i="1"/>
  <c r="M7544" i="1"/>
  <c r="A7545" i="1"/>
  <c r="B7545" i="1"/>
  <c r="C7545" i="1"/>
  <c r="M7545" i="1"/>
  <c r="A7546" i="1"/>
  <c r="B7546" i="1"/>
  <c r="C7546" i="1"/>
  <c r="M7546" i="1"/>
  <c r="A7547" i="1"/>
  <c r="B7547" i="1"/>
  <c r="C7547" i="1"/>
  <c r="M7547" i="1"/>
  <c r="A7548" i="1"/>
  <c r="B7548" i="1"/>
  <c r="C7548" i="1"/>
  <c r="M7548" i="1"/>
  <c r="A7549" i="1"/>
  <c r="B7549" i="1"/>
  <c r="C7549" i="1"/>
  <c r="M7549" i="1"/>
  <c r="A7550" i="1"/>
  <c r="B7550" i="1"/>
  <c r="C7550" i="1"/>
  <c r="M7550" i="1"/>
  <c r="A7551" i="1"/>
  <c r="B7551" i="1"/>
  <c r="C7551" i="1"/>
  <c r="M7551" i="1"/>
  <c r="A7552" i="1"/>
  <c r="B7552" i="1"/>
  <c r="C7552" i="1"/>
  <c r="M7552" i="1"/>
  <c r="A7553" i="1"/>
  <c r="B7553" i="1"/>
  <c r="C7553" i="1"/>
  <c r="M7553" i="1"/>
  <c r="A7554" i="1"/>
  <c r="B7554" i="1"/>
  <c r="C7554" i="1"/>
  <c r="M7554" i="1"/>
  <c r="A7555" i="1"/>
  <c r="B7555" i="1"/>
  <c r="C7555" i="1"/>
  <c r="M7555" i="1"/>
  <c r="A7556" i="1"/>
  <c r="B7556" i="1"/>
  <c r="C7556" i="1"/>
  <c r="M7556" i="1"/>
  <c r="A7557" i="1"/>
  <c r="B7557" i="1"/>
  <c r="C7557" i="1"/>
  <c r="M7557" i="1"/>
  <c r="A7558" i="1"/>
  <c r="B7558" i="1"/>
  <c r="C7558" i="1"/>
  <c r="M7558" i="1"/>
  <c r="A7559" i="1"/>
  <c r="B7559" i="1"/>
  <c r="C7559" i="1"/>
  <c r="M7559" i="1"/>
  <c r="A7560" i="1"/>
  <c r="B7560" i="1"/>
  <c r="C7560" i="1"/>
  <c r="M7560" i="1"/>
  <c r="A7561" i="1"/>
  <c r="B7561" i="1"/>
  <c r="C7561" i="1"/>
  <c r="M7561" i="1"/>
  <c r="A7562" i="1"/>
  <c r="B7562" i="1"/>
  <c r="C7562" i="1"/>
  <c r="M7562" i="1"/>
  <c r="A7563" i="1"/>
  <c r="B7563" i="1"/>
  <c r="C7563" i="1"/>
  <c r="M7563" i="1"/>
  <c r="A7564" i="1"/>
  <c r="B7564" i="1"/>
  <c r="C7564" i="1"/>
  <c r="M7564" i="1"/>
  <c r="A7565" i="1"/>
  <c r="B7565" i="1"/>
  <c r="C7565" i="1"/>
  <c r="M7565" i="1"/>
  <c r="A7566" i="1"/>
  <c r="B7566" i="1"/>
  <c r="C7566" i="1"/>
  <c r="M7566" i="1"/>
  <c r="A7567" i="1"/>
  <c r="B7567" i="1"/>
  <c r="C7567" i="1"/>
  <c r="M7567" i="1"/>
  <c r="A7568" i="1"/>
  <c r="B7568" i="1"/>
  <c r="C7568" i="1"/>
  <c r="M7568" i="1"/>
  <c r="A7569" i="1"/>
  <c r="B7569" i="1"/>
  <c r="C7569" i="1"/>
  <c r="M7569" i="1"/>
  <c r="A7570" i="1"/>
  <c r="B7570" i="1"/>
  <c r="C7570" i="1"/>
  <c r="M7570" i="1"/>
  <c r="A7571" i="1"/>
  <c r="B7571" i="1"/>
  <c r="C7571" i="1"/>
  <c r="M7571" i="1"/>
  <c r="A7572" i="1"/>
  <c r="B7572" i="1"/>
  <c r="C7572" i="1"/>
  <c r="M7572" i="1"/>
  <c r="A7573" i="1"/>
  <c r="B7573" i="1"/>
  <c r="C7573" i="1"/>
  <c r="M7573" i="1"/>
  <c r="A7574" i="1"/>
  <c r="B7574" i="1"/>
  <c r="C7574" i="1"/>
  <c r="M7574" i="1"/>
  <c r="A7575" i="1"/>
  <c r="B7575" i="1"/>
  <c r="C7575" i="1"/>
  <c r="M7575" i="1"/>
  <c r="A7576" i="1"/>
  <c r="B7576" i="1"/>
  <c r="C7576" i="1"/>
  <c r="M7576" i="1"/>
  <c r="A7577" i="1"/>
  <c r="B7577" i="1"/>
  <c r="C7577" i="1"/>
  <c r="M7577" i="1"/>
  <c r="A7578" i="1"/>
  <c r="B7578" i="1"/>
  <c r="C7578" i="1"/>
  <c r="M7578" i="1"/>
  <c r="A7579" i="1"/>
  <c r="B7579" i="1"/>
  <c r="C7579" i="1"/>
  <c r="M7579" i="1"/>
  <c r="A7580" i="1"/>
  <c r="B7580" i="1"/>
  <c r="C7580" i="1"/>
  <c r="M7580" i="1"/>
  <c r="A7581" i="1"/>
  <c r="B7581" i="1"/>
  <c r="C7581" i="1"/>
  <c r="M7581" i="1"/>
  <c r="A7582" i="1"/>
  <c r="B7582" i="1"/>
  <c r="C7582" i="1"/>
  <c r="M7582" i="1"/>
  <c r="A7583" i="1"/>
  <c r="B7583" i="1"/>
  <c r="C7583" i="1"/>
  <c r="M7583" i="1"/>
  <c r="A7584" i="1"/>
  <c r="B7584" i="1"/>
  <c r="C7584" i="1"/>
  <c r="M7584" i="1"/>
  <c r="A7585" i="1"/>
  <c r="B7585" i="1"/>
  <c r="C7585" i="1"/>
  <c r="M7585" i="1"/>
  <c r="A7586" i="1"/>
  <c r="B7586" i="1"/>
  <c r="C7586" i="1"/>
  <c r="M7586" i="1"/>
  <c r="A7587" i="1"/>
  <c r="B7587" i="1"/>
  <c r="C7587" i="1"/>
  <c r="M7587" i="1"/>
  <c r="A7588" i="1"/>
  <c r="B7588" i="1"/>
  <c r="C7588" i="1"/>
  <c r="M7588" i="1"/>
  <c r="A7589" i="1"/>
  <c r="B7589" i="1"/>
  <c r="C7589" i="1"/>
  <c r="M7589" i="1"/>
  <c r="A7590" i="1"/>
  <c r="B7590" i="1"/>
  <c r="C7590" i="1"/>
  <c r="M7590" i="1"/>
  <c r="A7591" i="1"/>
  <c r="B7591" i="1"/>
  <c r="C7591" i="1"/>
  <c r="M7591" i="1"/>
  <c r="A7592" i="1"/>
  <c r="B7592" i="1"/>
  <c r="C7592" i="1"/>
  <c r="M7592" i="1"/>
  <c r="A7593" i="1"/>
  <c r="B7593" i="1"/>
  <c r="C7593" i="1"/>
  <c r="M7593" i="1"/>
  <c r="A7594" i="1"/>
  <c r="B7594" i="1"/>
  <c r="C7594" i="1"/>
  <c r="M7594" i="1"/>
  <c r="A7595" i="1"/>
  <c r="B7595" i="1"/>
  <c r="C7595" i="1"/>
  <c r="M7595" i="1"/>
  <c r="A7596" i="1"/>
  <c r="B7596" i="1"/>
  <c r="C7596" i="1"/>
  <c r="M7596" i="1"/>
  <c r="A7597" i="1"/>
  <c r="B7597" i="1"/>
  <c r="C7597" i="1"/>
  <c r="M7597" i="1"/>
  <c r="A7598" i="1"/>
  <c r="B7598" i="1"/>
  <c r="C7598" i="1"/>
  <c r="M7598" i="1"/>
  <c r="A7599" i="1"/>
  <c r="B7599" i="1"/>
  <c r="C7599" i="1"/>
  <c r="M7599" i="1"/>
  <c r="A7600" i="1"/>
  <c r="B7600" i="1"/>
  <c r="C7600" i="1"/>
  <c r="M7600" i="1"/>
  <c r="A7601" i="1"/>
  <c r="B7601" i="1"/>
  <c r="C7601" i="1"/>
  <c r="M7601" i="1"/>
  <c r="A7602" i="1"/>
  <c r="B7602" i="1"/>
  <c r="C7602" i="1"/>
  <c r="M7602" i="1"/>
  <c r="A7603" i="1"/>
  <c r="B7603" i="1"/>
  <c r="C7603" i="1"/>
  <c r="M7603" i="1"/>
  <c r="A7604" i="1"/>
  <c r="B7604" i="1"/>
  <c r="C7604" i="1"/>
  <c r="M7604" i="1"/>
  <c r="A7605" i="1"/>
  <c r="B7605" i="1"/>
  <c r="C7605" i="1"/>
  <c r="M7605" i="1"/>
  <c r="A7606" i="1"/>
  <c r="B7606" i="1"/>
  <c r="C7606" i="1"/>
  <c r="M7606" i="1"/>
  <c r="A7607" i="1"/>
  <c r="B7607" i="1"/>
  <c r="C7607" i="1"/>
  <c r="M7607" i="1"/>
  <c r="A7608" i="1"/>
  <c r="B7608" i="1"/>
  <c r="C7608" i="1"/>
  <c r="M7608" i="1"/>
  <c r="A7609" i="1"/>
  <c r="B7609" i="1"/>
  <c r="C7609" i="1"/>
  <c r="M7609" i="1"/>
  <c r="A7610" i="1"/>
  <c r="B7610" i="1"/>
  <c r="C7610" i="1"/>
  <c r="M7610" i="1"/>
  <c r="A7611" i="1"/>
  <c r="B7611" i="1"/>
  <c r="C7611" i="1"/>
  <c r="M7611" i="1"/>
  <c r="A7612" i="1"/>
  <c r="B7612" i="1"/>
  <c r="C7612" i="1"/>
  <c r="M7612" i="1"/>
  <c r="A7613" i="1"/>
  <c r="B7613" i="1"/>
  <c r="C7613" i="1"/>
  <c r="M7613" i="1"/>
  <c r="A7614" i="1"/>
  <c r="B7614" i="1"/>
  <c r="C7614" i="1"/>
  <c r="M7614" i="1"/>
  <c r="A7615" i="1"/>
  <c r="B7615" i="1"/>
  <c r="C7615" i="1"/>
  <c r="M7615" i="1"/>
  <c r="A7616" i="1"/>
  <c r="B7616" i="1"/>
  <c r="C7616" i="1"/>
  <c r="M7616" i="1"/>
  <c r="A7617" i="1"/>
  <c r="B7617" i="1"/>
  <c r="C7617" i="1"/>
  <c r="M7617" i="1"/>
  <c r="A7618" i="1"/>
  <c r="B7618" i="1"/>
  <c r="C7618" i="1"/>
  <c r="M7618" i="1"/>
  <c r="A7619" i="1"/>
  <c r="B7619" i="1"/>
  <c r="C7619" i="1"/>
  <c r="M7619" i="1"/>
  <c r="A7620" i="1"/>
  <c r="B7620" i="1"/>
  <c r="C7620" i="1"/>
  <c r="M7620" i="1"/>
  <c r="A7621" i="1"/>
  <c r="B7621" i="1"/>
  <c r="C7621" i="1"/>
  <c r="M7621" i="1"/>
  <c r="A7622" i="1"/>
  <c r="B7622" i="1"/>
  <c r="C7622" i="1"/>
  <c r="M7622" i="1"/>
  <c r="A7623" i="1"/>
  <c r="B7623" i="1"/>
  <c r="C7623" i="1"/>
  <c r="M7623" i="1"/>
  <c r="A7624" i="1"/>
  <c r="B7624" i="1"/>
  <c r="C7624" i="1"/>
  <c r="M7624" i="1"/>
  <c r="A7625" i="1"/>
  <c r="B7625" i="1"/>
  <c r="C7625" i="1"/>
  <c r="M7625" i="1"/>
  <c r="A7626" i="1"/>
  <c r="B7626" i="1"/>
  <c r="C7626" i="1"/>
  <c r="M7626" i="1"/>
  <c r="A7627" i="1"/>
  <c r="B7627" i="1"/>
  <c r="C7627" i="1"/>
  <c r="M7627" i="1"/>
  <c r="A7628" i="1"/>
  <c r="B7628" i="1"/>
  <c r="C7628" i="1"/>
  <c r="M7628" i="1"/>
  <c r="A7629" i="1"/>
  <c r="B7629" i="1"/>
  <c r="C7629" i="1"/>
  <c r="M7629" i="1"/>
  <c r="A7630" i="1"/>
  <c r="B7630" i="1"/>
  <c r="C7630" i="1"/>
  <c r="M7630" i="1"/>
  <c r="A7631" i="1"/>
  <c r="B7631" i="1"/>
  <c r="C7631" i="1"/>
  <c r="M7631" i="1"/>
  <c r="A7632" i="1"/>
  <c r="B7632" i="1"/>
  <c r="C7632" i="1"/>
  <c r="M7632" i="1"/>
  <c r="A7633" i="1"/>
  <c r="B7633" i="1"/>
  <c r="C7633" i="1"/>
  <c r="M7633" i="1"/>
  <c r="A7634" i="1"/>
  <c r="B7634" i="1"/>
  <c r="C7634" i="1"/>
  <c r="M7634" i="1"/>
  <c r="A7635" i="1"/>
  <c r="B7635" i="1"/>
  <c r="C7635" i="1"/>
  <c r="M7635" i="1"/>
  <c r="A7636" i="1"/>
  <c r="B7636" i="1"/>
  <c r="C7636" i="1"/>
  <c r="M7636" i="1"/>
  <c r="A7637" i="1"/>
  <c r="B7637" i="1"/>
  <c r="C7637" i="1"/>
  <c r="M7637" i="1"/>
  <c r="A7638" i="1"/>
  <c r="B7638" i="1"/>
  <c r="C7638" i="1"/>
  <c r="M7638" i="1"/>
  <c r="A7639" i="1"/>
  <c r="B7639" i="1"/>
  <c r="C7639" i="1"/>
  <c r="M7639" i="1"/>
  <c r="A7640" i="1"/>
  <c r="B7640" i="1"/>
  <c r="C7640" i="1"/>
  <c r="M7640" i="1"/>
  <c r="A7641" i="1"/>
  <c r="B7641" i="1"/>
  <c r="C7641" i="1"/>
  <c r="M7641" i="1"/>
  <c r="A7642" i="1"/>
  <c r="B7642" i="1"/>
  <c r="C7642" i="1"/>
  <c r="M7642" i="1"/>
  <c r="A7643" i="1"/>
  <c r="B7643" i="1"/>
  <c r="C7643" i="1"/>
  <c r="M7643" i="1"/>
  <c r="A7644" i="1"/>
  <c r="B7644" i="1"/>
  <c r="C7644" i="1"/>
  <c r="M7644" i="1"/>
  <c r="A7645" i="1"/>
  <c r="B7645" i="1"/>
  <c r="C7645" i="1"/>
  <c r="M7645" i="1"/>
  <c r="A7646" i="1"/>
  <c r="B7646" i="1"/>
  <c r="C7646" i="1"/>
  <c r="M7646" i="1"/>
  <c r="A7647" i="1"/>
  <c r="B7647" i="1"/>
  <c r="C7647" i="1"/>
  <c r="M7647" i="1"/>
  <c r="A7648" i="1"/>
  <c r="B7648" i="1"/>
  <c r="C7648" i="1"/>
  <c r="M7648" i="1"/>
  <c r="A7649" i="1"/>
  <c r="B7649" i="1"/>
  <c r="C7649" i="1"/>
  <c r="M7649" i="1"/>
  <c r="A7650" i="1"/>
  <c r="B7650" i="1"/>
  <c r="C7650" i="1"/>
  <c r="M7650" i="1"/>
  <c r="A7651" i="1"/>
  <c r="B7651" i="1"/>
  <c r="C7651" i="1"/>
  <c r="M7651" i="1"/>
  <c r="A7652" i="1"/>
  <c r="B7652" i="1"/>
  <c r="C7652" i="1"/>
  <c r="M7652" i="1"/>
  <c r="A7653" i="1"/>
  <c r="B7653" i="1"/>
  <c r="C7653" i="1"/>
  <c r="M7653" i="1"/>
  <c r="A7654" i="1"/>
  <c r="B7654" i="1"/>
  <c r="C7654" i="1"/>
  <c r="M7654" i="1"/>
  <c r="A7655" i="1"/>
  <c r="B7655" i="1"/>
  <c r="C7655" i="1"/>
  <c r="M7655" i="1"/>
  <c r="A7656" i="1"/>
  <c r="B7656" i="1"/>
  <c r="C7656" i="1"/>
  <c r="M7656" i="1"/>
  <c r="A7657" i="1"/>
  <c r="B7657" i="1"/>
  <c r="C7657" i="1"/>
  <c r="M7657" i="1"/>
  <c r="A7658" i="1"/>
  <c r="B7658" i="1"/>
  <c r="C7658" i="1"/>
  <c r="M7658" i="1"/>
  <c r="A7659" i="1"/>
  <c r="B7659" i="1"/>
  <c r="C7659" i="1"/>
  <c r="M7659" i="1"/>
  <c r="A7660" i="1"/>
  <c r="B7660" i="1"/>
  <c r="C7660" i="1"/>
  <c r="M7660" i="1"/>
  <c r="A7661" i="1"/>
  <c r="B7661" i="1"/>
  <c r="C7661" i="1"/>
  <c r="M7661" i="1"/>
  <c r="A7662" i="1"/>
  <c r="B7662" i="1"/>
  <c r="C7662" i="1"/>
  <c r="M7662" i="1"/>
  <c r="A7663" i="1"/>
  <c r="B7663" i="1"/>
  <c r="C7663" i="1"/>
  <c r="M7663" i="1"/>
  <c r="A7664" i="1"/>
  <c r="B7664" i="1"/>
  <c r="C7664" i="1"/>
  <c r="M7664" i="1"/>
  <c r="A7665" i="1"/>
  <c r="B7665" i="1"/>
  <c r="C7665" i="1"/>
  <c r="M7665" i="1"/>
  <c r="A7666" i="1"/>
  <c r="B7666" i="1"/>
  <c r="C7666" i="1"/>
  <c r="M7666" i="1"/>
  <c r="A7667" i="1"/>
  <c r="B7667" i="1"/>
  <c r="C7667" i="1"/>
  <c r="M7667" i="1"/>
  <c r="A7668" i="1"/>
  <c r="B7668" i="1"/>
  <c r="C7668" i="1"/>
  <c r="M7668" i="1"/>
  <c r="A7669" i="1"/>
  <c r="B7669" i="1"/>
  <c r="C7669" i="1"/>
  <c r="M7669" i="1"/>
  <c r="A7670" i="1"/>
  <c r="B7670" i="1"/>
  <c r="C7670" i="1"/>
  <c r="M7670" i="1"/>
  <c r="A7671" i="1"/>
  <c r="B7671" i="1"/>
  <c r="C7671" i="1"/>
  <c r="M7671" i="1"/>
  <c r="A7672" i="1"/>
  <c r="B7672" i="1"/>
  <c r="C7672" i="1"/>
  <c r="M7672" i="1"/>
  <c r="A7673" i="1"/>
  <c r="B7673" i="1"/>
  <c r="C7673" i="1"/>
  <c r="M7673" i="1"/>
  <c r="A7674" i="1"/>
  <c r="B7674" i="1"/>
  <c r="C7674" i="1"/>
  <c r="M7674" i="1"/>
  <c r="A7675" i="1"/>
  <c r="B7675" i="1"/>
  <c r="C7675" i="1"/>
  <c r="M7675" i="1"/>
  <c r="A7676" i="1"/>
  <c r="B7676" i="1"/>
  <c r="C7676" i="1"/>
  <c r="M7676" i="1"/>
  <c r="A7677" i="1"/>
  <c r="B7677" i="1"/>
  <c r="C7677" i="1"/>
  <c r="M7677" i="1"/>
  <c r="A7678" i="1"/>
  <c r="B7678" i="1"/>
  <c r="C7678" i="1"/>
  <c r="M7678" i="1"/>
  <c r="A7679" i="1"/>
  <c r="B7679" i="1"/>
  <c r="C7679" i="1"/>
  <c r="M7679" i="1"/>
  <c r="A7680" i="1"/>
  <c r="B7680" i="1"/>
  <c r="C7680" i="1"/>
  <c r="M7680" i="1"/>
  <c r="A7681" i="1"/>
  <c r="B7681" i="1"/>
  <c r="C7681" i="1"/>
  <c r="M7681" i="1"/>
  <c r="A7682" i="1"/>
  <c r="B7682" i="1"/>
  <c r="C7682" i="1"/>
  <c r="M7682" i="1"/>
  <c r="A7683" i="1"/>
  <c r="B7683" i="1"/>
  <c r="C7683" i="1"/>
  <c r="M7683" i="1"/>
  <c r="A7684" i="1"/>
  <c r="B7684" i="1"/>
  <c r="C7684" i="1"/>
  <c r="M7684" i="1"/>
  <c r="A7685" i="1"/>
  <c r="B7685" i="1"/>
  <c r="C7685" i="1"/>
  <c r="M7685" i="1"/>
  <c r="A7686" i="1"/>
  <c r="B7686" i="1"/>
  <c r="C7686" i="1"/>
  <c r="M7686" i="1"/>
  <c r="A7687" i="1"/>
  <c r="B7687" i="1"/>
  <c r="C7687" i="1"/>
  <c r="M7687" i="1"/>
  <c r="A7688" i="1"/>
  <c r="B7688" i="1"/>
  <c r="C7688" i="1"/>
  <c r="M7688" i="1"/>
  <c r="A7689" i="1"/>
  <c r="B7689" i="1"/>
  <c r="C7689" i="1"/>
  <c r="M7689" i="1"/>
  <c r="A7690" i="1"/>
  <c r="B7690" i="1"/>
  <c r="C7690" i="1"/>
  <c r="M7690" i="1"/>
  <c r="A7691" i="1"/>
  <c r="B7691" i="1"/>
  <c r="C7691" i="1"/>
  <c r="M7691" i="1"/>
  <c r="A7692" i="1"/>
  <c r="B7692" i="1"/>
  <c r="C7692" i="1"/>
  <c r="M7692" i="1"/>
  <c r="A7693" i="1"/>
  <c r="B7693" i="1"/>
  <c r="C7693" i="1"/>
  <c r="M7693" i="1"/>
  <c r="A7694" i="1"/>
  <c r="B7694" i="1"/>
  <c r="C7694" i="1"/>
  <c r="M7694" i="1"/>
  <c r="A7695" i="1"/>
  <c r="B7695" i="1"/>
  <c r="C7695" i="1"/>
  <c r="M7695" i="1"/>
  <c r="A7696" i="1"/>
  <c r="B7696" i="1"/>
  <c r="C7696" i="1"/>
  <c r="M7696" i="1"/>
  <c r="A7697" i="1"/>
  <c r="B7697" i="1"/>
  <c r="C7697" i="1"/>
  <c r="M7697" i="1"/>
  <c r="A7698" i="1"/>
  <c r="B7698" i="1"/>
  <c r="C7698" i="1"/>
  <c r="M7698" i="1"/>
  <c r="A7699" i="1"/>
  <c r="B7699" i="1"/>
  <c r="C7699" i="1"/>
  <c r="M7699" i="1"/>
  <c r="A7700" i="1"/>
  <c r="B7700" i="1"/>
  <c r="C7700" i="1"/>
  <c r="M7700" i="1"/>
  <c r="A7701" i="1"/>
  <c r="B7701" i="1"/>
  <c r="C7701" i="1"/>
  <c r="M7701" i="1"/>
  <c r="A7702" i="1"/>
  <c r="B7702" i="1"/>
  <c r="C7702" i="1"/>
  <c r="M7702" i="1"/>
  <c r="A7703" i="1"/>
  <c r="B7703" i="1"/>
  <c r="C7703" i="1"/>
  <c r="M7703" i="1"/>
  <c r="A7704" i="1"/>
  <c r="B7704" i="1"/>
  <c r="C7704" i="1"/>
  <c r="M7704" i="1"/>
  <c r="A7705" i="1"/>
  <c r="B7705" i="1"/>
  <c r="C7705" i="1"/>
  <c r="M7705" i="1"/>
  <c r="A7706" i="1"/>
  <c r="B7706" i="1"/>
  <c r="C7706" i="1"/>
  <c r="M7706" i="1"/>
  <c r="A7707" i="1"/>
  <c r="B7707" i="1"/>
  <c r="C7707" i="1"/>
  <c r="M7707" i="1"/>
  <c r="A7708" i="1"/>
  <c r="B7708" i="1"/>
  <c r="C7708" i="1"/>
  <c r="M7708" i="1"/>
  <c r="A7709" i="1"/>
  <c r="B7709" i="1"/>
  <c r="C7709" i="1"/>
  <c r="M7709" i="1"/>
  <c r="A7710" i="1"/>
  <c r="B7710" i="1"/>
  <c r="C7710" i="1"/>
  <c r="M7710" i="1"/>
  <c r="A7711" i="1"/>
  <c r="B7711" i="1"/>
  <c r="C7711" i="1"/>
  <c r="M7711" i="1"/>
  <c r="A7712" i="1"/>
  <c r="B7712" i="1"/>
  <c r="C7712" i="1"/>
  <c r="M7712" i="1"/>
  <c r="A7713" i="1"/>
  <c r="B7713" i="1"/>
  <c r="C7713" i="1"/>
  <c r="M7713" i="1"/>
  <c r="A7714" i="1"/>
  <c r="B7714" i="1"/>
  <c r="C7714" i="1"/>
  <c r="M7714" i="1"/>
  <c r="A7715" i="1"/>
  <c r="B7715" i="1"/>
  <c r="C7715" i="1"/>
  <c r="M7715" i="1"/>
  <c r="A7716" i="1"/>
  <c r="B7716" i="1"/>
  <c r="C7716" i="1"/>
  <c r="M7716" i="1"/>
  <c r="A7717" i="1"/>
  <c r="B7717" i="1"/>
  <c r="C7717" i="1"/>
  <c r="M7717" i="1"/>
  <c r="A7718" i="1"/>
  <c r="B7718" i="1"/>
  <c r="C7718" i="1"/>
  <c r="M7718" i="1"/>
  <c r="A7719" i="1"/>
  <c r="B7719" i="1"/>
  <c r="C7719" i="1"/>
  <c r="M7719" i="1"/>
  <c r="A7720" i="1"/>
  <c r="B7720" i="1"/>
  <c r="C7720" i="1"/>
  <c r="M7720" i="1"/>
  <c r="A7721" i="1"/>
  <c r="B7721" i="1"/>
  <c r="C7721" i="1"/>
  <c r="M7721" i="1"/>
  <c r="A7722" i="1"/>
  <c r="B7722" i="1"/>
  <c r="C7722" i="1"/>
  <c r="M7722" i="1"/>
  <c r="A7723" i="1"/>
  <c r="B7723" i="1"/>
  <c r="C7723" i="1"/>
  <c r="M7723" i="1"/>
  <c r="A7724" i="1"/>
  <c r="B7724" i="1"/>
  <c r="C7724" i="1"/>
  <c r="M7724" i="1"/>
  <c r="A7725" i="1"/>
  <c r="B7725" i="1"/>
  <c r="C7725" i="1"/>
  <c r="M7725" i="1"/>
  <c r="A7726" i="1"/>
  <c r="B7726" i="1"/>
  <c r="C7726" i="1"/>
  <c r="M7726" i="1"/>
  <c r="A7727" i="1"/>
  <c r="B7727" i="1"/>
  <c r="C7727" i="1"/>
  <c r="M7727" i="1"/>
  <c r="A7728" i="1"/>
  <c r="B7728" i="1"/>
  <c r="C7728" i="1"/>
  <c r="M7728" i="1"/>
  <c r="A7729" i="1"/>
  <c r="B7729" i="1"/>
  <c r="C7729" i="1"/>
  <c r="M7729" i="1"/>
  <c r="A7730" i="1"/>
  <c r="B7730" i="1"/>
  <c r="C7730" i="1"/>
  <c r="M7730" i="1"/>
  <c r="A7731" i="1"/>
  <c r="B7731" i="1"/>
  <c r="C7731" i="1"/>
  <c r="M7731" i="1"/>
  <c r="A7732" i="1"/>
  <c r="B7732" i="1"/>
  <c r="C7732" i="1"/>
  <c r="M7732" i="1"/>
  <c r="A7733" i="1"/>
  <c r="B7733" i="1"/>
  <c r="C7733" i="1"/>
  <c r="M7733" i="1"/>
  <c r="A7734" i="1"/>
  <c r="B7734" i="1"/>
  <c r="C7734" i="1"/>
  <c r="M7734" i="1"/>
  <c r="A7735" i="1"/>
  <c r="B7735" i="1"/>
  <c r="C7735" i="1"/>
  <c r="M7735" i="1"/>
  <c r="A7736" i="1"/>
  <c r="B7736" i="1"/>
  <c r="C7736" i="1"/>
  <c r="M7736" i="1"/>
  <c r="A7737" i="1"/>
  <c r="B7737" i="1"/>
  <c r="C7737" i="1"/>
  <c r="M7737" i="1"/>
  <c r="A7738" i="1"/>
  <c r="B7738" i="1"/>
  <c r="C7738" i="1"/>
  <c r="M7738" i="1"/>
  <c r="A7739" i="1"/>
  <c r="B7739" i="1"/>
  <c r="C7739" i="1"/>
  <c r="M7739" i="1"/>
  <c r="A7740" i="1"/>
  <c r="B7740" i="1"/>
  <c r="C7740" i="1"/>
  <c r="M7740" i="1"/>
  <c r="A7741" i="1"/>
  <c r="B7741" i="1"/>
  <c r="C7741" i="1"/>
  <c r="M7741" i="1"/>
  <c r="A7742" i="1"/>
  <c r="B7742" i="1"/>
  <c r="C7742" i="1"/>
  <c r="M7742" i="1"/>
  <c r="A7743" i="1"/>
  <c r="B7743" i="1"/>
  <c r="C7743" i="1"/>
  <c r="M7743" i="1"/>
  <c r="A7744" i="1"/>
  <c r="B7744" i="1"/>
  <c r="C7744" i="1"/>
  <c r="M7744" i="1"/>
  <c r="A7745" i="1"/>
  <c r="B7745" i="1"/>
  <c r="C7745" i="1"/>
  <c r="M7745" i="1"/>
  <c r="A7746" i="1"/>
  <c r="B7746" i="1"/>
  <c r="C7746" i="1"/>
  <c r="M7746" i="1"/>
  <c r="A7747" i="1"/>
  <c r="B7747" i="1"/>
  <c r="C7747" i="1"/>
  <c r="M7747" i="1"/>
  <c r="A7748" i="1"/>
  <c r="B7748" i="1"/>
  <c r="C7748" i="1"/>
  <c r="M7748" i="1"/>
  <c r="A7749" i="1"/>
  <c r="B7749" i="1"/>
  <c r="C7749" i="1"/>
  <c r="M7749" i="1"/>
  <c r="A7750" i="1"/>
  <c r="B7750" i="1"/>
  <c r="C7750" i="1"/>
  <c r="M7750" i="1"/>
  <c r="A7751" i="1"/>
  <c r="B7751" i="1"/>
  <c r="C7751" i="1"/>
  <c r="M7751" i="1"/>
  <c r="A7752" i="1"/>
  <c r="B7752" i="1"/>
  <c r="C7752" i="1"/>
  <c r="M7752" i="1"/>
  <c r="A7753" i="1"/>
  <c r="B7753" i="1"/>
  <c r="C7753" i="1"/>
  <c r="M7753" i="1"/>
  <c r="A7754" i="1"/>
  <c r="B7754" i="1"/>
  <c r="C7754" i="1"/>
  <c r="M7754" i="1"/>
  <c r="A7755" i="1"/>
  <c r="B7755" i="1"/>
  <c r="C7755" i="1"/>
  <c r="M7755" i="1"/>
  <c r="A7756" i="1"/>
  <c r="B7756" i="1"/>
  <c r="C7756" i="1"/>
  <c r="M7756" i="1"/>
  <c r="A7757" i="1"/>
  <c r="B7757" i="1"/>
  <c r="C7757" i="1"/>
  <c r="M7757" i="1"/>
  <c r="A7758" i="1"/>
  <c r="B7758" i="1"/>
  <c r="C7758" i="1"/>
  <c r="M7758" i="1"/>
  <c r="A7759" i="1"/>
  <c r="B7759" i="1"/>
  <c r="C7759" i="1"/>
  <c r="M7759" i="1"/>
  <c r="A7760" i="1"/>
  <c r="B7760" i="1"/>
  <c r="C7760" i="1"/>
  <c r="M7760" i="1"/>
  <c r="A7761" i="1"/>
  <c r="B7761" i="1"/>
  <c r="C7761" i="1"/>
  <c r="M7761" i="1"/>
  <c r="A7762" i="1"/>
  <c r="B7762" i="1"/>
  <c r="C7762" i="1"/>
  <c r="M7762" i="1"/>
  <c r="A7763" i="1"/>
  <c r="B7763" i="1"/>
  <c r="C7763" i="1"/>
  <c r="M7763" i="1"/>
  <c r="A7764" i="1"/>
  <c r="B7764" i="1"/>
  <c r="C7764" i="1"/>
  <c r="M7764" i="1"/>
  <c r="A7765" i="1"/>
  <c r="B7765" i="1"/>
  <c r="C7765" i="1"/>
  <c r="M7765" i="1"/>
  <c r="A7766" i="1"/>
  <c r="B7766" i="1"/>
  <c r="C7766" i="1"/>
  <c r="M7766" i="1"/>
  <c r="A7767" i="1"/>
  <c r="B7767" i="1"/>
  <c r="C7767" i="1"/>
  <c r="M7767" i="1"/>
  <c r="A7768" i="1"/>
  <c r="B7768" i="1"/>
  <c r="C7768" i="1"/>
  <c r="M7768" i="1"/>
  <c r="A7769" i="1"/>
  <c r="B7769" i="1"/>
  <c r="C7769" i="1"/>
  <c r="M7769" i="1"/>
  <c r="A7770" i="1"/>
  <c r="B7770" i="1"/>
  <c r="C7770" i="1"/>
  <c r="M7770" i="1"/>
  <c r="A7771" i="1"/>
  <c r="B7771" i="1"/>
  <c r="C7771" i="1"/>
  <c r="M7771" i="1"/>
  <c r="A7772" i="1"/>
  <c r="B7772" i="1"/>
  <c r="C7772" i="1"/>
  <c r="M7772" i="1"/>
  <c r="A7773" i="1"/>
  <c r="B7773" i="1"/>
  <c r="C7773" i="1"/>
  <c r="M7773" i="1"/>
  <c r="A7774" i="1"/>
  <c r="B7774" i="1"/>
  <c r="C7774" i="1"/>
  <c r="M7774" i="1"/>
  <c r="A7775" i="1"/>
  <c r="B7775" i="1"/>
  <c r="C7775" i="1"/>
  <c r="M7775" i="1"/>
  <c r="A7776" i="1"/>
  <c r="B7776" i="1"/>
  <c r="C7776" i="1"/>
  <c r="M7776" i="1"/>
  <c r="A7777" i="1"/>
  <c r="B7777" i="1"/>
  <c r="C7777" i="1"/>
  <c r="M7777" i="1"/>
  <c r="A7778" i="1"/>
  <c r="B7778" i="1"/>
  <c r="C7778" i="1"/>
  <c r="M7778" i="1"/>
  <c r="A7779" i="1"/>
  <c r="B7779" i="1"/>
  <c r="C7779" i="1"/>
  <c r="M7779" i="1"/>
  <c r="A7780" i="1"/>
  <c r="B7780" i="1"/>
  <c r="C7780" i="1"/>
  <c r="M7780" i="1"/>
  <c r="A7781" i="1"/>
  <c r="B7781" i="1"/>
  <c r="C7781" i="1"/>
  <c r="M7781" i="1"/>
  <c r="A7782" i="1"/>
  <c r="B7782" i="1"/>
  <c r="C7782" i="1"/>
  <c r="M7782" i="1"/>
  <c r="A7783" i="1"/>
  <c r="B7783" i="1"/>
  <c r="C7783" i="1"/>
  <c r="M7783" i="1"/>
  <c r="A7784" i="1"/>
  <c r="B7784" i="1"/>
  <c r="C7784" i="1"/>
  <c r="M7784" i="1"/>
  <c r="A7785" i="1"/>
  <c r="B7785" i="1"/>
  <c r="C7785" i="1"/>
  <c r="M7785" i="1"/>
  <c r="A7786" i="1"/>
  <c r="B7786" i="1"/>
  <c r="C7786" i="1"/>
  <c r="M7786" i="1"/>
  <c r="A7787" i="1"/>
  <c r="B7787" i="1"/>
  <c r="C7787" i="1"/>
  <c r="M7787" i="1"/>
  <c r="A7788" i="1"/>
  <c r="B7788" i="1"/>
  <c r="C7788" i="1"/>
  <c r="M7788" i="1"/>
  <c r="A7789" i="1"/>
  <c r="B7789" i="1"/>
  <c r="C7789" i="1"/>
  <c r="M7789" i="1"/>
  <c r="A7790" i="1"/>
  <c r="B7790" i="1"/>
  <c r="C7790" i="1"/>
  <c r="M7790" i="1"/>
  <c r="A7791" i="1"/>
  <c r="B7791" i="1"/>
  <c r="C7791" i="1"/>
  <c r="M7791" i="1"/>
  <c r="A7792" i="1"/>
  <c r="B7792" i="1"/>
  <c r="C7792" i="1"/>
  <c r="M7792" i="1"/>
  <c r="A7793" i="1"/>
  <c r="B7793" i="1"/>
  <c r="C7793" i="1"/>
  <c r="M7793" i="1"/>
  <c r="A7794" i="1"/>
  <c r="B7794" i="1"/>
  <c r="C7794" i="1"/>
  <c r="M7794" i="1"/>
  <c r="A7795" i="1"/>
  <c r="B7795" i="1"/>
  <c r="C7795" i="1"/>
  <c r="M7795" i="1"/>
  <c r="A7796" i="1"/>
  <c r="B7796" i="1"/>
  <c r="C7796" i="1"/>
  <c r="M7796" i="1"/>
  <c r="A7797" i="1"/>
  <c r="B7797" i="1"/>
  <c r="C7797" i="1"/>
  <c r="M7797" i="1"/>
  <c r="A7798" i="1"/>
  <c r="B7798" i="1"/>
  <c r="C7798" i="1"/>
  <c r="M7798" i="1"/>
  <c r="A7799" i="1"/>
  <c r="B7799" i="1"/>
  <c r="C7799" i="1"/>
  <c r="M7799" i="1"/>
  <c r="A7800" i="1"/>
  <c r="B7800" i="1"/>
  <c r="C7800" i="1"/>
  <c r="M7800" i="1"/>
  <c r="A7801" i="1"/>
  <c r="B7801" i="1"/>
  <c r="C7801" i="1"/>
  <c r="M7801" i="1"/>
  <c r="A7802" i="1"/>
  <c r="B7802" i="1"/>
  <c r="C7802" i="1"/>
  <c r="M7802" i="1"/>
  <c r="A7803" i="1"/>
  <c r="B7803" i="1"/>
  <c r="C7803" i="1"/>
  <c r="M7803" i="1"/>
  <c r="A7804" i="1"/>
  <c r="B7804" i="1"/>
  <c r="C7804" i="1"/>
  <c r="M7804" i="1"/>
  <c r="A7805" i="1"/>
  <c r="B7805" i="1"/>
  <c r="C7805" i="1"/>
  <c r="M7805" i="1"/>
  <c r="A7806" i="1"/>
  <c r="B7806" i="1"/>
  <c r="C7806" i="1"/>
  <c r="M7806" i="1"/>
  <c r="A7807" i="1"/>
  <c r="B7807" i="1"/>
  <c r="C7807" i="1"/>
  <c r="M7807" i="1"/>
  <c r="A7808" i="1"/>
  <c r="B7808" i="1"/>
  <c r="C7808" i="1"/>
  <c r="M7808" i="1"/>
  <c r="A7809" i="1"/>
  <c r="B7809" i="1"/>
  <c r="C7809" i="1"/>
  <c r="M7809" i="1"/>
  <c r="A7810" i="1"/>
  <c r="B7810" i="1"/>
  <c r="C7810" i="1"/>
  <c r="M7810" i="1"/>
  <c r="A7811" i="1"/>
  <c r="B7811" i="1"/>
  <c r="C7811" i="1"/>
  <c r="M7811" i="1"/>
  <c r="A7812" i="1"/>
  <c r="B7812" i="1"/>
  <c r="C7812" i="1"/>
  <c r="M7812" i="1"/>
  <c r="A7813" i="1"/>
  <c r="B7813" i="1"/>
  <c r="C7813" i="1"/>
  <c r="M7813" i="1"/>
  <c r="A7814" i="1"/>
  <c r="B7814" i="1"/>
  <c r="C7814" i="1"/>
  <c r="M7814" i="1"/>
  <c r="A7815" i="1"/>
  <c r="B7815" i="1"/>
  <c r="C7815" i="1"/>
  <c r="M7815" i="1"/>
  <c r="A7816" i="1"/>
  <c r="B7816" i="1"/>
  <c r="C7816" i="1"/>
  <c r="M7816" i="1"/>
  <c r="A7817" i="1"/>
  <c r="B7817" i="1"/>
  <c r="C7817" i="1"/>
  <c r="M7817" i="1"/>
  <c r="A7818" i="1"/>
  <c r="B7818" i="1"/>
  <c r="C7818" i="1"/>
  <c r="M7818" i="1"/>
  <c r="A7819" i="1"/>
  <c r="B7819" i="1"/>
  <c r="C7819" i="1"/>
  <c r="M7819" i="1"/>
  <c r="A7820" i="1"/>
  <c r="B7820" i="1"/>
  <c r="C7820" i="1"/>
  <c r="M7820" i="1"/>
  <c r="A7821" i="1"/>
  <c r="B7821" i="1"/>
  <c r="C7821" i="1"/>
  <c r="M7821" i="1"/>
  <c r="A7822" i="1"/>
  <c r="B7822" i="1"/>
  <c r="C7822" i="1"/>
  <c r="M7822" i="1"/>
  <c r="A7823" i="1"/>
  <c r="B7823" i="1"/>
  <c r="C7823" i="1"/>
  <c r="M7823" i="1"/>
  <c r="A7824" i="1"/>
  <c r="B7824" i="1"/>
  <c r="C7824" i="1"/>
  <c r="M7824" i="1"/>
  <c r="A7825" i="1"/>
  <c r="B7825" i="1"/>
  <c r="C7825" i="1"/>
  <c r="M7825" i="1"/>
  <c r="A7826" i="1"/>
  <c r="B7826" i="1"/>
  <c r="C7826" i="1"/>
  <c r="M7826" i="1"/>
  <c r="A7827" i="1"/>
  <c r="B7827" i="1"/>
  <c r="C7827" i="1"/>
  <c r="M7827" i="1"/>
  <c r="A7828" i="1"/>
  <c r="B7828" i="1"/>
  <c r="C7828" i="1"/>
  <c r="M7828" i="1"/>
  <c r="A7829" i="1"/>
  <c r="B7829" i="1"/>
  <c r="C7829" i="1"/>
  <c r="M7829" i="1"/>
  <c r="A7830" i="1"/>
  <c r="B7830" i="1"/>
  <c r="C7830" i="1"/>
  <c r="M7830" i="1"/>
  <c r="A7831" i="1"/>
  <c r="B7831" i="1"/>
  <c r="C7831" i="1"/>
  <c r="M7831" i="1"/>
  <c r="A7832" i="1"/>
  <c r="B7832" i="1"/>
  <c r="C7832" i="1"/>
  <c r="M7832" i="1"/>
  <c r="A7833" i="1"/>
  <c r="B7833" i="1"/>
  <c r="C7833" i="1"/>
  <c r="M7833" i="1"/>
  <c r="A7834" i="1"/>
  <c r="B7834" i="1"/>
  <c r="C7834" i="1"/>
  <c r="M7834" i="1"/>
  <c r="A7835" i="1"/>
  <c r="B7835" i="1"/>
  <c r="C7835" i="1"/>
  <c r="M7835" i="1"/>
  <c r="A7836" i="1"/>
  <c r="B7836" i="1"/>
  <c r="C7836" i="1"/>
  <c r="M7836" i="1"/>
  <c r="A7837" i="1"/>
  <c r="B7837" i="1"/>
  <c r="C7837" i="1"/>
  <c r="M7837" i="1"/>
  <c r="A7838" i="1"/>
  <c r="B7838" i="1"/>
  <c r="C7838" i="1"/>
  <c r="M7838" i="1"/>
  <c r="A7839" i="1"/>
  <c r="B7839" i="1"/>
  <c r="C7839" i="1"/>
  <c r="M7839" i="1"/>
  <c r="A7840" i="1"/>
  <c r="B7840" i="1"/>
  <c r="C7840" i="1"/>
  <c r="M7840" i="1"/>
  <c r="A7841" i="1"/>
  <c r="B7841" i="1"/>
  <c r="C7841" i="1"/>
  <c r="M7841" i="1"/>
  <c r="A7842" i="1"/>
  <c r="B7842" i="1"/>
  <c r="C7842" i="1"/>
  <c r="M7842" i="1"/>
  <c r="A7843" i="1"/>
  <c r="B7843" i="1"/>
  <c r="C7843" i="1"/>
  <c r="M7843" i="1"/>
  <c r="A7844" i="1"/>
  <c r="B7844" i="1"/>
  <c r="C7844" i="1"/>
  <c r="M7844" i="1"/>
  <c r="A7845" i="1"/>
  <c r="B7845" i="1"/>
  <c r="C7845" i="1"/>
  <c r="M7845" i="1"/>
  <c r="A7846" i="1"/>
  <c r="B7846" i="1"/>
  <c r="C7846" i="1"/>
  <c r="M7846" i="1"/>
  <c r="A7847" i="1"/>
  <c r="B7847" i="1"/>
  <c r="C7847" i="1"/>
  <c r="M7847" i="1"/>
  <c r="A7848" i="1"/>
  <c r="B7848" i="1"/>
  <c r="C7848" i="1"/>
  <c r="M7848" i="1"/>
  <c r="A7849" i="1"/>
  <c r="B7849" i="1"/>
  <c r="C7849" i="1"/>
  <c r="M7849" i="1"/>
  <c r="A7850" i="1"/>
  <c r="B7850" i="1"/>
  <c r="C7850" i="1"/>
  <c r="M7850" i="1"/>
  <c r="A7851" i="1"/>
  <c r="B7851" i="1"/>
  <c r="C7851" i="1"/>
  <c r="M7851" i="1"/>
  <c r="A7852" i="1"/>
  <c r="B7852" i="1"/>
  <c r="C7852" i="1"/>
  <c r="M7852" i="1"/>
  <c r="A7853" i="1"/>
  <c r="B7853" i="1"/>
  <c r="C7853" i="1"/>
  <c r="M7853" i="1"/>
  <c r="A7854" i="1"/>
  <c r="B7854" i="1"/>
  <c r="C7854" i="1"/>
  <c r="M7854" i="1"/>
  <c r="A7855" i="1"/>
  <c r="B7855" i="1"/>
  <c r="C7855" i="1"/>
  <c r="M7855" i="1"/>
  <c r="A7856" i="1"/>
  <c r="B7856" i="1"/>
  <c r="C7856" i="1"/>
  <c r="M7856" i="1"/>
  <c r="A7857" i="1"/>
  <c r="B7857" i="1"/>
  <c r="C7857" i="1"/>
  <c r="M7857" i="1"/>
  <c r="A7858" i="1"/>
  <c r="B7858" i="1"/>
  <c r="C7858" i="1"/>
  <c r="M7858" i="1"/>
  <c r="A7859" i="1"/>
  <c r="B7859" i="1"/>
  <c r="C7859" i="1"/>
  <c r="M7859" i="1"/>
  <c r="A7860" i="1"/>
  <c r="B7860" i="1"/>
  <c r="C7860" i="1"/>
  <c r="M7860" i="1"/>
  <c r="A7861" i="1"/>
  <c r="B7861" i="1"/>
  <c r="C7861" i="1"/>
  <c r="M7861" i="1"/>
  <c r="A7862" i="1"/>
  <c r="B7862" i="1"/>
  <c r="C7862" i="1"/>
  <c r="M7862" i="1"/>
  <c r="A7863" i="1"/>
  <c r="B7863" i="1"/>
  <c r="C7863" i="1"/>
  <c r="M7863" i="1"/>
  <c r="A7864" i="1"/>
  <c r="B7864" i="1"/>
  <c r="C7864" i="1"/>
  <c r="M7864" i="1"/>
  <c r="A7865" i="1"/>
  <c r="B7865" i="1"/>
  <c r="C7865" i="1"/>
  <c r="M7865" i="1"/>
  <c r="A7866" i="1"/>
  <c r="B7866" i="1"/>
  <c r="C7866" i="1"/>
  <c r="M7866" i="1"/>
  <c r="A7867" i="1"/>
  <c r="B7867" i="1"/>
  <c r="C7867" i="1"/>
  <c r="M7867" i="1"/>
  <c r="A7868" i="1"/>
  <c r="B7868" i="1"/>
  <c r="C7868" i="1"/>
  <c r="M7868" i="1"/>
  <c r="A7869" i="1"/>
  <c r="B7869" i="1"/>
  <c r="C7869" i="1"/>
  <c r="M7869" i="1"/>
  <c r="A7870" i="1"/>
  <c r="B7870" i="1"/>
  <c r="C7870" i="1"/>
  <c r="M7870" i="1"/>
  <c r="A7871" i="1"/>
  <c r="B7871" i="1"/>
  <c r="C7871" i="1"/>
  <c r="M7871" i="1"/>
  <c r="A7872" i="1"/>
  <c r="B7872" i="1"/>
  <c r="C7872" i="1"/>
  <c r="M7872" i="1"/>
  <c r="A7873" i="1"/>
  <c r="B7873" i="1"/>
  <c r="C7873" i="1"/>
  <c r="M7873" i="1"/>
  <c r="A7874" i="1"/>
  <c r="B7874" i="1"/>
  <c r="C7874" i="1"/>
  <c r="M7874" i="1"/>
  <c r="A7875" i="1"/>
  <c r="B7875" i="1"/>
  <c r="C7875" i="1"/>
  <c r="M7875" i="1"/>
  <c r="A7876" i="1"/>
  <c r="B7876" i="1"/>
  <c r="C7876" i="1"/>
  <c r="M7876" i="1"/>
  <c r="A7877" i="1"/>
  <c r="B7877" i="1"/>
  <c r="C7877" i="1"/>
  <c r="M7877" i="1"/>
  <c r="A7878" i="1"/>
  <c r="B7878" i="1"/>
  <c r="C7878" i="1"/>
  <c r="M7878" i="1"/>
  <c r="A7879" i="1"/>
  <c r="B7879" i="1"/>
  <c r="C7879" i="1"/>
  <c r="M7879" i="1"/>
  <c r="A7880" i="1"/>
  <c r="B7880" i="1"/>
  <c r="C7880" i="1"/>
  <c r="M7880" i="1"/>
  <c r="A7881" i="1"/>
  <c r="B7881" i="1"/>
  <c r="C7881" i="1"/>
  <c r="M7881" i="1"/>
  <c r="A7882" i="1"/>
  <c r="B7882" i="1"/>
  <c r="C7882" i="1"/>
  <c r="M7882" i="1"/>
  <c r="A7883" i="1"/>
  <c r="B7883" i="1"/>
  <c r="C7883" i="1"/>
  <c r="M7883" i="1"/>
  <c r="A7884" i="1"/>
  <c r="B7884" i="1"/>
  <c r="C7884" i="1"/>
  <c r="M7884" i="1"/>
  <c r="A7885" i="1"/>
  <c r="B7885" i="1"/>
  <c r="C7885" i="1"/>
  <c r="M7885" i="1"/>
  <c r="A7886" i="1"/>
  <c r="B7886" i="1"/>
  <c r="C7886" i="1"/>
  <c r="M7886" i="1"/>
  <c r="A7887" i="1"/>
  <c r="B7887" i="1"/>
  <c r="C7887" i="1"/>
  <c r="M7887" i="1"/>
  <c r="A7888" i="1"/>
  <c r="B7888" i="1"/>
  <c r="C7888" i="1"/>
  <c r="M7888" i="1"/>
  <c r="A7889" i="1"/>
  <c r="B7889" i="1"/>
  <c r="C7889" i="1"/>
  <c r="M7889" i="1"/>
  <c r="A7890" i="1"/>
  <c r="B7890" i="1"/>
  <c r="C7890" i="1"/>
  <c r="M7890" i="1"/>
  <c r="A7891" i="1"/>
  <c r="B7891" i="1"/>
  <c r="C7891" i="1"/>
  <c r="M7891" i="1"/>
  <c r="A7892" i="1"/>
  <c r="B7892" i="1"/>
  <c r="C7892" i="1"/>
  <c r="M7892" i="1"/>
  <c r="A7893" i="1"/>
  <c r="B7893" i="1"/>
  <c r="C7893" i="1"/>
  <c r="M7893" i="1"/>
  <c r="A7894" i="1"/>
  <c r="B7894" i="1"/>
  <c r="C7894" i="1"/>
  <c r="M7894" i="1"/>
  <c r="A7895" i="1"/>
  <c r="B7895" i="1"/>
  <c r="C7895" i="1"/>
  <c r="M7895" i="1"/>
  <c r="A7896" i="1"/>
  <c r="B7896" i="1"/>
  <c r="C7896" i="1"/>
  <c r="M7896" i="1"/>
  <c r="A7897" i="1"/>
  <c r="B7897" i="1"/>
  <c r="C7897" i="1"/>
  <c r="M7897" i="1"/>
  <c r="A7898" i="1"/>
  <c r="B7898" i="1"/>
  <c r="C7898" i="1"/>
  <c r="M7898" i="1"/>
  <c r="A7899" i="1"/>
  <c r="B7899" i="1"/>
  <c r="C7899" i="1"/>
  <c r="M7899" i="1"/>
  <c r="A7900" i="1"/>
  <c r="B7900" i="1"/>
  <c r="C7900" i="1"/>
  <c r="M7900" i="1"/>
  <c r="A7901" i="1"/>
  <c r="B7901" i="1"/>
  <c r="C7901" i="1"/>
  <c r="M7901" i="1"/>
  <c r="A7902" i="1"/>
  <c r="B7902" i="1"/>
  <c r="C7902" i="1"/>
  <c r="M7902" i="1"/>
  <c r="A7903" i="1"/>
  <c r="B7903" i="1"/>
  <c r="C7903" i="1"/>
  <c r="M7903" i="1"/>
  <c r="A7904" i="1"/>
  <c r="B7904" i="1"/>
  <c r="C7904" i="1"/>
  <c r="M7904" i="1"/>
  <c r="A7905" i="1"/>
  <c r="B7905" i="1"/>
  <c r="C7905" i="1"/>
  <c r="M7905" i="1"/>
  <c r="A7906" i="1"/>
  <c r="B7906" i="1"/>
  <c r="C7906" i="1"/>
  <c r="M7906" i="1"/>
  <c r="A7907" i="1"/>
  <c r="B7907" i="1"/>
  <c r="C7907" i="1"/>
  <c r="M7907" i="1"/>
  <c r="A7908" i="1"/>
  <c r="B7908" i="1"/>
  <c r="C7908" i="1"/>
  <c r="M7908" i="1"/>
  <c r="A7909" i="1"/>
  <c r="B7909" i="1"/>
  <c r="C7909" i="1"/>
  <c r="M7909" i="1"/>
  <c r="A7910" i="1"/>
  <c r="B7910" i="1"/>
  <c r="C7910" i="1"/>
  <c r="M7910" i="1"/>
  <c r="A7911" i="1"/>
  <c r="B7911" i="1"/>
  <c r="C7911" i="1"/>
  <c r="M7911" i="1"/>
  <c r="A7912" i="1"/>
  <c r="B7912" i="1"/>
  <c r="C7912" i="1"/>
  <c r="M7912" i="1"/>
  <c r="A7913" i="1"/>
  <c r="B7913" i="1"/>
  <c r="C7913" i="1"/>
  <c r="M7913" i="1"/>
  <c r="A7914" i="1"/>
  <c r="B7914" i="1"/>
  <c r="C7914" i="1"/>
  <c r="M7914" i="1"/>
  <c r="A7915" i="1"/>
  <c r="B7915" i="1"/>
  <c r="C7915" i="1"/>
  <c r="M7915" i="1"/>
  <c r="A7916" i="1"/>
  <c r="B7916" i="1"/>
  <c r="C7916" i="1"/>
  <c r="M7916" i="1"/>
  <c r="A7917" i="1"/>
  <c r="B7917" i="1"/>
  <c r="C7917" i="1"/>
  <c r="M7917" i="1"/>
  <c r="A7918" i="1"/>
  <c r="B7918" i="1"/>
  <c r="C7918" i="1"/>
  <c r="M7918" i="1"/>
  <c r="A7919" i="1"/>
  <c r="B7919" i="1"/>
  <c r="C7919" i="1"/>
  <c r="M7919" i="1"/>
  <c r="A7920" i="1"/>
  <c r="B7920" i="1"/>
  <c r="C7920" i="1"/>
  <c r="M7920" i="1"/>
  <c r="A7921" i="1"/>
  <c r="B7921" i="1"/>
  <c r="C7921" i="1"/>
  <c r="M7921" i="1"/>
  <c r="A7922" i="1"/>
  <c r="B7922" i="1"/>
  <c r="C7922" i="1"/>
  <c r="M7922" i="1"/>
  <c r="A7923" i="1"/>
  <c r="B7923" i="1"/>
  <c r="C7923" i="1"/>
  <c r="M7923" i="1"/>
  <c r="A7924" i="1"/>
  <c r="B7924" i="1"/>
  <c r="C7924" i="1"/>
  <c r="M7924" i="1"/>
  <c r="A7925" i="1"/>
  <c r="B7925" i="1"/>
  <c r="C7925" i="1"/>
  <c r="M7925" i="1"/>
  <c r="A7926" i="1"/>
  <c r="B7926" i="1"/>
  <c r="C7926" i="1"/>
  <c r="M7926" i="1"/>
  <c r="A7927" i="1"/>
  <c r="B7927" i="1"/>
  <c r="C7927" i="1"/>
  <c r="M7927" i="1"/>
  <c r="A7928" i="1"/>
  <c r="B7928" i="1"/>
  <c r="C7928" i="1"/>
  <c r="M7928" i="1"/>
  <c r="A7929" i="1"/>
  <c r="B7929" i="1"/>
  <c r="C7929" i="1"/>
  <c r="M7929" i="1"/>
  <c r="A7930" i="1"/>
  <c r="B7930" i="1"/>
  <c r="C7930" i="1"/>
  <c r="M7930" i="1"/>
  <c r="A7931" i="1"/>
  <c r="B7931" i="1"/>
  <c r="C7931" i="1"/>
  <c r="M7931" i="1"/>
  <c r="A7932" i="1"/>
  <c r="B7932" i="1"/>
  <c r="C7932" i="1"/>
  <c r="M7932" i="1"/>
  <c r="A7933" i="1"/>
  <c r="B7933" i="1"/>
  <c r="C7933" i="1"/>
  <c r="M7933" i="1"/>
  <c r="A7934" i="1"/>
  <c r="B7934" i="1"/>
  <c r="C7934" i="1"/>
  <c r="M7934" i="1"/>
  <c r="A7935" i="1"/>
  <c r="B7935" i="1"/>
  <c r="C7935" i="1"/>
  <c r="M7935" i="1"/>
  <c r="A7936" i="1"/>
  <c r="B7936" i="1"/>
  <c r="C7936" i="1"/>
  <c r="M7936" i="1"/>
  <c r="A7937" i="1"/>
  <c r="B7937" i="1"/>
  <c r="C7937" i="1"/>
  <c r="M7937" i="1"/>
  <c r="A7938" i="1"/>
  <c r="B7938" i="1"/>
  <c r="C7938" i="1"/>
  <c r="M7938" i="1"/>
  <c r="A7939" i="1"/>
  <c r="B7939" i="1"/>
  <c r="C7939" i="1"/>
  <c r="M7939" i="1"/>
  <c r="A7940" i="1"/>
  <c r="B7940" i="1"/>
  <c r="C7940" i="1"/>
  <c r="M7940" i="1"/>
  <c r="A7941" i="1"/>
  <c r="B7941" i="1"/>
  <c r="C7941" i="1"/>
  <c r="M7941" i="1"/>
  <c r="A7942" i="1"/>
  <c r="B7942" i="1"/>
  <c r="C7942" i="1"/>
  <c r="M7942" i="1"/>
  <c r="A7943" i="1"/>
  <c r="B7943" i="1"/>
  <c r="C7943" i="1"/>
  <c r="M7943" i="1"/>
  <c r="A7944" i="1"/>
  <c r="B7944" i="1"/>
  <c r="C7944" i="1"/>
  <c r="M7944" i="1"/>
  <c r="A7945" i="1"/>
  <c r="B7945" i="1"/>
  <c r="C7945" i="1"/>
  <c r="M7945" i="1"/>
  <c r="A7946" i="1"/>
  <c r="B7946" i="1"/>
  <c r="C7946" i="1"/>
  <c r="M7946" i="1"/>
  <c r="A7947" i="1"/>
  <c r="B7947" i="1"/>
  <c r="C7947" i="1"/>
  <c r="M7947" i="1"/>
  <c r="A7948" i="1"/>
  <c r="B7948" i="1"/>
  <c r="C7948" i="1"/>
  <c r="M7948" i="1"/>
  <c r="A7949" i="1"/>
  <c r="B7949" i="1"/>
  <c r="C7949" i="1"/>
  <c r="M7949" i="1"/>
  <c r="A7950" i="1"/>
  <c r="B7950" i="1"/>
  <c r="C7950" i="1"/>
  <c r="M7950" i="1"/>
  <c r="A7951" i="1"/>
  <c r="B7951" i="1"/>
  <c r="C7951" i="1"/>
  <c r="M7951" i="1"/>
  <c r="A7952" i="1"/>
  <c r="B7952" i="1"/>
  <c r="C7952" i="1"/>
  <c r="M7952" i="1"/>
  <c r="A7953" i="1"/>
  <c r="B7953" i="1"/>
  <c r="C7953" i="1"/>
  <c r="M7953" i="1"/>
  <c r="A7954" i="1"/>
  <c r="B7954" i="1"/>
  <c r="C7954" i="1"/>
  <c r="M7954" i="1"/>
  <c r="A7955" i="1"/>
  <c r="B7955" i="1"/>
  <c r="C7955" i="1"/>
  <c r="M7955" i="1"/>
  <c r="A7956" i="1"/>
  <c r="B7956" i="1"/>
  <c r="C7956" i="1"/>
  <c r="M7956" i="1"/>
  <c r="A7957" i="1"/>
  <c r="B7957" i="1"/>
  <c r="C7957" i="1"/>
  <c r="M7957" i="1"/>
  <c r="A7958" i="1"/>
  <c r="B7958" i="1"/>
  <c r="C7958" i="1"/>
  <c r="M7958" i="1"/>
  <c r="A7959" i="1"/>
  <c r="B7959" i="1"/>
  <c r="C7959" i="1"/>
  <c r="M7959" i="1"/>
  <c r="A7960" i="1"/>
  <c r="B7960" i="1"/>
  <c r="C7960" i="1"/>
  <c r="M7960" i="1"/>
  <c r="A7961" i="1"/>
  <c r="B7961" i="1"/>
  <c r="C7961" i="1"/>
  <c r="M7961" i="1"/>
  <c r="A7962" i="1"/>
  <c r="B7962" i="1"/>
  <c r="C7962" i="1"/>
  <c r="M7962" i="1"/>
  <c r="A7963" i="1"/>
  <c r="B7963" i="1"/>
  <c r="C7963" i="1"/>
  <c r="M7963" i="1"/>
  <c r="A7964" i="1"/>
  <c r="B7964" i="1"/>
  <c r="C7964" i="1"/>
  <c r="M7964" i="1"/>
  <c r="A7965" i="1"/>
  <c r="B7965" i="1"/>
  <c r="C7965" i="1"/>
  <c r="M7965" i="1"/>
  <c r="A7966" i="1"/>
  <c r="B7966" i="1"/>
  <c r="C7966" i="1"/>
  <c r="M7966" i="1"/>
  <c r="A7967" i="1"/>
  <c r="B7967" i="1"/>
  <c r="C7967" i="1"/>
  <c r="M7967" i="1"/>
  <c r="A7968" i="1"/>
  <c r="B7968" i="1"/>
  <c r="C7968" i="1"/>
  <c r="M7968" i="1"/>
  <c r="A7969" i="1"/>
  <c r="B7969" i="1"/>
  <c r="C7969" i="1"/>
  <c r="M7969" i="1"/>
  <c r="A7970" i="1"/>
  <c r="B7970" i="1"/>
  <c r="C7970" i="1"/>
  <c r="M7970" i="1"/>
  <c r="A7971" i="1"/>
  <c r="B7971" i="1"/>
  <c r="C7971" i="1"/>
  <c r="M7971" i="1"/>
  <c r="A7972" i="1"/>
  <c r="B7972" i="1"/>
  <c r="C7972" i="1"/>
  <c r="M7972" i="1"/>
  <c r="A7973" i="1"/>
  <c r="B7973" i="1"/>
  <c r="C7973" i="1"/>
  <c r="M7973" i="1"/>
  <c r="A7974" i="1"/>
  <c r="B7974" i="1"/>
  <c r="C7974" i="1"/>
  <c r="M7974" i="1"/>
  <c r="A7975" i="1"/>
  <c r="B7975" i="1"/>
  <c r="C7975" i="1"/>
  <c r="M7975" i="1"/>
  <c r="A7976" i="1"/>
  <c r="B7976" i="1"/>
  <c r="C7976" i="1"/>
  <c r="M7976" i="1"/>
  <c r="A7977" i="1"/>
  <c r="B7977" i="1"/>
  <c r="C7977" i="1"/>
  <c r="M7977" i="1"/>
  <c r="A7978" i="1"/>
  <c r="B7978" i="1"/>
  <c r="C7978" i="1"/>
  <c r="M7978" i="1"/>
  <c r="A7979" i="1"/>
  <c r="B7979" i="1"/>
  <c r="C7979" i="1"/>
  <c r="M7979" i="1"/>
  <c r="A7980" i="1"/>
  <c r="B7980" i="1"/>
  <c r="C7980" i="1"/>
  <c r="M7980" i="1"/>
  <c r="A7981" i="1"/>
  <c r="B7981" i="1"/>
  <c r="C7981" i="1"/>
  <c r="M7981" i="1"/>
  <c r="A7982" i="1"/>
  <c r="B7982" i="1"/>
  <c r="C7982" i="1"/>
  <c r="M7982" i="1"/>
  <c r="A7983" i="1"/>
  <c r="B7983" i="1"/>
  <c r="C7983" i="1"/>
  <c r="M7983" i="1"/>
  <c r="A7984" i="1"/>
  <c r="B7984" i="1"/>
  <c r="C7984" i="1"/>
  <c r="M7984" i="1"/>
  <c r="A7985" i="1"/>
  <c r="B7985" i="1"/>
  <c r="C7985" i="1"/>
  <c r="M7985" i="1"/>
  <c r="A7986" i="1"/>
  <c r="B7986" i="1"/>
  <c r="C7986" i="1"/>
  <c r="M7986" i="1"/>
  <c r="A7987" i="1"/>
  <c r="B7987" i="1"/>
  <c r="C7987" i="1"/>
  <c r="M7987" i="1"/>
  <c r="A7988" i="1"/>
  <c r="B7988" i="1"/>
  <c r="C7988" i="1"/>
  <c r="M7988" i="1"/>
  <c r="A7989" i="1"/>
  <c r="B7989" i="1"/>
  <c r="C7989" i="1"/>
  <c r="M7989" i="1"/>
  <c r="A7990" i="1"/>
  <c r="B7990" i="1"/>
  <c r="C7990" i="1"/>
  <c r="M7990" i="1"/>
  <c r="A7991" i="1"/>
  <c r="B7991" i="1"/>
  <c r="C7991" i="1"/>
  <c r="M7991" i="1"/>
  <c r="A7992" i="1"/>
  <c r="B7992" i="1"/>
  <c r="C7992" i="1"/>
  <c r="M7992" i="1"/>
  <c r="A7993" i="1"/>
  <c r="B7993" i="1"/>
  <c r="C7993" i="1"/>
  <c r="M7993" i="1"/>
  <c r="A7994" i="1"/>
  <c r="B7994" i="1"/>
  <c r="C7994" i="1"/>
  <c r="M7994" i="1"/>
  <c r="A7995" i="1"/>
  <c r="B7995" i="1"/>
  <c r="C7995" i="1"/>
  <c r="M7995" i="1"/>
  <c r="A7996" i="1"/>
  <c r="B7996" i="1"/>
  <c r="C7996" i="1"/>
  <c r="M7996" i="1"/>
  <c r="A7997" i="1"/>
  <c r="B7997" i="1"/>
  <c r="C7997" i="1"/>
  <c r="M7997" i="1"/>
  <c r="A7998" i="1"/>
  <c r="B7998" i="1"/>
  <c r="C7998" i="1"/>
  <c r="M7998" i="1"/>
  <c r="A7999" i="1"/>
  <c r="B7999" i="1"/>
  <c r="C7999" i="1"/>
  <c r="M7999" i="1"/>
  <c r="A8000" i="1"/>
  <c r="B8000" i="1"/>
  <c r="C8000" i="1"/>
  <c r="M8000" i="1"/>
  <c r="A8001" i="1"/>
  <c r="B8001" i="1"/>
  <c r="C8001" i="1"/>
  <c r="M8001" i="1"/>
  <c r="A8002" i="1"/>
  <c r="B8002" i="1"/>
  <c r="C8002" i="1"/>
  <c r="M8002" i="1"/>
  <c r="A8003" i="1"/>
  <c r="B8003" i="1"/>
  <c r="C8003" i="1"/>
  <c r="M8003" i="1"/>
  <c r="A8004" i="1"/>
  <c r="B8004" i="1"/>
  <c r="C8004" i="1"/>
  <c r="M8004" i="1"/>
  <c r="A8005" i="1"/>
  <c r="B8005" i="1"/>
  <c r="C8005" i="1"/>
  <c r="M8005" i="1"/>
  <c r="A8006" i="1"/>
  <c r="B8006" i="1"/>
  <c r="C8006" i="1"/>
  <c r="M8006" i="1"/>
  <c r="A8007" i="1"/>
  <c r="B8007" i="1"/>
  <c r="C8007" i="1"/>
  <c r="M8007" i="1"/>
  <c r="A8008" i="1"/>
  <c r="B8008" i="1"/>
  <c r="C8008" i="1"/>
  <c r="M8008" i="1"/>
  <c r="A8009" i="1"/>
  <c r="B8009" i="1"/>
  <c r="C8009" i="1"/>
  <c r="M8009" i="1"/>
  <c r="A8010" i="1"/>
  <c r="B8010" i="1"/>
  <c r="C8010" i="1"/>
  <c r="M8010" i="1"/>
  <c r="A8011" i="1"/>
  <c r="B8011" i="1"/>
  <c r="C8011" i="1"/>
  <c r="M8011" i="1"/>
  <c r="A8012" i="1"/>
  <c r="B8012" i="1"/>
  <c r="C8012" i="1"/>
  <c r="M8012" i="1"/>
  <c r="A8013" i="1"/>
  <c r="B8013" i="1"/>
  <c r="C8013" i="1"/>
  <c r="M8013" i="1"/>
  <c r="A8014" i="1"/>
  <c r="B8014" i="1"/>
  <c r="C8014" i="1"/>
  <c r="M8014" i="1"/>
  <c r="A8015" i="1"/>
  <c r="B8015" i="1"/>
  <c r="C8015" i="1"/>
  <c r="M8015" i="1"/>
  <c r="A8016" i="1"/>
  <c r="B8016" i="1"/>
  <c r="C8016" i="1"/>
  <c r="M8016" i="1"/>
  <c r="A8017" i="1"/>
  <c r="B8017" i="1"/>
  <c r="C8017" i="1"/>
  <c r="M8017" i="1"/>
  <c r="A8018" i="1"/>
  <c r="B8018" i="1"/>
  <c r="C8018" i="1"/>
  <c r="M8018" i="1"/>
  <c r="A8019" i="1"/>
  <c r="B8019" i="1"/>
  <c r="C8019" i="1"/>
  <c r="M8019" i="1"/>
  <c r="A8020" i="1"/>
  <c r="B8020" i="1"/>
  <c r="C8020" i="1"/>
  <c r="M8020" i="1"/>
  <c r="A8021" i="1"/>
  <c r="B8021" i="1"/>
  <c r="C8021" i="1"/>
  <c r="M8021" i="1"/>
  <c r="A8022" i="1"/>
  <c r="B8022" i="1"/>
  <c r="C8022" i="1"/>
  <c r="M8022" i="1"/>
  <c r="A8023" i="1"/>
  <c r="B8023" i="1"/>
  <c r="C8023" i="1"/>
  <c r="M8023" i="1"/>
  <c r="A8024" i="1"/>
  <c r="B8024" i="1"/>
  <c r="C8024" i="1"/>
  <c r="M8024" i="1"/>
  <c r="A8025" i="1"/>
  <c r="B8025" i="1"/>
  <c r="C8025" i="1"/>
  <c r="M8025" i="1"/>
  <c r="A8026" i="1"/>
  <c r="B8026" i="1"/>
  <c r="C8026" i="1"/>
  <c r="M8026" i="1"/>
  <c r="A8027" i="1"/>
  <c r="B8027" i="1"/>
  <c r="C8027" i="1"/>
  <c r="M8027" i="1"/>
  <c r="A8028" i="1"/>
  <c r="B8028" i="1"/>
  <c r="C8028" i="1"/>
  <c r="M8028" i="1"/>
  <c r="A8029" i="1"/>
  <c r="B8029" i="1"/>
  <c r="C8029" i="1"/>
  <c r="M8029" i="1"/>
  <c r="A8030" i="1"/>
  <c r="B8030" i="1"/>
  <c r="C8030" i="1"/>
  <c r="M8030" i="1"/>
  <c r="A8031" i="1"/>
  <c r="B8031" i="1"/>
  <c r="C8031" i="1"/>
  <c r="M8031" i="1"/>
  <c r="A8032" i="1"/>
  <c r="B8032" i="1"/>
  <c r="C8032" i="1"/>
  <c r="M8032" i="1"/>
  <c r="A8033" i="1"/>
  <c r="B8033" i="1"/>
  <c r="C8033" i="1"/>
  <c r="M8033" i="1"/>
  <c r="A8034" i="1"/>
  <c r="B8034" i="1"/>
  <c r="C8034" i="1"/>
  <c r="M8034" i="1"/>
  <c r="A8035" i="1"/>
  <c r="B8035" i="1"/>
  <c r="C8035" i="1"/>
  <c r="M8035" i="1"/>
  <c r="A8036" i="1"/>
  <c r="B8036" i="1"/>
  <c r="C8036" i="1"/>
  <c r="M8036" i="1"/>
  <c r="A8037" i="1"/>
  <c r="B8037" i="1"/>
  <c r="C8037" i="1"/>
  <c r="M8037" i="1"/>
  <c r="A8038" i="1"/>
  <c r="B8038" i="1"/>
  <c r="C8038" i="1"/>
  <c r="M8038" i="1"/>
  <c r="A8039" i="1"/>
  <c r="B8039" i="1"/>
  <c r="C8039" i="1"/>
  <c r="M8039" i="1"/>
  <c r="A8040" i="1"/>
  <c r="B8040" i="1"/>
  <c r="C8040" i="1"/>
  <c r="M8040" i="1"/>
  <c r="A8041" i="1"/>
  <c r="B8041" i="1"/>
  <c r="C8041" i="1"/>
  <c r="M8041" i="1"/>
  <c r="A8042" i="1"/>
  <c r="B8042" i="1"/>
  <c r="C8042" i="1"/>
  <c r="M8042" i="1"/>
  <c r="A8043" i="1"/>
  <c r="B8043" i="1"/>
  <c r="C8043" i="1"/>
  <c r="M8043" i="1"/>
  <c r="A8044" i="1"/>
  <c r="B8044" i="1"/>
  <c r="C8044" i="1"/>
  <c r="M8044" i="1"/>
  <c r="A8045" i="1"/>
  <c r="B8045" i="1"/>
  <c r="C8045" i="1"/>
  <c r="M8045" i="1"/>
  <c r="A8046" i="1"/>
  <c r="B8046" i="1"/>
  <c r="C8046" i="1"/>
  <c r="M8046" i="1"/>
  <c r="A8047" i="1"/>
  <c r="B8047" i="1"/>
  <c r="C8047" i="1"/>
  <c r="M8047" i="1"/>
  <c r="A8048" i="1"/>
  <c r="B8048" i="1"/>
  <c r="C8048" i="1"/>
  <c r="M8048" i="1"/>
  <c r="A8049" i="1"/>
  <c r="B8049" i="1"/>
  <c r="C8049" i="1"/>
  <c r="M8049" i="1"/>
  <c r="A8050" i="1"/>
  <c r="B8050" i="1"/>
  <c r="C8050" i="1"/>
  <c r="M8050" i="1"/>
  <c r="A8051" i="1"/>
  <c r="B8051" i="1"/>
  <c r="C8051" i="1"/>
  <c r="M8051" i="1"/>
  <c r="A8052" i="1"/>
  <c r="B8052" i="1"/>
  <c r="C8052" i="1"/>
  <c r="M8052" i="1"/>
  <c r="A8053" i="1"/>
  <c r="B8053" i="1"/>
  <c r="C8053" i="1"/>
  <c r="M8053" i="1"/>
  <c r="A8054" i="1"/>
  <c r="B8054" i="1"/>
  <c r="C8054" i="1"/>
  <c r="M8054" i="1"/>
  <c r="A8055" i="1"/>
  <c r="B8055" i="1"/>
  <c r="C8055" i="1"/>
  <c r="M8055" i="1"/>
  <c r="A8056" i="1"/>
  <c r="B8056" i="1"/>
  <c r="C8056" i="1"/>
  <c r="M8056" i="1"/>
  <c r="A8057" i="1"/>
  <c r="B8057" i="1"/>
  <c r="C8057" i="1"/>
  <c r="M8057" i="1"/>
  <c r="A8058" i="1"/>
  <c r="B8058" i="1"/>
  <c r="C8058" i="1"/>
  <c r="M8058" i="1"/>
  <c r="A8059" i="1"/>
  <c r="B8059" i="1"/>
  <c r="C8059" i="1"/>
  <c r="M8059" i="1"/>
  <c r="A8060" i="1"/>
  <c r="B8060" i="1"/>
  <c r="C8060" i="1"/>
  <c r="M8060" i="1"/>
  <c r="A8061" i="1"/>
  <c r="B8061" i="1"/>
  <c r="C8061" i="1"/>
  <c r="M8061" i="1"/>
  <c r="A8062" i="1"/>
  <c r="B8062" i="1"/>
  <c r="C8062" i="1"/>
  <c r="M8062" i="1"/>
  <c r="A8063" i="1"/>
  <c r="B8063" i="1"/>
  <c r="C8063" i="1"/>
  <c r="M8063" i="1"/>
  <c r="A8064" i="1"/>
  <c r="B8064" i="1"/>
  <c r="C8064" i="1"/>
  <c r="M8064" i="1"/>
  <c r="A8065" i="1"/>
  <c r="B8065" i="1"/>
  <c r="C8065" i="1"/>
  <c r="M8065" i="1"/>
  <c r="A8066" i="1"/>
  <c r="B8066" i="1"/>
  <c r="C8066" i="1"/>
  <c r="M8066" i="1"/>
  <c r="A8067" i="1"/>
  <c r="B8067" i="1"/>
  <c r="C8067" i="1"/>
  <c r="M8067" i="1"/>
  <c r="A8068" i="1"/>
  <c r="B8068" i="1"/>
  <c r="C8068" i="1"/>
  <c r="M8068" i="1"/>
  <c r="A8069" i="1"/>
  <c r="B8069" i="1"/>
  <c r="C8069" i="1"/>
  <c r="M8069" i="1"/>
  <c r="A8070" i="1"/>
  <c r="B8070" i="1"/>
  <c r="C8070" i="1"/>
  <c r="M8070" i="1"/>
  <c r="A8071" i="1"/>
  <c r="B8071" i="1"/>
  <c r="C8071" i="1"/>
  <c r="M8071" i="1"/>
  <c r="A8072" i="1"/>
  <c r="B8072" i="1"/>
  <c r="C8072" i="1"/>
  <c r="M8072" i="1"/>
  <c r="A8073" i="1"/>
  <c r="B8073" i="1"/>
  <c r="C8073" i="1"/>
  <c r="M8073" i="1"/>
  <c r="A8074" i="1"/>
  <c r="B8074" i="1"/>
  <c r="C8074" i="1"/>
  <c r="M8074" i="1"/>
  <c r="A8075" i="1"/>
  <c r="B8075" i="1"/>
  <c r="C8075" i="1"/>
  <c r="M8075" i="1"/>
  <c r="A8076" i="1"/>
  <c r="B8076" i="1"/>
  <c r="C8076" i="1"/>
  <c r="M8076" i="1"/>
  <c r="A8077" i="1"/>
  <c r="B8077" i="1"/>
  <c r="C8077" i="1"/>
  <c r="M8077" i="1"/>
  <c r="A8078" i="1"/>
  <c r="B8078" i="1"/>
  <c r="C8078" i="1"/>
  <c r="M8078" i="1"/>
  <c r="A8079" i="1"/>
  <c r="B8079" i="1"/>
  <c r="C8079" i="1"/>
  <c r="M8079" i="1"/>
  <c r="A8080" i="1"/>
  <c r="B8080" i="1"/>
  <c r="C8080" i="1"/>
  <c r="M8080" i="1"/>
  <c r="A8081" i="1"/>
  <c r="B8081" i="1"/>
  <c r="C8081" i="1"/>
  <c r="M8081" i="1"/>
  <c r="A8082" i="1"/>
  <c r="B8082" i="1"/>
  <c r="C8082" i="1"/>
  <c r="M8082" i="1"/>
  <c r="A8083" i="1"/>
  <c r="B8083" i="1"/>
  <c r="C8083" i="1"/>
  <c r="M8083" i="1"/>
  <c r="A8084" i="1"/>
  <c r="B8084" i="1"/>
  <c r="C8084" i="1"/>
  <c r="M8084" i="1"/>
  <c r="A8085" i="1"/>
  <c r="B8085" i="1"/>
  <c r="C8085" i="1"/>
  <c r="M8085" i="1"/>
  <c r="A8086" i="1"/>
  <c r="B8086" i="1"/>
  <c r="C8086" i="1"/>
  <c r="M8086" i="1"/>
  <c r="A8087" i="1"/>
  <c r="B8087" i="1"/>
  <c r="C8087" i="1"/>
  <c r="M8087" i="1"/>
  <c r="A8088" i="1"/>
  <c r="B8088" i="1"/>
  <c r="C8088" i="1"/>
  <c r="M8088" i="1"/>
  <c r="A8089" i="1"/>
  <c r="B8089" i="1"/>
  <c r="C8089" i="1"/>
  <c r="M8089" i="1"/>
  <c r="A8090" i="1"/>
  <c r="B8090" i="1"/>
  <c r="C8090" i="1"/>
  <c r="M8090" i="1"/>
  <c r="A8091" i="1"/>
  <c r="B8091" i="1"/>
  <c r="C8091" i="1"/>
  <c r="M8091" i="1"/>
  <c r="A8092" i="1"/>
  <c r="B8092" i="1"/>
  <c r="C8092" i="1"/>
  <c r="M8092" i="1"/>
  <c r="A8093" i="1"/>
  <c r="B8093" i="1"/>
  <c r="C8093" i="1"/>
  <c r="M8093" i="1"/>
  <c r="A8094" i="1"/>
  <c r="B8094" i="1"/>
  <c r="C8094" i="1"/>
  <c r="M8094" i="1"/>
  <c r="A8095" i="1"/>
  <c r="B8095" i="1"/>
  <c r="C8095" i="1"/>
  <c r="M8095" i="1"/>
  <c r="A8096" i="1"/>
  <c r="B8096" i="1"/>
  <c r="C8096" i="1"/>
  <c r="M8096" i="1"/>
  <c r="A8097" i="1"/>
  <c r="B8097" i="1"/>
  <c r="C8097" i="1"/>
  <c r="M8097" i="1"/>
  <c r="A8098" i="1"/>
  <c r="B8098" i="1"/>
  <c r="C8098" i="1"/>
  <c r="M8098" i="1"/>
  <c r="A8099" i="1"/>
  <c r="B8099" i="1"/>
  <c r="C8099" i="1"/>
  <c r="M8099" i="1"/>
  <c r="A8100" i="1"/>
  <c r="B8100" i="1"/>
  <c r="C8100" i="1"/>
  <c r="M8100" i="1"/>
  <c r="A8101" i="1"/>
  <c r="B8101" i="1"/>
  <c r="C8101" i="1"/>
  <c r="M8101" i="1"/>
  <c r="A8102" i="1"/>
  <c r="B8102" i="1"/>
  <c r="C8102" i="1"/>
  <c r="M8102" i="1"/>
  <c r="A8103" i="1"/>
  <c r="B8103" i="1"/>
  <c r="C8103" i="1"/>
  <c r="M8103" i="1"/>
  <c r="A8104" i="1"/>
  <c r="B8104" i="1"/>
  <c r="C8104" i="1"/>
  <c r="M8104" i="1"/>
  <c r="A8105" i="1"/>
  <c r="B8105" i="1"/>
  <c r="C8105" i="1"/>
  <c r="M8105" i="1"/>
  <c r="A8106" i="1"/>
  <c r="B8106" i="1"/>
  <c r="C8106" i="1"/>
  <c r="M8106" i="1"/>
  <c r="A8107" i="1"/>
  <c r="B8107" i="1"/>
  <c r="C8107" i="1"/>
  <c r="M8107" i="1"/>
  <c r="A8108" i="1"/>
  <c r="B8108" i="1"/>
  <c r="C8108" i="1"/>
  <c r="M8108" i="1"/>
  <c r="A8109" i="1"/>
  <c r="B8109" i="1"/>
  <c r="C8109" i="1"/>
  <c r="M8109" i="1"/>
  <c r="A8110" i="1"/>
  <c r="B8110" i="1"/>
  <c r="C8110" i="1"/>
  <c r="M8110" i="1"/>
  <c r="A8111" i="1"/>
  <c r="B8111" i="1"/>
  <c r="C8111" i="1"/>
  <c r="M8111" i="1"/>
  <c r="A8112" i="1"/>
  <c r="B8112" i="1"/>
  <c r="C8112" i="1"/>
  <c r="M8112" i="1"/>
  <c r="A8113" i="1"/>
  <c r="B8113" i="1"/>
  <c r="C8113" i="1"/>
  <c r="M8113" i="1"/>
  <c r="A8114" i="1"/>
  <c r="B8114" i="1"/>
  <c r="C8114" i="1"/>
  <c r="M8114" i="1"/>
  <c r="A8115" i="1"/>
  <c r="B8115" i="1"/>
  <c r="C8115" i="1"/>
  <c r="M8115" i="1"/>
  <c r="A8116" i="1"/>
  <c r="B8116" i="1"/>
  <c r="C8116" i="1"/>
  <c r="M8116" i="1"/>
  <c r="A8117" i="1"/>
  <c r="B8117" i="1"/>
  <c r="C8117" i="1"/>
  <c r="M8117" i="1"/>
  <c r="A8118" i="1"/>
  <c r="B8118" i="1"/>
  <c r="C8118" i="1"/>
  <c r="M8118" i="1"/>
  <c r="A8119" i="1"/>
  <c r="B8119" i="1"/>
  <c r="C8119" i="1"/>
  <c r="M8119" i="1"/>
  <c r="A8120" i="1"/>
  <c r="B8120" i="1"/>
  <c r="C8120" i="1"/>
  <c r="M8120" i="1"/>
  <c r="A8121" i="1"/>
  <c r="B8121" i="1"/>
  <c r="C8121" i="1"/>
  <c r="M8121" i="1"/>
  <c r="A8122" i="1"/>
  <c r="B8122" i="1"/>
  <c r="C8122" i="1"/>
  <c r="M8122" i="1"/>
  <c r="A8123" i="1"/>
  <c r="B8123" i="1"/>
  <c r="C8123" i="1"/>
  <c r="M8123" i="1"/>
  <c r="A8124" i="1"/>
  <c r="B8124" i="1"/>
  <c r="C8124" i="1"/>
  <c r="M8124" i="1"/>
  <c r="A8125" i="1"/>
  <c r="B8125" i="1"/>
  <c r="C8125" i="1"/>
  <c r="M8125" i="1"/>
  <c r="A8126" i="1"/>
  <c r="B8126" i="1"/>
  <c r="C8126" i="1"/>
  <c r="M8126" i="1"/>
  <c r="A8127" i="1"/>
  <c r="B8127" i="1"/>
  <c r="C8127" i="1"/>
  <c r="M8127" i="1"/>
  <c r="A8128" i="1"/>
  <c r="B8128" i="1"/>
  <c r="C8128" i="1"/>
  <c r="M8128" i="1"/>
  <c r="A8129" i="1"/>
  <c r="B8129" i="1"/>
  <c r="C8129" i="1"/>
  <c r="M8129" i="1"/>
  <c r="A8130" i="1"/>
  <c r="B8130" i="1"/>
  <c r="C8130" i="1"/>
  <c r="M8130" i="1"/>
  <c r="A8131" i="1"/>
  <c r="B8131" i="1"/>
  <c r="C8131" i="1"/>
  <c r="M8131" i="1"/>
  <c r="A8132" i="1"/>
  <c r="B8132" i="1"/>
  <c r="C8132" i="1"/>
  <c r="M8132" i="1"/>
  <c r="A8133" i="1"/>
  <c r="B8133" i="1"/>
  <c r="C8133" i="1"/>
  <c r="M8133" i="1"/>
  <c r="A8134" i="1"/>
  <c r="B8134" i="1"/>
  <c r="C8134" i="1"/>
  <c r="M8134" i="1"/>
  <c r="A8135" i="1"/>
  <c r="B8135" i="1"/>
  <c r="C8135" i="1"/>
  <c r="M8135" i="1"/>
  <c r="A8136" i="1"/>
  <c r="B8136" i="1"/>
  <c r="C8136" i="1"/>
  <c r="M8136" i="1"/>
  <c r="A8137" i="1"/>
  <c r="B8137" i="1"/>
  <c r="C8137" i="1"/>
  <c r="M8137" i="1"/>
  <c r="A8138" i="1"/>
  <c r="B8138" i="1"/>
  <c r="C8138" i="1"/>
  <c r="M8138" i="1"/>
  <c r="A8139" i="1"/>
  <c r="B8139" i="1"/>
  <c r="C8139" i="1"/>
  <c r="M8139" i="1"/>
  <c r="A8140" i="1"/>
  <c r="B8140" i="1"/>
  <c r="C8140" i="1"/>
  <c r="M8140" i="1"/>
  <c r="A8141" i="1"/>
  <c r="B8141" i="1"/>
  <c r="C8141" i="1"/>
  <c r="M8141" i="1"/>
  <c r="A8142" i="1"/>
  <c r="B8142" i="1"/>
  <c r="C8142" i="1"/>
  <c r="M8142" i="1"/>
  <c r="A8143" i="1"/>
  <c r="B8143" i="1"/>
  <c r="C8143" i="1"/>
  <c r="M8143" i="1"/>
  <c r="A8144" i="1"/>
  <c r="B8144" i="1"/>
  <c r="C8144" i="1"/>
  <c r="M8144" i="1"/>
  <c r="A8145" i="1"/>
  <c r="B8145" i="1"/>
  <c r="C8145" i="1"/>
  <c r="M8145" i="1"/>
  <c r="A8146" i="1"/>
  <c r="B8146" i="1"/>
  <c r="C8146" i="1"/>
  <c r="M8146" i="1"/>
  <c r="A8147" i="1"/>
  <c r="B8147" i="1"/>
  <c r="C8147" i="1"/>
  <c r="M8147" i="1"/>
  <c r="A8148" i="1"/>
  <c r="B8148" i="1"/>
  <c r="C8148" i="1"/>
  <c r="M8148" i="1"/>
  <c r="A8149" i="1"/>
  <c r="B8149" i="1"/>
  <c r="C8149" i="1"/>
  <c r="M8149" i="1"/>
  <c r="A8150" i="1"/>
  <c r="B8150" i="1"/>
  <c r="C8150" i="1"/>
  <c r="M8150" i="1"/>
  <c r="A8151" i="1"/>
  <c r="B8151" i="1"/>
  <c r="C8151" i="1"/>
  <c r="M8151" i="1"/>
  <c r="A8152" i="1"/>
  <c r="B8152" i="1"/>
  <c r="C8152" i="1"/>
  <c r="M8152" i="1"/>
  <c r="A8153" i="1"/>
  <c r="B8153" i="1"/>
  <c r="C8153" i="1"/>
  <c r="M8153" i="1"/>
  <c r="A8154" i="1"/>
  <c r="B8154" i="1"/>
  <c r="C8154" i="1"/>
  <c r="M8154" i="1"/>
  <c r="A8155" i="1"/>
  <c r="B8155" i="1"/>
  <c r="C8155" i="1"/>
  <c r="M8155" i="1"/>
  <c r="A8156" i="1"/>
  <c r="B8156" i="1"/>
  <c r="C8156" i="1"/>
  <c r="M8156" i="1"/>
  <c r="A8157" i="1"/>
  <c r="B8157" i="1"/>
  <c r="C8157" i="1"/>
  <c r="M8157" i="1"/>
  <c r="A8158" i="1"/>
  <c r="B8158" i="1"/>
  <c r="C8158" i="1"/>
  <c r="M8158" i="1"/>
  <c r="A8159" i="1"/>
  <c r="B8159" i="1"/>
  <c r="C8159" i="1"/>
  <c r="M8159" i="1"/>
  <c r="A8160" i="1"/>
  <c r="B8160" i="1"/>
  <c r="C8160" i="1"/>
  <c r="M8160" i="1"/>
  <c r="A8161" i="1"/>
  <c r="B8161" i="1"/>
  <c r="C8161" i="1"/>
  <c r="M8161" i="1"/>
  <c r="A8162" i="1"/>
  <c r="B8162" i="1"/>
  <c r="C8162" i="1"/>
  <c r="M8162" i="1"/>
  <c r="A8163" i="1"/>
  <c r="B8163" i="1"/>
  <c r="C8163" i="1"/>
  <c r="M8163" i="1"/>
  <c r="A8164" i="1"/>
  <c r="B8164" i="1"/>
  <c r="C8164" i="1"/>
  <c r="M8164" i="1"/>
  <c r="A8165" i="1"/>
  <c r="B8165" i="1"/>
  <c r="C8165" i="1"/>
  <c r="M8165" i="1"/>
  <c r="A8166" i="1"/>
  <c r="B8166" i="1"/>
  <c r="C8166" i="1"/>
  <c r="M8166" i="1"/>
  <c r="A8167" i="1"/>
  <c r="B8167" i="1"/>
  <c r="C8167" i="1"/>
  <c r="M8167" i="1"/>
  <c r="A8168" i="1"/>
  <c r="B8168" i="1"/>
  <c r="C8168" i="1"/>
  <c r="M8168" i="1"/>
  <c r="A8169" i="1"/>
  <c r="B8169" i="1"/>
  <c r="C8169" i="1"/>
  <c r="M8169" i="1"/>
  <c r="A8170" i="1"/>
  <c r="B8170" i="1"/>
  <c r="C8170" i="1"/>
  <c r="M8170" i="1"/>
  <c r="A8171" i="1"/>
  <c r="B8171" i="1"/>
  <c r="C8171" i="1"/>
  <c r="M8171" i="1"/>
  <c r="A8172" i="1"/>
  <c r="B8172" i="1"/>
  <c r="C8172" i="1"/>
  <c r="M8172" i="1"/>
  <c r="A8173" i="1"/>
  <c r="B8173" i="1"/>
  <c r="C8173" i="1"/>
  <c r="M8173" i="1"/>
  <c r="A8174" i="1"/>
  <c r="B8174" i="1"/>
  <c r="C8174" i="1"/>
  <c r="M8174" i="1"/>
  <c r="A8175" i="1"/>
  <c r="B8175" i="1"/>
  <c r="C8175" i="1"/>
  <c r="M8175" i="1"/>
  <c r="A8176" i="1"/>
  <c r="B8176" i="1"/>
  <c r="C8176" i="1"/>
  <c r="M8176" i="1"/>
  <c r="A8177" i="1"/>
  <c r="B8177" i="1"/>
  <c r="C8177" i="1"/>
  <c r="M8177" i="1"/>
  <c r="A8178" i="1"/>
  <c r="B8178" i="1"/>
  <c r="C8178" i="1"/>
  <c r="M8178" i="1"/>
  <c r="A8179" i="1"/>
  <c r="B8179" i="1"/>
  <c r="C8179" i="1"/>
  <c r="M8179" i="1"/>
  <c r="A8180" i="1"/>
  <c r="B8180" i="1"/>
  <c r="C8180" i="1"/>
  <c r="M8180" i="1"/>
  <c r="A8181" i="1"/>
  <c r="B8181" i="1"/>
  <c r="C8181" i="1"/>
  <c r="M8181" i="1"/>
  <c r="A8182" i="1"/>
  <c r="B8182" i="1"/>
  <c r="C8182" i="1"/>
  <c r="M8182" i="1"/>
  <c r="A8183" i="1"/>
  <c r="B8183" i="1"/>
  <c r="C8183" i="1"/>
  <c r="M8183" i="1"/>
  <c r="A8184" i="1"/>
  <c r="B8184" i="1"/>
  <c r="C8184" i="1"/>
  <c r="M8184" i="1"/>
  <c r="A8185" i="1"/>
  <c r="B8185" i="1"/>
  <c r="C8185" i="1"/>
  <c r="M8185" i="1"/>
  <c r="A8186" i="1"/>
  <c r="B8186" i="1"/>
  <c r="C8186" i="1"/>
  <c r="M8186" i="1"/>
  <c r="A8187" i="1"/>
  <c r="B8187" i="1"/>
  <c r="C8187" i="1"/>
  <c r="M8187" i="1"/>
  <c r="A8188" i="1"/>
  <c r="B8188" i="1"/>
  <c r="C8188" i="1"/>
  <c r="M8188" i="1"/>
  <c r="A8189" i="1"/>
  <c r="B8189" i="1"/>
  <c r="C8189" i="1"/>
  <c r="M8189" i="1"/>
  <c r="A8190" i="1"/>
  <c r="B8190" i="1"/>
  <c r="C8190" i="1"/>
  <c r="M8190" i="1"/>
  <c r="A8191" i="1"/>
  <c r="B8191" i="1"/>
  <c r="C8191" i="1"/>
  <c r="M8191" i="1"/>
  <c r="A8192" i="1"/>
  <c r="B8192" i="1"/>
  <c r="C8192" i="1"/>
  <c r="M8192" i="1"/>
  <c r="A8193" i="1"/>
  <c r="B8193" i="1"/>
  <c r="C8193" i="1"/>
  <c r="M8193" i="1"/>
  <c r="A8194" i="1"/>
  <c r="B8194" i="1"/>
  <c r="C8194" i="1"/>
  <c r="M8194" i="1"/>
  <c r="A8195" i="1"/>
  <c r="B8195" i="1"/>
  <c r="C8195" i="1"/>
  <c r="M8195" i="1"/>
  <c r="A8196" i="1"/>
  <c r="B8196" i="1"/>
  <c r="C8196" i="1"/>
  <c r="M8196" i="1"/>
  <c r="A8197" i="1"/>
  <c r="B8197" i="1"/>
  <c r="C8197" i="1"/>
  <c r="M8197" i="1"/>
  <c r="A8198" i="1"/>
  <c r="B8198" i="1"/>
  <c r="C8198" i="1"/>
  <c r="M8198" i="1"/>
  <c r="A8199" i="1"/>
  <c r="B8199" i="1"/>
  <c r="C8199" i="1"/>
  <c r="M8199" i="1"/>
  <c r="A8200" i="1"/>
  <c r="B8200" i="1"/>
  <c r="C8200" i="1"/>
  <c r="M8200" i="1"/>
  <c r="A8201" i="1"/>
  <c r="B8201" i="1"/>
  <c r="C8201" i="1"/>
  <c r="M8201" i="1"/>
  <c r="A8202" i="1"/>
  <c r="B8202" i="1"/>
  <c r="C8202" i="1"/>
  <c r="M8202" i="1"/>
  <c r="A8203" i="1"/>
  <c r="B8203" i="1"/>
  <c r="C8203" i="1"/>
  <c r="M8203" i="1"/>
  <c r="A8204" i="1"/>
  <c r="B8204" i="1"/>
  <c r="C8204" i="1"/>
  <c r="M8204" i="1"/>
  <c r="A8205" i="1"/>
  <c r="B8205" i="1"/>
  <c r="C8205" i="1"/>
  <c r="M8205" i="1"/>
  <c r="A8206" i="1"/>
  <c r="B8206" i="1"/>
  <c r="C8206" i="1"/>
  <c r="M8206" i="1"/>
  <c r="A8207" i="1"/>
  <c r="B8207" i="1"/>
  <c r="C8207" i="1"/>
  <c r="M8207" i="1"/>
  <c r="A8208" i="1"/>
  <c r="B8208" i="1"/>
  <c r="C8208" i="1"/>
  <c r="M8208" i="1"/>
  <c r="A8209" i="1"/>
  <c r="B8209" i="1"/>
  <c r="C8209" i="1"/>
  <c r="M8209" i="1"/>
  <c r="A8210" i="1"/>
  <c r="B8210" i="1"/>
  <c r="C8210" i="1"/>
  <c r="M8210" i="1"/>
  <c r="A8211" i="1"/>
  <c r="B8211" i="1"/>
  <c r="C8211" i="1"/>
  <c r="M8211" i="1"/>
  <c r="A8212" i="1"/>
  <c r="B8212" i="1"/>
  <c r="C8212" i="1"/>
  <c r="M8212" i="1"/>
  <c r="A8213" i="1"/>
  <c r="B8213" i="1"/>
  <c r="C8213" i="1"/>
  <c r="M8213" i="1"/>
  <c r="A8214" i="1"/>
  <c r="B8214" i="1"/>
  <c r="C8214" i="1"/>
  <c r="M8214" i="1"/>
  <c r="A8215" i="1"/>
  <c r="B8215" i="1"/>
  <c r="C8215" i="1"/>
  <c r="M8215" i="1"/>
  <c r="A8216" i="1"/>
  <c r="B8216" i="1"/>
  <c r="C8216" i="1"/>
  <c r="M8216" i="1"/>
  <c r="A8217" i="1"/>
  <c r="B8217" i="1"/>
  <c r="C8217" i="1"/>
  <c r="M8217" i="1"/>
  <c r="A8218" i="1"/>
  <c r="B8218" i="1"/>
  <c r="C8218" i="1"/>
  <c r="M8218" i="1"/>
  <c r="A8219" i="1"/>
  <c r="B8219" i="1"/>
  <c r="C8219" i="1"/>
  <c r="M8219" i="1"/>
  <c r="A8220" i="1"/>
  <c r="B8220" i="1"/>
  <c r="C8220" i="1"/>
  <c r="M8220" i="1"/>
  <c r="A8221" i="1"/>
  <c r="B8221" i="1"/>
  <c r="C8221" i="1"/>
  <c r="M8221" i="1"/>
  <c r="A8222" i="1"/>
  <c r="B8222" i="1"/>
  <c r="C8222" i="1"/>
  <c r="M8222" i="1"/>
  <c r="A8223" i="1"/>
  <c r="B8223" i="1"/>
  <c r="C8223" i="1"/>
  <c r="M8223" i="1"/>
  <c r="A8224" i="1"/>
  <c r="B8224" i="1"/>
  <c r="C8224" i="1"/>
  <c r="M8224" i="1"/>
  <c r="A8225" i="1"/>
  <c r="B8225" i="1"/>
  <c r="C8225" i="1"/>
  <c r="M8225" i="1"/>
  <c r="A8226" i="1"/>
  <c r="B8226" i="1"/>
  <c r="C8226" i="1"/>
  <c r="M8226" i="1"/>
  <c r="A8227" i="1"/>
  <c r="B8227" i="1"/>
  <c r="C8227" i="1"/>
  <c r="M8227" i="1"/>
  <c r="A8228" i="1"/>
  <c r="B8228" i="1"/>
  <c r="C8228" i="1"/>
  <c r="M8228" i="1"/>
  <c r="A8229" i="1"/>
  <c r="B8229" i="1"/>
  <c r="C8229" i="1"/>
  <c r="M8229" i="1"/>
  <c r="A8230" i="1"/>
  <c r="B8230" i="1"/>
  <c r="C8230" i="1"/>
  <c r="M8230" i="1"/>
  <c r="A8231" i="1"/>
  <c r="B8231" i="1"/>
  <c r="C8231" i="1"/>
  <c r="M8231" i="1"/>
  <c r="A8232" i="1"/>
  <c r="B8232" i="1"/>
  <c r="C8232" i="1"/>
  <c r="M8232" i="1"/>
  <c r="A8233" i="1"/>
  <c r="B8233" i="1"/>
  <c r="C8233" i="1"/>
  <c r="M8233" i="1"/>
  <c r="A8234" i="1"/>
  <c r="B8234" i="1"/>
  <c r="C8234" i="1"/>
  <c r="M8234" i="1"/>
  <c r="A8235" i="1"/>
  <c r="B8235" i="1"/>
  <c r="C8235" i="1"/>
  <c r="M8235" i="1"/>
  <c r="A8236" i="1"/>
  <c r="B8236" i="1"/>
  <c r="C8236" i="1"/>
  <c r="M8236" i="1"/>
  <c r="A8237" i="1"/>
  <c r="B8237" i="1"/>
  <c r="C8237" i="1"/>
  <c r="M8237" i="1"/>
  <c r="A8238" i="1"/>
  <c r="B8238" i="1"/>
  <c r="C8238" i="1"/>
  <c r="M8238" i="1"/>
  <c r="A8239" i="1"/>
  <c r="B8239" i="1"/>
  <c r="C8239" i="1"/>
  <c r="M8239" i="1"/>
  <c r="A8240" i="1"/>
  <c r="B8240" i="1"/>
  <c r="C8240" i="1"/>
  <c r="M8240" i="1"/>
  <c r="A8241" i="1"/>
  <c r="B8241" i="1"/>
  <c r="C8241" i="1"/>
  <c r="M8241" i="1"/>
  <c r="A8242" i="1"/>
  <c r="B8242" i="1"/>
  <c r="C8242" i="1"/>
  <c r="M8242" i="1"/>
  <c r="A8243" i="1"/>
  <c r="B8243" i="1"/>
  <c r="C8243" i="1"/>
  <c r="M8243" i="1"/>
  <c r="A8244" i="1"/>
  <c r="B8244" i="1"/>
  <c r="C8244" i="1"/>
  <c r="M8244" i="1"/>
  <c r="A8245" i="1"/>
  <c r="B8245" i="1"/>
  <c r="C8245" i="1"/>
  <c r="M8245" i="1"/>
  <c r="A8246" i="1"/>
  <c r="B8246" i="1"/>
  <c r="C8246" i="1"/>
  <c r="M8246" i="1"/>
  <c r="A8247" i="1"/>
  <c r="B8247" i="1"/>
  <c r="C8247" i="1"/>
  <c r="M8247" i="1"/>
  <c r="A8248" i="1"/>
  <c r="B8248" i="1"/>
  <c r="C8248" i="1"/>
  <c r="M8248" i="1"/>
  <c r="A8249" i="1"/>
  <c r="B8249" i="1"/>
  <c r="C8249" i="1"/>
  <c r="M8249" i="1"/>
  <c r="A8250" i="1"/>
  <c r="B8250" i="1"/>
  <c r="C8250" i="1"/>
  <c r="M8250" i="1"/>
  <c r="A8251" i="1"/>
  <c r="B8251" i="1"/>
  <c r="C8251" i="1"/>
  <c r="M8251" i="1"/>
  <c r="A8252" i="1"/>
  <c r="B8252" i="1"/>
  <c r="C8252" i="1"/>
  <c r="M8252" i="1"/>
  <c r="A8253" i="1"/>
  <c r="B8253" i="1"/>
  <c r="C8253" i="1"/>
  <c r="M8253" i="1"/>
  <c r="A8254" i="1"/>
  <c r="B8254" i="1"/>
  <c r="C8254" i="1"/>
  <c r="M8254" i="1"/>
  <c r="A8255" i="1"/>
  <c r="B8255" i="1"/>
  <c r="C8255" i="1"/>
  <c r="M8255" i="1"/>
  <c r="A8256" i="1"/>
  <c r="B8256" i="1"/>
  <c r="C8256" i="1"/>
  <c r="M8256" i="1"/>
  <c r="A8257" i="1"/>
  <c r="B8257" i="1"/>
  <c r="C8257" i="1"/>
  <c r="M8257" i="1"/>
  <c r="A8258" i="1"/>
  <c r="B8258" i="1"/>
  <c r="C8258" i="1"/>
  <c r="M8258" i="1"/>
  <c r="A8259" i="1"/>
  <c r="B8259" i="1"/>
  <c r="C8259" i="1"/>
  <c r="M8259" i="1"/>
  <c r="A8260" i="1"/>
  <c r="B8260" i="1"/>
  <c r="C8260" i="1"/>
  <c r="M8260" i="1"/>
  <c r="A8261" i="1"/>
  <c r="B8261" i="1"/>
  <c r="C8261" i="1"/>
  <c r="M8261" i="1"/>
  <c r="A8262" i="1"/>
  <c r="B8262" i="1"/>
  <c r="C8262" i="1"/>
  <c r="M8262" i="1"/>
  <c r="A8263" i="1"/>
  <c r="B8263" i="1"/>
  <c r="C8263" i="1"/>
  <c r="M8263" i="1"/>
  <c r="A8264" i="1"/>
  <c r="B8264" i="1"/>
  <c r="C8264" i="1"/>
  <c r="M8264" i="1"/>
  <c r="A8265" i="1"/>
  <c r="B8265" i="1"/>
  <c r="C8265" i="1"/>
  <c r="M8265" i="1"/>
  <c r="A8266" i="1"/>
  <c r="B8266" i="1"/>
  <c r="C8266" i="1"/>
  <c r="M8266" i="1"/>
  <c r="A8267" i="1"/>
  <c r="B8267" i="1"/>
  <c r="C8267" i="1"/>
  <c r="M8267" i="1"/>
  <c r="A8268" i="1"/>
  <c r="B8268" i="1"/>
  <c r="C8268" i="1"/>
  <c r="M8268" i="1"/>
  <c r="A8269" i="1"/>
  <c r="B8269" i="1"/>
  <c r="C8269" i="1"/>
  <c r="M8269" i="1"/>
  <c r="A8270" i="1"/>
  <c r="B8270" i="1"/>
  <c r="C8270" i="1"/>
  <c r="M8270" i="1"/>
  <c r="A8271" i="1"/>
  <c r="B8271" i="1"/>
  <c r="C8271" i="1"/>
  <c r="M8271" i="1"/>
  <c r="A8272" i="1"/>
  <c r="B8272" i="1"/>
  <c r="C8272" i="1"/>
  <c r="M8272" i="1"/>
  <c r="A8273" i="1"/>
  <c r="B8273" i="1"/>
  <c r="C8273" i="1"/>
  <c r="M8273" i="1"/>
  <c r="A8274" i="1"/>
  <c r="B8274" i="1"/>
  <c r="C8274" i="1"/>
  <c r="M8274" i="1"/>
  <c r="A8275" i="1"/>
  <c r="B8275" i="1"/>
  <c r="C8275" i="1"/>
  <c r="M8275" i="1"/>
  <c r="A8276" i="1"/>
  <c r="B8276" i="1"/>
  <c r="C8276" i="1"/>
  <c r="M8276" i="1"/>
  <c r="A8277" i="1"/>
  <c r="B8277" i="1"/>
  <c r="C8277" i="1"/>
  <c r="M8277" i="1"/>
  <c r="A8278" i="1"/>
  <c r="B8278" i="1"/>
  <c r="C8278" i="1"/>
  <c r="M8278" i="1"/>
  <c r="A8279" i="1"/>
  <c r="B8279" i="1"/>
  <c r="C8279" i="1"/>
  <c r="M8279" i="1"/>
  <c r="A8280" i="1"/>
  <c r="B8280" i="1"/>
  <c r="C8280" i="1"/>
  <c r="M8280" i="1"/>
  <c r="A8281" i="1"/>
  <c r="B8281" i="1"/>
  <c r="C8281" i="1"/>
  <c r="M8281" i="1"/>
  <c r="A8282" i="1"/>
  <c r="B8282" i="1"/>
  <c r="C8282" i="1"/>
  <c r="M8282" i="1"/>
  <c r="A8283" i="1"/>
  <c r="B8283" i="1"/>
  <c r="C8283" i="1"/>
  <c r="M8283" i="1"/>
  <c r="A8284" i="1"/>
  <c r="B8284" i="1"/>
  <c r="C8284" i="1"/>
  <c r="M8284" i="1"/>
  <c r="A8285" i="1"/>
  <c r="B8285" i="1"/>
  <c r="C8285" i="1"/>
  <c r="M8285" i="1"/>
  <c r="A8286" i="1"/>
  <c r="B8286" i="1"/>
  <c r="C8286" i="1"/>
  <c r="M8286" i="1"/>
  <c r="A8287" i="1"/>
  <c r="B8287" i="1"/>
  <c r="C8287" i="1"/>
  <c r="M8287" i="1"/>
  <c r="A8288" i="1"/>
  <c r="B8288" i="1"/>
  <c r="C8288" i="1"/>
  <c r="M8288" i="1"/>
  <c r="A8289" i="1"/>
  <c r="B8289" i="1"/>
  <c r="C8289" i="1"/>
  <c r="M8289" i="1"/>
  <c r="A8290" i="1"/>
  <c r="B8290" i="1"/>
  <c r="C8290" i="1"/>
  <c r="M8290" i="1"/>
  <c r="A8291" i="1"/>
  <c r="B8291" i="1"/>
  <c r="C8291" i="1"/>
  <c r="M8291" i="1"/>
  <c r="A8292" i="1"/>
  <c r="B8292" i="1"/>
  <c r="C8292" i="1"/>
  <c r="M8292" i="1"/>
  <c r="A8293" i="1"/>
  <c r="B8293" i="1"/>
  <c r="C8293" i="1"/>
  <c r="M8293" i="1"/>
  <c r="A8294" i="1"/>
  <c r="B8294" i="1"/>
  <c r="C8294" i="1"/>
  <c r="M8294" i="1"/>
  <c r="A8295" i="1"/>
  <c r="B8295" i="1"/>
  <c r="C8295" i="1"/>
  <c r="M8295" i="1"/>
  <c r="A8296" i="1"/>
  <c r="B8296" i="1"/>
  <c r="C8296" i="1"/>
  <c r="M8296" i="1"/>
  <c r="A8297" i="1"/>
  <c r="B8297" i="1"/>
  <c r="C8297" i="1"/>
  <c r="M8297" i="1"/>
  <c r="A8298" i="1"/>
  <c r="B8298" i="1"/>
  <c r="C8298" i="1"/>
  <c r="M8298" i="1"/>
  <c r="A8299" i="1"/>
  <c r="B8299" i="1"/>
  <c r="C8299" i="1"/>
  <c r="M8299" i="1"/>
  <c r="A8300" i="1"/>
  <c r="B8300" i="1"/>
  <c r="C8300" i="1"/>
  <c r="M8300" i="1"/>
  <c r="A8301" i="1"/>
  <c r="B8301" i="1"/>
  <c r="C8301" i="1"/>
  <c r="M8301" i="1"/>
  <c r="A8302" i="1"/>
  <c r="B8302" i="1"/>
  <c r="C8302" i="1"/>
  <c r="M8302" i="1"/>
  <c r="A8303" i="1"/>
  <c r="B8303" i="1"/>
  <c r="C8303" i="1"/>
  <c r="M8303" i="1"/>
  <c r="A8304" i="1"/>
  <c r="B8304" i="1"/>
  <c r="C8304" i="1"/>
  <c r="M8304" i="1"/>
  <c r="A8305" i="1"/>
  <c r="B8305" i="1"/>
  <c r="C8305" i="1"/>
  <c r="M8305" i="1"/>
  <c r="A8306" i="1"/>
  <c r="B8306" i="1"/>
  <c r="C8306" i="1"/>
  <c r="M8306" i="1"/>
  <c r="A8307" i="1"/>
  <c r="B8307" i="1"/>
  <c r="C8307" i="1"/>
  <c r="M8307" i="1"/>
  <c r="A8308" i="1"/>
  <c r="B8308" i="1"/>
  <c r="C8308" i="1"/>
  <c r="M8308" i="1"/>
  <c r="A8309" i="1"/>
  <c r="B8309" i="1"/>
  <c r="C8309" i="1"/>
  <c r="M8309" i="1"/>
  <c r="A8310" i="1"/>
  <c r="B8310" i="1"/>
  <c r="C8310" i="1"/>
  <c r="M8310" i="1"/>
  <c r="A8311" i="1"/>
  <c r="B8311" i="1"/>
  <c r="C8311" i="1"/>
  <c r="M8311" i="1"/>
  <c r="A8312" i="1"/>
  <c r="B8312" i="1"/>
  <c r="C8312" i="1"/>
  <c r="M8312" i="1"/>
  <c r="A8313" i="1"/>
  <c r="B8313" i="1"/>
  <c r="C8313" i="1"/>
  <c r="M8313" i="1"/>
  <c r="A8314" i="1"/>
  <c r="B8314" i="1"/>
  <c r="C8314" i="1"/>
  <c r="M8314" i="1"/>
  <c r="A8315" i="1"/>
  <c r="B8315" i="1"/>
  <c r="C8315" i="1"/>
  <c r="M8315" i="1"/>
  <c r="A8316" i="1"/>
  <c r="B8316" i="1"/>
  <c r="C8316" i="1"/>
  <c r="M8316" i="1"/>
  <c r="A8317" i="1"/>
  <c r="B8317" i="1"/>
  <c r="C8317" i="1"/>
  <c r="M8317" i="1"/>
  <c r="A8318" i="1"/>
  <c r="B8318" i="1"/>
  <c r="C8318" i="1"/>
  <c r="M8318" i="1"/>
  <c r="A8319" i="1"/>
  <c r="B8319" i="1"/>
  <c r="C8319" i="1"/>
  <c r="M8319" i="1"/>
  <c r="A8320" i="1"/>
  <c r="B8320" i="1"/>
  <c r="C8320" i="1"/>
  <c r="M8320" i="1"/>
  <c r="A8321" i="1"/>
  <c r="B8321" i="1"/>
  <c r="C8321" i="1"/>
  <c r="M8321" i="1"/>
  <c r="A8322" i="1"/>
  <c r="B8322" i="1"/>
  <c r="C8322" i="1"/>
  <c r="M8322" i="1"/>
  <c r="A8323" i="1"/>
  <c r="B8323" i="1"/>
  <c r="C8323" i="1"/>
  <c r="M8323" i="1"/>
  <c r="A8324" i="1"/>
  <c r="B8324" i="1"/>
  <c r="C8324" i="1"/>
  <c r="M8324" i="1"/>
  <c r="A8325" i="1"/>
  <c r="B8325" i="1"/>
  <c r="C8325" i="1"/>
  <c r="M8325" i="1"/>
  <c r="A8326" i="1"/>
  <c r="B8326" i="1"/>
  <c r="C8326" i="1"/>
  <c r="M8326" i="1"/>
  <c r="A8327" i="1"/>
  <c r="B8327" i="1"/>
  <c r="C8327" i="1"/>
  <c r="M8327" i="1"/>
  <c r="A8328" i="1"/>
  <c r="B8328" i="1"/>
  <c r="C8328" i="1"/>
  <c r="M8328" i="1"/>
  <c r="A8329" i="1"/>
  <c r="B8329" i="1"/>
  <c r="C8329" i="1"/>
  <c r="M8329" i="1"/>
  <c r="A8330" i="1"/>
  <c r="B8330" i="1"/>
  <c r="C8330" i="1"/>
  <c r="M8330" i="1"/>
  <c r="A8331" i="1"/>
  <c r="B8331" i="1"/>
  <c r="C8331" i="1"/>
  <c r="M8331" i="1"/>
  <c r="A8332" i="1"/>
  <c r="B8332" i="1"/>
  <c r="C8332" i="1"/>
  <c r="M8332" i="1"/>
  <c r="A8333" i="1"/>
  <c r="B8333" i="1"/>
  <c r="C8333" i="1"/>
  <c r="M8333" i="1"/>
  <c r="A8334" i="1"/>
  <c r="B8334" i="1"/>
  <c r="C8334" i="1"/>
  <c r="M8334" i="1"/>
  <c r="A8335" i="1"/>
  <c r="B8335" i="1"/>
  <c r="C8335" i="1"/>
  <c r="M8335" i="1"/>
  <c r="A8336" i="1"/>
  <c r="B8336" i="1"/>
  <c r="C8336" i="1"/>
  <c r="M8336" i="1"/>
  <c r="A8337" i="1"/>
  <c r="B8337" i="1"/>
  <c r="C8337" i="1"/>
  <c r="M8337" i="1"/>
  <c r="A8338" i="1"/>
  <c r="B8338" i="1"/>
  <c r="C8338" i="1"/>
  <c r="M8338" i="1"/>
  <c r="A8339" i="1"/>
  <c r="B8339" i="1"/>
  <c r="C8339" i="1"/>
  <c r="M8339" i="1"/>
  <c r="A8340" i="1"/>
  <c r="B8340" i="1"/>
  <c r="C8340" i="1"/>
  <c r="M8340" i="1"/>
  <c r="A8341" i="1"/>
  <c r="B8341" i="1"/>
  <c r="C8341" i="1"/>
  <c r="M8341" i="1"/>
  <c r="A8342" i="1"/>
  <c r="B8342" i="1"/>
  <c r="C8342" i="1"/>
  <c r="M8342" i="1"/>
  <c r="A8343" i="1"/>
  <c r="B8343" i="1"/>
  <c r="C8343" i="1"/>
  <c r="M8343" i="1"/>
  <c r="A8344" i="1"/>
  <c r="B8344" i="1"/>
  <c r="C8344" i="1"/>
  <c r="M8344" i="1"/>
  <c r="A8345" i="1"/>
  <c r="B8345" i="1"/>
  <c r="C8345" i="1"/>
  <c r="M8345" i="1"/>
  <c r="A8346" i="1"/>
  <c r="B8346" i="1"/>
  <c r="C8346" i="1"/>
  <c r="M8346" i="1"/>
  <c r="A8347" i="1"/>
  <c r="B8347" i="1"/>
  <c r="C8347" i="1"/>
  <c r="M8347" i="1"/>
  <c r="A8348" i="1"/>
  <c r="B8348" i="1"/>
  <c r="C8348" i="1"/>
  <c r="M8348" i="1"/>
  <c r="A8349" i="1"/>
  <c r="B8349" i="1"/>
  <c r="C8349" i="1"/>
  <c r="M8349" i="1"/>
  <c r="A8350" i="1"/>
  <c r="B8350" i="1"/>
  <c r="C8350" i="1"/>
  <c r="M8350" i="1"/>
  <c r="A8351" i="1"/>
  <c r="B8351" i="1"/>
  <c r="C8351" i="1"/>
  <c r="M8351" i="1"/>
  <c r="A8352" i="1"/>
  <c r="B8352" i="1"/>
  <c r="C8352" i="1"/>
  <c r="M8352" i="1"/>
  <c r="A8353" i="1"/>
  <c r="B8353" i="1"/>
  <c r="C8353" i="1"/>
  <c r="M8353" i="1"/>
  <c r="A8354" i="1"/>
  <c r="B8354" i="1"/>
  <c r="C8354" i="1"/>
  <c r="M8354" i="1"/>
  <c r="A8355" i="1"/>
  <c r="B8355" i="1"/>
  <c r="C8355" i="1"/>
  <c r="M8355" i="1"/>
  <c r="A8356" i="1"/>
  <c r="B8356" i="1"/>
  <c r="C8356" i="1"/>
  <c r="M8356" i="1"/>
  <c r="A8357" i="1"/>
  <c r="B8357" i="1"/>
  <c r="C8357" i="1"/>
  <c r="M8357" i="1"/>
  <c r="A8358" i="1"/>
  <c r="B8358" i="1"/>
  <c r="C8358" i="1"/>
  <c r="M8358" i="1"/>
  <c r="A8359" i="1"/>
  <c r="B8359" i="1"/>
  <c r="C8359" i="1"/>
  <c r="M8359" i="1"/>
  <c r="A8360" i="1"/>
  <c r="B8360" i="1"/>
  <c r="C8360" i="1"/>
  <c r="M8360" i="1"/>
  <c r="A8361" i="1"/>
  <c r="B8361" i="1"/>
  <c r="C8361" i="1"/>
  <c r="M8361" i="1"/>
  <c r="A8362" i="1"/>
  <c r="B8362" i="1"/>
  <c r="C8362" i="1"/>
  <c r="M8362" i="1"/>
  <c r="A8363" i="1"/>
  <c r="B8363" i="1"/>
  <c r="C8363" i="1"/>
  <c r="M8363" i="1"/>
  <c r="A8364" i="1"/>
  <c r="B8364" i="1"/>
  <c r="C8364" i="1"/>
  <c r="M8364" i="1"/>
  <c r="A8365" i="1"/>
  <c r="B8365" i="1"/>
  <c r="C8365" i="1"/>
  <c r="M8365" i="1"/>
  <c r="A8366" i="1"/>
  <c r="B8366" i="1"/>
  <c r="C8366" i="1"/>
  <c r="M8366" i="1"/>
  <c r="A8367" i="1"/>
  <c r="B8367" i="1"/>
  <c r="C8367" i="1"/>
  <c r="M8367" i="1"/>
  <c r="A8368" i="1"/>
  <c r="B8368" i="1"/>
  <c r="C8368" i="1"/>
  <c r="M8368" i="1"/>
  <c r="A8369" i="1"/>
  <c r="B8369" i="1"/>
  <c r="C8369" i="1"/>
  <c r="M8369" i="1"/>
  <c r="A8370" i="1"/>
  <c r="B8370" i="1"/>
  <c r="C8370" i="1"/>
  <c r="M8370" i="1"/>
  <c r="A8371" i="1"/>
  <c r="B8371" i="1"/>
  <c r="C8371" i="1"/>
  <c r="M8371" i="1"/>
  <c r="A8372" i="1"/>
  <c r="B8372" i="1"/>
  <c r="C8372" i="1"/>
  <c r="M8372" i="1"/>
  <c r="A8373" i="1"/>
  <c r="B8373" i="1"/>
  <c r="C8373" i="1"/>
  <c r="M8373" i="1"/>
  <c r="A8374" i="1"/>
  <c r="B8374" i="1"/>
  <c r="C8374" i="1"/>
  <c r="M8374" i="1"/>
  <c r="A8375" i="1"/>
  <c r="B8375" i="1"/>
  <c r="C8375" i="1"/>
  <c r="M8375" i="1"/>
  <c r="A8376" i="1"/>
  <c r="B8376" i="1"/>
  <c r="C8376" i="1"/>
  <c r="M8376" i="1"/>
  <c r="A8377" i="1"/>
  <c r="B8377" i="1"/>
  <c r="C8377" i="1"/>
  <c r="M8377" i="1"/>
  <c r="A8378" i="1"/>
  <c r="B8378" i="1"/>
  <c r="C8378" i="1"/>
  <c r="M8378" i="1"/>
  <c r="A8379" i="1"/>
  <c r="B8379" i="1"/>
  <c r="C8379" i="1"/>
  <c r="M8379" i="1"/>
  <c r="A8380" i="1"/>
  <c r="B8380" i="1"/>
  <c r="C8380" i="1"/>
  <c r="M8380" i="1"/>
  <c r="A8381" i="1"/>
  <c r="B8381" i="1"/>
  <c r="C8381" i="1"/>
  <c r="M8381" i="1"/>
  <c r="A8382" i="1"/>
  <c r="B8382" i="1"/>
  <c r="C8382" i="1"/>
  <c r="M8382" i="1"/>
  <c r="A8383" i="1"/>
  <c r="B8383" i="1"/>
  <c r="C8383" i="1"/>
  <c r="M8383" i="1"/>
  <c r="A8384" i="1"/>
  <c r="B8384" i="1"/>
  <c r="C8384" i="1"/>
  <c r="M8384" i="1"/>
  <c r="A8385" i="1"/>
  <c r="B8385" i="1"/>
  <c r="C8385" i="1"/>
  <c r="M8385" i="1"/>
  <c r="A8386" i="1"/>
  <c r="B8386" i="1"/>
  <c r="C8386" i="1"/>
  <c r="M8386" i="1"/>
  <c r="A8387" i="1"/>
  <c r="B8387" i="1"/>
  <c r="C8387" i="1"/>
  <c r="M8387" i="1"/>
  <c r="A8388" i="1"/>
  <c r="B8388" i="1"/>
  <c r="C8388" i="1"/>
  <c r="M8388" i="1"/>
  <c r="A8389" i="1"/>
  <c r="B8389" i="1"/>
  <c r="C8389" i="1"/>
  <c r="M8389" i="1"/>
  <c r="A8390" i="1"/>
  <c r="B8390" i="1"/>
  <c r="C8390" i="1"/>
  <c r="M8390" i="1"/>
  <c r="A8391" i="1"/>
  <c r="B8391" i="1"/>
  <c r="C8391" i="1"/>
  <c r="M8391" i="1"/>
  <c r="A8392" i="1"/>
  <c r="B8392" i="1"/>
  <c r="C8392" i="1"/>
  <c r="M8392" i="1"/>
  <c r="A8393" i="1"/>
  <c r="B8393" i="1"/>
  <c r="C8393" i="1"/>
  <c r="M8393" i="1"/>
  <c r="A8394" i="1"/>
  <c r="B8394" i="1"/>
  <c r="C8394" i="1"/>
  <c r="M8394" i="1"/>
  <c r="A8395" i="1"/>
  <c r="B8395" i="1"/>
  <c r="C8395" i="1"/>
  <c r="M8395" i="1"/>
  <c r="A8396" i="1"/>
  <c r="B8396" i="1"/>
  <c r="C8396" i="1"/>
  <c r="M8396" i="1"/>
  <c r="A8397" i="1"/>
  <c r="B8397" i="1"/>
  <c r="C8397" i="1"/>
  <c r="M8397" i="1"/>
  <c r="A8398" i="1"/>
  <c r="B8398" i="1"/>
  <c r="C8398" i="1"/>
  <c r="M8398" i="1"/>
  <c r="A8399" i="1"/>
  <c r="B8399" i="1"/>
  <c r="C8399" i="1"/>
  <c r="M8399" i="1"/>
  <c r="A8400" i="1"/>
  <c r="B8400" i="1"/>
  <c r="C8400" i="1"/>
  <c r="M8400" i="1"/>
  <c r="A8401" i="1"/>
  <c r="B8401" i="1"/>
  <c r="C8401" i="1"/>
  <c r="M8401" i="1"/>
  <c r="A8402" i="1"/>
  <c r="B8402" i="1"/>
  <c r="C8402" i="1"/>
  <c r="M8402" i="1"/>
  <c r="A8403" i="1"/>
  <c r="B8403" i="1"/>
  <c r="C8403" i="1"/>
  <c r="M8403" i="1"/>
  <c r="A8404" i="1"/>
  <c r="B8404" i="1"/>
  <c r="C8404" i="1"/>
  <c r="M8404" i="1"/>
  <c r="A8405" i="1"/>
  <c r="B8405" i="1"/>
  <c r="C8405" i="1"/>
  <c r="M8405" i="1"/>
  <c r="A8406" i="1"/>
  <c r="B8406" i="1"/>
  <c r="C8406" i="1"/>
  <c r="M8406" i="1"/>
  <c r="A8407" i="1"/>
  <c r="B8407" i="1"/>
  <c r="C8407" i="1"/>
  <c r="M8407" i="1"/>
  <c r="A8408" i="1"/>
  <c r="B8408" i="1"/>
  <c r="C8408" i="1"/>
  <c r="M8408" i="1"/>
  <c r="A8409" i="1"/>
  <c r="B8409" i="1"/>
  <c r="C8409" i="1"/>
  <c r="M8409" i="1"/>
  <c r="A8410" i="1"/>
  <c r="B8410" i="1"/>
  <c r="C8410" i="1"/>
  <c r="M8410" i="1"/>
  <c r="A8411" i="1"/>
  <c r="B8411" i="1"/>
  <c r="C8411" i="1"/>
  <c r="M8411" i="1"/>
  <c r="A8412" i="1"/>
  <c r="B8412" i="1"/>
  <c r="C8412" i="1"/>
  <c r="M8412" i="1"/>
  <c r="A8413" i="1"/>
  <c r="B8413" i="1"/>
  <c r="C8413" i="1"/>
  <c r="M8413" i="1"/>
  <c r="A8414" i="1"/>
  <c r="B8414" i="1"/>
  <c r="C8414" i="1"/>
  <c r="M8414" i="1"/>
  <c r="A8415" i="1"/>
  <c r="B8415" i="1"/>
  <c r="C8415" i="1"/>
  <c r="M8415" i="1"/>
  <c r="A8416" i="1"/>
  <c r="B8416" i="1"/>
  <c r="C8416" i="1"/>
  <c r="M8416" i="1"/>
  <c r="A8417" i="1"/>
  <c r="B8417" i="1"/>
  <c r="C8417" i="1"/>
  <c r="M8417" i="1"/>
  <c r="A8418" i="1"/>
  <c r="B8418" i="1"/>
  <c r="C8418" i="1"/>
  <c r="M8418" i="1"/>
  <c r="A8419" i="1"/>
  <c r="B8419" i="1"/>
  <c r="C8419" i="1"/>
  <c r="M8419" i="1"/>
  <c r="A8420" i="1"/>
  <c r="B8420" i="1"/>
  <c r="C8420" i="1"/>
  <c r="M8420" i="1"/>
  <c r="A8421" i="1"/>
  <c r="B8421" i="1"/>
  <c r="C8421" i="1"/>
  <c r="M8421" i="1"/>
  <c r="A8422" i="1"/>
  <c r="B8422" i="1"/>
  <c r="C8422" i="1"/>
  <c r="M8422" i="1"/>
  <c r="A8423" i="1"/>
  <c r="B8423" i="1"/>
  <c r="C8423" i="1"/>
  <c r="M8423" i="1"/>
  <c r="A8424" i="1"/>
  <c r="B8424" i="1"/>
  <c r="C8424" i="1"/>
  <c r="M8424" i="1"/>
  <c r="A8425" i="1"/>
  <c r="B8425" i="1"/>
  <c r="C8425" i="1"/>
  <c r="M8425" i="1"/>
  <c r="A8426" i="1"/>
  <c r="B8426" i="1"/>
  <c r="C8426" i="1"/>
  <c r="M8426" i="1"/>
  <c r="A8427" i="1"/>
  <c r="B8427" i="1"/>
  <c r="C8427" i="1"/>
  <c r="M8427" i="1"/>
  <c r="A8428" i="1"/>
  <c r="B8428" i="1"/>
  <c r="C8428" i="1"/>
  <c r="M8428" i="1"/>
  <c r="A8429" i="1"/>
  <c r="B8429" i="1"/>
  <c r="C8429" i="1"/>
  <c r="M8429" i="1"/>
  <c r="A8430" i="1"/>
  <c r="B8430" i="1"/>
  <c r="C8430" i="1"/>
  <c r="M8430" i="1"/>
  <c r="A8431" i="1"/>
  <c r="B8431" i="1"/>
  <c r="C8431" i="1"/>
  <c r="M8431" i="1"/>
  <c r="A8432" i="1"/>
  <c r="B8432" i="1"/>
  <c r="C8432" i="1"/>
  <c r="M8432" i="1"/>
  <c r="A8433" i="1"/>
  <c r="B8433" i="1"/>
  <c r="C8433" i="1"/>
  <c r="M8433" i="1"/>
  <c r="A8434" i="1"/>
  <c r="B8434" i="1"/>
  <c r="C8434" i="1"/>
  <c r="M8434" i="1"/>
  <c r="A8435" i="1"/>
  <c r="B8435" i="1"/>
  <c r="C8435" i="1"/>
  <c r="M8435" i="1"/>
  <c r="A8436" i="1"/>
  <c r="B8436" i="1"/>
  <c r="C8436" i="1"/>
  <c r="M8436" i="1"/>
  <c r="A8437" i="1"/>
  <c r="B8437" i="1"/>
  <c r="C8437" i="1"/>
  <c r="M8437" i="1"/>
  <c r="A8438" i="1"/>
  <c r="B8438" i="1"/>
  <c r="C8438" i="1"/>
  <c r="M8438" i="1"/>
  <c r="A8439" i="1"/>
  <c r="B8439" i="1"/>
  <c r="C8439" i="1"/>
  <c r="M8439" i="1"/>
  <c r="A8440" i="1"/>
  <c r="B8440" i="1"/>
  <c r="C8440" i="1"/>
  <c r="M8440" i="1"/>
  <c r="A8441" i="1"/>
  <c r="B8441" i="1"/>
  <c r="C8441" i="1"/>
  <c r="M8441" i="1"/>
  <c r="A8442" i="1"/>
  <c r="B8442" i="1"/>
  <c r="C8442" i="1"/>
  <c r="M8442" i="1"/>
  <c r="A8443" i="1"/>
  <c r="B8443" i="1"/>
  <c r="C8443" i="1"/>
  <c r="M8443" i="1"/>
  <c r="A8444" i="1"/>
  <c r="B8444" i="1"/>
  <c r="C8444" i="1"/>
  <c r="M8444" i="1"/>
  <c r="A8445" i="1"/>
  <c r="B8445" i="1"/>
  <c r="C8445" i="1"/>
  <c r="M8445" i="1"/>
  <c r="A8446" i="1"/>
  <c r="B8446" i="1"/>
  <c r="C8446" i="1"/>
  <c r="M8446" i="1"/>
  <c r="A8447" i="1"/>
  <c r="B8447" i="1"/>
  <c r="C8447" i="1"/>
  <c r="M8447" i="1"/>
  <c r="A8448" i="1"/>
  <c r="B8448" i="1"/>
  <c r="C8448" i="1"/>
  <c r="M8448" i="1"/>
  <c r="A8449" i="1"/>
  <c r="B8449" i="1"/>
  <c r="C8449" i="1"/>
  <c r="M8449" i="1"/>
  <c r="A8450" i="1"/>
  <c r="B8450" i="1"/>
  <c r="C8450" i="1"/>
  <c r="M8450" i="1"/>
  <c r="A8451" i="1"/>
  <c r="B8451" i="1"/>
  <c r="C8451" i="1"/>
  <c r="M8451" i="1"/>
  <c r="A8452" i="1"/>
  <c r="B8452" i="1"/>
  <c r="C8452" i="1"/>
  <c r="M8452" i="1"/>
  <c r="A8453" i="1"/>
  <c r="B8453" i="1"/>
  <c r="C8453" i="1"/>
  <c r="M8453" i="1"/>
  <c r="A8454" i="1"/>
  <c r="B8454" i="1"/>
  <c r="C8454" i="1"/>
  <c r="M8454" i="1"/>
  <c r="A8455" i="1"/>
  <c r="B8455" i="1"/>
  <c r="C8455" i="1"/>
  <c r="M8455" i="1"/>
  <c r="A8456" i="1"/>
  <c r="B8456" i="1"/>
  <c r="C8456" i="1"/>
  <c r="M8456" i="1"/>
  <c r="A8457" i="1"/>
  <c r="B8457" i="1"/>
  <c r="C8457" i="1"/>
  <c r="M8457" i="1"/>
  <c r="A8458" i="1"/>
  <c r="B8458" i="1"/>
  <c r="C8458" i="1"/>
  <c r="M8458" i="1"/>
  <c r="A8459" i="1"/>
  <c r="B8459" i="1"/>
  <c r="C8459" i="1"/>
  <c r="M8459" i="1"/>
  <c r="A8460" i="1"/>
  <c r="B8460" i="1"/>
  <c r="C8460" i="1"/>
  <c r="M8460" i="1"/>
  <c r="A8461" i="1"/>
  <c r="B8461" i="1"/>
  <c r="C8461" i="1"/>
  <c r="M8461" i="1"/>
  <c r="A8462" i="1"/>
  <c r="B8462" i="1"/>
  <c r="C8462" i="1"/>
  <c r="M8462" i="1"/>
  <c r="A8463" i="1"/>
  <c r="B8463" i="1"/>
  <c r="C8463" i="1"/>
  <c r="M8463" i="1"/>
  <c r="A8464" i="1"/>
  <c r="B8464" i="1"/>
  <c r="C8464" i="1"/>
  <c r="M8464" i="1"/>
  <c r="A8465" i="1"/>
  <c r="B8465" i="1"/>
  <c r="C8465" i="1"/>
  <c r="M8465" i="1"/>
  <c r="A8466" i="1"/>
  <c r="B8466" i="1"/>
  <c r="C8466" i="1"/>
  <c r="M8466" i="1"/>
  <c r="A8467" i="1"/>
  <c r="B8467" i="1"/>
  <c r="C8467" i="1"/>
  <c r="M8467" i="1"/>
  <c r="A8468" i="1"/>
  <c r="B8468" i="1"/>
  <c r="C8468" i="1"/>
  <c r="M8468" i="1"/>
  <c r="A8469" i="1"/>
  <c r="B8469" i="1"/>
  <c r="C8469" i="1"/>
  <c r="M8469" i="1"/>
  <c r="A8470" i="1"/>
  <c r="B8470" i="1"/>
  <c r="C8470" i="1"/>
  <c r="M8470" i="1"/>
  <c r="A8471" i="1"/>
  <c r="B8471" i="1"/>
  <c r="C8471" i="1"/>
  <c r="M8471" i="1"/>
  <c r="A8472" i="1"/>
  <c r="B8472" i="1"/>
  <c r="C8472" i="1"/>
  <c r="M8472" i="1"/>
  <c r="A8473" i="1"/>
  <c r="B8473" i="1"/>
  <c r="C8473" i="1"/>
  <c r="M8473" i="1"/>
  <c r="A8474" i="1"/>
  <c r="B8474" i="1"/>
  <c r="C8474" i="1"/>
  <c r="M8474" i="1"/>
  <c r="A8475" i="1"/>
  <c r="B8475" i="1"/>
  <c r="C8475" i="1"/>
  <c r="M8475" i="1"/>
  <c r="A8476" i="1"/>
  <c r="B8476" i="1"/>
  <c r="C8476" i="1"/>
  <c r="M8476" i="1"/>
  <c r="A8477" i="1"/>
  <c r="B8477" i="1"/>
  <c r="C8477" i="1"/>
  <c r="M8477" i="1"/>
  <c r="A8478" i="1"/>
  <c r="B8478" i="1"/>
  <c r="C8478" i="1"/>
  <c r="M8478" i="1"/>
  <c r="A8479" i="1"/>
  <c r="B8479" i="1"/>
  <c r="C8479" i="1"/>
  <c r="M8479" i="1"/>
  <c r="A8480" i="1"/>
  <c r="B8480" i="1"/>
  <c r="C8480" i="1"/>
  <c r="M8480" i="1"/>
  <c r="A8481" i="1"/>
  <c r="B8481" i="1"/>
  <c r="C8481" i="1"/>
  <c r="M8481" i="1"/>
  <c r="A8482" i="1"/>
  <c r="B8482" i="1"/>
  <c r="C8482" i="1"/>
  <c r="M8482" i="1"/>
  <c r="A8483" i="1"/>
  <c r="B8483" i="1"/>
  <c r="C8483" i="1"/>
  <c r="M8483" i="1"/>
  <c r="A8484" i="1"/>
  <c r="B8484" i="1"/>
  <c r="C8484" i="1"/>
  <c r="M8484" i="1"/>
  <c r="A8485" i="1"/>
  <c r="B8485" i="1"/>
  <c r="C8485" i="1"/>
  <c r="M8485" i="1"/>
  <c r="A8486" i="1"/>
  <c r="B8486" i="1"/>
  <c r="C8486" i="1"/>
  <c r="M8486" i="1"/>
  <c r="A8487" i="1"/>
  <c r="B8487" i="1"/>
  <c r="C8487" i="1"/>
  <c r="M8487" i="1"/>
  <c r="A8488" i="1"/>
  <c r="B8488" i="1"/>
  <c r="C8488" i="1"/>
  <c r="M8488" i="1"/>
  <c r="A8489" i="1"/>
  <c r="B8489" i="1"/>
  <c r="C8489" i="1"/>
  <c r="M8489" i="1"/>
  <c r="A8490" i="1"/>
  <c r="B8490" i="1"/>
  <c r="C8490" i="1"/>
  <c r="M8490" i="1"/>
  <c r="A8491" i="1"/>
  <c r="B8491" i="1"/>
  <c r="C8491" i="1"/>
  <c r="M8491" i="1"/>
  <c r="A8492" i="1"/>
  <c r="B8492" i="1"/>
  <c r="C8492" i="1"/>
  <c r="M8492" i="1"/>
  <c r="A8493" i="1"/>
  <c r="B8493" i="1"/>
  <c r="C8493" i="1"/>
  <c r="M8493" i="1"/>
  <c r="A8494" i="1"/>
  <c r="B8494" i="1"/>
  <c r="C8494" i="1"/>
  <c r="M8494" i="1"/>
  <c r="A8495" i="1"/>
  <c r="B8495" i="1"/>
  <c r="C8495" i="1"/>
  <c r="M8495" i="1"/>
  <c r="A8496" i="1"/>
  <c r="B8496" i="1"/>
  <c r="C8496" i="1"/>
  <c r="M8496" i="1"/>
  <c r="A8497" i="1"/>
  <c r="B8497" i="1"/>
  <c r="C8497" i="1"/>
  <c r="M8497" i="1"/>
  <c r="A8498" i="1"/>
  <c r="B8498" i="1"/>
  <c r="C8498" i="1"/>
  <c r="M8498" i="1"/>
  <c r="A8499" i="1"/>
  <c r="B8499" i="1"/>
  <c r="C8499" i="1"/>
  <c r="M8499" i="1"/>
  <c r="A8500" i="1"/>
  <c r="B8500" i="1"/>
  <c r="C8500" i="1"/>
  <c r="M8500" i="1"/>
  <c r="A8501" i="1"/>
  <c r="B8501" i="1"/>
  <c r="C8501" i="1"/>
  <c r="M8501" i="1"/>
  <c r="A8502" i="1"/>
  <c r="B8502" i="1"/>
  <c r="C8502" i="1"/>
  <c r="M8502" i="1"/>
  <c r="A8503" i="1"/>
  <c r="B8503" i="1"/>
  <c r="C8503" i="1"/>
  <c r="M8503" i="1"/>
  <c r="A8504" i="1"/>
  <c r="B8504" i="1"/>
  <c r="C8504" i="1"/>
  <c r="M8504" i="1"/>
  <c r="A8505" i="1"/>
  <c r="B8505" i="1"/>
  <c r="C8505" i="1"/>
  <c r="M8505" i="1"/>
  <c r="A8506" i="1"/>
  <c r="B8506" i="1"/>
  <c r="C8506" i="1"/>
  <c r="M8506" i="1"/>
  <c r="A8507" i="1"/>
  <c r="B8507" i="1"/>
  <c r="C8507" i="1"/>
  <c r="M8507" i="1"/>
  <c r="A8508" i="1"/>
  <c r="B8508" i="1"/>
  <c r="C8508" i="1"/>
  <c r="M8508" i="1"/>
  <c r="A8509" i="1"/>
  <c r="B8509" i="1"/>
  <c r="C8509" i="1"/>
  <c r="M8509" i="1"/>
  <c r="A8510" i="1"/>
  <c r="B8510" i="1"/>
  <c r="C8510" i="1"/>
  <c r="M8510" i="1"/>
  <c r="A8511" i="1"/>
  <c r="B8511" i="1"/>
  <c r="C8511" i="1"/>
  <c r="M8511" i="1"/>
  <c r="A8512" i="1"/>
  <c r="B8512" i="1"/>
  <c r="C8512" i="1"/>
  <c r="M8512" i="1"/>
  <c r="A8513" i="1"/>
  <c r="B8513" i="1"/>
  <c r="C8513" i="1"/>
  <c r="M8513" i="1"/>
  <c r="A8514" i="1"/>
  <c r="B8514" i="1"/>
  <c r="C8514" i="1"/>
  <c r="M8514" i="1"/>
  <c r="A8515" i="1"/>
  <c r="B8515" i="1"/>
  <c r="C8515" i="1"/>
  <c r="M8515" i="1"/>
  <c r="A8516" i="1"/>
  <c r="B8516" i="1"/>
  <c r="C8516" i="1"/>
  <c r="M8516" i="1"/>
  <c r="A8517" i="1"/>
  <c r="B8517" i="1"/>
  <c r="C8517" i="1"/>
  <c r="M8517" i="1"/>
  <c r="A8518" i="1"/>
  <c r="B8518" i="1"/>
  <c r="C8518" i="1"/>
  <c r="M8518" i="1"/>
  <c r="A8519" i="1"/>
  <c r="B8519" i="1"/>
  <c r="C8519" i="1"/>
  <c r="M8519" i="1"/>
  <c r="A8520" i="1"/>
  <c r="B8520" i="1"/>
  <c r="C8520" i="1"/>
  <c r="M8520" i="1"/>
  <c r="A8521" i="1"/>
  <c r="B8521" i="1"/>
  <c r="C8521" i="1"/>
  <c r="M8521" i="1"/>
  <c r="A8522" i="1"/>
  <c r="B8522" i="1"/>
  <c r="C8522" i="1"/>
  <c r="M8522" i="1"/>
  <c r="A8523" i="1"/>
  <c r="B8523" i="1"/>
  <c r="C8523" i="1"/>
  <c r="M8523" i="1"/>
  <c r="A8524" i="1"/>
  <c r="B8524" i="1"/>
  <c r="C8524" i="1"/>
  <c r="M8524" i="1"/>
  <c r="A8525" i="1"/>
  <c r="B8525" i="1"/>
  <c r="C8525" i="1"/>
  <c r="M8525" i="1"/>
  <c r="A8526" i="1"/>
  <c r="B8526" i="1"/>
  <c r="C8526" i="1"/>
  <c r="M8526" i="1"/>
  <c r="A8527" i="1"/>
  <c r="B8527" i="1"/>
  <c r="C8527" i="1"/>
  <c r="M8527" i="1"/>
  <c r="A8528" i="1"/>
  <c r="B8528" i="1"/>
  <c r="C8528" i="1"/>
  <c r="M8528" i="1"/>
  <c r="A8529" i="1"/>
  <c r="B8529" i="1"/>
  <c r="C8529" i="1"/>
  <c r="M8529" i="1"/>
  <c r="A8530" i="1"/>
  <c r="B8530" i="1"/>
  <c r="C8530" i="1"/>
  <c r="M8530" i="1"/>
  <c r="A8531" i="1"/>
  <c r="B8531" i="1"/>
  <c r="C8531" i="1"/>
  <c r="M8531" i="1"/>
  <c r="A8532" i="1"/>
  <c r="B8532" i="1"/>
  <c r="C8532" i="1"/>
  <c r="M8532" i="1"/>
  <c r="A8533" i="1"/>
  <c r="B8533" i="1"/>
  <c r="C8533" i="1"/>
  <c r="M8533" i="1"/>
  <c r="A8534" i="1"/>
  <c r="B8534" i="1"/>
  <c r="C8534" i="1"/>
  <c r="M8534" i="1"/>
  <c r="A8535" i="1"/>
  <c r="B8535" i="1"/>
  <c r="C8535" i="1"/>
  <c r="M8535" i="1"/>
  <c r="A8536" i="1"/>
  <c r="B8536" i="1"/>
  <c r="C8536" i="1"/>
  <c r="M8536" i="1"/>
  <c r="A8537" i="1"/>
  <c r="B8537" i="1"/>
  <c r="C8537" i="1"/>
  <c r="M8537" i="1"/>
  <c r="A8538" i="1"/>
  <c r="B8538" i="1"/>
  <c r="C8538" i="1"/>
  <c r="M8538" i="1"/>
  <c r="A8539" i="1"/>
  <c r="B8539" i="1"/>
  <c r="C8539" i="1"/>
  <c r="M8539" i="1"/>
  <c r="A8540" i="1"/>
  <c r="B8540" i="1"/>
  <c r="C8540" i="1"/>
  <c r="M8540" i="1"/>
  <c r="A8541" i="1"/>
  <c r="B8541" i="1"/>
  <c r="C8541" i="1"/>
  <c r="M8541" i="1"/>
  <c r="A8542" i="1"/>
  <c r="B8542" i="1"/>
  <c r="C8542" i="1"/>
  <c r="M8542" i="1"/>
  <c r="A8543" i="1"/>
  <c r="B8543" i="1"/>
  <c r="C8543" i="1"/>
  <c r="M8543" i="1"/>
  <c r="A8544" i="1"/>
  <c r="B8544" i="1"/>
  <c r="C8544" i="1"/>
  <c r="M8544" i="1"/>
  <c r="A8545" i="1"/>
  <c r="B8545" i="1"/>
  <c r="C8545" i="1"/>
  <c r="M8545" i="1"/>
  <c r="A8546" i="1"/>
  <c r="B8546" i="1"/>
  <c r="C8546" i="1"/>
  <c r="M8546" i="1"/>
  <c r="A8547" i="1"/>
  <c r="B8547" i="1"/>
  <c r="C8547" i="1"/>
  <c r="M8547" i="1"/>
  <c r="A8548" i="1"/>
  <c r="B8548" i="1"/>
  <c r="C8548" i="1"/>
  <c r="M8548" i="1"/>
  <c r="A8549" i="1"/>
  <c r="B8549" i="1"/>
  <c r="C8549" i="1"/>
  <c r="M8549" i="1"/>
  <c r="A8550" i="1"/>
  <c r="B8550" i="1"/>
  <c r="C8550" i="1"/>
  <c r="M8550" i="1"/>
  <c r="A8551" i="1"/>
  <c r="B8551" i="1"/>
  <c r="C8551" i="1"/>
  <c r="M8551" i="1"/>
  <c r="A8552" i="1"/>
  <c r="B8552" i="1"/>
  <c r="C8552" i="1"/>
  <c r="M8552" i="1"/>
  <c r="A8553" i="1"/>
  <c r="B8553" i="1"/>
  <c r="C8553" i="1"/>
  <c r="M8553" i="1"/>
  <c r="A8554" i="1"/>
  <c r="B8554" i="1"/>
  <c r="C8554" i="1"/>
  <c r="M8554" i="1"/>
  <c r="A8555" i="1"/>
  <c r="B8555" i="1"/>
  <c r="C8555" i="1"/>
  <c r="M8555" i="1"/>
  <c r="A8556" i="1"/>
  <c r="B8556" i="1"/>
  <c r="C8556" i="1"/>
  <c r="M8556" i="1"/>
  <c r="A8557" i="1"/>
  <c r="B8557" i="1"/>
  <c r="C8557" i="1"/>
  <c r="M8557" i="1"/>
  <c r="A8558" i="1"/>
  <c r="B8558" i="1"/>
  <c r="C8558" i="1"/>
  <c r="M8558" i="1"/>
  <c r="A8559" i="1"/>
  <c r="B8559" i="1"/>
  <c r="C8559" i="1"/>
  <c r="M8559" i="1"/>
  <c r="A8560" i="1"/>
  <c r="B8560" i="1"/>
  <c r="C8560" i="1"/>
  <c r="M8560" i="1"/>
  <c r="A8561" i="1"/>
  <c r="B8561" i="1"/>
  <c r="C8561" i="1"/>
  <c r="M8561" i="1"/>
  <c r="A8562" i="1"/>
  <c r="B8562" i="1"/>
  <c r="C8562" i="1"/>
  <c r="M8562" i="1"/>
  <c r="A8563" i="1"/>
  <c r="B8563" i="1"/>
  <c r="C8563" i="1"/>
  <c r="M8563" i="1"/>
  <c r="A8564" i="1"/>
  <c r="B8564" i="1"/>
  <c r="C8564" i="1"/>
  <c r="M8564" i="1"/>
  <c r="A8565" i="1"/>
  <c r="B8565" i="1"/>
  <c r="C8565" i="1"/>
  <c r="M8565" i="1"/>
  <c r="A8566" i="1"/>
  <c r="B8566" i="1"/>
  <c r="C8566" i="1"/>
  <c r="M8566" i="1"/>
  <c r="A8567" i="1"/>
  <c r="B8567" i="1"/>
  <c r="C8567" i="1"/>
  <c r="M8567" i="1"/>
  <c r="A8568" i="1"/>
  <c r="B8568" i="1"/>
  <c r="C8568" i="1"/>
  <c r="M8568" i="1"/>
  <c r="A8569" i="1"/>
  <c r="B8569" i="1"/>
  <c r="C8569" i="1"/>
  <c r="M8569" i="1"/>
  <c r="A8570" i="1"/>
  <c r="B8570" i="1"/>
  <c r="C8570" i="1"/>
  <c r="M8570" i="1"/>
  <c r="A8571" i="1"/>
  <c r="B8571" i="1"/>
  <c r="C8571" i="1"/>
  <c r="M8571" i="1"/>
  <c r="A8572" i="1"/>
  <c r="B8572" i="1"/>
  <c r="C8572" i="1"/>
  <c r="M8572" i="1"/>
  <c r="A8573" i="1"/>
  <c r="B8573" i="1"/>
  <c r="C8573" i="1"/>
  <c r="M8573" i="1"/>
  <c r="A8574" i="1"/>
  <c r="B8574" i="1"/>
  <c r="C8574" i="1"/>
  <c r="M8574" i="1"/>
  <c r="A8575" i="1"/>
  <c r="B8575" i="1"/>
  <c r="C8575" i="1"/>
  <c r="M8575" i="1"/>
  <c r="A8576" i="1"/>
  <c r="B8576" i="1"/>
  <c r="C8576" i="1"/>
  <c r="M8576" i="1"/>
  <c r="A8577" i="1"/>
  <c r="B8577" i="1"/>
  <c r="C8577" i="1"/>
  <c r="M8577" i="1"/>
  <c r="A8578" i="1"/>
  <c r="B8578" i="1"/>
  <c r="C8578" i="1"/>
  <c r="M8578" i="1"/>
  <c r="A8579" i="1"/>
  <c r="B8579" i="1"/>
  <c r="C8579" i="1"/>
  <c r="M8579" i="1"/>
  <c r="A8580" i="1"/>
  <c r="B8580" i="1"/>
  <c r="C8580" i="1"/>
  <c r="M8580" i="1"/>
  <c r="A8581" i="1"/>
  <c r="B8581" i="1"/>
  <c r="C8581" i="1"/>
  <c r="M8581" i="1"/>
  <c r="A8582" i="1"/>
  <c r="B8582" i="1"/>
  <c r="C8582" i="1"/>
  <c r="M8582" i="1"/>
  <c r="A8583" i="1"/>
  <c r="B8583" i="1"/>
  <c r="C8583" i="1"/>
  <c r="M8583" i="1"/>
  <c r="A8584" i="1"/>
  <c r="B8584" i="1"/>
  <c r="C8584" i="1"/>
  <c r="M8584" i="1"/>
  <c r="A8585" i="1"/>
  <c r="B8585" i="1"/>
  <c r="C8585" i="1"/>
  <c r="M8585" i="1"/>
  <c r="A8586" i="1"/>
  <c r="B8586" i="1"/>
  <c r="C8586" i="1"/>
  <c r="M8586" i="1"/>
  <c r="A8587" i="1"/>
  <c r="B8587" i="1"/>
  <c r="C8587" i="1"/>
  <c r="M8587" i="1"/>
  <c r="A8588" i="1"/>
  <c r="B8588" i="1"/>
  <c r="C8588" i="1"/>
  <c r="M8588" i="1"/>
  <c r="A8589" i="1"/>
  <c r="B8589" i="1"/>
  <c r="C8589" i="1"/>
  <c r="M8589" i="1"/>
  <c r="A8590" i="1"/>
  <c r="B8590" i="1"/>
  <c r="C8590" i="1"/>
  <c r="M8590" i="1"/>
  <c r="A8591" i="1"/>
  <c r="B8591" i="1"/>
  <c r="C8591" i="1"/>
  <c r="M8591" i="1"/>
  <c r="A8592" i="1"/>
  <c r="B8592" i="1"/>
  <c r="C8592" i="1"/>
  <c r="M8592" i="1"/>
  <c r="A8593" i="1"/>
  <c r="B8593" i="1"/>
  <c r="C8593" i="1"/>
  <c r="M8593" i="1"/>
  <c r="A8594" i="1"/>
  <c r="B8594" i="1"/>
  <c r="C8594" i="1"/>
  <c r="M8594" i="1"/>
  <c r="A8595" i="1"/>
  <c r="B8595" i="1"/>
  <c r="C8595" i="1"/>
  <c r="M8595" i="1"/>
  <c r="A8596" i="1"/>
  <c r="B8596" i="1"/>
  <c r="C8596" i="1"/>
  <c r="M8596" i="1"/>
  <c r="A8597" i="1"/>
  <c r="B8597" i="1"/>
  <c r="C8597" i="1"/>
  <c r="M8597" i="1"/>
  <c r="A8598" i="1"/>
  <c r="B8598" i="1"/>
  <c r="C8598" i="1"/>
  <c r="M8598" i="1"/>
  <c r="A8599" i="1"/>
  <c r="B8599" i="1"/>
  <c r="C8599" i="1"/>
  <c r="M8599" i="1"/>
  <c r="A8600" i="1"/>
  <c r="B8600" i="1"/>
  <c r="C8600" i="1"/>
  <c r="M8600" i="1"/>
  <c r="A8601" i="1"/>
  <c r="B8601" i="1"/>
  <c r="C8601" i="1"/>
  <c r="M8601" i="1"/>
  <c r="A8602" i="1"/>
  <c r="B8602" i="1"/>
  <c r="C8602" i="1"/>
  <c r="M8602" i="1"/>
  <c r="A8603" i="1"/>
  <c r="B8603" i="1"/>
  <c r="C8603" i="1"/>
  <c r="M8603" i="1"/>
  <c r="A8604" i="1"/>
  <c r="B8604" i="1"/>
  <c r="C8604" i="1"/>
  <c r="M8604" i="1"/>
  <c r="A8605" i="1"/>
  <c r="B8605" i="1"/>
  <c r="C8605" i="1"/>
  <c r="M8605" i="1"/>
  <c r="A8606" i="1"/>
  <c r="B8606" i="1"/>
  <c r="C8606" i="1"/>
  <c r="M8606" i="1"/>
  <c r="A8607" i="1"/>
  <c r="B8607" i="1"/>
  <c r="C8607" i="1"/>
  <c r="M8607" i="1"/>
  <c r="A8608" i="1"/>
  <c r="B8608" i="1"/>
  <c r="C8608" i="1"/>
  <c r="M8608" i="1"/>
  <c r="A8609" i="1"/>
  <c r="B8609" i="1"/>
  <c r="C8609" i="1"/>
  <c r="M8609" i="1"/>
  <c r="A8610" i="1"/>
  <c r="B8610" i="1"/>
  <c r="C8610" i="1"/>
  <c r="M8610" i="1"/>
  <c r="A8611" i="1"/>
  <c r="B8611" i="1"/>
  <c r="C8611" i="1"/>
  <c r="M8611" i="1"/>
  <c r="A8612" i="1"/>
  <c r="B8612" i="1"/>
  <c r="C8612" i="1"/>
  <c r="M8612" i="1"/>
  <c r="A8613" i="1"/>
  <c r="B8613" i="1"/>
  <c r="C8613" i="1"/>
  <c r="M8613" i="1"/>
  <c r="A8614" i="1"/>
  <c r="B8614" i="1"/>
  <c r="C8614" i="1"/>
  <c r="M8614" i="1"/>
  <c r="A8615" i="1"/>
  <c r="B8615" i="1"/>
  <c r="C8615" i="1"/>
  <c r="M8615" i="1"/>
  <c r="A8616" i="1"/>
  <c r="B8616" i="1"/>
  <c r="C8616" i="1"/>
  <c r="M8616" i="1"/>
  <c r="A8617" i="1"/>
  <c r="B8617" i="1"/>
  <c r="C8617" i="1"/>
  <c r="M8617" i="1"/>
  <c r="A8618" i="1"/>
  <c r="B8618" i="1"/>
  <c r="C8618" i="1"/>
  <c r="M8618" i="1"/>
  <c r="A8619" i="1"/>
  <c r="B8619" i="1"/>
  <c r="C8619" i="1"/>
  <c r="M8619" i="1"/>
  <c r="A8620" i="1"/>
  <c r="B8620" i="1"/>
  <c r="C8620" i="1"/>
  <c r="M8620" i="1"/>
  <c r="A8621" i="1"/>
  <c r="B8621" i="1"/>
  <c r="C8621" i="1"/>
  <c r="M8621" i="1"/>
  <c r="A8622" i="1"/>
  <c r="B8622" i="1"/>
  <c r="C8622" i="1"/>
  <c r="M8622" i="1"/>
  <c r="A8623" i="1"/>
  <c r="B8623" i="1"/>
  <c r="C8623" i="1"/>
  <c r="M8623" i="1"/>
  <c r="A8624" i="1"/>
  <c r="B8624" i="1"/>
  <c r="C8624" i="1"/>
  <c r="M8624" i="1"/>
  <c r="A8625" i="1"/>
  <c r="B8625" i="1"/>
  <c r="C8625" i="1"/>
  <c r="M8625" i="1"/>
  <c r="A8626" i="1"/>
  <c r="B8626" i="1"/>
  <c r="C8626" i="1"/>
  <c r="M8626" i="1"/>
  <c r="A8627" i="1"/>
  <c r="B8627" i="1"/>
  <c r="C8627" i="1"/>
  <c r="M8627" i="1"/>
  <c r="A8628" i="1"/>
  <c r="B8628" i="1"/>
  <c r="C8628" i="1"/>
  <c r="M8628" i="1"/>
  <c r="A8629" i="1"/>
  <c r="B8629" i="1"/>
  <c r="C8629" i="1"/>
  <c r="M8629" i="1"/>
  <c r="A8630" i="1"/>
  <c r="B8630" i="1"/>
  <c r="C8630" i="1"/>
  <c r="M8630" i="1"/>
  <c r="A8631" i="1"/>
  <c r="B8631" i="1"/>
  <c r="C8631" i="1"/>
  <c r="M8631" i="1"/>
  <c r="A8632" i="1"/>
  <c r="B8632" i="1"/>
  <c r="C8632" i="1"/>
  <c r="M8632" i="1"/>
  <c r="A8633" i="1"/>
  <c r="B8633" i="1"/>
  <c r="C8633" i="1"/>
  <c r="M8633" i="1"/>
  <c r="A8634" i="1"/>
  <c r="B8634" i="1"/>
  <c r="C8634" i="1"/>
  <c r="M8634" i="1"/>
  <c r="A8635" i="1"/>
  <c r="B8635" i="1"/>
  <c r="C8635" i="1"/>
  <c r="M8635" i="1"/>
  <c r="A8636" i="1"/>
  <c r="B8636" i="1"/>
  <c r="C8636" i="1"/>
  <c r="M8636" i="1"/>
  <c r="A8637" i="1"/>
  <c r="B8637" i="1"/>
  <c r="C8637" i="1"/>
  <c r="M8637" i="1"/>
  <c r="A8638" i="1"/>
  <c r="B8638" i="1"/>
  <c r="C8638" i="1"/>
  <c r="M8638" i="1"/>
  <c r="A8639" i="1"/>
  <c r="B8639" i="1"/>
  <c r="C8639" i="1"/>
  <c r="M8639" i="1"/>
  <c r="A8640" i="1"/>
  <c r="B8640" i="1"/>
  <c r="C8640" i="1"/>
  <c r="M8640" i="1"/>
  <c r="A8641" i="1"/>
  <c r="B8641" i="1"/>
  <c r="C8641" i="1"/>
  <c r="M8641" i="1"/>
  <c r="A8642" i="1"/>
  <c r="B8642" i="1"/>
  <c r="C8642" i="1"/>
  <c r="M8642" i="1"/>
  <c r="A8643" i="1"/>
  <c r="B8643" i="1"/>
  <c r="C8643" i="1"/>
  <c r="M8643" i="1"/>
  <c r="A8644" i="1"/>
  <c r="B8644" i="1"/>
  <c r="C8644" i="1"/>
  <c r="M8644" i="1"/>
  <c r="A8645" i="1"/>
  <c r="B8645" i="1"/>
  <c r="C8645" i="1"/>
  <c r="M8645" i="1"/>
  <c r="A8646" i="1"/>
  <c r="B8646" i="1"/>
  <c r="C8646" i="1"/>
  <c r="M8646" i="1"/>
  <c r="A8647" i="1"/>
  <c r="B8647" i="1"/>
  <c r="C8647" i="1"/>
  <c r="M8647" i="1"/>
  <c r="A8648" i="1"/>
  <c r="B8648" i="1"/>
  <c r="C8648" i="1"/>
  <c r="M8648" i="1"/>
  <c r="A8649" i="1"/>
  <c r="B8649" i="1"/>
  <c r="C8649" i="1"/>
  <c r="M8649" i="1"/>
  <c r="A8650" i="1"/>
  <c r="B8650" i="1"/>
  <c r="C8650" i="1"/>
  <c r="M8650" i="1"/>
  <c r="A8651" i="1"/>
  <c r="B8651" i="1"/>
  <c r="C8651" i="1"/>
  <c r="M8651" i="1"/>
  <c r="A8652" i="1"/>
  <c r="B8652" i="1"/>
  <c r="C8652" i="1"/>
  <c r="M8652" i="1"/>
  <c r="A8653" i="1"/>
  <c r="B8653" i="1"/>
  <c r="C8653" i="1"/>
  <c r="M8653" i="1"/>
  <c r="A8654" i="1"/>
  <c r="B8654" i="1"/>
  <c r="C8654" i="1"/>
  <c r="M8654" i="1"/>
  <c r="A8655" i="1"/>
  <c r="B8655" i="1"/>
  <c r="C8655" i="1"/>
  <c r="M8655" i="1"/>
  <c r="A8656" i="1"/>
  <c r="B8656" i="1"/>
  <c r="C8656" i="1"/>
  <c r="M8656" i="1"/>
  <c r="A8657" i="1"/>
  <c r="B8657" i="1"/>
  <c r="C8657" i="1"/>
  <c r="M8657" i="1"/>
  <c r="A8658" i="1"/>
  <c r="B8658" i="1"/>
  <c r="C8658" i="1"/>
  <c r="M8658" i="1"/>
  <c r="A8659" i="1"/>
  <c r="B8659" i="1"/>
  <c r="C8659" i="1"/>
  <c r="M8659" i="1"/>
  <c r="A8660" i="1"/>
  <c r="B8660" i="1"/>
  <c r="C8660" i="1"/>
  <c r="M8660" i="1"/>
  <c r="A8661" i="1"/>
  <c r="B8661" i="1"/>
  <c r="C8661" i="1"/>
  <c r="M8661" i="1"/>
  <c r="A8662" i="1"/>
  <c r="B8662" i="1"/>
  <c r="C8662" i="1"/>
  <c r="M8662" i="1"/>
  <c r="A8663" i="1"/>
  <c r="B8663" i="1"/>
  <c r="C8663" i="1"/>
  <c r="M8663" i="1"/>
  <c r="A8664" i="1"/>
  <c r="B8664" i="1"/>
  <c r="C8664" i="1"/>
  <c r="M8664" i="1"/>
  <c r="A8665" i="1"/>
  <c r="B8665" i="1"/>
  <c r="C8665" i="1"/>
  <c r="M8665" i="1"/>
  <c r="A8666" i="1"/>
  <c r="B8666" i="1"/>
  <c r="C8666" i="1"/>
  <c r="M8666" i="1"/>
  <c r="A8667" i="1"/>
  <c r="B8667" i="1"/>
  <c r="C8667" i="1"/>
  <c r="M8667" i="1"/>
  <c r="A8668" i="1"/>
  <c r="B8668" i="1"/>
  <c r="C8668" i="1"/>
  <c r="M8668" i="1"/>
  <c r="A8669" i="1"/>
  <c r="B8669" i="1"/>
  <c r="C8669" i="1"/>
  <c r="M8669" i="1"/>
  <c r="A8670" i="1"/>
  <c r="B8670" i="1"/>
  <c r="C8670" i="1"/>
  <c r="M8670" i="1"/>
  <c r="A8671" i="1"/>
  <c r="B8671" i="1"/>
  <c r="C8671" i="1"/>
  <c r="M8671" i="1"/>
  <c r="A8672" i="1"/>
  <c r="B8672" i="1"/>
  <c r="C8672" i="1"/>
  <c r="M8672" i="1"/>
  <c r="A8673" i="1"/>
  <c r="B8673" i="1"/>
  <c r="C8673" i="1"/>
  <c r="M8673" i="1"/>
  <c r="A8674" i="1"/>
  <c r="B8674" i="1"/>
  <c r="C8674" i="1"/>
  <c r="M8674" i="1"/>
  <c r="A8675" i="1"/>
  <c r="B8675" i="1"/>
  <c r="C8675" i="1"/>
  <c r="M8675" i="1"/>
  <c r="A8676" i="1"/>
  <c r="B8676" i="1"/>
  <c r="C8676" i="1"/>
  <c r="M8676" i="1"/>
  <c r="A8677" i="1"/>
  <c r="B8677" i="1"/>
  <c r="C8677" i="1"/>
  <c r="M8677" i="1"/>
  <c r="A8678" i="1"/>
  <c r="B8678" i="1"/>
  <c r="C8678" i="1"/>
  <c r="M8678" i="1"/>
  <c r="A8679" i="1"/>
  <c r="B8679" i="1"/>
  <c r="C8679" i="1"/>
  <c r="M8679" i="1"/>
  <c r="A8680" i="1"/>
  <c r="B8680" i="1"/>
  <c r="C8680" i="1"/>
  <c r="M8680" i="1"/>
  <c r="A8681" i="1"/>
  <c r="B8681" i="1"/>
  <c r="C8681" i="1"/>
  <c r="M8681" i="1"/>
  <c r="A8682" i="1"/>
  <c r="B8682" i="1"/>
  <c r="C8682" i="1"/>
  <c r="M8682" i="1"/>
  <c r="A8683" i="1"/>
  <c r="B8683" i="1"/>
  <c r="C8683" i="1"/>
  <c r="M8683" i="1"/>
  <c r="A8684" i="1"/>
  <c r="B8684" i="1"/>
  <c r="C8684" i="1"/>
  <c r="M8684" i="1"/>
  <c r="A8685" i="1"/>
  <c r="B8685" i="1"/>
  <c r="C8685" i="1"/>
  <c r="M8685" i="1"/>
  <c r="A8686" i="1"/>
  <c r="B8686" i="1"/>
  <c r="C8686" i="1"/>
  <c r="M8686" i="1"/>
  <c r="A8687" i="1"/>
  <c r="B8687" i="1"/>
  <c r="C8687" i="1"/>
  <c r="M8687" i="1"/>
  <c r="A8688" i="1"/>
  <c r="B8688" i="1"/>
  <c r="C8688" i="1"/>
  <c r="M8688" i="1"/>
  <c r="A8689" i="1"/>
  <c r="B8689" i="1"/>
  <c r="C8689" i="1"/>
  <c r="M8689" i="1"/>
  <c r="A8690" i="1"/>
  <c r="B8690" i="1"/>
  <c r="C8690" i="1"/>
  <c r="M8690" i="1"/>
  <c r="A8691" i="1"/>
  <c r="B8691" i="1"/>
  <c r="C8691" i="1"/>
  <c r="M8691" i="1"/>
  <c r="A8692" i="1"/>
  <c r="B8692" i="1"/>
  <c r="C8692" i="1"/>
  <c r="M8692" i="1"/>
  <c r="A8693" i="1"/>
  <c r="B8693" i="1"/>
  <c r="C8693" i="1"/>
  <c r="M8693" i="1"/>
  <c r="A8694" i="1"/>
  <c r="B8694" i="1"/>
  <c r="C8694" i="1"/>
  <c r="M8694" i="1"/>
  <c r="A8695" i="1"/>
  <c r="B8695" i="1"/>
  <c r="C8695" i="1"/>
  <c r="M8695" i="1"/>
  <c r="A8696" i="1"/>
  <c r="B8696" i="1"/>
  <c r="C8696" i="1"/>
  <c r="M8696" i="1"/>
  <c r="A8697" i="1"/>
  <c r="B8697" i="1"/>
  <c r="C8697" i="1"/>
  <c r="M8697" i="1"/>
  <c r="A8698" i="1"/>
  <c r="B8698" i="1"/>
  <c r="C8698" i="1"/>
  <c r="M8698" i="1"/>
  <c r="A8699" i="1"/>
  <c r="B8699" i="1"/>
  <c r="C8699" i="1"/>
  <c r="M8699" i="1"/>
  <c r="A8700" i="1"/>
  <c r="B8700" i="1"/>
  <c r="C8700" i="1"/>
  <c r="M8700" i="1"/>
  <c r="A8701" i="1"/>
  <c r="B8701" i="1"/>
  <c r="C8701" i="1"/>
  <c r="M8701" i="1"/>
  <c r="A8702" i="1"/>
  <c r="B8702" i="1"/>
  <c r="C8702" i="1"/>
  <c r="M8702" i="1"/>
  <c r="A8703" i="1"/>
  <c r="B8703" i="1"/>
  <c r="C8703" i="1"/>
  <c r="M8703" i="1"/>
  <c r="A8704" i="1"/>
  <c r="B8704" i="1"/>
  <c r="C8704" i="1"/>
  <c r="M8704" i="1"/>
  <c r="A8705" i="1"/>
  <c r="B8705" i="1"/>
  <c r="C8705" i="1"/>
  <c r="M8705" i="1"/>
  <c r="A8706" i="1"/>
  <c r="B8706" i="1"/>
  <c r="C8706" i="1"/>
  <c r="M8706" i="1"/>
  <c r="A8707" i="1"/>
  <c r="B8707" i="1"/>
  <c r="C8707" i="1"/>
  <c r="M8707" i="1"/>
  <c r="A8708" i="1"/>
  <c r="B8708" i="1"/>
  <c r="C8708" i="1"/>
  <c r="M8708" i="1"/>
  <c r="A8709" i="1"/>
  <c r="B8709" i="1"/>
  <c r="C8709" i="1"/>
  <c r="M8709" i="1"/>
  <c r="A8710" i="1"/>
  <c r="B8710" i="1"/>
  <c r="C8710" i="1"/>
  <c r="M8710" i="1"/>
  <c r="A8711" i="1"/>
  <c r="B8711" i="1"/>
  <c r="C8711" i="1"/>
  <c r="M8711" i="1"/>
  <c r="A8712" i="1"/>
  <c r="B8712" i="1"/>
  <c r="C8712" i="1"/>
  <c r="M8712" i="1"/>
  <c r="A8713" i="1"/>
  <c r="B8713" i="1"/>
  <c r="C8713" i="1"/>
  <c r="M8713" i="1"/>
  <c r="A8714" i="1"/>
  <c r="B8714" i="1"/>
  <c r="C8714" i="1"/>
  <c r="M8714" i="1"/>
  <c r="A8715" i="1"/>
  <c r="B8715" i="1"/>
  <c r="C8715" i="1"/>
  <c r="M8715" i="1"/>
  <c r="A8716" i="1"/>
  <c r="B8716" i="1"/>
  <c r="C8716" i="1"/>
  <c r="M8716" i="1"/>
  <c r="A8717" i="1"/>
  <c r="B8717" i="1"/>
  <c r="C8717" i="1"/>
  <c r="M8717" i="1"/>
  <c r="A8718" i="1"/>
  <c r="B8718" i="1"/>
  <c r="C8718" i="1"/>
  <c r="M8718" i="1"/>
  <c r="A8719" i="1"/>
  <c r="B8719" i="1"/>
  <c r="C8719" i="1"/>
  <c r="M8719" i="1"/>
  <c r="A8720" i="1"/>
  <c r="B8720" i="1"/>
  <c r="C8720" i="1"/>
  <c r="M8720" i="1"/>
  <c r="A8721" i="1"/>
  <c r="B8721" i="1"/>
  <c r="C8721" i="1"/>
  <c r="M8721" i="1"/>
  <c r="A8722" i="1"/>
  <c r="B8722" i="1"/>
  <c r="C8722" i="1"/>
  <c r="M8722" i="1"/>
  <c r="A8723" i="1"/>
  <c r="B8723" i="1"/>
  <c r="C8723" i="1"/>
  <c r="M8723" i="1"/>
  <c r="A8724" i="1"/>
  <c r="B8724" i="1"/>
  <c r="C8724" i="1"/>
  <c r="M8724" i="1"/>
  <c r="A8725" i="1"/>
  <c r="B8725" i="1"/>
  <c r="C8725" i="1"/>
  <c r="M8725" i="1"/>
  <c r="A8726" i="1"/>
  <c r="B8726" i="1"/>
  <c r="C8726" i="1"/>
  <c r="M8726" i="1"/>
  <c r="A8727" i="1"/>
  <c r="B8727" i="1"/>
  <c r="C8727" i="1"/>
  <c r="M8727" i="1"/>
  <c r="A8728" i="1"/>
  <c r="B8728" i="1"/>
  <c r="C8728" i="1"/>
  <c r="M8728" i="1"/>
  <c r="A8729" i="1"/>
  <c r="B8729" i="1"/>
  <c r="C8729" i="1"/>
  <c r="M8729" i="1"/>
  <c r="A8730" i="1"/>
  <c r="B8730" i="1"/>
  <c r="C8730" i="1"/>
  <c r="M8730" i="1"/>
  <c r="A8731" i="1"/>
  <c r="B8731" i="1"/>
  <c r="C8731" i="1"/>
  <c r="M8731" i="1"/>
  <c r="A8732" i="1"/>
  <c r="B8732" i="1"/>
  <c r="C8732" i="1"/>
  <c r="M8732" i="1"/>
  <c r="A8733" i="1"/>
  <c r="B8733" i="1"/>
  <c r="C8733" i="1"/>
  <c r="M8733" i="1"/>
  <c r="A8734" i="1"/>
  <c r="B8734" i="1"/>
  <c r="C8734" i="1"/>
  <c r="M8734" i="1"/>
  <c r="A8735" i="1"/>
  <c r="B8735" i="1"/>
  <c r="C8735" i="1"/>
  <c r="M8735" i="1"/>
  <c r="A8736" i="1"/>
  <c r="B8736" i="1"/>
  <c r="C8736" i="1"/>
  <c r="M8736" i="1"/>
  <c r="A8737" i="1"/>
  <c r="B8737" i="1"/>
  <c r="C8737" i="1"/>
  <c r="M8737" i="1"/>
  <c r="A8738" i="1"/>
  <c r="B8738" i="1"/>
  <c r="C8738" i="1"/>
  <c r="M8738" i="1"/>
  <c r="A8739" i="1"/>
  <c r="B8739" i="1"/>
  <c r="C8739" i="1"/>
  <c r="M8739" i="1"/>
  <c r="A8740" i="1"/>
  <c r="B8740" i="1"/>
  <c r="C8740" i="1"/>
  <c r="M8740" i="1"/>
  <c r="A8741" i="1"/>
  <c r="B8741" i="1"/>
  <c r="C8741" i="1"/>
  <c r="M8741" i="1"/>
  <c r="A8742" i="1"/>
  <c r="B8742" i="1"/>
  <c r="C8742" i="1"/>
  <c r="M8742" i="1"/>
  <c r="A8743" i="1"/>
  <c r="B8743" i="1"/>
  <c r="C8743" i="1"/>
  <c r="M8743" i="1"/>
  <c r="A8744" i="1"/>
  <c r="B8744" i="1"/>
  <c r="C8744" i="1"/>
  <c r="M8744" i="1"/>
  <c r="A8745" i="1"/>
  <c r="B8745" i="1"/>
  <c r="C8745" i="1"/>
  <c r="M8745" i="1"/>
  <c r="A8746" i="1"/>
  <c r="B8746" i="1"/>
  <c r="C8746" i="1"/>
  <c r="M8746" i="1"/>
  <c r="A8747" i="1"/>
  <c r="B8747" i="1"/>
  <c r="C8747" i="1"/>
  <c r="M8747" i="1"/>
  <c r="A8748" i="1"/>
  <c r="B8748" i="1"/>
  <c r="C8748" i="1"/>
  <c r="M8748" i="1"/>
  <c r="A8749" i="1"/>
  <c r="B8749" i="1"/>
  <c r="C8749" i="1"/>
  <c r="M8749" i="1"/>
  <c r="A8750" i="1"/>
  <c r="B8750" i="1"/>
  <c r="C8750" i="1"/>
  <c r="M8750" i="1"/>
  <c r="A8751" i="1"/>
  <c r="B8751" i="1"/>
  <c r="C8751" i="1"/>
  <c r="M8751" i="1"/>
  <c r="A8752" i="1"/>
  <c r="B8752" i="1"/>
  <c r="C8752" i="1"/>
  <c r="M8752" i="1"/>
  <c r="A8753" i="1"/>
  <c r="B8753" i="1"/>
  <c r="C8753" i="1"/>
  <c r="M8753" i="1"/>
  <c r="A8754" i="1"/>
  <c r="B8754" i="1"/>
  <c r="C8754" i="1"/>
  <c r="M8754" i="1"/>
  <c r="A8755" i="1"/>
  <c r="B8755" i="1"/>
  <c r="C8755" i="1"/>
  <c r="M8755" i="1"/>
  <c r="A8756" i="1"/>
  <c r="B8756" i="1"/>
  <c r="C8756" i="1"/>
  <c r="M8756" i="1"/>
  <c r="A8757" i="1"/>
  <c r="B8757" i="1"/>
  <c r="C8757" i="1"/>
  <c r="M8757" i="1"/>
  <c r="A8758" i="1"/>
  <c r="B8758" i="1"/>
  <c r="C8758" i="1"/>
  <c r="M8758" i="1"/>
  <c r="A8759" i="1"/>
  <c r="B8759" i="1"/>
  <c r="C8759" i="1"/>
  <c r="M8759" i="1"/>
  <c r="A8760" i="1"/>
  <c r="B8760" i="1"/>
  <c r="C8760" i="1"/>
  <c r="M8760" i="1"/>
  <c r="A8761" i="1"/>
  <c r="B8761" i="1"/>
  <c r="C8761" i="1"/>
  <c r="M8761" i="1"/>
  <c r="A8762" i="1"/>
  <c r="B8762" i="1"/>
  <c r="C8762" i="1"/>
  <c r="M8762" i="1"/>
  <c r="A8763" i="1"/>
  <c r="B8763" i="1"/>
  <c r="C8763" i="1"/>
  <c r="M8763" i="1"/>
  <c r="A8764" i="1"/>
  <c r="B8764" i="1"/>
  <c r="C8764" i="1"/>
  <c r="M8764" i="1"/>
  <c r="A8765" i="1"/>
  <c r="B8765" i="1"/>
  <c r="C8765" i="1"/>
  <c r="M8765" i="1"/>
  <c r="A8766" i="1"/>
  <c r="B8766" i="1"/>
  <c r="C8766" i="1"/>
  <c r="M8766" i="1"/>
  <c r="A8767" i="1"/>
  <c r="B8767" i="1"/>
  <c r="C8767" i="1"/>
  <c r="M8767" i="1"/>
  <c r="A8768" i="1"/>
  <c r="B8768" i="1"/>
  <c r="C8768" i="1"/>
  <c r="M8768" i="1"/>
  <c r="A8769" i="1"/>
  <c r="B8769" i="1"/>
  <c r="C8769" i="1"/>
  <c r="M8769" i="1"/>
  <c r="A8770" i="1"/>
  <c r="B8770" i="1"/>
  <c r="C8770" i="1"/>
  <c r="M8770" i="1"/>
  <c r="A8771" i="1"/>
  <c r="B8771" i="1"/>
  <c r="C8771" i="1"/>
  <c r="M8771" i="1"/>
  <c r="A8772" i="1"/>
  <c r="B8772" i="1"/>
  <c r="C8772" i="1"/>
  <c r="M8772" i="1"/>
  <c r="A8773" i="1"/>
  <c r="B8773" i="1"/>
  <c r="C8773" i="1"/>
  <c r="M8773" i="1"/>
  <c r="A8774" i="1"/>
  <c r="B8774" i="1"/>
  <c r="C8774" i="1"/>
  <c r="M8774" i="1"/>
  <c r="A8775" i="1"/>
  <c r="B8775" i="1"/>
  <c r="C8775" i="1"/>
  <c r="M8775" i="1"/>
  <c r="A8776" i="1"/>
  <c r="B8776" i="1"/>
  <c r="C8776" i="1"/>
  <c r="M8776" i="1"/>
  <c r="A8777" i="1"/>
  <c r="B8777" i="1"/>
  <c r="C8777" i="1"/>
  <c r="M8777" i="1"/>
  <c r="A8778" i="1"/>
  <c r="B8778" i="1"/>
  <c r="C8778" i="1"/>
  <c r="M8778" i="1"/>
  <c r="A8779" i="1"/>
  <c r="B8779" i="1"/>
  <c r="C8779" i="1"/>
  <c r="M8779" i="1"/>
  <c r="A8780" i="1"/>
  <c r="B8780" i="1"/>
  <c r="C8780" i="1"/>
  <c r="M8780" i="1"/>
  <c r="A8781" i="1"/>
  <c r="B8781" i="1"/>
  <c r="C8781" i="1"/>
  <c r="M8781" i="1"/>
  <c r="A8782" i="1"/>
  <c r="B8782" i="1"/>
  <c r="C8782" i="1"/>
  <c r="M8782" i="1"/>
  <c r="A8783" i="1"/>
  <c r="B8783" i="1"/>
  <c r="C8783" i="1"/>
  <c r="M8783" i="1"/>
  <c r="A8784" i="1"/>
  <c r="B8784" i="1"/>
  <c r="C8784" i="1"/>
  <c r="M8784" i="1"/>
  <c r="A8785" i="1"/>
  <c r="B8785" i="1"/>
  <c r="C8785" i="1"/>
  <c r="M8785" i="1"/>
  <c r="A8786" i="1"/>
  <c r="B8786" i="1"/>
  <c r="C8786" i="1"/>
  <c r="M8786" i="1"/>
  <c r="A8787" i="1"/>
  <c r="B8787" i="1"/>
  <c r="C8787" i="1"/>
  <c r="M8787" i="1"/>
  <c r="A8788" i="1"/>
  <c r="B8788" i="1"/>
  <c r="C8788" i="1"/>
  <c r="M8788" i="1"/>
  <c r="A8789" i="1"/>
  <c r="B8789" i="1"/>
  <c r="C8789" i="1"/>
  <c r="M8789" i="1"/>
  <c r="A8790" i="1"/>
  <c r="B8790" i="1"/>
  <c r="C8790" i="1"/>
  <c r="M8790" i="1"/>
  <c r="A8791" i="1"/>
  <c r="B8791" i="1"/>
  <c r="C8791" i="1"/>
  <c r="M8791" i="1"/>
  <c r="A8792" i="1"/>
  <c r="B8792" i="1"/>
  <c r="C8792" i="1"/>
  <c r="M8792" i="1"/>
  <c r="A8793" i="1"/>
  <c r="B8793" i="1"/>
  <c r="C8793" i="1"/>
  <c r="M8793" i="1"/>
  <c r="A8794" i="1"/>
  <c r="B8794" i="1"/>
  <c r="C8794" i="1"/>
  <c r="M8794" i="1"/>
  <c r="A8795" i="1"/>
  <c r="B8795" i="1"/>
  <c r="C8795" i="1"/>
  <c r="M8795" i="1"/>
  <c r="A8796" i="1"/>
  <c r="B8796" i="1"/>
  <c r="C8796" i="1"/>
  <c r="M8796" i="1"/>
  <c r="A8797" i="1"/>
  <c r="B8797" i="1"/>
  <c r="C8797" i="1"/>
  <c r="M8797" i="1"/>
  <c r="A8798" i="1"/>
  <c r="B8798" i="1"/>
  <c r="C8798" i="1"/>
  <c r="M8798" i="1"/>
  <c r="A8799" i="1"/>
  <c r="B8799" i="1"/>
  <c r="C8799" i="1"/>
  <c r="M8799" i="1"/>
  <c r="A8800" i="1"/>
  <c r="B8800" i="1"/>
  <c r="C8800" i="1"/>
  <c r="M8800" i="1"/>
  <c r="A8801" i="1"/>
  <c r="B8801" i="1"/>
  <c r="C8801" i="1"/>
  <c r="M8801" i="1"/>
  <c r="A8802" i="1"/>
  <c r="B8802" i="1"/>
  <c r="C8802" i="1"/>
  <c r="M8802" i="1"/>
  <c r="A8803" i="1"/>
  <c r="B8803" i="1"/>
  <c r="C8803" i="1"/>
  <c r="M8803" i="1"/>
  <c r="A8804" i="1"/>
  <c r="B8804" i="1"/>
  <c r="C8804" i="1"/>
  <c r="M8804" i="1"/>
  <c r="A8805" i="1"/>
  <c r="B8805" i="1"/>
  <c r="C8805" i="1"/>
  <c r="M8805" i="1"/>
  <c r="A8806" i="1"/>
  <c r="B8806" i="1"/>
  <c r="C8806" i="1"/>
  <c r="M8806" i="1"/>
  <c r="A8807" i="1"/>
  <c r="B8807" i="1"/>
  <c r="C8807" i="1"/>
  <c r="M8807" i="1"/>
  <c r="A8808" i="1"/>
  <c r="B8808" i="1"/>
  <c r="C8808" i="1"/>
  <c r="M8808" i="1"/>
  <c r="A8809" i="1"/>
  <c r="B8809" i="1"/>
  <c r="C8809" i="1"/>
  <c r="M8809" i="1"/>
  <c r="A8810" i="1"/>
  <c r="B8810" i="1"/>
  <c r="C8810" i="1"/>
  <c r="M8810" i="1"/>
  <c r="A8811" i="1"/>
  <c r="B8811" i="1"/>
  <c r="C8811" i="1"/>
  <c r="M8811" i="1"/>
  <c r="A8812" i="1"/>
  <c r="B8812" i="1"/>
  <c r="C8812" i="1"/>
  <c r="M8812" i="1"/>
  <c r="A8813" i="1"/>
  <c r="B8813" i="1"/>
  <c r="C8813" i="1"/>
  <c r="M8813" i="1"/>
  <c r="A8814" i="1"/>
  <c r="B8814" i="1"/>
  <c r="C8814" i="1"/>
  <c r="M8814" i="1"/>
  <c r="A8815" i="1"/>
  <c r="B8815" i="1"/>
  <c r="C8815" i="1"/>
  <c r="M8815" i="1"/>
  <c r="A8816" i="1"/>
  <c r="B8816" i="1"/>
  <c r="C8816" i="1"/>
  <c r="M8816" i="1"/>
  <c r="A8817" i="1"/>
  <c r="B8817" i="1"/>
  <c r="C8817" i="1"/>
  <c r="M8817" i="1"/>
  <c r="A8818" i="1"/>
  <c r="B8818" i="1"/>
  <c r="C8818" i="1"/>
  <c r="M8818" i="1"/>
  <c r="A8819" i="1"/>
  <c r="B8819" i="1"/>
  <c r="C8819" i="1"/>
  <c r="M8819" i="1"/>
  <c r="A8820" i="1"/>
  <c r="B8820" i="1"/>
  <c r="C8820" i="1"/>
  <c r="M8820" i="1"/>
  <c r="A8821" i="1"/>
  <c r="B8821" i="1"/>
  <c r="C8821" i="1"/>
  <c r="M8821" i="1"/>
  <c r="A8822" i="1"/>
  <c r="B8822" i="1"/>
  <c r="C8822" i="1"/>
  <c r="M8822" i="1"/>
  <c r="A8823" i="1"/>
  <c r="B8823" i="1"/>
  <c r="C8823" i="1"/>
  <c r="M8823" i="1"/>
  <c r="A8824" i="1"/>
  <c r="B8824" i="1"/>
  <c r="C8824" i="1"/>
  <c r="M8824" i="1"/>
  <c r="A8825" i="1"/>
  <c r="B8825" i="1"/>
  <c r="C8825" i="1"/>
  <c r="M8825" i="1"/>
  <c r="A8826" i="1"/>
  <c r="B8826" i="1"/>
  <c r="C8826" i="1"/>
  <c r="M8826" i="1"/>
  <c r="A8827" i="1"/>
  <c r="B8827" i="1"/>
  <c r="C8827" i="1"/>
  <c r="M8827" i="1"/>
  <c r="A8828" i="1"/>
  <c r="B8828" i="1"/>
  <c r="C8828" i="1"/>
  <c r="M8828" i="1"/>
  <c r="A8829" i="1"/>
  <c r="B8829" i="1"/>
  <c r="C8829" i="1"/>
  <c r="M8829" i="1"/>
  <c r="A8830" i="1"/>
  <c r="B8830" i="1"/>
  <c r="C8830" i="1"/>
  <c r="M8830" i="1"/>
  <c r="A8831" i="1"/>
  <c r="B8831" i="1"/>
  <c r="C8831" i="1"/>
  <c r="M8831" i="1"/>
  <c r="A8832" i="1"/>
  <c r="B8832" i="1"/>
  <c r="C8832" i="1"/>
  <c r="M8832" i="1"/>
  <c r="A8833" i="1"/>
  <c r="B8833" i="1"/>
  <c r="C8833" i="1"/>
  <c r="M8833" i="1"/>
  <c r="A8834" i="1"/>
  <c r="B8834" i="1"/>
  <c r="C8834" i="1"/>
  <c r="M8834" i="1"/>
  <c r="A8835" i="1"/>
  <c r="B8835" i="1"/>
  <c r="C8835" i="1"/>
  <c r="M8835" i="1"/>
  <c r="A8836" i="1"/>
  <c r="B8836" i="1"/>
  <c r="C8836" i="1"/>
  <c r="M8836" i="1"/>
  <c r="A8837" i="1"/>
  <c r="B8837" i="1"/>
  <c r="C8837" i="1"/>
  <c r="M8837" i="1"/>
  <c r="A8838" i="1"/>
  <c r="B8838" i="1"/>
  <c r="C8838" i="1"/>
  <c r="M8838" i="1"/>
  <c r="A8839" i="1"/>
  <c r="B8839" i="1"/>
  <c r="C8839" i="1"/>
  <c r="M8839" i="1"/>
  <c r="A8840" i="1"/>
  <c r="B8840" i="1"/>
  <c r="C8840" i="1"/>
  <c r="M8840" i="1"/>
  <c r="A8841" i="1"/>
  <c r="B8841" i="1"/>
  <c r="C8841" i="1"/>
  <c r="M8841" i="1"/>
  <c r="A8842" i="1"/>
  <c r="B8842" i="1"/>
  <c r="C8842" i="1"/>
  <c r="M8842" i="1"/>
  <c r="A8843" i="1"/>
  <c r="B8843" i="1"/>
  <c r="C8843" i="1"/>
  <c r="M8843" i="1"/>
  <c r="A8844" i="1"/>
  <c r="B8844" i="1"/>
  <c r="C8844" i="1"/>
  <c r="M8844" i="1"/>
  <c r="A8845" i="1"/>
  <c r="B8845" i="1"/>
  <c r="C8845" i="1"/>
  <c r="M8845" i="1"/>
  <c r="A8846" i="1"/>
  <c r="B8846" i="1"/>
  <c r="C8846" i="1"/>
  <c r="M8846" i="1"/>
  <c r="A8847" i="1"/>
  <c r="B8847" i="1"/>
  <c r="C8847" i="1"/>
  <c r="M8847" i="1"/>
  <c r="A8848" i="1"/>
  <c r="B8848" i="1"/>
  <c r="C8848" i="1"/>
  <c r="M8848" i="1"/>
  <c r="A8849" i="1"/>
  <c r="B8849" i="1"/>
  <c r="C8849" i="1"/>
  <c r="M8849" i="1"/>
  <c r="A8850" i="1"/>
  <c r="B8850" i="1"/>
  <c r="C8850" i="1"/>
  <c r="M8850" i="1"/>
  <c r="A8851" i="1"/>
  <c r="B8851" i="1"/>
  <c r="C8851" i="1"/>
  <c r="M8851" i="1"/>
  <c r="A8852" i="1"/>
  <c r="B8852" i="1"/>
  <c r="C8852" i="1"/>
  <c r="M8852" i="1"/>
  <c r="A8853" i="1"/>
  <c r="B8853" i="1"/>
  <c r="C8853" i="1"/>
  <c r="M8853" i="1"/>
  <c r="A8854" i="1"/>
  <c r="B8854" i="1"/>
  <c r="C8854" i="1"/>
  <c r="M8854" i="1"/>
  <c r="A8855" i="1"/>
  <c r="B8855" i="1"/>
  <c r="C8855" i="1"/>
  <c r="M8855" i="1"/>
  <c r="A8856" i="1"/>
  <c r="B8856" i="1"/>
  <c r="C8856" i="1"/>
  <c r="M8856" i="1"/>
  <c r="A8857" i="1"/>
  <c r="B8857" i="1"/>
  <c r="C8857" i="1"/>
  <c r="M8857" i="1"/>
  <c r="A8858" i="1"/>
  <c r="B8858" i="1"/>
  <c r="C8858" i="1"/>
  <c r="M8858" i="1"/>
  <c r="A8859" i="1"/>
  <c r="B8859" i="1"/>
  <c r="C8859" i="1"/>
  <c r="M8859" i="1"/>
  <c r="A8860" i="1"/>
  <c r="B8860" i="1"/>
  <c r="C8860" i="1"/>
  <c r="M8860" i="1"/>
  <c r="A8861" i="1"/>
  <c r="B8861" i="1"/>
  <c r="C8861" i="1"/>
  <c r="M8861" i="1"/>
  <c r="A8862" i="1"/>
  <c r="B8862" i="1"/>
  <c r="C8862" i="1"/>
  <c r="M8862" i="1"/>
  <c r="A8863" i="1"/>
  <c r="B8863" i="1"/>
  <c r="C8863" i="1"/>
  <c r="M8863" i="1"/>
  <c r="A8864" i="1"/>
  <c r="B8864" i="1"/>
  <c r="C8864" i="1"/>
  <c r="M8864" i="1"/>
  <c r="A8865" i="1"/>
  <c r="B8865" i="1"/>
  <c r="C8865" i="1"/>
  <c r="M8865" i="1"/>
  <c r="A8866" i="1"/>
  <c r="B8866" i="1"/>
  <c r="C8866" i="1"/>
  <c r="M8866" i="1"/>
  <c r="A8867" i="1"/>
  <c r="B8867" i="1"/>
  <c r="C8867" i="1"/>
  <c r="M8867" i="1"/>
  <c r="A8868" i="1"/>
  <c r="B8868" i="1"/>
  <c r="C8868" i="1"/>
  <c r="M8868" i="1"/>
  <c r="A8869" i="1"/>
  <c r="B8869" i="1"/>
  <c r="C8869" i="1"/>
  <c r="M8869" i="1"/>
  <c r="A8870" i="1"/>
  <c r="B8870" i="1"/>
  <c r="C8870" i="1"/>
  <c r="M8870" i="1"/>
  <c r="A8871" i="1"/>
  <c r="B8871" i="1"/>
  <c r="C8871" i="1"/>
  <c r="M8871" i="1"/>
  <c r="A8872" i="1"/>
  <c r="B8872" i="1"/>
  <c r="C8872" i="1"/>
  <c r="M8872" i="1"/>
  <c r="A8873" i="1"/>
  <c r="B8873" i="1"/>
  <c r="C8873" i="1"/>
  <c r="M8873" i="1"/>
  <c r="A8874" i="1"/>
  <c r="B8874" i="1"/>
  <c r="C8874" i="1"/>
  <c r="M8874" i="1"/>
  <c r="A8875" i="1"/>
  <c r="B8875" i="1"/>
  <c r="C8875" i="1"/>
  <c r="M8875" i="1"/>
  <c r="A8876" i="1"/>
  <c r="B8876" i="1"/>
  <c r="C8876" i="1"/>
  <c r="M8876" i="1"/>
  <c r="A8877" i="1"/>
  <c r="B8877" i="1"/>
  <c r="C8877" i="1"/>
  <c r="M8877" i="1"/>
  <c r="A8878" i="1"/>
  <c r="B8878" i="1"/>
  <c r="C8878" i="1"/>
  <c r="M8878" i="1"/>
  <c r="A8879" i="1"/>
  <c r="B8879" i="1"/>
  <c r="C8879" i="1"/>
  <c r="M8879" i="1"/>
  <c r="A8880" i="1"/>
  <c r="B8880" i="1"/>
  <c r="C8880" i="1"/>
  <c r="M8880" i="1"/>
  <c r="A8881" i="1"/>
  <c r="B8881" i="1"/>
  <c r="C8881" i="1"/>
  <c r="M8881" i="1"/>
  <c r="A8882" i="1"/>
  <c r="B8882" i="1"/>
  <c r="C8882" i="1"/>
  <c r="M8882" i="1"/>
  <c r="A8883" i="1"/>
  <c r="B8883" i="1"/>
  <c r="C8883" i="1"/>
  <c r="M8883" i="1"/>
  <c r="A8884" i="1"/>
  <c r="B8884" i="1"/>
  <c r="C8884" i="1"/>
  <c r="M8884" i="1"/>
  <c r="A8885" i="1"/>
  <c r="B8885" i="1"/>
  <c r="C8885" i="1"/>
  <c r="M8885" i="1"/>
  <c r="A8886" i="1"/>
  <c r="B8886" i="1"/>
  <c r="C8886" i="1"/>
  <c r="M8886" i="1"/>
  <c r="A8887" i="1"/>
  <c r="B8887" i="1"/>
  <c r="C8887" i="1"/>
  <c r="M8887" i="1"/>
  <c r="A8888" i="1"/>
  <c r="B8888" i="1"/>
  <c r="C8888" i="1"/>
  <c r="M8888" i="1"/>
  <c r="A8889" i="1"/>
  <c r="B8889" i="1"/>
  <c r="C8889" i="1"/>
  <c r="M8889" i="1"/>
  <c r="A8890" i="1"/>
  <c r="B8890" i="1"/>
  <c r="C8890" i="1"/>
  <c r="M8890" i="1"/>
  <c r="A8891" i="1"/>
  <c r="B8891" i="1"/>
  <c r="C8891" i="1"/>
  <c r="M8891" i="1"/>
  <c r="A8892" i="1"/>
  <c r="B8892" i="1"/>
  <c r="C8892" i="1"/>
  <c r="M8892" i="1"/>
  <c r="A8893" i="1"/>
  <c r="B8893" i="1"/>
  <c r="C8893" i="1"/>
  <c r="M8893" i="1"/>
  <c r="A8894" i="1"/>
  <c r="B8894" i="1"/>
  <c r="C8894" i="1"/>
  <c r="M8894" i="1"/>
  <c r="A8895" i="1"/>
  <c r="B8895" i="1"/>
  <c r="C8895" i="1"/>
  <c r="M8895" i="1"/>
  <c r="A8896" i="1"/>
  <c r="B8896" i="1"/>
  <c r="C8896" i="1"/>
  <c r="M8896" i="1"/>
  <c r="A8897" i="1"/>
  <c r="B8897" i="1"/>
  <c r="C8897" i="1"/>
  <c r="M8897" i="1"/>
  <c r="A8898" i="1"/>
  <c r="B8898" i="1"/>
  <c r="C8898" i="1"/>
  <c r="M8898" i="1"/>
  <c r="A8899" i="1"/>
  <c r="B8899" i="1"/>
  <c r="C8899" i="1"/>
  <c r="M8899" i="1"/>
  <c r="A8900" i="1"/>
  <c r="B8900" i="1"/>
  <c r="C8900" i="1"/>
  <c r="M8900" i="1"/>
  <c r="A8901" i="1"/>
  <c r="B8901" i="1"/>
  <c r="C8901" i="1"/>
  <c r="M8901" i="1"/>
  <c r="A8902" i="1"/>
  <c r="B8902" i="1"/>
  <c r="C8902" i="1"/>
  <c r="M8902" i="1"/>
  <c r="A8903" i="1"/>
  <c r="B8903" i="1"/>
  <c r="C8903" i="1"/>
  <c r="M8903" i="1"/>
  <c r="A8904" i="1"/>
  <c r="B8904" i="1"/>
  <c r="C8904" i="1"/>
  <c r="M8904" i="1"/>
  <c r="A8905" i="1"/>
  <c r="B8905" i="1"/>
  <c r="C8905" i="1"/>
  <c r="M8905" i="1"/>
  <c r="A8906" i="1"/>
  <c r="B8906" i="1"/>
  <c r="C8906" i="1"/>
  <c r="M8906" i="1"/>
  <c r="A8907" i="1"/>
  <c r="B8907" i="1"/>
  <c r="C8907" i="1"/>
  <c r="M8907" i="1"/>
  <c r="A8908" i="1"/>
  <c r="B8908" i="1"/>
  <c r="C8908" i="1"/>
  <c r="M8908" i="1"/>
  <c r="A8909" i="1"/>
  <c r="B8909" i="1"/>
  <c r="C8909" i="1"/>
  <c r="M8909" i="1"/>
  <c r="A8910" i="1"/>
  <c r="B8910" i="1"/>
  <c r="C8910" i="1"/>
  <c r="M8910" i="1"/>
  <c r="A8911" i="1"/>
  <c r="B8911" i="1"/>
  <c r="C8911" i="1"/>
  <c r="M8911" i="1"/>
  <c r="A8912" i="1"/>
  <c r="B8912" i="1"/>
  <c r="C8912" i="1"/>
  <c r="M8912" i="1"/>
  <c r="A8913" i="1"/>
  <c r="B8913" i="1"/>
  <c r="C8913" i="1"/>
  <c r="M8913" i="1"/>
  <c r="A8914" i="1"/>
  <c r="B8914" i="1"/>
  <c r="C8914" i="1"/>
  <c r="M8914" i="1"/>
  <c r="A8915" i="1"/>
  <c r="B8915" i="1"/>
  <c r="C8915" i="1"/>
  <c r="M8915" i="1"/>
  <c r="A8916" i="1"/>
  <c r="B8916" i="1"/>
  <c r="C8916" i="1"/>
  <c r="M8916" i="1"/>
  <c r="A8917" i="1"/>
  <c r="B8917" i="1"/>
  <c r="C8917" i="1"/>
  <c r="M8917" i="1"/>
  <c r="A8918" i="1"/>
  <c r="B8918" i="1"/>
  <c r="C8918" i="1"/>
  <c r="M8918" i="1"/>
  <c r="A8919" i="1"/>
  <c r="B8919" i="1"/>
  <c r="C8919" i="1"/>
  <c r="M8919" i="1"/>
  <c r="A8920" i="1"/>
  <c r="B8920" i="1"/>
  <c r="C8920" i="1"/>
  <c r="M8920" i="1"/>
  <c r="A8921" i="1"/>
  <c r="B8921" i="1"/>
  <c r="C8921" i="1"/>
  <c r="M8921" i="1"/>
  <c r="A8922" i="1"/>
  <c r="B8922" i="1"/>
  <c r="C8922" i="1"/>
  <c r="M8922" i="1"/>
  <c r="A8923" i="1"/>
  <c r="B8923" i="1"/>
  <c r="C8923" i="1"/>
  <c r="M8923" i="1"/>
  <c r="A8924" i="1"/>
  <c r="B8924" i="1"/>
  <c r="C8924" i="1"/>
  <c r="M8924" i="1"/>
  <c r="A8925" i="1"/>
  <c r="B8925" i="1"/>
  <c r="C8925" i="1"/>
  <c r="M8925" i="1"/>
  <c r="A8926" i="1"/>
  <c r="B8926" i="1"/>
  <c r="C8926" i="1"/>
  <c r="M8926" i="1"/>
  <c r="A8927" i="1"/>
  <c r="B8927" i="1"/>
  <c r="C8927" i="1"/>
  <c r="M8927" i="1"/>
  <c r="A8928" i="1"/>
  <c r="B8928" i="1"/>
  <c r="C8928" i="1"/>
  <c r="M8928" i="1"/>
  <c r="A8929" i="1"/>
  <c r="B8929" i="1"/>
  <c r="C8929" i="1"/>
  <c r="M8929" i="1"/>
  <c r="A8930" i="1"/>
  <c r="B8930" i="1"/>
  <c r="C8930" i="1"/>
  <c r="M8930" i="1"/>
  <c r="A8931" i="1"/>
  <c r="B8931" i="1"/>
  <c r="C8931" i="1"/>
  <c r="M8931" i="1"/>
  <c r="A8932" i="1"/>
  <c r="B8932" i="1"/>
  <c r="C8932" i="1"/>
  <c r="M8932" i="1"/>
  <c r="A8933" i="1"/>
  <c r="B8933" i="1"/>
  <c r="C8933" i="1"/>
  <c r="M8933" i="1"/>
  <c r="A8934" i="1"/>
  <c r="B8934" i="1"/>
  <c r="C8934" i="1"/>
  <c r="M8934" i="1"/>
  <c r="A8935" i="1"/>
  <c r="B8935" i="1"/>
  <c r="C8935" i="1"/>
  <c r="M8935" i="1"/>
  <c r="A8936" i="1"/>
  <c r="B8936" i="1"/>
  <c r="C8936" i="1"/>
  <c r="M8936" i="1"/>
  <c r="A8937" i="1"/>
  <c r="B8937" i="1"/>
  <c r="C8937" i="1"/>
  <c r="M8937" i="1"/>
  <c r="A8938" i="1"/>
  <c r="B8938" i="1"/>
  <c r="C8938" i="1"/>
  <c r="M8938" i="1"/>
  <c r="A8939" i="1"/>
  <c r="B8939" i="1"/>
  <c r="C8939" i="1"/>
  <c r="M8939" i="1"/>
  <c r="A8940" i="1"/>
  <c r="B8940" i="1"/>
  <c r="C8940" i="1"/>
  <c r="M8940" i="1"/>
  <c r="A8941" i="1"/>
  <c r="B8941" i="1"/>
  <c r="C8941" i="1"/>
  <c r="M8941" i="1"/>
  <c r="A8942" i="1"/>
  <c r="B8942" i="1"/>
  <c r="C8942" i="1"/>
  <c r="M8942" i="1"/>
  <c r="A8943" i="1"/>
  <c r="B8943" i="1"/>
  <c r="C8943" i="1"/>
  <c r="M8943" i="1"/>
  <c r="A8944" i="1"/>
  <c r="B8944" i="1"/>
  <c r="C8944" i="1"/>
  <c r="M8944" i="1"/>
  <c r="A8945" i="1"/>
  <c r="B8945" i="1"/>
  <c r="C8945" i="1"/>
  <c r="M8945" i="1"/>
  <c r="A8946" i="1"/>
  <c r="B8946" i="1"/>
  <c r="C8946" i="1"/>
  <c r="M8946" i="1"/>
  <c r="A8947" i="1"/>
  <c r="B8947" i="1"/>
  <c r="C8947" i="1"/>
  <c r="M8947" i="1"/>
  <c r="A8948" i="1"/>
  <c r="B8948" i="1"/>
  <c r="C8948" i="1"/>
  <c r="M8948" i="1"/>
  <c r="A8949" i="1"/>
  <c r="B8949" i="1"/>
  <c r="C8949" i="1"/>
  <c r="M8949" i="1"/>
  <c r="A8950" i="1"/>
  <c r="B8950" i="1"/>
  <c r="C8950" i="1"/>
  <c r="M8950" i="1"/>
  <c r="A8951" i="1"/>
  <c r="B8951" i="1"/>
  <c r="C8951" i="1"/>
  <c r="M8951" i="1"/>
  <c r="A8952" i="1"/>
  <c r="B8952" i="1"/>
  <c r="C8952" i="1"/>
  <c r="M8952" i="1"/>
  <c r="A8953" i="1"/>
  <c r="B8953" i="1"/>
  <c r="C8953" i="1"/>
  <c r="M8953" i="1"/>
  <c r="A8954" i="1"/>
  <c r="B8954" i="1"/>
  <c r="C8954" i="1"/>
  <c r="M8954" i="1"/>
  <c r="A8955" i="1"/>
  <c r="B8955" i="1"/>
  <c r="C8955" i="1"/>
  <c r="M8955" i="1"/>
  <c r="A8956" i="1"/>
  <c r="B8956" i="1"/>
  <c r="C8956" i="1"/>
  <c r="M8956" i="1"/>
  <c r="A8957" i="1"/>
  <c r="B8957" i="1"/>
  <c r="C8957" i="1"/>
  <c r="M8957" i="1"/>
  <c r="A8958" i="1"/>
  <c r="B8958" i="1"/>
  <c r="C8958" i="1"/>
  <c r="M8958" i="1"/>
  <c r="A8959" i="1"/>
  <c r="B8959" i="1"/>
  <c r="C8959" i="1"/>
  <c r="M8959" i="1"/>
  <c r="A8960" i="1"/>
  <c r="B8960" i="1"/>
  <c r="C8960" i="1"/>
  <c r="M8960" i="1"/>
  <c r="A8961" i="1"/>
  <c r="B8961" i="1"/>
  <c r="C8961" i="1"/>
  <c r="M8961" i="1"/>
  <c r="A8962" i="1"/>
  <c r="B8962" i="1"/>
  <c r="C8962" i="1"/>
  <c r="M8962" i="1"/>
  <c r="A8963" i="1"/>
  <c r="B8963" i="1"/>
  <c r="C8963" i="1"/>
  <c r="M8963" i="1"/>
  <c r="A8964" i="1"/>
  <c r="B8964" i="1"/>
  <c r="C8964" i="1"/>
  <c r="M8964" i="1"/>
  <c r="A8965" i="1"/>
  <c r="B8965" i="1"/>
  <c r="C8965" i="1"/>
  <c r="M8965" i="1"/>
  <c r="A8966" i="1"/>
  <c r="B8966" i="1"/>
  <c r="C8966" i="1"/>
  <c r="M8966" i="1"/>
  <c r="A8967" i="1"/>
  <c r="B8967" i="1"/>
  <c r="C8967" i="1"/>
  <c r="M8967" i="1"/>
  <c r="A8968" i="1"/>
  <c r="B8968" i="1"/>
  <c r="C8968" i="1"/>
  <c r="M8968" i="1"/>
  <c r="A8969" i="1"/>
  <c r="B8969" i="1"/>
  <c r="C8969" i="1"/>
  <c r="M8969" i="1"/>
  <c r="A8970" i="1"/>
  <c r="B8970" i="1"/>
  <c r="C8970" i="1"/>
  <c r="M8970" i="1"/>
  <c r="A8971" i="1"/>
  <c r="B8971" i="1"/>
  <c r="C8971" i="1"/>
  <c r="M8971" i="1"/>
  <c r="A8972" i="1"/>
  <c r="B8972" i="1"/>
  <c r="C8972" i="1"/>
  <c r="M8972" i="1"/>
  <c r="A8973" i="1"/>
  <c r="B8973" i="1"/>
  <c r="C8973" i="1"/>
  <c r="M8973" i="1"/>
  <c r="A8974" i="1"/>
  <c r="B8974" i="1"/>
  <c r="C8974" i="1"/>
  <c r="M8974" i="1"/>
  <c r="A8975" i="1"/>
  <c r="B8975" i="1"/>
  <c r="C8975" i="1"/>
  <c r="M8975" i="1"/>
  <c r="A8976" i="1"/>
  <c r="B8976" i="1"/>
  <c r="C8976" i="1"/>
  <c r="M8976" i="1"/>
  <c r="A8977" i="1"/>
  <c r="B8977" i="1"/>
  <c r="C8977" i="1"/>
  <c r="M8977" i="1"/>
  <c r="A8978" i="1"/>
  <c r="B8978" i="1"/>
  <c r="C8978" i="1"/>
  <c r="M8978" i="1"/>
  <c r="A8979" i="1"/>
  <c r="B8979" i="1"/>
  <c r="C8979" i="1"/>
  <c r="M8979" i="1"/>
  <c r="A8980" i="1"/>
  <c r="B8980" i="1"/>
  <c r="C8980" i="1"/>
  <c r="M8980" i="1"/>
  <c r="A8981" i="1"/>
  <c r="B8981" i="1"/>
  <c r="C8981" i="1"/>
  <c r="M8981" i="1"/>
  <c r="A8982" i="1"/>
  <c r="B8982" i="1"/>
  <c r="C8982" i="1"/>
  <c r="M8982" i="1"/>
  <c r="A8983" i="1"/>
  <c r="B8983" i="1"/>
  <c r="C8983" i="1"/>
  <c r="M8983" i="1"/>
  <c r="A8984" i="1"/>
  <c r="B8984" i="1"/>
  <c r="C8984" i="1"/>
  <c r="M8984" i="1"/>
  <c r="A8985" i="1"/>
  <c r="B8985" i="1"/>
  <c r="C8985" i="1"/>
  <c r="M8985" i="1"/>
  <c r="A8986" i="1"/>
  <c r="B8986" i="1"/>
  <c r="C8986" i="1"/>
  <c r="M8986" i="1"/>
  <c r="A8987" i="1"/>
  <c r="B8987" i="1"/>
  <c r="C8987" i="1"/>
  <c r="M8987" i="1"/>
  <c r="A8988" i="1"/>
  <c r="B8988" i="1"/>
  <c r="C8988" i="1"/>
  <c r="M8988" i="1"/>
  <c r="A8989" i="1"/>
  <c r="B8989" i="1"/>
  <c r="C8989" i="1"/>
  <c r="M8989" i="1"/>
  <c r="A8990" i="1"/>
  <c r="B8990" i="1"/>
  <c r="C8990" i="1"/>
  <c r="M8990" i="1"/>
  <c r="A8991" i="1"/>
  <c r="B8991" i="1"/>
  <c r="C8991" i="1"/>
  <c r="M8991" i="1"/>
  <c r="A8992" i="1"/>
  <c r="B8992" i="1"/>
  <c r="C8992" i="1"/>
  <c r="M8992" i="1"/>
  <c r="A8993" i="1"/>
  <c r="B8993" i="1"/>
  <c r="C8993" i="1"/>
  <c r="M8993" i="1"/>
  <c r="A8994" i="1"/>
  <c r="B8994" i="1"/>
  <c r="C8994" i="1"/>
  <c r="M8994" i="1"/>
  <c r="A8995" i="1"/>
  <c r="B8995" i="1"/>
  <c r="C8995" i="1"/>
  <c r="M8995" i="1"/>
  <c r="A8996" i="1"/>
  <c r="B8996" i="1"/>
  <c r="C8996" i="1"/>
  <c r="M8996" i="1"/>
  <c r="A8997" i="1"/>
  <c r="B8997" i="1"/>
  <c r="C8997" i="1"/>
  <c r="M8997" i="1"/>
  <c r="A8998" i="1"/>
  <c r="B8998" i="1"/>
  <c r="C8998" i="1"/>
  <c r="M8998" i="1"/>
  <c r="A8999" i="1"/>
  <c r="B8999" i="1"/>
  <c r="C8999" i="1"/>
  <c r="M8999" i="1"/>
  <c r="A9000" i="1"/>
  <c r="B9000" i="1"/>
  <c r="C9000" i="1"/>
  <c r="M9000" i="1"/>
  <c r="A9001" i="1"/>
  <c r="B9001" i="1"/>
  <c r="C9001" i="1"/>
  <c r="M9001" i="1"/>
  <c r="A9002" i="1"/>
  <c r="B9002" i="1"/>
  <c r="C9002" i="1"/>
  <c r="M9002" i="1"/>
  <c r="A9003" i="1"/>
  <c r="B9003" i="1"/>
  <c r="C9003" i="1"/>
  <c r="M9003" i="1"/>
  <c r="A9004" i="1"/>
  <c r="B9004" i="1"/>
  <c r="C9004" i="1"/>
  <c r="M9004" i="1"/>
  <c r="A9005" i="1"/>
  <c r="B9005" i="1"/>
  <c r="C9005" i="1"/>
  <c r="M9005" i="1"/>
  <c r="A9006" i="1"/>
  <c r="B9006" i="1"/>
  <c r="C9006" i="1"/>
  <c r="M9006" i="1"/>
  <c r="A9007" i="1"/>
  <c r="B9007" i="1"/>
  <c r="C9007" i="1"/>
  <c r="M9007" i="1"/>
  <c r="A9008" i="1"/>
  <c r="B9008" i="1"/>
  <c r="C9008" i="1"/>
  <c r="M9008" i="1"/>
  <c r="A9009" i="1"/>
  <c r="B9009" i="1"/>
  <c r="C9009" i="1"/>
  <c r="M9009" i="1"/>
  <c r="A9010" i="1"/>
  <c r="B9010" i="1"/>
  <c r="C9010" i="1"/>
  <c r="M9010" i="1"/>
  <c r="A9011" i="1"/>
  <c r="B9011" i="1"/>
  <c r="C9011" i="1"/>
  <c r="M9011" i="1"/>
  <c r="A9012" i="1"/>
  <c r="B9012" i="1"/>
  <c r="C9012" i="1"/>
  <c r="M9012" i="1"/>
  <c r="A9013" i="1"/>
  <c r="B9013" i="1"/>
  <c r="C9013" i="1"/>
  <c r="M9013" i="1"/>
  <c r="A9014" i="1"/>
  <c r="B9014" i="1"/>
  <c r="C9014" i="1"/>
  <c r="M9014" i="1"/>
  <c r="A9015" i="1"/>
  <c r="B9015" i="1"/>
  <c r="C9015" i="1"/>
  <c r="M9015" i="1"/>
  <c r="A9016" i="1"/>
  <c r="B9016" i="1"/>
  <c r="C9016" i="1"/>
  <c r="M9016" i="1"/>
  <c r="A9017" i="1"/>
  <c r="B9017" i="1"/>
  <c r="C9017" i="1"/>
  <c r="M9017" i="1"/>
  <c r="A9018" i="1"/>
  <c r="B9018" i="1"/>
  <c r="C9018" i="1"/>
  <c r="M9018" i="1"/>
  <c r="A9019" i="1"/>
  <c r="B9019" i="1"/>
  <c r="C9019" i="1"/>
  <c r="M9019" i="1"/>
  <c r="A9020" i="1"/>
  <c r="B9020" i="1"/>
  <c r="C9020" i="1"/>
  <c r="M9020" i="1"/>
  <c r="A9021" i="1"/>
  <c r="B9021" i="1"/>
  <c r="C9021" i="1"/>
  <c r="M9021" i="1"/>
  <c r="A9022" i="1"/>
  <c r="B9022" i="1"/>
  <c r="C9022" i="1"/>
  <c r="M9022" i="1"/>
  <c r="A9023" i="1"/>
  <c r="B9023" i="1"/>
  <c r="C9023" i="1"/>
  <c r="M9023" i="1"/>
  <c r="A9024" i="1"/>
  <c r="B9024" i="1"/>
  <c r="C9024" i="1"/>
  <c r="M9024" i="1"/>
  <c r="A9025" i="1"/>
  <c r="B9025" i="1"/>
  <c r="C9025" i="1"/>
  <c r="M9025" i="1"/>
  <c r="A9026" i="1"/>
  <c r="B9026" i="1"/>
  <c r="C9026" i="1"/>
  <c r="M9026" i="1"/>
  <c r="A9027" i="1"/>
  <c r="B9027" i="1"/>
  <c r="C9027" i="1"/>
  <c r="M9027" i="1"/>
  <c r="A9028" i="1"/>
  <c r="B9028" i="1"/>
  <c r="C9028" i="1"/>
  <c r="M9028" i="1"/>
  <c r="A9029" i="1"/>
  <c r="B9029" i="1"/>
  <c r="C9029" i="1"/>
  <c r="M9029" i="1"/>
  <c r="A9030" i="1"/>
  <c r="B9030" i="1"/>
  <c r="C9030" i="1"/>
  <c r="M9030" i="1"/>
  <c r="A9031" i="1"/>
  <c r="B9031" i="1"/>
  <c r="C9031" i="1"/>
  <c r="M9031" i="1"/>
  <c r="A9032" i="1"/>
  <c r="B9032" i="1"/>
  <c r="C9032" i="1"/>
  <c r="M9032" i="1"/>
  <c r="A9033" i="1"/>
  <c r="B9033" i="1"/>
  <c r="C9033" i="1"/>
  <c r="M9033" i="1"/>
  <c r="A9034" i="1"/>
  <c r="B9034" i="1"/>
  <c r="C9034" i="1"/>
  <c r="M9034" i="1"/>
  <c r="A9035" i="1"/>
  <c r="B9035" i="1"/>
  <c r="C9035" i="1"/>
  <c r="M9035" i="1"/>
  <c r="A9036" i="1"/>
  <c r="B9036" i="1"/>
  <c r="C9036" i="1"/>
  <c r="M9036" i="1"/>
  <c r="A9037" i="1"/>
  <c r="B9037" i="1"/>
  <c r="C9037" i="1"/>
  <c r="M9037" i="1"/>
  <c r="A9038" i="1"/>
  <c r="B9038" i="1"/>
  <c r="C9038" i="1"/>
  <c r="M9038" i="1"/>
  <c r="A9039" i="1"/>
  <c r="B9039" i="1"/>
  <c r="C9039" i="1"/>
  <c r="M9039" i="1"/>
  <c r="A9040" i="1"/>
  <c r="B9040" i="1"/>
  <c r="C9040" i="1"/>
  <c r="M9040" i="1"/>
  <c r="A9041" i="1"/>
  <c r="B9041" i="1"/>
  <c r="C9041" i="1"/>
  <c r="M9041" i="1"/>
  <c r="A9042" i="1"/>
  <c r="B9042" i="1"/>
  <c r="C9042" i="1"/>
  <c r="M9042" i="1"/>
  <c r="A9043" i="1"/>
  <c r="B9043" i="1"/>
  <c r="C9043" i="1"/>
  <c r="M9043" i="1"/>
  <c r="A9044" i="1"/>
  <c r="B9044" i="1"/>
  <c r="C9044" i="1"/>
  <c r="M9044" i="1"/>
  <c r="A9045" i="1"/>
  <c r="B9045" i="1"/>
  <c r="C9045" i="1"/>
  <c r="M9045" i="1"/>
  <c r="A9046" i="1"/>
  <c r="B9046" i="1"/>
  <c r="C9046" i="1"/>
  <c r="M9046" i="1"/>
  <c r="A9047" i="1"/>
  <c r="B9047" i="1"/>
  <c r="C9047" i="1"/>
  <c r="M9047" i="1"/>
  <c r="A9048" i="1"/>
  <c r="B9048" i="1"/>
  <c r="C9048" i="1"/>
  <c r="M9048" i="1"/>
  <c r="A9049" i="1"/>
  <c r="B9049" i="1"/>
  <c r="C9049" i="1"/>
  <c r="M9049" i="1"/>
  <c r="A9050" i="1"/>
  <c r="B9050" i="1"/>
  <c r="C9050" i="1"/>
  <c r="M9050" i="1"/>
  <c r="A9051" i="1"/>
  <c r="B9051" i="1"/>
  <c r="C9051" i="1"/>
  <c r="M9051" i="1"/>
  <c r="A9052" i="1"/>
  <c r="B9052" i="1"/>
  <c r="C9052" i="1"/>
  <c r="M9052" i="1"/>
  <c r="A9053" i="1"/>
  <c r="B9053" i="1"/>
  <c r="C9053" i="1"/>
  <c r="M9053" i="1"/>
  <c r="A9054" i="1"/>
  <c r="B9054" i="1"/>
  <c r="C9054" i="1"/>
  <c r="M9054" i="1"/>
  <c r="A9055" i="1"/>
  <c r="B9055" i="1"/>
  <c r="C9055" i="1"/>
  <c r="M9055" i="1"/>
  <c r="A9056" i="1"/>
  <c r="B9056" i="1"/>
  <c r="C9056" i="1"/>
  <c r="M9056" i="1"/>
  <c r="A9057" i="1"/>
  <c r="B9057" i="1"/>
  <c r="C9057" i="1"/>
  <c r="M9057" i="1"/>
  <c r="A9058" i="1"/>
  <c r="B9058" i="1"/>
  <c r="C9058" i="1"/>
  <c r="M9058" i="1"/>
  <c r="A9059" i="1"/>
  <c r="B9059" i="1"/>
  <c r="C9059" i="1"/>
  <c r="M9059" i="1"/>
  <c r="A9060" i="1"/>
  <c r="B9060" i="1"/>
  <c r="C9060" i="1"/>
  <c r="M9060" i="1"/>
  <c r="A9061" i="1"/>
  <c r="B9061" i="1"/>
  <c r="C9061" i="1"/>
  <c r="M9061" i="1"/>
  <c r="A9062" i="1"/>
  <c r="B9062" i="1"/>
  <c r="C9062" i="1"/>
  <c r="M9062" i="1"/>
  <c r="A9063" i="1"/>
  <c r="B9063" i="1"/>
  <c r="C9063" i="1"/>
  <c r="M9063" i="1"/>
  <c r="A9064" i="1"/>
  <c r="B9064" i="1"/>
  <c r="C9064" i="1"/>
  <c r="M9064" i="1"/>
  <c r="A9065" i="1"/>
  <c r="B9065" i="1"/>
  <c r="C9065" i="1"/>
  <c r="M9065" i="1"/>
  <c r="A9066" i="1"/>
  <c r="B9066" i="1"/>
  <c r="C9066" i="1"/>
  <c r="M9066" i="1"/>
  <c r="A9067" i="1"/>
  <c r="B9067" i="1"/>
  <c r="C9067" i="1"/>
  <c r="M9067" i="1"/>
  <c r="A9068" i="1"/>
  <c r="B9068" i="1"/>
  <c r="C9068" i="1"/>
  <c r="M9068" i="1"/>
  <c r="A9069" i="1"/>
  <c r="B9069" i="1"/>
  <c r="C9069" i="1"/>
  <c r="M9069" i="1"/>
  <c r="A9070" i="1"/>
  <c r="B9070" i="1"/>
  <c r="C9070" i="1"/>
  <c r="M9070" i="1"/>
  <c r="A9071" i="1"/>
  <c r="B9071" i="1"/>
  <c r="C9071" i="1"/>
  <c r="M9071" i="1"/>
  <c r="A9072" i="1"/>
  <c r="B9072" i="1"/>
  <c r="C9072" i="1"/>
  <c r="M9072" i="1"/>
  <c r="A9073" i="1"/>
  <c r="B9073" i="1"/>
  <c r="C9073" i="1"/>
  <c r="M9073" i="1"/>
  <c r="A9074" i="1"/>
  <c r="B9074" i="1"/>
  <c r="C9074" i="1"/>
  <c r="M9074" i="1"/>
  <c r="A9075" i="1"/>
  <c r="B9075" i="1"/>
  <c r="C9075" i="1"/>
  <c r="M9075" i="1"/>
  <c r="A9076" i="1"/>
  <c r="B9076" i="1"/>
  <c r="C9076" i="1"/>
  <c r="M9076" i="1"/>
  <c r="A9077" i="1"/>
  <c r="B9077" i="1"/>
  <c r="C9077" i="1"/>
  <c r="M9077" i="1"/>
  <c r="A9078" i="1"/>
  <c r="B9078" i="1"/>
  <c r="C9078" i="1"/>
  <c r="M9078" i="1"/>
  <c r="A9079" i="1"/>
  <c r="B9079" i="1"/>
  <c r="C9079" i="1"/>
  <c r="M9079" i="1"/>
  <c r="A9080" i="1"/>
  <c r="B9080" i="1"/>
  <c r="C9080" i="1"/>
  <c r="M9080" i="1"/>
  <c r="A9081" i="1"/>
  <c r="B9081" i="1"/>
  <c r="C9081" i="1"/>
  <c r="M9081" i="1"/>
  <c r="A9082" i="1"/>
  <c r="B9082" i="1"/>
  <c r="C9082" i="1"/>
  <c r="M9082" i="1"/>
  <c r="A9083" i="1"/>
  <c r="B9083" i="1"/>
  <c r="C9083" i="1"/>
  <c r="M9083" i="1"/>
  <c r="A9084" i="1"/>
  <c r="B9084" i="1"/>
  <c r="C9084" i="1"/>
  <c r="M9084" i="1"/>
  <c r="A9085" i="1"/>
  <c r="B9085" i="1"/>
  <c r="C9085" i="1"/>
  <c r="M9085" i="1"/>
  <c r="A9086" i="1"/>
  <c r="B9086" i="1"/>
  <c r="C9086" i="1"/>
  <c r="M9086" i="1"/>
  <c r="A9087" i="1"/>
  <c r="B9087" i="1"/>
  <c r="C9087" i="1"/>
  <c r="M9087" i="1"/>
  <c r="A9088" i="1"/>
  <c r="B9088" i="1"/>
  <c r="C9088" i="1"/>
  <c r="M9088" i="1"/>
  <c r="A9089" i="1"/>
  <c r="B9089" i="1"/>
  <c r="C9089" i="1"/>
  <c r="M9089" i="1"/>
  <c r="A9090" i="1"/>
  <c r="B9090" i="1"/>
  <c r="C9090" i="1"/>
  <c r="M9090" i="1"/>
  <c r="A9091" i="1"/>
  <c r="B9091" i="1"/>
  <c r="C9091" i="1"/>
  <c r="M9091" i="1"/>
  <c r="A9092" i="1"/>
  <c r="B9092" i="1"/>
  <c r="C9092" i="1"/>
  <c r="M9092" i="1"/>
  <c r="A9093" i="1"/>
  <c r="B9093" i="1"/>
  <c r="C9093" i="1"/>
  <c r="M9093" i="1"/>
  <c r="A9094" i="1"/>
  <c r="B9094" i="1"/>
  <c r="C9094" i="1"/>
  <c r="M9094" i="1"/>
  <c r="A9095" i="1"/>
  <c r="B9095" i="1"/>
  <c r="C9095" i="1"/>
  <c r="M9095" i="1"/>
  <c r="A9096" i="1"/>
  <c r="B9096" i="1"/>
  <c r="C9096" i="1"/>
  <c r="M9096" i="1"/>
  <c r="A9097" i="1"/>
  <c r="B9097" i="1"/>
  <c r="C9097" i="1"/>
  <c r="M9097" i="1"/>
  <c r="A9098" i="1"/>
  <c r="B9098" i="1"/>
  <c r="C9098" i="1"/>
  <c r="M9098" i="1"/>
  <c r="A9099" i="1"/>
  <c r="B9099" i="1"/>
  <c r="C9099" i="1"/>
  <c r="M9099" i="1"/>
  <c r="A9100" i="1"/>
  <c r="B9100" i="1"/>
  <c r="C9100" i="1"/>
  <c r="M9100" i="1"/>
  <c r="A9101" i="1"/>
  <c r="B9101" i="1"/>
  <c r="C9101" i="1"/>
  <c r="M9101" i="1"/>
  <c r="A9102" i="1"/>
  <c r="B9102" i="1"/>
  <c r="C9102" i="1"/>
  <c r="M9102" i="1"/>
  <c r="A9103" i="1"/>
  <c r="B9103" i="1"/>
  <c r="C9103" i="1"/>
  <c r="M9103" i="1"/>
  <c r="A9104" i="1"/>
  <c r="B9104" i="1"/>
  <c r="C9104" i="1"/>
  <c r="M9104" i="1"/>
  <c r="A9105" i="1"/>
  <c r="B9105" i="1"/>
  <c r="C9105" i="1"/>
  <c r="M9105" i="1"/>
  <c r="A9106" i="1"/>
  <c r="B9106" i="1"/>
  <c r="C9106" i="1"/>
  <c r="M9106" i="1"/>
  <c r="A9107" i="1"/>
  <c r="B9107" i="1"/>
  <c r="C9107" i="1"/>
  <c r="M9107" i="1"/>
  <c r="A9108" i="1"/>
  <c r="B9108" i="1"/>
  <c r="C9108" i="1"/>
  <c r="M9108" i="1"/>
  <c r="A9109" i="1"/>
  <c r="B9109" i="1"/>
  <c r="C9109" i="1"/>
  <c r="M9109" i="1"/>
  <c r="A9110" i="1"/>
  <c r="B9110" i="1"/>
  <c r="C9110" i="1"/>
  <c r="M9110" i="1"/>
  <c r="A9111" i="1"/>
  <c r="B9111" i="1"/>
  <c r="C9111" i="1"/>
  <c r="M9111" i="1"/>
  <c r="A9112" i="1"/>
  <c r="B9112" i="1"/>
  <c r="C9112" i="1"/>
  <c r="M9112" i="1"/>
  <c r="A9113" i="1"/>
  <c r="B9113" i="1"/>
  <c r="C9113" i="1"/>
  <c r="M9113" i="1"/>
  <c r="A9114" i="1"/>
  <c r="B9114" i="1"/>
  <c r="C9114" i="1"/>
  <c r="M9114" i="1"/>
  <c r="A9115" i="1"/>
  <c r="B9115" i="1"/>
  <c r="C9115" i="1"/>
  <c r="M9115" i="1"/>
  <c r="A9116" i="1"/>
  <c r="B9116" i="1"/>
  <c r="C9116" i="1"/>
  <c r="M9116" i="1"/>
  <c r="A9117" i="1"/>
  <c r="B9117" i="1"/>
  <c r="C9117" i="1"/>
  <c r="M9117" i="1"/>
  <c r="A9118" i="1"/>
  <c r="B9118" i="1"/>
  <c r="C9118" i="1"/>
  <c r="M9118" i="1"/>
  <c r="A9119" i="1"/>
  <c r="B9119" i="1"/>
  <c r="C9119" i="1"/>
  <c r="M9119" i="1"/>
  <c r="A9120" i="1"/>
  <c r="B9120" i="1"/>
  <c r="C9120" i="1"/>
  <c r="M9120" i="1"/>
  <c r="A9121" i="1"/>
  <c r="B9121" i="1"/>
  <c r="C9121" i="1"/>
  <c r="M9121" i="1"/>
  <c r="A9122" i="1"/>
  <c r="B9122" i="1"/>
  <c r="C9122" i="1"/>
  <c r="M9122" i="1"/>
  <c r="A9123" i="1"/>
  <c r="B9123" i="1"/>
  <c r="C9123" i="1"/>
  <c r="M9123" i="1"/>
  <c r="A9124" i="1"/>
  <c r="B9124" i="1"/>
  <c r="C9124" i="1"/>
  <c r="M9124" i="1"/>
  <c r="A9125" i="1"/>
  <c r="B9125" i="1"/>
  <c r="C9125" i="1"/>
  <c r="M9125" i="1"/>
  <c r="A9126" i="1"/>
  <c r="B9126" i="1"/>
  <c r="C9126" i="1"/>
  <c r="M9126" i="1"/>
  <c r="A9127" i="1"/>
  <c r="B9127" i="1"/>
  <c r="C9127" i="1"/>
  <c r="M9127" i="1"/>
  <c r="A9128" i="1"/>
  <c r="B9128" i="1"/>
  <c r="C9128" i="1"/>
  <c r="M9128" i="1"/>
  <c r="A9129" i="1"/>
  <c r="B9129" i="1"/>
  <c r="C9129" i="1"/>
  <c r="M9129" i="1"/>
  <c r="A9130" i="1"/>
  <c r="B9130" i="1"/>
  <c r="C9130" i="1"/>
  <c r="M9130" i="1"/>
  <c r="A9131" i="1"/>
  <c r="B9131" i="1"/>
  <c r="C9131" i="1"/>
  <c r="M9131" i="1"/>
  <c r="A9132" i="1"/>
  <c r="B9132" i="1"/>
  <c r="C9132" i="1"/>
  <c r="M9132" i="1"/>
  <c r="A9133" i="1"/>
  <c r="B9133" i="1"/>
  <c r="C9133" i="1"/>
  <c r="M9133" i="1"/>
  <c r="A9134" i="1"/>
  <c r="B9134" i="1"/>
  <c r="C9134" i="1"/>
  <c r="M9134" i="1"/>
  <c r="A9135" i="1"/>
  <c r="B9135" i="1"/>
  <c r="C9135" i="1"/>
  <c r="M9135" i="1"/>
  <c r="A9136" i="1"/>
  <c r="B9136" i="1"/>
  <c r="C9136" i="1"/>
  <c r="M9136" i="1"/>
  <c r="A9137" i="1"/>
  <c r="B9137" i="1"/>
  <c r="C9137" i="1"/>
  <c r="M9137" i="1"/>
  <c r="A9138" i="1"/>
  <c r="B9138" i="1"/>
  <c r="C9138" i="1"/>
  <c r="M9138" i="1"/>
  <c r="A9139" i="1"/>
  <c r="B9139" i="1"/>
  <c r="C9139" i="1"/>
  <c r="M9139" i="1"/>
  <c r="A9140" i="1"/>
  <c r="B9140" i="1"/>
  <c r="C9140" i="1"/>
  <c r="M9140" i="1"/>
  <c r="A9141" i="1"/>
  <c r="B9141" i="1"/>
  <c r="C9141" i="1"/>
  <c r="M9141" i="1"/>
  <c r="A9142" i="1"/>
  <c r="B9142" i="1"/>
  <c r="C9142" i="1"/>
  <c r="M9142" i="1"/>
  <c r="A9143" i="1"/>
  <c r="B9143" i="1"/>
  <c r="C9143" i="1"/>
  <c r="M9143" i="1"/>
  <c r="A9144" i="1"/>
  <c r="B9144" i="1"/>
  <c r="C9144" i="1"/>
  <c r="M9144" i="1"/>
  <c r="A9145" i="1"/>
  <c r="B9145" i="1"/>
  <c r="C9145" i="1"/>
  <c r="M9145" i="1"/>
  <c r="A9146" i="1"/>
  <c r="B9146" i="1"/>
  <c r="C9146" i="1"/>
  <c r="M9146" i="1"/>
  <c r="A9147" i="1"/>
  <c r="B9147" i="1"/>
  <c r="C9147" i="1"/>
  <c r="M9147" i="1"/>
  <c r="A9148" i="1"/>
  <c r="B9148" i="1"/>
  <c r="C9148" i="1"/>
  <c r="M9148" i="1"/>
  <c r="A9149" i="1"/>
  <c r="B9149" i="1"/>
  <c r="C9149" i="1"/>
  <c r="M9149" i="1"/>
  <c r="A9150" i="1"/>
  <c r="B9150" i="1"/>
  <c r="C9150" i="1"/>
  <c r="M9150" i="1"/>
  <c r="A9151" i="1"/>
  <c r="B9151" i="1"/>
  <c r="C9151" i="1"/>
  <c r="M9151" i="1"/>
  <c r="A9152" i="1"/>
  <c r="B9152" i="1"/>
  <c r="C9152" i="1"/>
  <c r="M9152" i="1"/>
  <c r="A9153" i="1"/>
  <c r="B9153" i="1"/>
  <c r="C9153" i="1"/>
  <c r="M9153" i="1"/>
  <c r="A9154" i="1"/>
  <c r="B9154" i="1"/>
  <c r="C9154" i="1"/>
  <c r="M9154" i="1"/>
  <c r="A9155" i="1"/>
  <c r="B9155" i="1"/>
  <c r="C9155" i="1"/>
  <c r="M9155" i="1"/>
  <c r="A9156" i="1"/>
  <c r="B9156" i="1"/>
  <c r="C9156" i="1"/>
  <c r="M9156" i="1"/>
  <c r="A9157" i="1"/>
  <c r="B9157" i="1"/>
  <c r="C9157" i="1"/>
  <c r="M9157" i="1"/>
  <c r="A9158" i="1"/>
  <c r="B9158" i="1"/>
  <c r="C9158" i="1"/>
  <c r="M9158" i="1"/>
  <c r="A9159" i="1"/>
  <c r="B9159" i="1"/>
  <c r="C9159" i="1"/>
  <c r="M9159" i="1"/>
  <c r="A9160" i="1"/>
  <c r="B9160" i="1"/>
  <c r="C9160" i="1"/>
  <c r="M9160" i="1"/>
  <c r="A9161" i="1"/>
  <c r="B9161" i="1"/>
  <c r="C9161" i="1"/>
  <c r="M9161" i="1"/>
  <c r="A9162" i="1"/>
  <c r="B9162" i="1"/>
  <c r="C9162" i="1"/>
  <c r="M9162" i="1"/>
  <c r="A9163" i="1"/>
  <c r="B9163" i="1"/>
  <c r="C9163" i="1"/>
  <c r="M9163" i="1"/>
  <c r="A9164" i="1"/>
  <c r="B9164" i="1"/>
  <c r="C9164" i="1"/>
  <c r="M9164" i="1"/>
  <c r="A9165" i="1"/>
  <c r="B9165" i="1"/>
  <c r="C9165" i="1"/>
  <c r="M9165" i="1"/>
  <c r="A9166" i="1"/>
  <c r="B9166" i="1"/>
  <c r="C9166" i="1"/>
  <c r="M9166" i="1"/>
  <c r="A9167" i="1"/>
  <c r="B9167" i="1"/>
  <c r="C9167" i="1"/>
  <c r="M9167" i="1"/>
  <c r="A9168" i="1"/>
  <c r="B9168" i="1"/>
  <c r="C9168" i="1"/>
  <c r="M9168" i="1"/>
  <c r="A9169" i="1"/>
  <c r="B9169" i="1"/>
  <c r="C9169" i="1"/>
  <c r="M9169" i="1"/>
  <c r="A9170" i="1"/>
  <c r="B9170" i="1"/>
  <c r="C9170" i="1"/>
  <c r="M9170" i="1"/>
  <c r="A9171" i="1"/>
  <c r="B9171" i="1"/>
  <c r="C9171" i="1"/>
  <c r="M9171" i="1"/>
  <c r="A9172" i="1"/>
  <c r="B9172" i="1"/>
  <c r="C9172" i="1"/>
  <c r="M9172" i="1"/>
  <c r="A9173" i="1"/>
  <c r="B9173" i="1"/>
  <c r="C9173" i="1"/>
  <c r="M9173" i="1"/>
  <c r="A9174" i="1"/>
  <c r="B9174" i="1"/>
  <c r="C9174" i="1"/>
  <c r="M9174" i="1"/>
  <c r="A9175" i="1"/>
  <c r="B9175" i="1"/>
  <c r="C9175" i="1"/>
  <c r="M9175" i="1"/>
  <c r="A9176" i="1"/>
  <c r="B9176" i="1"/>
  <c r="C9176" i="1"/>
  <c r="M9176" i="1"/>
  <c r="A9177" i="1"/>
  <c r="B9177" i="1"/>
  <c r="C9177" i="1"/>
  <c r="M9177" i="1"/>
  <c r="A9178" i="1"/>
  <c r="B9178" i="1"/>
  <c r="C9178" i="1"/>
  <c r="M9178" i="1"/>
  <c r="A9179" i="1"/>
  <c r="B9179" i="1"/>
  <c r="C9179" i="1"/>
  <c r="M9179" i="1"/>
  <c r="A9180" i="1"/>
  <c r="B9180" i="1"/>
  <c r="C9180" i="1"/>
  <c r="M9180" i="1"/>
  <c r="A9181" i="1"/>
  <c r="B9181" i="1"/>
  <c r="C9181" i="1"/>
  <c r="M9181" i="1"/>
  <c r="A9182" i="1"/>
  <c r="B9182" i="1"/>
  <c r="C9182" i="1"/>
  <c r="M9182" i="1"/>
  <c r="A9183" i="1"/>
  <c r="B9183" i="1"/>
  <c r="C9183" i="1"/>
  <c r="M9183" i="1"/>
  <c r="A9184" i="1"/>
  <c r="B9184" i="1"/>
  <c r="C9184" i="1"/>
  <c r="M9184" i="1"/>
  <c r="A9185" i="1"/>
  <c r="B9185" i="1"/>
  <c r="C9185" i="1"/>
  <c r="M9185" i="1"/>
  <c r="A9186" i="1"/>
  <c r="B9186" i="1"/>
  <c r="C9186" i="1"/>
  <c r="M9186" i="1"/>
  <c r="A9187" i="1"/>
  <c r="B9187" i="1"/>
  <c r="C9187" i="1"/>
  <c r="M9187" i="1"/>
  <c r="A9188" i="1"/>
  <c r="B9188" i="1"/>
  <c r="C9188" i="1"/>
  <c r="M9188" i="1"/>
  <c r="A9189" i="1"/>
  <c r="B9189" i="1"/>
  <c r="C9189" i="1"/>
  <c r="M9189" i="1"/>
  <c r="A9190" i="1"/>
  <c r="B9190" i="1"/>
  <c r="C9190" i="1"/>
  <c r="M9190" i="1"/>
  <c r="A9191" i="1"/>
  <c r="B9191" i="1"/>
  <c r="C9191" i="1"/>
  <c r="M9191" i="1"/>
  <c r="A9192" i="1"/>
  <c r="B9192" i="1"/>
  <c r="C9192" i="1"/>
  <c r="M9192" i="1"/>
  <c r="A9193" i="1"/>
  <c r="B9193" i="1"/>
  <c r="C9193" i="1"/>
  <c r="M9193" i="1"/>
  <c r="A9194" i="1"/>
  <c r="B9194" i="1"/>
  <c r="C9194" i="1"/>
  <c r="M9194" i="1"/>
  <c r="A9195" i="1"/>
  <c r="B9195" i="1"/>
  <c r="C9195" i="1"/>
  <c r="M9195" i="1"/>
  <c r="A9196" i="1"/>
  <c r="B9196" i="1"/>
  <c r="C9196" i="1"/>
  <c r="M9196" i="1"/>
  <c r="A9197" i="1"/>
  <c r="B9197" i="1"/>
  <c r="C9197" i="1"/>
  <c r="M9197" i="1"/>
  <c r="A9198" i="1"/>
  <c r="B9198" i="1"/>
  <c r="C9198" i="1"/>
  <c r="M9198" i="1"/>
  <c r="A9199" i="1"/>
  <c r="B9199" i="1"/>
  <c r="C9199" i="1"/>
  <c r="M9199" i="1"/>
  <c r="A9200" i="1"/>
  <c r="B9200" i="1"/>
  <c r="C9200" i="1"/>
  <c r="M9200" i="1"/>
  <c r="A9201" i="1"/>
  <c r="B9201" i="1"/>
  <c r="C9201" i="1"/>
  <c r="M9201" i="1"/>
  <c r="A9202" i="1"/>
  <c r="B9202" i="1"/>
  <c r="C9202" i="1"/>
  <c r="M9202" i="1"/>
  <c r="A9203" i="1"/>
  <c r="B9203" i="1"/>
  <c r="C9203" i="1"/>
  <c r="M9203" i="1"/>
  <c r="A9204" i="1"/>
  <c r="B9204" i="1"/>
  <c r="C9204" i="1"/>
  <c r="M9204" i="1"/>
  <c r="A9205" i="1"/>
  <c r="B9205" i="1"/>
  <c r="C9205" i="1"/>
  <c r="M9205" i="1"/>
  <c r="A9206" i="1"/>
  <c r="B9206" i="1"/>
  <c r="C9206" i="1"/>
  <c r="M9206" i="1"/>
  <c r="A9207" i="1"/>
  <c r="B9207" i="1"/>
  <c r="C9207" i="1"/>
  <c r="M9207" i="1"/>
  <c r="A9208" i="1"/>
  <c r="B9208" i="1"/>
  <c r="C9208" i="1"/>
  <c r="M9208" i="1"/>
  <c r="A9209" i="1"/>
  <c r="B9209" i="1"/>
  <c r="C9209" i="1"/>
  <c r="M9209" i="1"/>
  <c r="A9210" i="1"/>
  <c r="B9210" i="1"/>
  <c r="C9210" i="1"/>
  <c r="M9210" i="1"/>
  <c r="A9211" i="1"/>
  <c r="B9211" i="1"/>
  <c r="C9211" i="1"/>
  <c r="M9211" i="1"/>
  <c r="A9212" i="1"/>
  <c r="B9212" i="1"/>
  <c r="C9212" i="1"/>
  <c r="M9212" i="1"/>
  <c r="A9213" i="1"/>
  <c r="B9213" i="1"/>
  <c r="C9213" i="1"/>
  <c r="M9213" i="1"/>
  <c r="A9214" i="1"/>
  <c r="B9214" i="1"/>
  <c r="C9214" i="1"/>
  <c r="M9214" i="1"/>
  <c r="A9215" i="1"/>
  <c r="B9215" i="1"/>
  <c r="C9215" i="1"/>
  <c r="M9215" i="1"/>
  <c r="A9216" i="1"/>
  <c r="B9216" i="1"/>
  <c r="C9216" i="1"/>
  <c r="M9216" i="1"/>
  <c r="A9217" i="1"/>
  <c r="B9217" i="1"/>
  <c r="C9217" i="1"/>
  <c r="M9217" i="1"/>
  <c r="A9218" i="1"/>
  <c r="B9218" i="1"/>
  <c r="C9218" i="1"/>
  <c r="M9218" i="1"/>
  <c r="A9219" i="1"/>
  <c r="B9219" i="1"/>
  <c r="C9219" i="1"/>
  <c r="M9219" i="1"/>
  <c r="A9220" i="1"/>
  <c r="B9220" i="1"/>
  <c r="C9220" i="1"/>
  <c r="M9220" i="1"/>
  <c r="A9221" i="1"/>
  <c r="B9221" i="1"/>
  <c r="C9221" i="1"/>
  <c r="M9221" i="1"/>
  <c r="A9222" i="1"/>
  <c r="B9222" i="1"/>
  <c r="C9222" i="1"/>
  <c r="M9222" i="1"/>
  <c r="A9223" i="1"/>
  <c r="B9223" i="1"/>
  <c r="C9223" i="1"/>
  <c r="M9223" i="1"/>
  <c r="A9224" i="1"/>
  <c r="B9224" i="1"/>
  <c r="C9224" i="1"/>
  <c r="M9224" i="1"/>
  <c r="A9225" i="1"/>
  <c r="B9225" i="1"/>
  <c r="C9225" i="1"/>
  <c r="M9225" i="1"/>
  <c r="A9226" i="1"/>
  <c r="B9226" i="1"/>
  <c r="C9226" i="1"/>
  <c r="M9226" i="1"/>
  <c r="A9227" i="1"/>
  <c r="B9227" i="1"/>
  <c r="C9227" i="1"/>
  <c r="M9227" i="1"/>
  <c r="A9228" i="1"/>
  <c r="B9228" i="1"/>
  <c r="C9228" i="1"/>
  <c r="M9228" i="1"/>
  <c r="A9229" i="1"/>
  <c r="B9229" i="1"/>
  <c r="C9229" i="1"/>
  <c r="M9229" i="1"/>
  <c r="A9230" i="1"/>
  <c r="B9230" i="1"/>
  <c r="C9230" i="1"/>
  <c r="M9230" i="1"/>
  <c r="A9231" i="1"/>
  <c r="B9231" i="1"/>
  <c r="C9231" i="1"/>
  <c r="M9231" i="1"/>
  <c r="A9232" i="1"/>
  <c r="B9232" i="1"/>
  <c r="C9232" i="1"/>
  <c r="M9232" i="1"/>
  <c r="A9233" i="1"/>
  <c r="B9233" i="1"/>
  <c r="C9233" i="1"/>
  <c r="M9233" i="1"/>
  <c r="A9234" i="1"/>
  <c r="B9234" i="1"/>
  <c r="C9234" i="1"/>
  <c r="M9234" i="1"/>
  <c r="A9235" i="1"/>
  <c r="B9235" i="1"/>
  <c r="C9235" i="1"/>
  <c r="M9235" i="1"/>
  <c r="A9236" i="1"/>
  <c r="B9236" i="1"/>
  <c r="C9236" i="1"/>
  <c r="M9236" i="1"/>
  <c r="A9237" i="1"/>
  <c r="B9237" i="1"/>
  <c r="C9237" i="1"/>
  <c r="M9237" i="1"/>
  <c r="A9238" i="1"/>
  <c r="B9238" i="1"/>
  <c r="C9238" i="1"/>
  <c r="M9238" i="1"/>
  <c r="A9239" i="1"/>
  <c r="B9239" i="1"/>
  <c r="C9239" i="1"/>
  <c r="M9239" i="1"/>
  <c r="A9240" i="1"/>
  <c r="B9240" i="1"/>
  <c r="C9240" i="1"/>
  <c r="M9240" i="1"/>
  <c r="A9241" i="1"/>
  <c r="B9241" i="1"/>
  <c r="C9241" i="1"/>
  <c r="M9241" i="1"/>
  <c r="A9242" i="1"/>
  <c r="B9242" i="1"/>
  <c r="C9242" i="1"/>
  <c r="M9242" i="1"/>
  <c r="A9243" i="1"/>
  <c r="B9243" i="1"/>
  <c r="C9243" i="1"/>
  <c r="M9243" i="1"/>
  <c r="A9244" i="1"/>
  <c r="B9244" i="1"/>
  <c r="C9244" i="1"/>
  <c r="M9244" i="1"/>
  <c r="A9245" i="1"/>
  <c r="B9245" i="1"/>
  <c r="C9245" i="1"/>
  <c r="M9245" i="1"/>
  <c r="A9246" i="1"/>
  <c r="B9246" i="1"/>
  <c r="C9246" i="1"/>
  <c r="M9246" i="1"/>
  <c r="A9247" i="1"/>
  <c r="B9247" i="1"/>
  <c r="C9247" i="1"/>
  <c r="M9247" i="1"/>
  <c r="A9248" i="1"/>
  <c r="B9248" i="1"/>
  <c r="C9248" i="1"/>
  <c r="M9248" i="1"/>
  <c r="A9249" i="1"/>
  <c r="B9249" i="1"/>
  <c r="C9249" i="1"/>
  <c r="M9249" i="1"/>
  <c r="A9250" i="1"/>
  <c r="B9250" i="1"/>
  <c r="C9250" i="1"/>
  <c r="M9250" i="1"/>
  <c r="A9251" i="1"/>
  <c r="B9251" i="1"/>
  <c r="C9251" i="1"/>
  <c r="M9251" i="1"/>
  <c r="A9252" i="1"/>
  <c r="B9252" i="1"/>
  <c r="C9252" i="1"/>
  <c r="M9252" i="1"/>
  <c r="A9253" i="1"/>
  <c r="B9253" i="1"/>
  <c r="C9253" i="1"/>
  <c r="M9253" i="1"/>
  <c r="A9254" i="1"/>
  <c r="B9254" i="1"/>
  <c r="C9254" i="1"/>
  <c r="M9254" i="1"/>
  <c r="A9255" i="1"/>
  <c r="B9255" i="1"/>
  <c r="C9255" i="1"/>
  <c r="M9255" i="1"/>
  <c r="A9256" i="1"/>
  <c r="B9256" i="1"/>
  <c r="C9256" i="1"/>
  <c r="M9256" i="1"/>
  <c r="A9257" i="1"/>
  <c r="B9257" i="1"/>
  <c r="C9257" i="1"/>
  <c r="M9257" i="1"/>
  <c r="A9258" i="1"/>
  <c r="B9258" i="1"/>
  <c r="C9258" i="1"/>
  <c r="M9258" i="1"/>
  <c r="A9259" i="1"/>
  <c r="B9259" i="1"/>
  <c r="C9259" i="1"/>
  <c r="M9259" i="1"/>
  <c r="A9260" i="1"/>
  <c r="B9260" i="1"/>
  <c r="C9260" i="1"/>
  <c r="M9260" i="1"/>
  <c r="A9261" i="1"/>
  <c r="B9261" i="1"/>
  <c r="C9261" i="1"/>
  <c r="M9261" i="1"/>
  <c r="A9262" i="1"/>
  <c r="B9262" i="1"/>
  <c r="C9262" i="1"/>
  <c r="M9262" i="1"/>
  <c r="A9263" i="1"/>
  <c r="B9263" i="1"/>
  <c r="C9263" i="1"/>
  <c r="M9263" i="1"/>
  <c r="A9264" i="1"/>
  <c r="B9264" i="1"/>
  <c r="C9264" i="1"/>
  <c r="M9264" i="1"/>
  <c r="A9265" i="1"/>
  <c r="B9265" i="1"/>
  <c r="C9265" i="1"/>
  <c r="M9265" i="1"/>
  <c r="A9266" i="1"/>
  <c r="B9266" i="1"/>
  <c r="C9266" i="1"/>
  <c r="M9266" i="1"/>
  <c r="A9267" i="1"/>
  <c r="B9267" i="1"/>
  <c r="C9267" i="1"/>
  <c r="M9267" i="1"/>
  <c r="A9268" i="1"/>
  <c r="B9268" i="1"/>
  <c r="C9268" i="1"/>
  <c r="M9268" i="1"/>
  <c r="A9269" i="1"/>
  <c r="B9269" i="1"/>
  <c r="C9269" i="1"/>
  <c r="M9269" i="1"/>
  <c r="A9270" i="1"/>
  <c r="B9270" i="1"/>
  <c r="C9270" i="1"/>
  <c r="M9270" i="1"/>
  <c r="A9271" i="1"/>
  <c r="B9271" i="1"/>
  <c r="C9271" i="1"/>
  <c r="M9271" i="1"/>
  <c r="A9272" i="1"/>
  <c r="B9272" i="1"/>
  <c r="C9272" i="1"/>
  <c r="M9272" i="1"/>
  <c r="A9273" i="1"/>
  <c r="B9273" i="1"/>
  <c r="C9273" i="1"/>
  <c r="M9273" i="1"/>
  <c r="A9274" i="1"/>
  <c r="B9274" i="1"/>
  <c r="C9274" i="1"/>
  <c r="M9274" i="1"/>
  <c r="A9275" i="1"/>
  <c r="B9275" i="1"/>
  <c r="C9275" i="1"/>
  <c r="M9275" i="1"/>
  <c r="A9276" i="1"/>
  <c r="B9276" i="1"/>
  <c r="C9276" i="1"/>
  <c r="M9276" i="1"/>
  <c r="A9277" i="1"/>
  <c r="B9277" i="1"/>
  <c r="C9277" i="1"/>
  <c r="M9277" i="1"/>
  <c r="A9278" i="1"/>
  <c r="B9278" i="1"/>
  <c r="C9278" i="1"/>
  <c r="M9278" i="1"/>
  <c r="A9279" i="1"/>
  <c r="B9279" i="1"/>
  <c r="C9279" i="1"/>
  <c r="M9279" i="1"/>
  <c r="A9280" i="1"/>
  <c r="B9280" i="1"/>
  <c r="C9280" i="1"/>
  <c r="M9280" i="1"/>
  <c r="A9281" i="1"/>
  <c r="B9281" i="1"/>
  <c r="C9281" i="1"/>
  <c r="M9281" i="1"/>
  <c r="A9282" i="1"/>
  <c r="B9282" i="1"/>
  <c r="C9282" i="1"/>
  <c r="M9282" i="1"/>
  <c r="A9283" i="1"/>
  <c r="B9283" i="1"/>
  <c r="C9283" i="1"/>
  <c r="M9283" i="1"/>
  <c r="A9284" i="1"/>
  <c r="B9284" i="1"/>
  <c r="C9284" i="1"/>
  <c r="M9284" i="1"/>
  <c r="A9285" i="1"/>
  <c r="B9285" i="1"/>
  <c r="C9285" i="1"/>
  <c r="M9285" i="1"/>
  <c r="A9286" i="1"/>
  <c r="B9286" i="1"/>
  <c r="C9286" i="1"/>
  <c r="M9286" i="1"/>
  <c r="A9287" i="1"/>
  <c r="B9287" i="1"/>
  <c r="C9287" i="1"/>
  <c r="M9287" i="1"/>
  <c r="A9288" i="1"/>
  <c r="B9288" i="1"/>
  <c r="C9288" i="1"/>
  <c r="M9288" i="1"/>
  <c r="A9289" i="1"/>
  <c r="B9289" i="1"/>
  <c r="C9289" i="1"/>
  <c r="M9289" i="1"/>
  <c r="A9290" i="1"/>
  <c r="B9290" i="1"/>
  <c r="C9290" i="1"/>
  <c r="M9290" i="1"/>
  <c r="A9291" i="1"/>
  <c r="B9291" i="1"/>
  <c r="C9291" i="1"/>
  <c r="M9291" i="1"/>
  <c r="A9292" i="1"/>
  <c r="B9292" i="1"/>
  <c r="C9292" i="1"/>
  <c r="M9292" i="1"/>
  <c r="A9293" i="1"/>
  <c r="B9293" i="1"/>
  <c r="C9293" i="1"/>
  <c r="M9293" i="1"/>
  <c r="A9294" i="1"/>
  <c r="B9294" i="1"/>
  <c r="C9294" i="1"/>
  <c r="M9294" i="1"/>
  <c r="A9295" i="1"/>
  <c r="B9295" i="1"/>
  <c r="C9295" i="1"/>
  <c r="M9295" i="1"/>
  <c r="A9296" i="1"/>
  <c r="B9296" i="1"/>
  <c r="C9296" i="1"/>
  <c r="M9296" i="1"/>
  <c r="A9297" i="1"/>
  <c r="B9297" i="1"/>
  <c r="C9297" i="1"/>
  <c r="M9297" i="1"/>
  <c r="A9298" i="1"/>
  <c r="B9298" i="1"/>
  <c r="C9298" i="1"/>
  <c r="M9298" i="1"/>
  <c r="A9299" i="1"/>
  <c r="B9299" i="1"/>
  <c r="C9299" i="1"/>
  <c r="M9299" i="1"/>
  <c r="A9300" i="1"/>
  <c r="B9300" i="1"/>
  <c r="C9300" i="1"/>
  <c r="M9300" i="1"/>
  <c r="A9301" i="1"/>
  <c r="B9301" i="1"/>
  <c r="C9301" i="1"/>
  <c r="M9301" i="1"/>
  <c r="A9302" i="1"/>
  <c r="B9302" i="1"/>
  <c r="C9302" i="1"/>
  <c r="M9302" i="1"/>
  <c r="A9303" i="1"/>
  <c r="B9303" i="1"/>
  <c r="C9303" i="1"/>
  <c r="M9303" i="1"/>
  <c r="A9304" i="1"/>
  <c r="B9304" i="1"/>
  <c r="C9304" i="1"/>
  <c r="M9304" i="1"/>
  <c r="A9305" i="1"/>
  <c r="B9305" i="1"/>
  <c r="C9305" i="1"/>
  <c r="M9305" i="1"/>
  <c r="A9306" i="1"/>
  <c r="B9306" i="1"/>
  <c r="C9306" i="1"/>
  <c r="M9306" i="1"/>
  <c r="A9307" i="1"/>
  <c r="B9307" i="1"/>
  <c r="C9307" i="1"/>
  <c r="M9307" i="1"/>
  <c r="A9308" i="1"/>
  <c r="B9308" i="1"/>
  <c r="C9308" i="1"/>
  <c r="M9308" i="1"/>
  <c r="A9309" i="1"/>
  <c r="B9309" i="1"/>
  <c r="C9309" i="1"/>
  <c r="M9309" i="1"/>
  <c r="A9310" i="1"/>
  <c r="B9310" i="1"/>
  <c r="C9310" i="1"/>
  <c r="M9310" i="1"/>
  <c r="A9311" i="1"/>
  <c r="B9311" i="1"/>
  <c r="C9311" i="1"/>
  <c r="M9311" i="1"/>
  <c r="A9312" i="1"/>
  <c r="B9312" i="1"/>
  <c r="C9312" i="1"/>
  <c r="M9312" i="1"/>
  <c r="A9313" i="1"/>
  <c r="B9313" i="1"/>
  <c r="C9313" i="1"/>
  <c r="M9313" i="1"/>
  <c r="A9314" i="1"/>
  <c r="B9314" i="1"/>
  <c r="C9314" i="1"/>
  <c r="M9314" i="1"/>
  <c r="A9315" i="1"/>
  <c r="B9315" i="1"/>
  <c r="C9315" i="1"/>
  <c r="M9315" i="1"/>
  <c r="A9316" i="1"/>
  <c r="B9316" i="1"/>
  <c r="C9316" i="1"/>
  <c r="M9316" i="1"/>
  <c r="A9317" i="1"/>
  <c r="B9317" i="1"/>
  <c r="C9317" i="1"/>
  <c r="M9317" i="1"/>
  <c r="A9318" i="1"/>
  <c r="B9318" i="1"/>
  <c r="C9318" i="1"/>
  <c r="M9318" i="1"/>
  <c r="A9319" i="1"/>
  <c r="B9319" i="1"/>
  <c r="C9319" i="1"/>
  <c r="M9319" i="1"/>
  <c r="A9320" i="1"/>
  <c r="B9320" i="1"/>
  <c r="C9320" i="1"/>
  <c r="M9320" i="1"/>
  <c r="A9321" i="1"/>
  <c r="B9321" i="1"/>
  <c r="C9321" i="1"/>
  <c r="M9321" i="1"/>
  <c r="A9322" i="1"/>
  <c r="B9322" i="1"/>
  <c r="C9322" i="1"/>
  <c r="M9322" i="1"/>
  <c r="A9323" i="1"/>
  <c r="B9323" i="1"/>
  <c r="C9323" i="1"/>
  <c r="M9323" i="1"/>
  <c r="A9324" i="1"/>
  <c r="B9324" i="1"/>
  <c r="C9324" i="1"/>
  <c r="M9324" i="1"/>
  <c r="A9325" i="1"/>
  <c r="B9325" i="1"/>
  <c r="C9325" i="1"/>
  <c r="M9325" i="1"/>
  <c r="A9326" i="1"/>
  <c r="B9326" i="1"/>
  <c r="C9326" i="1"/>
  <c r="M9326" i="1"/>
  <c r="A9327" i="1"/>
  <c r="B9327" i="1"/>
  <c r="C9327" i="1"/>
  <c r="M9327" i="1"/>
  <c r="A9328" i="1"/>
  <c r="B9328" i="1"/>
  <c r="C9328" i="1"/>
  <c r="M9328" i="1"/>
  <c r="A9329" i="1"/>
  <c r="B9329" i="1"/>
  <c r="C9329" i="1"/>
  <c r="M9329" i="1"/>
  <c r="A9330" i="1"/>
  <c r="B9330" i="1"/>
  <c r="C9330" i="1"/>
  <c r="M9330" i="1"/>
  <c r="A9331" i="1"/>
  <c r="B9331" i="1"/>
  <c r="C9331" i="1"/>
  <c r="M9331" i="1"/>
  <c r="A9332" i="1"/>
  <c r="B9332" i="1"/>
  <c r="C9332" i="1"/>
  <c r="M9332" i="1"/>
  <c r="A9333" i="1"/>
  <c r="B9333" i="1"/>
  <c r="C9333" i="1"/>
  <c r="M9333" i="1"/>
  <c r="A9334" i="1"/>
  <c r="B9334" i="1"/>
  <c r="C9334" i="1"/>
  <c r="M9334" i="1"/>
  <c r="A9335" i="1"/>
  <c r="B9335" i="1"/>
  <c r="C9335" i="1"/>
  <c r="M9335" i="1"/>
  <c r="A9336" i="1"/>
  <c r="B9336" i="1"/>
  <c r="C9336" i="1"/>
  <c r="M9336" i="1"/>
  <c r="A9337" i="1"/>
  <c r="B9337" i="1"/>
  <c r="C9337" i="1"/>
  <c r="M9337" i="1"/>
  <c r="A9338" i="1"/>
  <c r="B9338" i="1"/>
  <c r="C9338" i="1"/>
  <c r="M9338" i="1"/>
  <c r="A9339" i="1"/>
  <c r="B9339" i="1"/>
  <c r="C9339" i="1"/>
  <c r="M9339" i="1"/>
  <c r="A9340" i="1"/>
  <c r="B9340" i="1"/>
  <c r="C9340" i="1"/>
  <c r="M9340" i="1"/>
  <c r="A9341" i="1"/>
  <c r="B9341" i="1"/>
  <c r="C9341" i="1"/>
  <c r="M9341" i="1"/>
  <c r="A9342" i="1"/>
  <c r="B9342" i="1"/>
  <c r="C9342" i="1"/>
  <c r="M9342" i="1"/>
  <c r="A9343" i="1"/>
  <c r="B9343" i="1"/>
  <c r="C9343" i="1"/>
  <c r="M9343" i="1"/>
  <c r="A9344" i="1"/>
  <c r="B9344" i="1"/>
  <c r="C9344" i="1"/>
  <c r="M9344" i="1"/>
  <c r="A9345" i="1"/>
  <c r="B9345" i="1"/>
  <c r="C9345" i="1"/>
  <c r="M9345" i="1"/>
  <c r="A9346" i="1"/>
  <c r="B9346" i="1"/>
  <c r="C9346" i="1"/>
  <c r="M9346" i="1"/>
  <c r="A9347" i="1"/>
  <c r="B9347" i="1"/>
  <c r="C9347" i="1"/>
  <c r="M9347" i="1"/>
  <c r="A9348" i="1"/>
  <c r="B9348" i="1"/>
  <c r="C9348" i="1"/>
  <c r="M9348" i="1"/>
  <c r="A9349" i="1"/>
  <c r="B9349" i="1"/>
  <c r="C9349" i="1"/>
  <c r="M9349" i="1"/>
  <c r="A9350" i="1"/>
  <c r="B9350" i="1"/>
  <c r="C9350" i="1"/>
  <c r="M9350" i="1"/>
  <c r="A9351" i="1"/>
  <c r="B9351" i="1"/>
  <c r="C9351" i="1"/>
  <c r="M9351" i="1"/>
  <c r="A9352" i="1"/>
  <c r="B9352" i="1"/>
  <c r="C9352" i="1"/>
  <c r="M9352" i="1"/>
  <c r="A9353" i="1"/>
  <c r="B9353" i="1"/>
  <c r="C9353" i="1"/>
  <c r="M9353" i="1"/>
  <c r="A9354" i="1"/>
  <c r="B9354" i="1"/>
  <c r="C9354" i="1"/>
  <c r="M9354" i="1"/>
  <c r="A9355" i="1"/>
  <c r="B9355" i="1"/>
  <c r="C9355" i="1"/>
  <c r="M9355" i="1"/>
  <c r="A9356" i="1"/>
  <c r="B9356" i="1"/>
  <c r="C9356" i="1"/>
  <c r="M9356" i="1"/>
  <c r="A9357" i="1"/>
  <c r="B9357" i="1"/>
  <c r="C9357" i="1"/>
  <c r="M9357" i="1"/>
  <c r="A9358" i="1"/>
  <c r="B9358" i="1"/>
  <c r="C9358" i="1"/>
  <c r="M9358" i="1"/>
  <c r="A9359" i="1"/>
  <c r="B9359" i="1"/>
  <c r="C9359" i="1"/>
  <c r="M9359" i="1"/>
  <c r="A9360" i="1"/>
  <c r="B9360" i="1"/>
  <c r="C9360" i="1"/>
  <c r="M9360" i="1"/>
  <c r="A9361" i="1"/>
  <c r="B9361" i="1"/>
  <c r="C9361" i="1"/>
  <c r="M9361" i="1"/>
  <c r="A9362" i="1"/>
  <c r="B9362" i="1"/>
  <c r="C9362" i="1"/>
  <c r="M9362" i="1"/>
  <c r="A9363" i="1"/>
  <c r="B9363" i="1"/>
  <c r="C9363" i="1"/>
  <c r="M9363" i="1"/>
  <c r="A9364" i="1"/>
  <c r="B9364" i="1"/>
  <c r="C9364" i="1"/>
  <c r="M9364" i="1"/>
  <c r="A9365" i="1"/>
  <c r="B9365" i="1"/>
  <c r="C9365" i="1"/>
  <c r="M9365" i="1"/>
  <c r="A9366" i="1"/>
  <c r="B9366" i="1"/>
  <c r="C9366" i="1"/>
  <c r="M9366" i="1"/>
  <c r="A9367" i="1"/>
  <c r="B9367" i="1"/>
  <c r="C9367" i="1"/>
  <c r="M9367" i="1"/>
  <c r="A9368" i="1"/>
  <c r="B9368" i="1"/>
  <c r="C9368" i="1"/>
  <c r="M9368" i="1"/>
  <c r="A9369" i="1"/>
  <c r="B9369" i="1"/>
  <c r="C9369" i="1"/>
  <c r="M9369" i="1"/>
  <c r="A9370" i="1"/>
  <c r="B9370" i="1"/>
  <c r="C9370" i="1"/>
  <c r="M9370" i="1"/>
  <c r="A9371" i="1"/>
  <c r="B9371" i="1"/>
  <c r="C9371" i="1"/>
  <c r="M9371" i="1"/>
  <c r="A9372" i="1"/>
  <c r="B9372" i="1"/>
  <c r="C9372" i="1"/>
  <c r="M9372" i="1"/>
  <c r="A9373" i="1"/>
  <c r="B9373" i="1"/>
  <c r="C9373" i="1"/>
  <c r="M9373" i="1"/>
  <c r="A9374" i="1"/>
  <c r="B9374" i="1"/>
  <c r="C9374" i="1"/>
  <c r="M9374" i="1"/>
  <c r="A9375" i="1"/>
  <c r="B9375" i="1"/>
  <c r="C9375" i="1"/>
  <c r="M9375" i="1"/>
  <c r="A9376" i="1"/>
  <c r="B9376" i="1"/>
  <c r="C9376" i="1"/>
  <c r="M9376" i="1"/>
  <c r="A9377" i="1"/>
  <c r="B9377" i="1"/>
  <c r="C9377" i="1"/>
  <c r="M9377" i="1"/>
  <c r="A9378" i="1"/>
  <c r="B9378" i="1"/>
  <c r="C9378" i="1"/>
  <c r="M9378" i="1"/>
  <c r="A9379" i="1"/>
  <c r="B9379" i="1"/>
  <c r="C9379" i="1"/>
  <c r="M9379" i="1"/>
  <c r="A9380" i="1"/>
  <c r="B9380" i="1"/>
  <c r="C9380" i="1"/>
  <c r="M9380" i="1"/>
  <c r="A9381" i="1"/>
  <c r="B9381" i="1"/>
  <c r="C9381" i="1"/>
  <c r="M9381" i="1"/>
  <c r="A9382" i="1"/>
  <c r="B9382" i="1"/>
  <c r="C9382" i="1"/>
  <c r="M9382" i="1"/>
  <c r="A9383" i="1"/>
  <c r="B9383" i="1"/>
  <c r="C9383" i="1"/>
  <c r="M9383" i="1"/>
  <c r="A9384" i="1"/>
  <c r="B9384" i="1"/>
  <c r="C9384" i="1"/>
  <c r="M9384" i="1"/>
  <c r="A9385" i="1"/>
  <c r="B9385" i="1"/>
  <c r="C9385" i="1"/>
  <c r="M9385" i="1"/>
  <c r="A9386" i="1"/>
  <c r="B9386" i="1"/>
  <c r="C9386" i="1"/>
  <c r="M9386" i="1"/>
  <c r="A9387" i="1"/>
  <c r="B9387" i="1"/>
  <c r="C9387" i="1"/>
  <c r="M9387" i="1"/>
  <c r="A9388" i="1"/>
  <c r="B9388" i="1"/>
  <c r="C9388" i="1"/>
  <c r="M9388" i="1"/>
  <c r="A9389" i="1"/>
  <c r="B9389" i="1"/>
  <c r="C9389" i="1"/>
  <c r="M9389" i="1"/>
  <c r="A9390" i="1"/>
  <c r="B9390" i="1"/>
  <c r="C9390" i="1"/>
  <c r="M9390" i="1"/>
  <c r="A9391" i="1"/>
  <c r="B9391" i="1"/>
  <c r="C9391" i="1"/>
  <c r="M9391" i="1"/>
  <c r="A9392" i="1"/>
  <c r="B9392" i="1"/>
  <c r="C9392" i="1"/>
  <c r="M9392" i="1"/>
  <c r="A9393" i="1"/>
  <c r="B9393" i="1"/>
  <c r="C9393" i="1"/>
  <c r="M9393" i="1"/>
  <c r="A9394" i="1"/>
  <c r="B9394" i="1"/>
  <c r="C9394" i="1"/>
  <c r="M9394" i="1"/>
  <c r="A9395" i="1"/>
  <c r="B9395" i="1"/>
  <c r="C9395" i="1"/>
  <c r="M9395" i="1"/>
  <c r="A9396" i="1"/>
  <c r="B9396" i="1"/>
  <c r="C9396" i="1"/>
  <c r="M9396" i="1"/>
  <c r="A9397" i="1"/>
  <c r="B9397" i="1"/>
  <c r="C9397" i="1"/>
  <c r="M9397" i="1"/>
  <c r="A9398" i="1"/>
  <c r="B9398" i="1"/>
  <c r="C9398" i="1"/>
  <c r="M9398" i="1"/>
  <c r="A9399" i="1"/>
  <c r="B9399" i="1"/>
  <c r="C9399" i="1"/>
  <c r="M9399" i="1"/>
  <c r="A9400" i="1"/>
  <c r="B9400" i="1"/>
  <c r="C9400" i="1"/>
  <c r="M9400" i="1"/>
  <c r="A9401" i="1"/>
  <c r="B9401" i="1"/>
  <c r="C9401" i="1"/>
  <c r="M9401" i="1"/>
  <c r="A9402" i="1"/>
  <c r="B9402" i="1"/>
  <c r="C9402" i="1"/>
  <c r="M9402" i="1"/>
  <c r="A9403" i="1"/>
  <c r="B9403" i="1"/>
  <c r="C9403" i="1"/>
  <c r="M9403" i="1"/>
  <c r="A9404" i="1"/>
  <c r="B9404" i="1"/>
  <c r="C9404" i="1"/>
  <c r="M9404" i="1"/>
  <c r="A9405" i="1"/>
  <c r="B9405" i="1"/>
  <c r="C9405" i="1"/>
  <c r="M9405" i="1"/>
  <c r="A9406" i="1"/>
  <c r="B9406" i="1"/>
  <c r="C9406" i="1"/>
  <c r="M9406" i="1"/>
  <c r="A9407" i="1"/>
  <c r="B9407" i="1"/>
  <c r="C9407" i="1"/>
  <c r="M9407" i="1"/>
  <c r="A9408" i="1"/>
  <c r="B9408" i="1"/>
  <c r="C9408" i="1"/>
  <c r="M9408" i="1"/>
  <c r="A9409" i="1"/>
  <c r="B9409" i="1"/>
  <c r="C9409" i="1"/>
  <c r="M9409" i="1"/>
  <c r="A9410" i="1"/>
  <c r="B9410" i="1"/>
  <c r="C9410" i="1"/>
  <c r="M9410" i="1"/>
  <c r="A9411" i="1"/>
  <c r="B9411" i="1"/>
  <c r="C9411" i="1"/>
  <c r="M9411" i="1"/>
  <c r="A9412" i="1"/>
  <c r="B9412" i="1"/>
  <c r="C9412" i="1"/>
  <c r="M9412" i="1"/>
  <c r="A9413" i="1"/>
  <c r="B9413" i="1"/>
  <c r="C9413" i="1"/>
  <c r="M9413" i="1"/>
  <c r="A9414" i="1"/>
  <c r="B9414" i="1"/>
  <c r="C9414" i="1"/>
  <c r="M9414" i="1"/>
  <c r="A9415" i="1"/>
  <c r="B9415" i="1"/>
  <c r="C9415" i="1"/>
  <c r="M9415" i="1"/>
  <c r="A9416" i="1"/>
  <c r="B9416" i="1"/>
  <c r="C9416" i="1"/>
  <c r="M9416" i="1"/>
  <c r="A9417" i="1"/>
  <c r="B9417" i="1"/>
  <c r="C9417" i="1"/>
  <c r="M9417" i="1"/>
  <c r="A9418" i="1"/>
  <c r="B9418" i="1"/>
  <c r="C9418" i="1"/>
  <c r="M9418" i="1"/>
  <c r="A9419" i="1"/>
  <c r="B9419" i="1"/>
  <c r="C9419" i="1"/>
  <c r="M9419" i="1"/>
  <c r="A9420" i="1"/>
  <c r="B9420" i="1"/>
  <c r="C9420" i="1"/>
  <c r="M9420" i="1"/>
  <c r="A9421" i="1"/>
  <c r="B9421" i="1"/>
  <c r="C9421" i="1"/>
  <c r="M9421" i="1"/>
  <c r="A9422" i="1"/>
  <c r="B9422" i="1"/>
  <c r="C9422" i="1"/>
  <c r="M9422" i="1"/>
  <c r="A9423" i="1"/>
  <c r="B9423" i="1"/>
  <c r="C9423" i="1"/>
  <c r="M9423" i="1"/>
  <c r="A9424" i="1"/>
  <c r="B9424" i="1"/>
  <c r="C9424" i="1"/>
  <c r="M9424" i="1"/>
  <c r="A9425" i="1"/>
  <c r="B9425" i="1"/>
  <c r="C9425" i="1"/>
  <c r="M9425" i="1"/>
  <c r="A9426" i="1"/>
  <c r="B9426" i="1"/>
  <c r="C9426" i="1"/>
  <c r="M9426" i="1"/>
  <c r="A9427" i="1"/>
  <c r="B9427" i="1"/>
  <c r="C9427" i="1"/>
  <c r="M9427" i="1"/>
  <c r="A9428" i="1"/>
  <c r="B9428" i="1"/>
  <c r="C9428" i="1"/>
  <c r="M9428" i="1"/>
  <c r="A9429" i="1"/>
  <c r="B9429" i="1"/>
  <c r="C9429" i="1"/>
  <c r="M9429" i="1"/>
  <c r="A9430" i="1"/>
  <c r="B9430" i="1"/>
  <c r="C9430" i="1"/>
  <c r="M9430" i="1"/>
  <c r="A9431" i="1"/>
  <c r="B9431" i="1"/>
  <c r="C9431" i="1"/>
  <c r="M9431" i="1"/>
  <c r="A9432" i="1"/>
  <c r="B9432" i="1"/>
  <c r="C9432" i="1"/>
  <c r="M9432" i="1"/>
  <c r="A9433" i="1"/>
  <c r="B9433" i="1"/>
  <c r="C9433" i="1"/>
  <c r="M9433" i="1"/>
  <c r="A9434" i="1"/>
  <c r="B9434" i="1"/>
  <c r="C9434" i="1"/>
  <c r="M9434" i="1"/>
  <c r="A9435" i="1"/>
  <c r="B9435" i="1"/>
  <c r="C9435" i="1"/>
  <c r="M9435" i="1"/>
  <c r="A9436" i="1"/>
  <c r="B9436" i="1"/>
  <c r="C9436" i="1"/>
  <c r="M9436" i="1"/>
  <c r="A9437" i="1"/>
  <c r="B9437" i="1"/>
  <c r="C9437" i="1"/>
  <c r="M9437" i="1"/>
  <c r="A9438" i="1"/>
  <c r="B9438" i="1"/>
  <c r="C9438" i="1"/>
  <c r="M9438" i="1"/>
  <c r="A9439" i="1"/>
  <c r="B9439" i="1"/>
  <c r="C9439" i="1"/>
  <c r="M9439" i="1"/>
  <c r="A9440" i="1"/>
  <c r="B9440" i="1"/>
  <c r="C9440" i="1"/>
  <c r="M9440" i="1"/>
  <c r="A9441" i="1"/>
  <c r="B9441" i="1"/>
  <c r="C9441" i="1"/>
  <c r="M9441" i="1"/>
  <c r="A9442" i="1"/>
  <c r="B9442" i="1"/>
  <c r="C9442" i="1"/>
  <c r="M9442" i="1"/>
  <c r="A9443" i="1"/>
  <c r="B9443" i="1"/>
  <c r="C9443" i="1"/>
  <c r="M9443" i="1"/>
  <c r="A9444" i="1"/>
  <c r="B9444" i="1"/>
  <c r="C9444" i="1"/>
  <c r="M9444" i="1"/>
  <c r="A9445" i="1"/>
  <c r="B9445" i="1"/>
  <c r="C9445" i="1"/>
  <c r="M9445" i="1"/>
  <c r="A9446" i="1"/>
  <c r="B9446" i="1"/>
  <c r="C9446" i="1"/>
  <c r="M9446" i="1"/>
  <c r="A9447" i="1"/>
  <c r="B9447" i="1"/>
  <c r="C9447" i="1"/>
  <c r="M9447" i="1"/>
  <c r="A9448" i="1"/>
  <c r="B9448" i="1"/>
  <c r="C9448" i="1"/>
  <c r="M9448" i="1"/>
  <c r="A9449" i="1"/>
  <c r="B9449" i="1"/>
  <c r="C9449" i="1"/>
  <c r="M9449" i="1"/>
  <c r="A9450" i="1"/>
  <c r="B9450" i="1"/>
  <c r="C9450" i="1"/>
  <c r="M9450" i="1"/>
  <c r="A9451" i="1"/>
  <c r="B9451" i="1"/>
  <c r="C9451" i="1"/>
  <c r="M9451" i="1"/>
  <c r="A9452" i="1"/>
  <c r="B9452" i="1"/>
  <c r="C9452" i="1"/>
  <c r="M9452" i="1"/>
  <c r="A9453" i="1"/>
  <c r="B9453" i="1"/>
  <c r="C9453" i="1"/>
  <c r="M9453" i="1"/>
  <c r="A9454" i="1"/>
  <c r="B9454" i="1"/>
  <c r="C9454" i="1"/>
  <c r="M9454" i="1"/>
  <c r="A9455" i="1"/>
  <c r="B9455" i="1"/>
  <c r="C9455" i="1"/>
  <c r="M9455" i="1"/>
  <c r="A9456" i="1"/>
  <c r="B9456" i="1"/>
  <c r="C9456" i="1"/>
  <c r="M9456" i="1"/>
  <c r="A9457" i="1"/>
  <c r="B9457" i="1"/>
  <c r="C9457" i="1"/>
  <c r="M9457" i="1"/>
  <c r="A9458" i="1"/>
  <c r="B9458" i="1"/>
  <c r="C9458" i="1"/>
  <c r="M9458" i="1"/>
  <c r="A9459" i="1"/>
  <c r="B9459" i="1"/>
  <c r="C9459" i="1"/>
  <c r="M9459" i="1"/>
  <c r="A9460" i="1"/>
  <c r="B9460" i="1"/>
  <c r="C9460" i="1"/>
  <c r="M9460" i="1"/>
  <c r="A9461" i="1"/>
  <c r="B9461" i="1"/>
  <c r="C9461" i="1"/>
  <c r="M9461" i="1"/>
  <c r="A9462" i="1"/>
  <c r="B9462" i="1"/>
  <c r="C9462" i="1"/>
  <c r="M9462" i="1"/>
  <c r="A9463" i="1"/>
  <c r="B9463" i="1"/>
  <c r="C9463" i="1"/>
  <c r="M9463" i="1"/>
  <c r="A9464" i="1"/>
  <c r="B9464" i="1"/>
  <c r="C9464" i="1"/>
  <c r="M9464" i="1"/>
  <c r="A9465" i="1"/>
  <c r="B9465" i="1"/>
  <c r="C9465" i="1"/>
  <c r="M9465" i="1"/>
  <c r="A9466" i="1"/>
  <c r="B9466" i="1"/>
  <c r="C9466" i="1"/>
  <c r="M9466" i="1"/>
  <c r="A9467" i="1"/>
  <c r="B9467" i="1"/>
  <c r="C9467" i="1"/>
  <c r="M9467" i="1"/>
  <c r="A9468" i="1"/>
  <c r="B9468" i="1"/>
  <c r="C9468" i="1"/>
  <c r="M9468" i="1"/>
  <c r="A9469" i="1"/>
  <c r="B9469" i="1"/>
  <c r="C9469" i="1"/>
  <c r="M9469" i="1"/>
  <c r="A9470" i="1"/>
  <c r="B9470" i="1"/>
  <c r="C9470" i="1"/>
  <c r="M9470" i="1"/>
  <c r="A9471" i="1"/>
  <c r="B9471" i="1"/>
  <c r="C9471" i="1"/>
  <c r="M9471" i="1"/>
  <c r="A9472" i="1"/>
  <c r="B9472" i="1"/>
  <c r="C9472" i="1"/>
  <c r="M9472" i="1"/>
  <c r="A9473" i="1"/>
  <c r="B9473" i="1"/>
  <c r="C9473" i="1"/>
  <c r="M9473" i="1"/>
  <c r="A9474" i="1"/>
  <c r="B9474" i="1"/>
  <c r="C9474" i="1"/>
  <c r="M9474" i="1"/>
  <c r="A9475" i="1"/>
  <c r="B9475" i="1"/>
  <c r="C9475" i="1"/>
  <c r="M9475" i="1"/>
  <c r="A9476" i="1"/>
  <c r="B9476" i="1"/>
  <c r="C9476" i="1"/>
  <c r="M9476" i="1"/>
  <c r="A9477" i="1"/>
  <c r="B9477" i="1"/>
  <c r="C9477" i="1"/>
  <c r="M9477" i="1"/>
  <c r="A9478" i="1"/>
  <c r="B9478" i="1"/>
  <c r="C9478" i="1"/>
  <c r="M9478" i="1"/>
  <c r="A9479" i="1"/>
  <c r="B9479" i="1"/>
  <c r="C9479" i="1"/>
  <c r="M9479" i="1"/>
  <c r="A9480" i="1"/>
  <c r="B9480" i="1"/>
  <c r="C9480" i="1"/>
  <c r="M9480" i="1"/>
  <c r="A9481" i="1"/>
  <c r="B9481" i="1"/>
  <c r="C9481" i="1"/>
  <c r="M9481" i="1"/>
  <c r="A9482" i="1"/>
  <c r="B9482" i="1"/>
  <c r="C9482" i="1"/>
  <c r="M9482" i="1"/>
  <c r="A9483" i="1"/>
  <c r="B9483" i="1"/>
  <c r="C9483" i="1"/>
  <c r="M9483" i="1"/>
  <c r="A9484" i="1"/>
  <c r="B9484" i="1"/>
  <c r="C9484" i="1"/>
  <c r="M9484" i="1"/>
  <c r="A9485" i="1"/>
  <c r="B9485" i="1"/>
  <c r="C9485" i="1"/>
  <c r="M9485" i="1"/>
  <c r="A9486" i="1"/>
  <c r="B9486" i="1"/>
  <c r="C9486" i="1"/>
  <c r="M9486" i="1"/>
  <c r="A9487" i="1"/>
  <c r="B9487" i="1"/>
  <c r="C9487" i="1"/>
  <c r="M9487" i="1"/>
  <c r="A9488" i="1"/>
  <c r="B9488" i="1"/>
  <c r="C9488" i="1"/>
  <c r="M9488" i="1"/>
  <c r="A9489" i="1"/>
  <c r="B9489" i="1"/>
  <c r="C9489" i="1"/>
  <c r="M9489" i="1"/>
  <c r="A9490" i="1"/>
  <c r="B9490" i="1"/>
  <c r="C9490" i="1"/>
  <c r="M9490" i="1"/>
  <c r="A9491" i="1"/>
  <c r="B9491" i="1"/>
  <c r="C9491" i="1"/>
  <c r="M9491" i="1"/>
  <c r="A9492" i="1"/>
  <c r="B9492" i="1"/>
  <c r="C9492" i="1"/>
  <c r="M9492" i="1"/>
  <c r="A9493" i="1"/>
  <c r="B9493" i="1"/>
  <c r="C9493" i="1"/>
  <c r="M9493" i="1"/>
  <c r="A9494" i="1"/>
  <c r="B9494" i="1"/>
  <c r="C9494" i="1"/>
  <c r="M9494" i="1"/>
  <c r="A9495" i="1"/>
  <c r="B9495" i="1"/>
  <c r="C9495" i="1"/>
  <c r="M9495" i="1"/>
  <c r="A9496" i="1"/>
  <c r="B9496" i="1"/>
  <c r="C9496" i="1"/>
  <c r="M9496" i="1"/>
  <c r="A9497" i="1"/>
  <c r="B9497" i="1"/>
  <c r="C9497" i="1"/>
  <c r="M9497" i="1"/>
  <c r="A9498" i="1"/>
  <c r="B9498" i="1"/>
  <c r="C9498" i="1"/>
  <c r="M9498" i="1"/>
  <c r="A9499" i="1"/>
  <c r="B9499" i="1"/>
  <c r="C9499" i="1"/>
  <c r="M9499" i="1"/>
  <c r="A9500" i="1"/>
  <c r="B9500" i="1"/>
  <c r="C9500" i="1"/>
  <c r="M9500" i="1"/>
  <c r="A9501" i="1"/>
  <c r="B9501" i="1"/>
  <c r="C9501" i="1"/>
  <c r="M9501" i="1"/>
  <c r="A9502" i="1"/>
  <c r="B9502" i="1"/>
  <c r="C9502" i="1"/>
  <c r="M9502" i="1"/>
  <c r="A9503" i="1"/>
  <c r="B9503" i="1"/>
  <c r="C9503" i="1"/>
  <c r="M9503" i="1"/>
  <c r="A9504" i="1"/>
  <c r="B9504" i="1"/>
  <c r="C9504" i="1"/>
  <c r="M9504" i="1"/>
  <c r="A9505" i="1"/>
  <c r="B9505" i="1"/>
  <c r="C9505" i="1"/>
  <c r="M9505" i="1"/>
  <c r="A9506" i="1"/>
  <c r="B9506" i="1"/>
  <c r="C9506" i="1"/>
  <c r="M9506" i="1"/>
  <c r="A9507" i="1"/>
  <c r="B9507" i="1"/>
  <c r="C9507" i="1"/>
  <c r="M9507" i="1"/>
  <c r="A9508" i="1"/>
  <c r="B9508" i="1"/>
  <c r="C9508" i="1"/>
  <c r="M9508" i="1"/>
  <c r="A9509" i="1"/>
  <c r="B9509" i="1"/>
  <c r="C9509" i="1"/>
  <c r="M9509" i="1"/>
  <c r="A9510" i="1"/>
  <c r="B9510" i="1"/>
  <c r="C9510" i="1"/>
  <c r="M9510" i="1"/>
  <c r="A9511" i="1"/>
  <c r="B9511" i="1"/>
  <c r="C9511" i="1"/>
  <c r="M9511" i="1"/>
  <c r="A9512" i="1"/>
  <c r="B9512" i="1"/>
  <c r="C9512" i="1"/>
  <c r="M9512" i="1"/>
  <c r="A9513" i="1"/>
  <c r="B9513" i="1"/>
  <c r="C9513" i="1"/>
  <c r="M9513" i="1"/>
  <c r="A9514" i="1"/>
  <c r="B9514" i="1"/>
  <c r="C9514" i="1"/>
  <c r="M9514" i="1"/>
  <c r="A9515" i="1"/>
  <c r="B9515" i="1"/>
  <c r="C9515" i="1"/>
  <c r="M9515" i="1"/>
  <c r="A9516" i="1"/>
  <c r="B9516" i="1"/>
  <c r="C9516" i="1"/>
  <c r="M9516" i="1"/>
  <c r="A9517" i="1"/>
  <c r="B9517" i="1"/>
  <c r="C9517" i="1"/>
  <c r="M9517" i="1"/>
  <c r="A9518" i="1"/>
  <c r="B9518" i="1"/>
  <c r="C9518" i="1"/>
  <c r="M9518" i="1"/>
  <c r="A9519" i="1"/>
  <c r="B9519" i="1"/>
  <c r="C9519" i="1"/>
  <c r="M9519" i="1"/>
  <c r="A9520" i="1"/>
  <c r="B9520" i="1"/>
  <c r="C9520" i="1"/>
  <c r="M9520" i="1"/>
  <c r="A9521" i="1"/>
  <c r="B9521" i="1"/>
  <c r="C9521" i="1"/>
  <c r="M9521" i="1"/>
  <c r="A9522" i="1"/>
  <c r="B9522" i="1"/>
  <c r="C9522" i="1"/>
  <c r="M9522" i="1"/>
  <c r="A9523" i="1"/>
  <c r="B9523" i="1"/>
  <c r="C9523" i="1"/>
  <c r="M9523" i="1"/>
  <c r="A9524" i="1"/>
  <c r="B9524" i="1"/>
  <c r="C9524" i="1"/>
  <c r="M9524" i="1"/>
  <c r="A9525" i="1"/>
  <c r="B9525" i="1"/>
  <c r="C9525" i="1"/>
  <c r="M9525" i="1"/>
  <c r="A9526" i="1"/>
  <c r="B9526" i="1"/>
  <c r="C9526" i="1"/>
  <c r="M9526" i="1"/>
  <c r="A9527" i="1"/>
  <c r="B9527" i="1"/>
  <c r="C9527" i="1"/>
  <c r="M9527" i="1"/>
  <c r="A9528" i="1"/>
  <c r="B9528" i="1"/>
  <c r="C9528" i="1"/>
  <c r="M9528" i="1"/>
  <c r="A9529" i="1"/>
  <c r="B9529" i="1"/>
  <c r="C9529" i="1"/>
  <c r="M9529" i="1"/>
  <c r="A9530" i="1"/>
  <c r="B9530" i="1"/>
  <c r="C9530" i="1"/>
  <c r="M9530" i="1"/>
  <c r="A9531" i="1"/>
  <c r="B9531" i="1"/>
  <c r="C9531" i="1"/>
  <c r="M9531" i="1"/>
  <c r="A9532" i="1"/>
  <c r="B9532" i="1"/>
  <c r="C9532" i="1"/>
  <c r="M9532" i="1"/>
  <c r="A9533" i="1"/>
  <c r="B9533" i="1"/>
  <c r="C9533" i="1"/>
  <c r="M9533" i="1"/>
  <c r="A9534" i="1"/>
  <c r="B9534" i="1"/>
  <c r="C9534" i="1"/>
  <c r="M9534" i="1"/>
  <c r="A9535" i="1"/>
  <c r="B9535" i="1"/>
  <c r="C9535" i="1"/>
  <c r="M9535" i="1"/>
  <c r="A9536" i="1"/>
  <c r="B9536" i="1"/>
  <c r="C9536" i="1"/>
  <c r="M9536" i="1"/>
  <c r="A9537" i="1"/>
  <c r="B9537" i="1"/>
  <c r="C9537" i="1"/>
  <c r="M9537" i="1"/>
  <c r="A9538" i="1"/>
  <c r="B9538" i="1"/>
  <c r="C9538" i="1"/>
  <c r="M9538" i="1"/>
  <c r="A9539" i="1"/>
  <c r="B9539" i="1"/>
  <c r="C9539" i="1"/>
  <c r="M9539" i="1"/>
  <c r="A9540" i="1"/>
  <c r="B9540" i="1"/>
  <c r="C9540" i="1"/>
  <c r="M9540" i="1"/>
  <c r="A9541" i="1"/>
  <c r="B9541" i="1"/>
  <c r="C9541" i="1"/>
  <c r="M9541" i="1"/>
  <c r="A9542" i="1"/>
  <c r="B9542" i="1"/>
  <c r="C9542" i="1"/>
  <c r="M9542" i="1"/>
  <c r="A9543" i="1"/>
  <c r="B9543" i="1"/>
  <c r="C9543" i="1"/>
  <c r="M9543" i="1"/>
  <c r="A9544" i="1"/>
  <c r="B9544" i="1"/>
  <c r="C9544" i="1"/>
  <c r="M9544" i="1"/>
  <c r="A9545" i="1"/>
  <c r="B9545" i="1"/>
  <c r="C9545" i="1"/>
  <c r="M9545" i="1"/>
  <c r="A9546" i="1"/>
  <c r="B9546" i="1"/>
  <c r="C9546" i="1"/>
  <c r="M9546" i="1"/>
  <c r="A9547" i="1"/>
  <c r="B9547" i="1"/>
  <c r="C9547" i="1"/>
  <c r="M9547" i="1"/>
  <c r="A9548" i="1"/>
  <c r="B9548" i="1"/>
  <c r="C9548" i="1"/>
  <c r="M9548" i="1"/>
  <c r="A9549" i="1"/>
  <c r="B9549" i="1"/>
  <c r="C9549" i="1"/>
  <c r="M9549" i="1"/>
  <c r="A9550" i="1"/>
  <c r="B9550" i="1"/>
  <c r="C9550" i="1"/>
  <c r="M9550" i="1"/>
  <c r="A9551" i="1"/>
  <c r="B9551" i="1"/>
  <c r="C9551" i="1"/>
  <c r="M9551" i="1"/>
  <c r="A9552" i="1"/>
  <c r="B9552" i="1"/>
  <c r="C9552" i="1"/>
  <c r="M9552" i="1"/>
  <c r="A9553" i="1"/>
  <c r="B9553" i="1"/>
  <c r="C9553" i="1"/>
  <c r="M9553" i="1"/>
  <c r="A9554" i="1"/>
  <c r="B9554" i="1"/>
  <c r="C9554" i="1"/>
  <c r="M9554" i="1"/>
  <c r="A9555" i="1"/>
  <c r="B9555" i="1"/>
  <c r="C9555" i="1"/>
  <c r="M9555" i="1"/>
  <c r="A9556" i="1"/>
  <c r="B9556" i="1"/>
  <c r="C9556" i="1"/>
  <c r="M9556" i="1"/>
  <c r="A9557" i="1"/>
  <c r="B9557" i="1"/>
  <c r="C9557" i="1"/>
  <c r="M9557" i="1"/>
  <c r="A9558" i="1"/>
  <c r="B9558" i="1"/>
  <c r="C9558" i="1"/>
  <c r="M9558" i="1"/>
  <c r="A9559" i="1"/>
  <c r="B9559" i="1"/>
  <c r="C9559" i="1"/>
  <c r="M9559" i="1"/>
  <c r="A9560" i="1"/>
  <c r="B9560" i="1"/>
  <c r="C9560" i="1"/>
  <c r="M9560" i="1"/>
  <c r="A9561" i="1"/>
  <c r="B9561" i="1"/>
  <c r="C9561" i="1"/>
  <c r="M9561" i="1"/>
  <c r="A9562" i="1"/>
  <c r="B9562" i="1"/>
  <c r="C9562" i="1"/>
  <c r="M9562" i="1"/>
  <c r="A9563" i="1"/>
  <c r="B9563" i="1"/>
  <c r="C9563" i="1"/>
  <c r="M9563" i="1"/>
  <c r="A9564" i="1"/>
  <c r="B9564" i="1"/>
  <c r="C9564" i="1"/>
  <c r="M9564" i="1"/>
  <c r="A9565" i="1"/>
  <c r="B9565" i="1"/>
  <c r="C9565" i="1"/>
  <c r="M9565" i="1"/>
  <c r="A9566" i="1"/>
  <c r="B9566" i="1"/>
  <c r="C9566" i="1"/>
  <c r="M9566" i="1"/>
  <c r="A9567" i="1"/>
  <c r="B9567" i="1"/>
  <c r="C9567" i="1"/>
  <c r="M9567" i="1"/>
  <c r="A9568" i="1"/>
  <c r="B9568" i="1"/>
  <c r="C9568" i="1"/>
  <c r="M9568" i="1"/>
  <c r="A9569" i="1"/>
  <c r="B9569" i="1"/>
  <c r="C9569" i="1"/>
  <c r="M9569" i="1"/>
  <c r="A9570" i="1"/>
  <c r="B9570" i="1"/>
  <c r="C9570" i="1"/>
  <c r="M9570" i="1"/>
  <c r="A9571" i="1"/>
  <c r="B9571" i="1"/>
  <c r="C9571" i="1"/>
  <c r="M9571" i="1"/>
  <c r="A9572" i="1"/>
  <c r="B9572" i="1"/>
  <c r="C9572" i="1"/>
  <c r="M9572" i="1"/>
  <c r="A9573" i="1"/>
  <c r="B9573" i="1"/>
  <c r="C9573" i="1"/>
  <c r="M9573" i="1"/>
  <c r="A9574" i="1"/>
  <c r="B9574" i="1"/>
  <c r="C9574" i="1"/>
  <c r="M9574" i="1"/>
  <c r="A9575" i="1"/>
  <c r="B9575" i="1"/>
  <c r="C9575" i="1"/>
  <c r="M9575" i="1"/>
  <c r="A9576" i="1"/>
  <c r="B9576" i="1"/>
  <c r="C9576" i="1"/>
  <c r="M9576" i="1"/>
  <c r="A9577" i="1"/>
  <c r="B9577" i="1"/>
  <c r="C9577" i="1"/>
  <c r="M9577" i="1"/>
  <c r="A9578" i="1"/>
  <c r="B9578" i="1"/>
  <c r="C9578" i="1"/>
  <c r="M9578" i="1"/>
  <c r="A9579" i="1"/>
  <c r="B9579" i="1"/>
  <c r="C9579" i="1"/>
  <c r="M9579" i="1"/>
  <c r="A9580" i="1"/>
  <c r="B9580" i="1"/>
  <c r="C9580" i="1"/>
  <c r="M9580" i="1"/>
  <c r="A9581" i="1"/>
  <c r="B9581" i="1"/>
  <c r="C9581" i="1"/>
  <c r="M9581" i="1"/>
  <c r="A9582" i="1"/>
  <c r="B9582" i="1"/>
  <c r="C9582" i="1"/>
  <c r="M9582" i="1"/>
  <c r="A9583" i="1"/>
  <c r="B9583" i="1"/>
  <c r="C9583" i="1"/>
  <c r="M9583" i="1"/>
  <c r="A9584" i="1"/>
  <c r="B9584" i="1"/>
  <c r="C9584" i="1"/>
  <c r="M9584" i="1"/>
  <c r="A9585" i="1"/>
  <c r="B9585" i="1"/>
  <c r="C9585" i="1"/>
  <c r="M9585" i="1"/>
  <c r="A9586" i="1"/>
  <c r="B9586" i="1"/>
  <c r="C9586" i="1"/>
  <c r="M9586" i="1"/>
  <c r="A9587" i="1"/>
  <c r="B9587" i="1"/>
  <c r="C9587" i="1"/>
  <c r="M9587" i="1"/>
  <c r="A9588" i="1"/>
  <c r="B9588" i="1"/>
  <c r="C9588" i="1"/>
  <c r="M9588" i="1"/>
  <c r="A9589" i="1"/>
  <c r="B9589" i="1"/>
  <c r="C9589" i="1"/>
  <c r="M9589" i="1"/>
  <c r="A9590" i="1"/>
  <c r="B9590" i="1"/>
  <c r="C9590" i="1"/>
  <c r="M9590" i="1"/>
  <c r="A9591" i="1"/>
  <c r="B9591" i="1"/>
  <c r="C9591" i="1"/>
  <c r="M9591" i="1"/>
  <c r="A9592" i="1"/>
  <c r="B9592" i="1"/>
  <c r="C9592" i="1"/>
  <c r="M9592" i="1"/>
  <c r="A9593" i="1"/>
  <c r="B9593" i="1"/>
  <c r="C9593" i="1"/>
  <c r="M9593" i="1"/>
  <c r="A9594" i="1"/>
  <c r="B9594" i="1"/>
  <c r="C9594" i="1"/>
  <c r="M9594" i="1"/>
  <c r="A9595" i="1"/>
  <c r="B9595" i="1"/>
  <c r="C9595" i="1"/>
  <c r="M9595" i="1"/>
  <c r="A9596" i="1"/>
  <c r="B9596" i="1"/>
  <c r="C9596" i="1"/>
  <c r="M9596" i="1"/>
  <c r="A9597" i="1"/>
  <c r="B9597" i="1"/>
  <c r="C9597" i="1"/>
  <c r="M9597" i="1"/>
  <c r="A9598" i="1"/>
  <c r="B9598" i="1"/>
  <c r="C9598" i="1"/>
  <c r="M9598" i="1"/>
  <c r="A9599" i="1"/>
  <c r="B9599" i="1"/>
  <c r="C9599" i="1"/>
  <c r="M9599" i="1"/>
  <c r="A9600" i="1"/>
  <c r="B9600" i="1"/>
  <c r="C9600" i="1"/>
  <c r="M9600" i="1"/>
  <c r="A9601" i="1"/>
  <c r="B9601" i="1"/>
  <c r="C9601" i="1"/>
  <c r="M9601" i="1"/>
  <c r="A9602" i="1"/>
  <c r="B9602" i="1"/>
  <c r="C9602" i="1"/>
  <c r="M9602" i="1"/>
  <c r="A9603" i="1"/>
  <c r="B9603" i="1"/>
  <c r="C9603" i="1"/>
  <c r="M9603" i="1"/>
  <c r="A9604" i="1"/>
  <c r="B9604" i="1"/>
  <c r="C9604" i="1"/>
  <c r="M9604" i="1"/>
  <c r="A9605" i="1"/>
  <c r="B9605" i="1"/>
  <c r="C9605" i="1"/>
  <c r="M9605" i="1"/>
  <c r="A9606" i="1"/>
  <c r="B9606" i="1"/>
  <c r="C9606" i="1"/>
  <c r="M9606" i="1"/>
  <c r="A9607" i="1"/>
  <c r="B9607" i="1"/>
  <c r="C9607" i="1"/>
  <c r="M9607" i="1"/>
  <c r="A9608" i="1"/>
  <c r="B9608" i="1"/>
  <c r="C9608" i="1"/>
  <c r="M9608" i="1"/>
  <c r="A9609" i="1"/>
  <c r="B9609" i="1"/>
  <c r="C9609" i="1"/>
  <c r="M9609" i="1"/>
  <c r="A9610" i="1"/>
  <c r="B9610" i="1"/>
  <c r="C9610" i="1"/>
  <c r="M9610" i="1"/>
  <c r="A9611" i="1"/>
  <c r="B9611" i="1"/>
  <c r="C9611" i="1"/>
  <c r="M9611" i="1"/>
  <c r="A9612" i="1"/>
  <c r="B9612" i="1"/>
  <c r="C9612" i="1"/>
  <c r="M9612" i="1"/>
  <c r="A9613" i="1"/>
  <c r="B9613" i="1"/>
  <c r="C9613" i="1"/>
  <c r="M9613" i="1"/>
  <c r="A9614" i="1"/>
  <c r="B9614" i="1"/>
  <c r="C9614" i="1"/>
  <c r="M9614" i="1"/>
  <c r="A9615" i="1"/>
  <c r="B9615" i="1"/>
  <c r="C9615" i="1"/>
  <c r="M9615" i="1"/>
  <c r="A9616" i="1"/>
  <c r="B9616" i="1"/>
  <c r="C9616" i="1"/>
  <c r="M9616" i="1"/>
  <c r="A9617" i="1"/>
  <c r="B9617" i="1"/>
  <c r="C9617" i="1"/>
  <c r="M9617" i="1"/>
  <c r="A9618" i="1"/>
  <c r="B9618" i="1"/>
  <c r="C9618" i="1"/>
  <c r="M9618" i="1"/>
  <c r="A9619" i="1"/>
  <c r="B9619" i="1"/>
  <c r="C9619" i="1"/>
  <c r="M9619" i="1"/>
  <c r="A9620" i="1"/>
  <c r="B9620" i="1"/>
  <c r="C9620" i="1"/>
  <c r="M9620" i="1"/>
  <c r="A9621" i="1"/>
  <c r="B9621" i="1"/>
  <c r="C9621" i="1"/>
  <c r="M9621" i="1"/>
  <c r="A9622" i="1"/>
  <c r="B9622" i="1"/>
  <c r="C9622" i="1"/>
  <c r="M9622" i="1"/>
  <c r="A9623" i="1"/>
  <c r="B9623" i="1"/>
  <c r="C9623" i="1"/>
  <c r="M9623" i="1"/>
  <c r="A9624" i="1"/>
  <c r="B9624" i="1"/>
  <c r="C9624" i="1"/>
  <c r="M9624" i="1"/>
  <c r="A9625" i="1"/>
  <c r="B9625" i="1"/>
  <c r="C9625" i="1"/>
  <c r="M9625" i="1"/>
  <c r="A9626" i="1"/>
  <c r="B9626" i="1"/>
  <c r="C9626" i="1"/>
  <c r="M9626" i="1"/>
  <c r="A9627" i="1"/>
  <c r="B9627" i="1"/>
  <c r="C9627" i="1"/>
  <c r="M9627" i="1"/>
  <c r="A9628" i="1"/>
  <c r="B9628" i="1"/>
  <c r="C9628" i="1"/>
  <c r="M9628" i="1"/>
  <c r="A9629" i="1"/>
  <c r="B9629" i="1"/>
  <c r="C9629" i="1"/>
  <c r="M9629" i="1"/>
  <c r="A9630" i="1"/>
  <c r="B9630" i="1"/>
  <c r="C9630" i="1"/>
  <c r="M9630" i="1"/>
  <c r="A9631" i="1"/>
  <c r="B9631" i="1"/>
  <c r="C9631" i="1"/>
  <c r="M9631" i="1"/>
  <c r="A9632" i="1"/>
  <c r="B9632" i="1"/>
  <c r="C9632" i="1"/>
  <c r="M9632" i="1"/>
  <c r="A9633" i="1"/>
  <c r="B9633" i="1"/>
  <c r="C9633" i="1"/>
  <c r="M9633" i="1"/>
  <c r="A9634" i="1"/>
  <c r="B9634" i="1"/>
  <c r="C9634" i="1"/>
  <c r="M9634" i="1"/>
  <c r="A9635" i="1"/>
  <c r="B9635" i="1"/>
  <c r="C9635" i="1"/>
  <c r="M9635" i="1"/>
  <c r="A9636" i="1"/>
  <c r="B9636" i="1"/>
  <c r="C9636" i="1"/>
  <c r="M9636" i="1"/>
  <c r="A9637" i="1"/>
  <c r="B9637" i="1"/>
  <c r="C9637" i="1"/>
  <c r="M9637" i="1"/>
  <c r="A9638" i="1"/>
  <c r="B9638" i="1"/>
  <c r="C9638" i="1"/>
  <c r="M9638" i="1"/>
  <c r="A9639" i="1"/>
  <c r="B9639" i="1"/>
  <c r="C9639" i="1"/>
  <c r="M9639" i="1"/>
  <c r="A9640" i="1"/>
  <c r="B9640" i="1"/>
  <c r="C9640" i="1"/>
  <c r="M9640" i="1"/>
  <c r="A9641" i="1"/>
  <c r="B9641" i="1"/>
  <c r="C9641" i="1"/>
  <c r="M9641" i="1"/>
  <c r="A9642" i="1"/>
  <c r="B9642" i="1"/>
  <c r="C9642" i="1"/>
  <c r="M9642" i="1"/>
  <c r="A9643" i="1"/>
  <c r="B9643" i="1"/>
  <c r="C9643" i="1"/>
  <c r="M9643" i="1"/>
  <c r="A9644" i="1"/>
  <c r="B9644" i="1"/>
  <c r="C9644" i="1"/>
  <c r="M9644" i="1"/>
  <c r="A9645" i="1"/>
  <c r="B9645" i="1"/>
  <c r="C9645" i="1"/>
  <c r="M9645" i="1"/>
  <c r="A9646" i="1"/>
  <c r="B9646" i="1"/>
  <c r="C9646" i="1"/>
  <c r="M9646" i="1"/>
  <c r="A9647" i="1"/>
  <c r="B9647" i="1"/>
  <c r="C9647" i="1"/>
  <c r="M9647" i="1"/>
  <c r="A9648" i="1"/>
  <c r="B9648" i="1"/>
  <c r="C9648" i="1"/>
  <c r="M9648" i="1"/>
  <c r="A9649" i="1"/>
  <c r="B9649" i="1"/>
  <c r="C9649" i="1"/>
  <c r="M9649" i="1"/>
  <c r="A9650" i="1"/>
  <c r="B9650" i="1"/>
  <c r="C9650" i="1"/>
  <c r="M9650" i="1"/>
  <c r="A9651" i="1"/>
  <c r="B9651" i="1"/>
  <c r="C9651" i="1"/>
  <c r="M9651" i="1"/>
  <c r="A9652" i="1"/>
  <c r="B9652" i="1"/>
  <c r="C9652" i="1"/>
  <c r="M9652" i="1"/>
  <c r="A9653" i="1"/>
  <c r="B9653" i="1"/>
  <c r="C9653" i="1"/>
  <c r="M9653" i="1"/>
  <c r="A9654" i="1"/>
  <c r="B9654" i="1"/>
  <c r="C9654" i="1"/>
  <c r="M9654" i="1"/>
  <c r="A9655" i="1"/>
  <c r="B9655" i="1"/>
  <c r="C9655" i="1"/>
  <c r="M9655" i="1"/>
  <c r="A9656" i="1"/>
  <c r="B9656" i="1"/>
  <c r="C9656" i="1"/>
  <c r="M9656" i="1"/>
  <c r="A9657" i="1"/>
  <c r="B9657" i="1"/>
  <c r="C9657" i="1"/>
  <c r="M9657" i="1"/>
  <c r="A9658" i="1"/>
  <c r="B9658" i="1"/>
  <c r="C9658" i="1"/>
  <c r="M9658" i="1"/>
  <c r="A9659" i="1"/>
  <c r="B9659" i="1"/>
  <c r="C9659" i="1"/>
  <c r="M9659" i="1"/>
  <c r="A9660" i="1"/>
  <c r="B9660" i="1"/>
  <c r="C9660" i="1"/>
  <c r="M9660" i="1"/>
  <c r="A9661" i="1"/>
  <c r="B9661" i="1"/>
  <c r="C9661" i="1"/>
  <c r="M9661" i="1"/>
  <c r="A9662" i="1"/>
  <c r="B9662" i="1"/>
  <c r="C9662" i="1"/>
  <c r="M9662" i="1"/>
  <c r="A9663" i="1"/>
  <c r="B9663" i="1"/>
  <c r="C9663" i="1"/>
  <c r="M9663" i="1"/>
  <c r="A9664" i="1"/>
  <c r="B9664" i="1"/>
  <c r="C9664" i="1"/>
  <c r="M9664" i="1"/>
  <c r="A9665" i="1"/>
  <c r="B9665" i="1"/>
  <c r="C9665" i="1"/>
  <c r="M9665" i="1"/>
  <c r="A9666" i="1"/>
  <c r="B9666" i="1"/>
  <c r="C9666" i="1"/>
  <c r="M9666" i="1"/>
  <c r="A9667" i="1"/>
  <c r="B9667" i="1"/>
  <c r="C9667" i="1"/>
  <c r="M9667" i="1"/>
  <c r="A9668" i="1"/>
  <c r="B9668" i="1"/>
  <c r="C9668" i="1"/>
  <c r="M9668" i="1"/>
  <c r="A9669" i="1"/>
  <c r="B9669" i="1"/>
  <c r="C9669" i="1"/>
  <c r="M9669" i="1"/>
  <c r="A9670" i="1"/>
  <c r="B9670" i="1"/>
  <c r="C9670" i="1"/>
  <c r="M9670" i="1"/>
  <c r="A9671" i="1"/>
  <c r="B9671" i="1"/>
  <c r="C9671" i="1"/>
  <c r="M9671" i="1"/>
  <c r="A9672" i="1"/>
  <c r="B9672" i="1"/>
  <c r="C9672" i="1"/>
  <c r="M9672" i="1"/>
  <c r="A9673" i="1"/>
  <c r="B9673" i="1"/>
  <c r="C9673" i="1"/>
  <c r="M9673" i="1"/>
  <c r="A9674" i="1"/>
  <c r="B9674" i="1"/>
  <c r="C9674" i="1"/>
  <c r="M9674" i="1"/>
  <c r="A9675" i="1"/>
  <c r="B9675" i="1"/>
  <c r="C9675" i="1"/>
  <c r="M9675" i="1"/>
  <c r="A9676" i="1"/>
  <c r="B9676" i="1"/>
  <c r="C9676" i="1"/>
  <c r="M9676" i="1"/>
  <c r="A9677" i="1"/>
  <c r="B9677" i="1"/>
  <c r="C9677" i="1"/>
  <c r="M9677" i="1"/>
  <c r="A9678" i="1"/>
  <c r="B9678" i="1"/>
  <c r="C9678" i="1"/>
  <c r="M9678" i="1"/>
  <c r="A9679" i="1"/>
  <c r="B9679" i="1"/>
  <c r="C9679" i="1"/>
  <c r="M9679" i="1"/>
  <c r="A9680" i="1"/>
  <c r="B9680" i="1"/>
  <c r="C9680" i="1"/>
  <c r="M9680" i="1"/>
  <c r="A9681" i="1"/>
  <c r="B9681" i="1"/>
  <c r="C9681" i="1"/>
  <c r="M9681" i="1"/>
  <c r="A9682" i="1"/>
  <c r="B9682" i="1"/>
  <c r="C9682" i="1"/>
  <c r="M9682" i="1"/>
  <c r="A9683" i="1"/>
  <c r="B9683" i="1"/>
  <c r="C9683" i="1"/>
  <c r="M9683" i="1"/>
  <c r="A9684" i="1"/>
  <c r="B9684" i="1"/>
  <c r="C9684" i="1"/>
  <c r="M9684" i="1"/>
  <c r="A9685" i="1"/>
  <c r="B9685" i="1"/>
  <c r="C9685" i="1"/>
  <c r="M9685" i="1"/>
  <c r="A9686" i="1"/>
  <c r="B9686" i="1"/>
  <c r="C9686" i="1"/>
  <c r="M9686" i="1"/>
  <c r="A9687" i="1"/>
  <c r="B9687" i="1"/>
  <c r="C9687" i="1"/>
  <c r="M9687" i="1"/>
  <c r="A9688" i="1"/>
  <c r="B9688" i="1"/>
  <c r="C9688" i="1"/>
  <c r="M9688" i="1"/>
  <c r="A9689" i="1"/>
  <c r="B9689" i="1"/>
  <c r="C9689" i="1"/>
  <c r="M9689" i="1"/>
  <c r="A9690" i="1"/>
  <c r="B9690" i="1"/>
  <c r="C9690" i="1"/>
  <c r="M9690" i="1"/>
</calcChain>
</file>

<file path=xl/sharedStrings.xml><?xml version="1.0" encoding="utf-8"?>
<sst xmlns="http://schemas.openxmlformats.org/spreadsheetml/2006/main" count="19393" uniqueCount="3692">
  <si>
    <t>Time</t>
  </si>
  <si>
    <t>PosToa</t>
  </si>
  <si>
    <t>VelToa</t>
  </si>
  <si>
    <t>Lat</t>
  </si>
  <si>
    <t>LatDeg</t>
  </si>
  <si>
    <t>Lon</t>
  </si>
  <si>
    <t>LonDeg</t>
  </si>
  <si>
    <t>PressAlt</t>
  </si>
  <si>
    <t>Vx</t>
  </si>
  <si>
    <t>Vy</t>
  </si>
  <si>
    <t>Vz</t>
  </si>
  <si>
    <t>Aid</t>
  </si>
  <si>
    <t>FlightId</t>
  </si>
  <si>
    <t>EmitCat</t>
  </si>
  <si>
    <t>GeomAlt</t>
  </si>
  <si>
    <t>030:21:15.64 N</t>
  </si>
  <si>
    <t>089:49:13.75 W</t>
  </si>
  <si>
    <t>030:21:21.67 N</t>
  </si>
  <si>
    <t>089:49:13.36 W</t>
  </si>
  <si>
    <t>030:21:24.99 N</t>
  </si>
  <si>
    <t>089:49:13.13 W</t>
  </si>
  <si>
    <t>030:21:26.84 N</t>
  </si>
  <si>
    <t>030:21:32.64 N</t>
  </si>
  <si>
    <t>089:49:12.82 W</t>
  </si>
  <si>
    <t>030:21:34.03 N</t>
  </si>
  <si>
    <t>089:49:12.97 W</t>
  </si>
  <si>
    <t>030:21:38.89 N</t>
  </si>
  <si>
    <t>089:49:12.74 W</t>
  </si>
  <si>
    <t>030:21:44.30 N</t>
  </si>
  <si>
    <t>030:21:45.85 N</t>
  </si>
  <si>
    <t>030:21:47.78 N</t>
  </si>
  <si>
    <t>030:21:52.72 N</t>
  </si>
  <si>
    <t>089:49:12.66 W</t>
  </si>
  <si>
    <t>030:21:54.34 N</t>
  </si>
  <si>
    <t>089:49:12.59 W</t>
  </si>
  <si>
    <t>030:21:56.04 N</t>
  </si>
  <si>
    <t>089:49:12.43 W</t>
  </si>
  <si>
    <t>030:22:01.53 N</t>
  </si>
  <si>
    <t>089:49:11.74 W</t>
  </si>
  <si>
    <t>030:22:03.23 N</t>
  </si>
  <si>
    <t>030:22:08.40 N</t>
  </si>
  <si>
    <t>089:49:11.12 W</t>
  </si>
  <si>
    <t>030:22:10.26 N</t>
  </si>
  <si>
    <t>089:49:10.81 W</t>
  </si>
  <si>
    <t>030:22:15.51 N</t>
  </si>
  <si>
    <t>089:49:10.12 W</t>
  </si>
  <si>
    <t>030:22:20.45 N</t>
  </si>
  <si>
    <t>089:49:08.96 W</t>
  </si>
  <si>
    <t>030:22:22.31 N</t>
  </si>
  <si>
    <t>089:49:08.42 W</t>
  </si>
  <si>
    <t>030:22:25.71 N</t>
  </si>
  <si>
    <t>089:49:07.18 W</t>
  </si>
  <si>
    <t>030:22:27.33 N</t>
  </si>
  <si>
    <t>089:49:06.25 W</t>
  </si>
  <si>
    <t>030:22:29.03 N</t>
  </si>
  <si>
    <t>089:49:05.40 W</t>
  </si>
  <si>
    <t>030:22:33.89 N</t>
  </si>
  <si>
    <t>089:49:02.08 W</t>
  </si>
  <si>
    <t>030:22:35.59 N</t>
  </si>
  <si>
    <t>089:49:00.85 W</t>
  </si>
  <si>
    <t>030:22:40.38 N</t>
  </si>
  <si>
    <t>089:48:57.14 W</t>
  </si>
  <si>
    <t>030:22:41.93 N</t>
  </si>
  <si>
    <t>089:48:55.98 W</t>
  </si>
  <si>
    <t>030:22:43.32 N</t>
  </si>
  <si>
    <t>089:48:54.59 W</t>
  </si>
  <si>
    <t>030:22:47.64 N</t>
  </si>
  <si>
    <t>089:48:51.34 W</t>
  </si>
  <si>
    <t>030:22:48.80 N</t>
  </si>
  <si>
    <t>089:48:50.19 W</t>
  </si>
  <si>
    <t>030:22:53.51 N</t>
  </si>
  <si>
    <t>089:48:46.48 W</t>
  </si>
  <si>
    <t>030:22:54.75 N</t>
  </si>
  <si>
    <t>089:48:45.09 W</t>
  </si>
  <si>
    <t>030:22:56.06 N</t>
  </si>
  <si>
    <t>089:48:44.16 W</t>
  </si>
  <si>
    <t>030:23:00.00 N</t>
  </si>
  <si>
    <t>089:48:40.68 W</t>
  </si>
  <si>
    <t>030:23:01.47 N</t>
  </si>
  <si>
    <t>089:48:39.14 W</t>
  </si>
  <si>
    <t>030:23:03.02 N</t>
  </si>
  <si>
    <t>089:48:37.75 W</t>
  </si>
  <si>
    <t>030:23:05.87 N</t>
  </si>
  <si>
    <t>089:48:35.20 W</t>
  </si>
  <si>
    <t>030:23:07.26 N</t>
  </si>
  <si>
    <t>089:48:33.89 W</t>
  </si>
  <si>
    <t>030:23:08.42 N</t>
  </si>
  <si>
    <t>089:48:32.57 W</t>
  </si>
  <si>
    <t>030:23:12.75 N</t>
  </si>
  <si>
    <t>089:48:28.09 W</t>
  </si>
  <si>
    <t>030:23:13.91 N</t>
  </si>
  <si>
    <t>089:48:26.86 W</t>
  </si>
  <si>
    <t>030:23:18.16 N</t>
  </si>
  <si>
    <t>089:48:22.61 W</t>
  </si>
  <si>
    <t>030:23:22.56 N</t>
  </si>
  <si>
    <t>089:48:18.75 W</t>
  </si>
  <si>
    <t>030:23:24.03 N</t>
  </si>
  <si>
    <t>089:48:17.59 W</t>
  </si>
  <si>
    <t>030:23:27.19 N</t>
  </si>
  <si>
    <t>089:48:15.42 W</t>
  </si>
  <si>
    <t>030:23:28.66 N</t>
  </si>
  <si>
    <t>089:48:14.57 W</t>
  </si>
  <si>
    <t>030:23:33.61 N</t>
  </si>
  <si>
    <t>089:48:11.95 W</t>
  </si>
  <si>
    <t>030:23:35.38 N</t>
  </si>
  <si>
    <t>089:48:11.25 W</t>
  </si>
  <si>
    <t>030:23:38.94 N</t>
  </si>
  <si>
    <t>089:48:10.09 W</t>
  </si>
  <si>
    <t>030:23:42.49 N</t>
  </si>
  <si>
    <t>089:48:08.70 W</t>
  </si>
  <si>
    <t>030:23:44.42 N</t>
  </si>
  <si>
    <t>089:48:07.85 W</t>
  </si>
  <si>
    <t>030:23:51.37 N</t>
  </si>
  <si>
    <t>089:48:05.00 W</t>
  </si>
  <si>
    <t>030:24:00.80 N</t>
  </si>
  <si>
    <t>089:48:00.13 W</t>
  </si>
  <si>
    <t>030:24:02.88 N</t>
  </si>
  <si>
    <t>089:47:58.97 W</t>
  </si>
  <si>
    <t>030:24:06.36 N</t>
  </si>
  <si>
    <t>089:47:57.19 W</t>
  </si>
  <si>
    <t>030:24:12.00 N</t>
  </si>
  <si>
    <t>089:47:53.95 W</t>
  </si>
  <si>
    <t>030:24:13.77 N</t>
  </si>
  <si>
    <t>089:47:53.02 W</t>
  </si>
  <si>
    <t>030:24:19.57 N</t>
  </si>
  <si>
    <t>089:47:49.70 W</t>
  </si>
  <si>
    <t>030:24:21.50 N</t>
  </si>
  <si>
    <t>089:47:48.70 W</t>
  </si>
  <si>
    <t>030:24:27.37 N</t>
  </si>
  <si>
    <t>089:47:45.22 W</t>
  </si>
  <si>
    <t>030:24:29.30 N</t>
  </si>
  <si>
    <t>089:47:44.06 W</t>
  </si>
  <si>
    <t>030:24:33.40 N</t>
  </si>
  <si>
    <t>089:47:41.74 W</t>
  </si>
  <si>
    <t>030:24:35.40 N</t>
  </si>
  <si>
    <t>089:47:40.43 W</t>
  </si>
  <si>
    <t>030:24:39.27 N</t>
  </si>
  <si>
    <t>089:47:38.04 W</t>
  </si>
  <si>
    <t>030:24:41.20 N</t>
  </si>
  <si>
    <t>089:47:36.65 W</t>
  </si>
  <si>
    <t>030:24:47.15 N</t>
  </si>
  <si>
    <t>089:47:33.09 W</t>
  </si>
  <si>
    <t>030:24:49.08 N</t>
  </si>
  <si>
    <t>089:47:32.01 W</t>
  </si>
  <si>
    <t>030:24:55.33 N</t>
  </si>
  <si>
    <t>089:47:28.30 W</t>
  </si>
  <si>
    <t>030:24:57.50 N</t>
  </si>
  <si>
    <t>089:47:26.99 W</t>
  </si>
  <si>
    <t>030:25:03.52 N</t>
  </si>
  <si>
    <t>089:47:23.21 W</t>
  </si>
  <si>
    <t>030:25:10.17 N</t>
  </si>
  <si>
    <t>089:47:19.42 W</t>
  </si>
  <si>
    <t>030:25:12.10 N</t>
  </si>
  <si>
    <t>089:47:18.26 W</t>
  </si>
  <si>
    <t>030:25:18.82 N</t>
  </si>
  <si>
    <t>089:47:14.09 W</t>
  </si>
  <si>
    <t>030:25:20.75 N</t>
  </si>
  <si>
    <t>089:47:12.85 W</t>
  </si>
  <si>
    <t>030:25:26.70 N</t>
  </si>
  <si>
    <t>089:47:09.15 W</t>
  </si>
  <si>
    <t>030:25:28.55 N</t>
  </si>
  <si>
    <t>089:47:08.14 W</t>
  </si>
  <si>
    <t>030:25:33.03 N</t>
  </si>
  <si>
    <t>089:47:05.21 W</t>
  </si>
  <si>
    <t>030:25:34.88 N</t>
  </si>
  <si>
    <t>089:47:04.12 W</t>
  </si>
  <si>
    <t>030:25:39.21 N</t>
  </si>
  <si>
    <t>089:47:01.58 W</t>
  </si>
  <si>
    <t>030:25:41.53 N</t>
  </si>
  <si>
    <t>089:47:00.26 W</t>
  </si>
  <si>
    <t>030:25:45.62 N</t>
  </si>
  <si>
    <t>089:46:57.71 W</t>
  </si>
  <si>
    <t>030:25:47.94 N</t>
  </si>
  <si>
    <t>089:46:56.32 W</t>
  </si>
  <si>
    <t>030:25:52.11 N</t>
  </si>
  <si>
    <t>089:46:53.93 W</t>
  </si>
  <si>
    <t>030:25:54.20 N</t>
  </si>
  <si>
    <t>089:46:52.69 W</t>
  </si>
  <si>
    <t>030:25:56.36 N</t>
  </si>
  <si>
    <t>089:46:51.38 W</t>
  </si>
  <si>
    <t>030:26:02.54 N</t>
  </si>
  <si>
    <t>089:46:47.83 W</t>
  </si>
  <si>
    <t>030:26:05.01 N</t>
  </si>
  <si>
    <t>089:46:46.44 W</t>
  </si>
  <si>
    <t>030:26:07.33 N</t>
  </si>
  <si>
    <t>089:46:45.12 W</t>
  </si>
  <si>
    <t>030:26:13.59 N</t>
  </si>
  <si>
    <t>089:46:41.26 W</t>
  </si>
  <si>
    <t>030:26:15.44 N</t>
  </si>
  <si>
    <t>089:46:40.26 W</t>
  </si>
  <si>
    <t>030:26:20.07 N</t>
  </si>
  <si>
    <t>089:46:37.55 W</t>
  </si>
  <si>
    <t>030:26:22.01 N</t>
  </si>
  <si>
    <t>089:46:36.32 W</t>
  </si>
  <si>
    <t>030:26:26.33 N</t>
  </si>
  <si>
    <t>089:46:33.53 W</t>
  </si>
  <si>
    <t>030:26:28.03 N</t>
  </si>
  <si>
    <t>089:46:32.61 W</t>
  </si>
  <si>
    <t>030:26:34.37 N</t>
  </si>
  <si>
    <t>089:46:28.59 W</t>
  </si>
  <si>
    <t>030:26:36.53 N</t>
  </si>
  <si>
    <t>089:46:27.20 W</t>
  </si>
  <si>
    <t>030:26:41.16 N</t>
  </si>
  <si>
    <t>089:46:24.57 W</t>
  </si>
  <si>
    <t>030:26:43.09 N</t>
  </si>
  <si>
    <t>089:46:23.26 W</t>
  </si>
  <si>
    <t>030:26:47.73 N</t>
  </si>
  <si>
    <t>089:46:20.33 W</t>
  </si>
  <si>
    <t>030:26:49.97 N</t>
  </si>
  <si>
    <t>089:46:18.94 W</t>
  </si>
  <si>
    <t>030:26:52.05 N</t>
  </si>
  <si>
    <t>089:46:17.39 W</t>
  </si>
  <si>
    <t>030:27:03.56 N</t>
  </si>
  <si>
    <t>089:46:09.67 W</t>
  </si>
  <si>
    <t>030:27:05.73 N</t>
  </si>
  <si>
    <t>089:46:08.27 W</t>
  </si>
  <si>
    <t>030:27:12.45 N</t>
  </si>
  <si>
    <t>089:46:03.64 W</t>
  </si>
  <si>
    <t>030:27:21.02 N</t>
  </si>
  <si>
    <t>089:45:58.39 W</t>
  </si>
  <si>
    <t>030:27:22.88 N</t>
  </si>
  <si>
    <t>089:45:57.00 W</t>
  </si>
  <si>
    <t>030:27:30.99 N</t>
  </si>
  <si>
    <t>089:45:51.67 W</t>
  </si>
  <si>
    <t>030:27:33.23 N</t>
  </si>
  <si>
    <t>089:45:50.28 W</t>
  </si>
  <si>
    <t>030:27:42.27 N</t>
  </si>
  <si>
    <t>089:45:44.41 W</t>
  </si>
  <si>
    <t>030:27:48.45 N</t>
  </si>
  <si>
    <t>089:45:40.16 W</t>
  </si>
  <si>
    <t>030:27:50.69 N</t>
  </si>
  <si>
    <t>089:45:38.77 W</t>
  </si>
  <si>
    <t>030:27:52.77 N</t>
  </si>
  <si>
    <t>089:45:37.38 W</t>
  </si>
  <si>
    <t>030:27:59.41 N</t>
  </si>
  <si>
    <t>089:45:33.59 W</t>
  </si>
  <si>
    <t>030:28:01.65 N</t>
  </si>
  <si>
    <t>089:45:32.43 W</t>
  </si>
  <si>
    <t>030:28:06.21 N</t>
  </si>
  <si>
    <t>089:45:30.50 W</t>
  </si>
  <si>
    <t>030:28:08.38 N</t>
  </si>
  <si>
    <t>089:45:29.65 W</t>
  </si>
  <si>
    <t>030:28:16.10 N</t>
  </si>
  <si>
    <t>089:45:27.87 W</t>
  </si>
  <si>
    <t>030:28:18.57 N</t>
  </si>
  <si>
    <t>089:45:27.57 W</t>
  </si>
  <si>
    <t>030:28:23.52 N</t>
  </si>
  <si>
    <t>089:45:27.18 W</t>
  </si>
  <si>
    <t>030:28:25.83 N</t>
  </si>
  <si>
    <t>089:45:27.33 W</t>
  </si>
  <si>
    <t>030:28:28.77 N</t>
  </si>
  <si>
    <t>030:28:38.35 N</t>
  </si>
  <si>
    <t>089:45:29.50 W</t>
  </si>
  <si>
    <t>030:28:40.74 N</t>
  </si>
  <si>
    <t>089:45:30.11 W</t>
  </si>
  <si>
    <t>030:28:48.39 N</t>
  </si>
  <si>
    <t>089:45:32.82 W</t>
  </si>
  <si>
    <t>030:28:51.02 N</t>
  </si>
  <si>
    <t>089:45:33.75 W</t>
  </si>
  <si>
    <t>030:28:55.65 N</t>
  </si>
  <si>
    <t>089:45:35.83 W</t>
  </si>
  <si>
    <t>030:28:58.51 N</t>
  </si>
  <si>
    <t>089:45:36.99 W</t>
  </si>
  <si>
    <t>030:29:02.99 N</t>
  </si>
  <si>
    <t>089:45:39.00 W</t>
  </si>
  <si>
    <t>030:29:05.31 N</t>
  </si>
  <si>
    <t>089:45:40.00 W</t>
  </si>
  <si>
    <t>030:29:08.24 N</t>
  </si>
  <si>
    <t>089:45:41.32 W</t>
  </si>
  <si>
    <t>030:29:17.59 N</t>
  </si>
  <si>
    <t>089:45:45.49 W</t>
  </si>
  <si>
    <t>030:29:24.62 N</t>
  </si>
  <si>
    <t>089:45:48.65 W</t>
  </si>
  <si>
    <t>030:29:27.01 N</t>
  </si>
  <si>
    <t>089:45:49.89 W</t>
  </si>
  <si>
    <t>030:29:34.51 N</t>
  </si>
  <si>
    <t>089:45:53.52 W</t>
  </si>
  <si>
    <t>030:29:36.90 N</t>
  </si>
  <si>
    <t>089:45:54.60 W</t>
  </si>
  <si>
    <t>030:29:43.78 N</t>
  </si>
  <si>
    <t>089:45:58.16 W</t>
  </si>
  <si>
    <t>030:29:46.25 N</t>
  </si>
  <si>
    <t>089:45:59.31 W</t>
  </si>
  <si>
    <t>030:29:53.66 N</t>
  </si>
  <si>
    <t>089:46:02.87 W</t>
  </si>
  <si>
    <t>030:29:55.83 N</t>
  </si>
  <si>
    <t>089:46:03.87 W</t>
  </si>
  <si>
    <t>030:29:58.22 N</t>
  </si>
  <si>
    <t>089:46:05.18 W</t>
  </si>
  <si>
    <t>030:30:05.64 N</t>
  </si>
  <si>
    <t>089:46:08.43 W</t>
  </si>
  <si>
    <t>030:30:08.19 N</t>
  </si>
  <si>
    <t>030:30:15.29 N</t>
  </si>
  <si>
    <t>089:46:12.83 W</t>
  </si>
  <si>
    <t>030:30:17.69 N</t>
  </si>
  <si>
    <t>089:46:13.91 W</t>
  </si>
  <si>
    <t>030:30:20.08 N</t>
  </si>
  <si>
    <t>089:46:14.76 W</t>
  </si>
  <si>
    <t>030:30:27.81 N</t>
  </si>
  <si>
    <t>089:46:17.54 W</t>
  </si>
  <si>
    <t>030:30:30.36 N</t>
  </si>
  <si>
    <t>089:46:18.32 W</t>
  </si>
  <si>
    <t>030:30:35.30 N</t>
  </si>
  <si>
    <t>089:46:19.94 W</t>
  </si>
  <si>
    <t>030:30:38.08 N</t>
  </si>
  <si>
    <t>089:46:20.87 W</t>
  </si>
  <si>
    <t>030:30:45.57 N</t>
  </si>
  <si>
    <t>089:46:23.18 W</t>
  </si>
  <si>
    <t>030:30:48.12 N</t>
  </si>
  <si>
    <t>089:46:24.03 W</t>
  </si>
  <si>
    <t>030:30:53.14 N</t>
  </si>
  <si>
    <t>089:46:25.66 W</t>
  </si>
  <si>
    <t>030:30:55.46 N</t>
  </si>
  <si>
    <t>089:46:26.51 W</t>
  </si>
  <si>
    <t>030:31:03.03 N</t>
  </si>
  <si>
    <t>089:46:29.21 W</t>
  </si>
  <si>
    <t>030:31:08.05 N</t>
  </si>
  <si>
    <t>089:46:30.99 W</t>
  </si>
  <si>
    <t>030:31:10.45 N</t>
  </si>
  <si>
    <t>089:46:31.91 W</t>
  </si>
  <si>
    <t>030:31:24.28 N</t>
  </si>
  <si>
    <t>089:46:38.86 W</t>
  </si>
  <si>
    <t>030:31:26.59 N</t>
  </si>
  <si>
    <t>089:46:40.49 W</t>
  </si>
  <si>
    <t>030:31:33.47 N</t>
  </si>
  <si>
    <t>089:46:45.66 W</t>
  </si>
  <si>
    <t>030:31:40.11 N</t>
  </si>
  <si>
    <t>089:46:51.92 W</t>
  </si>
  <si>
    <t>030:31:45.67 N</t>
  </si>
  <si>
    <t>089:46:58.25 W</t>
  </si>
  <si>
    <t>030:31:50.93 N</t>
  </si>
  <si>
    <t>089:47:04.82 W</t>
  </si>
  <si>
    <t>030:31:52.63 N</t>
  </si>
  <si>
    <t>089:47:06.83 W</t>
  </si>
  <si>
    <t>030:31:57.80 N</t>
  </si>
  <si>
    <t>030:31:59.73 N</t>
  </si>
  <si>
    <t>089:47:16.72 W</t>
  </si>
  <si>
    <t>030:32:02.98 N</t>
  </si>
  <si>
    <t>089:47:21.35 W</t>
  </si>
  <si>
    <t>030:32:04.68 N</t>
  </si>
  <si>
    <t>089:47:23.82 W</t>
  </si>
  <si>
    <t>030:32:09.70 N</t>
  </si>
  <si>
    <t>089:47:31.08 W</t>
  </si>
  <si>
    <t>030:32:11.40 N</t>
  </si>
  <si>
    <t>089:47:33.79 W</t>
  </si>
  <si>
    <t>030:32:15.03 N</t>
  </si>
  <si>
    <t>089:47:38.65 W</t>
  </si>
  <si>
    <t>030:32:16.42 N</t>
  </si>
  <si>
    <t>089:47:40.82 W</t>
  </si>
  <si>
    <t>030:32:21.98 N</t>
  </si>
  <si>
    <t>089:47:48.08 W</t>
  </si>
  <si>
    <t>030:32:23.45 N</t>
  </si>
  <si>
    <t>089:47:50.09 W</t>
  </si>
  <si>
    <t>030:32:26.85 N</t>
  </si>
  <si>
    <t>089:47:54.64 W</t>
  </si>
  <si>
    <t>030:32:28.70 N</t>
  </si>
  <si>
    <t>089:47:56.81 W</t>
  </si>
  <si>
    <t>030:32:34.34 N</t>
  </si>
  <si>
    <t>089:48:04.22 W</t>
  </si>
  <si>
    <t>030:32:39.44 N</t>
  </si>
  <si>
    <t>089:48:10.25 W</t>
  </si>
  <si>
    <t>030:32:41.37 N</t>
  </si>
  <si>
    <t>089:48:12.64 W</t>
  </si>
  <si>
    <t>030:32:45.23 N</t>
  </si>
  <si>
    <t>089:48:17.20 W</t>
  </si>
  <si>
    <t>030:32:47.24 N</t>
  </si>
  <si>
    <t>089:48:19.75 W</t>
  </si>
  <si>
    <t>030:32:50.79 N</t>
  </si>
  <si>
    <t>089:48:24.00 W</t>
  </si>
  <si>
    <t>030:32:52.49 N</t>
  </si>
  <si>
    <t>089:48:25.85 W</t>
  </si>
  <si>
    <t>030:32:58.29 N</t>
  </si>
  <si>
    <t>089:48:32.81 W</t>
  </si>
  <si>
    <t>030:33:04.00 N</t>
  </si>
  <si>
    <t>089:48:39.29 W</t>
  </si>
  <si>
    <t>030:33:05.70 N</t>
  </si>
  <si>
    <t>089:48:41.53 W</t>
  </si>
  <si>
    <t>030:33:11.42 N</t>
  </si>
  <si>
    <t>089:48:47.87 W</t>
  </si>
  <si>
    <t>030:33:13.27 N</t>
  </si>
  <si>
    <t>089:48:50.03 W</t>
  </si>
  <si>
    <t>030:33:17.06 N</t>
  </si>
  <si>
    <t>089:48:54.36 W</t>
  </si>
  <si>
    <t>030:33:18.76 N</t>
  </si>
  <si>
    <t>089:48:56.37 W</t>
  </si>
  <si>
    <t>030:33:23.93 N</t>
  </si>
  <si>
    <t>089:49:02.24 W</t>
  </si>
  <si>
    <t>030:33:26.33 N</t>
  </si>
  <si>
    <t>089:49:05.02 W</t>
  </si>
  <si>
    <t>030:33:31.97 N</t>
  </si>
  <si>
    <t>089:49:11.51 W</t>
  </si>
  <si>
    <t>030:33:33.97 N</t>
  </si>
  <si>
    <t>089:49:13.82 W</t>
  </si>
  <si>
    <t>030:33:37.76 N</t>
  </si>
  <si>
    <t>089:49:18.69 W</t>
  </si>
  <si>
    <t>030:33:39.38 N</t>
  </si>
  <si>
    <t>089:49:20.70 W</t>
  </si>
  <si>
    <t>030:33:45.18 N</t>
  </si>
  <si>
    <t>089:49:27.19 W</t>
  </si>
  <si>
    <t>030:33:46.95 N</t>
  </si>
  <si>
    <t>089:49:29.58 W</t>
  </si>
  <si>
    <t>030:33:52.13 N</t>
  </si>
  <si>
    <t>089:49:35.68 W</t>
  </si>
  <si>
    <t>030:33:57.84 N</t>
  </si>
  <si>
    <t>089:49:42.41 W</t>
  </si>
  <si>
    <t>030:34:03.33 N</t>
  </si>
  <si>
    <t>089:49:48.89 W</t>
  </si>
  <si>
    <t>030:34:05.03 N</t>
  </si>
  <si>
    <t>089:49:50.90 W</t>
  </si>
  <si>
    <t>030:34:11.05 N</t>
  </si>
  <si>
    <t>089:49:57.62 W</t>
  </si>
  <si>
    <t>030:34:12.83 N</t>
  </si>
  <si>
    <t>089:49:59.94 W</t>
  </si>
  <si>
    <t>030:34:18.24 N</t>
  </si>
  <si>
    <t>089:50:06.35 W</t>
  </si>
  <si>
    <t>030:34:19.94 N</t>
  </si>
  <si>
    <t>089:50:08.13 W</t>
  </si>
  <si>
    <t>030:34:29.13 N</t>
  </si>
  <si>
    <t>089:50:19.18 W</t>
  </si>
  <si>
    <t>030:34:34.77 N</t>
  </si>
  <si>
    <t>089:50:26.13 W</t>
  </si>
  <si>
    <t>030:34:36.39 N</t>
  </si>
  <si>
    <t>089:50:28.06 W</t>
  </si>
  <si>
    <t>030:34:43.34 N</t>
  </si>
  <si>
    <t>089:50:37.02 W</t>
  </si>
  <si>
    <t>030:34:49.14 N</t>
  </si>
  <si>
    <t>089:50:43.74 W</t>
  </si>
  <si>
    <t>030:34:51.14 N</t>
  </si>
  <si>
    <t>089:50:46.06 W</t>
  </si>
  <si>
    <t>030:34:54.39 N</t>
  </si>
  <si>
    <t>089:50:50.00 W</t>
  </si>
  <si>
    <t>030:34:56.32 N</t>
  </si>
  <si>
    <t>089:50:52.31 W</t>
  </si>
  <si>
    <t>030:35:02.35 N</t>
  </si>
  <si>
    <t>089:50:58.73 W</t>
  </si>
  <si>
    <t>030:35:07.91 N</t>
  </si>
  <si>
    <t>089:51:04.91 W</t>
  </si>
  <si>
    <t>030:35:09.92 N</t>
  </si>
  <si>
    <t>089:51:07.07 W</t>
  </si>
  <si>
    <t>030:35:16.10 N</t>
  </si>
  <si>
    <t>089:51:13.56 W</t>
  </si>
  <si>
    <t>030:35:17.95 N</t>
  </si>
  <si>
    <t>089:51:15.72 W</t>
  </si>
  <si>
    <t>030:35:23.59 N</t>
  </si>
  <si>
    <t>089:51:21.90 W</t>
  </si>
  <si>
    <t>030:35:25.29 N</t>
  </si>
  <si>
    <t>089:51:23.68 W</t>
  </si>
  <si>
    <t>030:35:31.16 N</t>
  </si>
  <si>
    <t>089:51:30.40 W</t>
  </si>
  <si>
    <t>030:35:37.03 N</t>
  </si>
  <si>
    <t>089:51:37.12 W</t>
  </si>
  <si>
    <t>030:35:38.73 N</t>
  </si>
  <si>
    <t>089:51:38.89 W</t>
  </si>
  <si>
    <t>030:35:44.06 N</t>
  </si>
  <si>
    <t>089:51:45.00 W</t>
  </si>
  <si>
    <t>030:35:45.76 N</t>
  </si>
  <si>
    <t>089:51:47.01 W</t>
  </si>
  <si>
    <t>030:35:51.47 N</t>
  </si>
  <si>
    <t>089:51:53.34 W</t>
  </si>
  <si>
    <t>030:35:53.64 N</t>
  </si>
  <si>
    <t>089:51:55.89 W</t>
  </si>
  <si>
    <t>030:35:59.12 N</t>
  </si>
  <si>
    <t>089:52:01.99 W</t>
  </si>
  <si>
    <t>030:36:01.13 N</t>
  </si>
  <si>
    <t>089:52:04.23 W</t>
  </si>
  <si>
    <t>030:36:05.38 N</t>
  </si>
  <si>
    <t>089:52:08.56 W</t>
  </si>
  <si>
    <t>030:36:07.08 N</t>
  </si>
  <si>
    <t>089:52:10.41 W</t>
  </si>
  <si>
    <t>030:36:08.70 N</t>
  </si>
  <si>
    <t>089:52:12.19 W</t>
  </si>
  <si>
    <t>030:36:14.57 N</t>
  </si>
  <si>
    <t>089:52:17.83 W</t>
  </si>
  <si>
    <t>030:36:21.29 N</t>
  </si>
  <si>
    <t>089:52:23.78 W</t>
  </si>
  <si>
    <t>030:36:23.38 N</t>
  </si>
  <si>
    <t>089:52:25.17 W</t>
  </si>
  <si>
    <t>030:36:27.63 N</t>
  </si>
  <si>
    <t>089:52:28.10 W</t>
  </si>
  <si>
    <t>030:36:30.18 N</t>
  </si>
  <si>
    <t>089:52:29.49 W</t>
  </si>
  <si>
    <t>030:36:37.36 N</t>
  </si>
  <si>
    <t>089:52:32.89 W</t>
  </si>
  <si>
    <t>030:36:39.68 N</t>
  </si>
  <si>
    <t>089:52:33.66 W</t>
  </si>
  <si>
    <t>030:36:46.94 N</t>
  </si>
  <si>
    <t>089:52:35.44 W</t>
  </si>
  <si>
    <t>030:36:49.57 N</t>
  </si>
  <si>
    <t>089:52:35.83 W</t>
  </si>
  <si>
    <t>030:36:57.29 N</t>
  </si>
  <si>
    <t>089:52:36.06 W</t>
  </si>
  <si>
    <t>030:37:04.71 N</t>
  </si>
  <si>
    <t>089:52:35.05 W</t>
  </si>
  <si>
    <t>030:37:06.71 N</t>
  </si>
  <si>
    <t>089:52:34.44 W</t>
  </si>
  <si>
    <t>030:37:13.67 N</t>
  </si>
  <si>
    <t>089:52:32.12 W</t>
  </si>
  <si>
    <t>030:37:16.14 N</t>
  </si>
  <si>
    <t>089:52:30.81 W</t>
  </si>
  <si>
    <t>030:37:21.70 N</t>
  </si>
  <si>
    <t>089:52:27.33 W</t>
  </si>
  <si>
    <t>030:37:23.63 N</t>
  </si>
  <si>
    <t>089:52:25.94 W</t>
  </si>
  <si>
    <t>030:37:28.81 N</t>
  </si>
  <si>
    <t>089:52:20.99 W</t>
  </si>
  <si>
    <t>030:37:30.27 N</t>
  </si>
  <si>
    <t>089:52:19.14 W</t>
  </si>
  <si>
    <t>030:37:34.83 N</t>
  </si>
  <si>
    <t>089:52:12.88 W</t>
  </si>
  <si>
    <t>030:37:42.94 N</t>
  </si>
  <si>
    <t>089:51:52.95 W</t>
  </si>
  <si>
    <t>030:37:43.41 N</t>
  </si>
  <si>
    <t>089:51:50.56 W</t>
  </si>
  <si>
    <t>030:37:44.10 N</t>
  </si>
  <si>
    <t>089:51:45.62 W</t>
  </si>
  <si>
    <t>030:37:44.26 N</t>
  </si>
  <si>
    <t>089:51:44.22 W</t>
  </si>
  <si>
    <t>089:51:43.07 W</t>
  </si>
  <si>
    <t>030:37:44.02 N</t>
  </si>
  <si>
    <t>089:51:33.33 W</t>
  </si>
  <si>
    <t>030:37:43.56 N</t>
  </si>
  <si>
    <t>089:51:29.24 W</t>
  </si>
  <si>
    <t>030:37:43.02 N</t>
  </si>
  <si>
    <t>089:51:26.23 W</t>
  </si>
  <si>
    <t>030:37:41.24 N</t>
  </si>
  <si>
    <t>089:51:19.74 W</t>
  </si>
  <si>
    <t>030:37:40.86 N</t>
  </si>
  <si>
    <t>089:51:18.27 W</t>
  </si>
  <si>
    <t>030:37:40.32 N</t>
  </si>
  <si>
    <t>089:51:17.34 W</t>
  </si>
  <si>
    <t>030:37:39.85 N</t>
  </si>
  <si>
    <t>089:51:15.95 W</t>
  </si>
  <si>
    <t>030:37:36.53 N</t>
  </si>
  <si>
    <t>089:51:08.85 W</t>
  </si>
  <si>
    <t>030:37:35.14 N</t>
  </si>
  <si>
    <t>089:51:06.30 W</t>
  </si>
  <si>
    <t>030:37:32.59 N</t>
  </si>
  <si>
    <t>089:51:01.97 W</t>
  </si>
  <si>
    <t>030:37:31.67 N</t>
  </si>
  <si>
    <t>089:51:00.73 W</t>
  </si>
  <si>
    <t>030:37:30.97 N</t>
  </si>
  <si>
    <t>089:50:59.65 W</t>
  </si>
  <si>
    <t>030:37:27.49 N</t>
  </si>
  <si>
    <t>089:50:55.17 W</t>
  </si>
  <si>
    <t>030:37:25.49 N</t>
  </si>
  <si>
    <t>089:50:53.09 W</t>
  </si>
  <si>
    <t>030:37:20.39 N</t>
  </si>
  <si>
    <t>089:50:48.07 W</t>
  </si>
  <si>
    <t>030:37:18.61 N</t>
  </si>
  <si>
    <t>089:50:46.52 W</t>
  </si>
  <si>
    <t>030:37:12.28 N</t>
  </si>
  <si>
    <t>089:50:42.04 W</t>
  </si>
  <si>
    <t>030:37:05.71 N</t>
  </si>
  <si>
    <t>089:50:38.80 W</t>
  </si>
  <si>
    <t>030:37:03.24 N</t>
  </si>
  <si>
    <t>089:50:37.79 W</t>
  </si>
  <si>
    <t>030:36:55.98 N</t>
  </si>
  <si>
    <t>089:50:35.78 W</t>
  </si>
  <si>
    <t>030:36:48.41 N</t>
  </si>
  <si>
    <t>089:50:35.01 W</t>
  </si>
  <si>
    <t>030:36:45.55 N</t>
  </si>
  <si>
    <t>089:50:34.86 W</t>
  </si>
  <si>
    <t>030:36:40.37 N</t>
  </si>
  <si>
    <t>030:36:38.21 N</t>
  </si>
  <si>
    <t>089:50:35.24 W</t>
  </si>
  <si>
    <t>030:36:35.51 N</t>
  </si>
  <si>
    <t>089:50:35.40 W</t>
  </si>
  <si>
    <t>030:36:30.49 N</t>
  </si>
  <si>
    <t>089:50:36.17 W</t>
  </si>
  <si>
    <t>030:36:28.01 N</t>
  </si>
  <si>
    <t>089:50:36.79 W</t>
  </si>
  <si>
    <t>030:36:20.60 N</t>
  </si>
  <si>
    <t>089:50:37.95 W</t>
  </si>
  <si>
    <t>030:36:18.59 N</t>
  </si>
  <si>
    <t>089:50:38.33 W</t>
  </si>
  <si>
    <t>030:36:10.71 N</t>
  </si>
  <si>
    <t>089:50:39.72 W</t>
  </si>
  <si>
    <t>030:36:08.39 N</t>
  </si>
  <si>
    <t>089:50:40.26 W</t>
  </si>
  <si>
    <t>030:36:00.98 N</t>
  </si>
  <si>
    <t>089:50:41.35 W</t>
  </si>
  <si>
    <t>030:35:58.35 N</t>
  </si>
  <si>
    <t>089:50:41.65 W</t>
  </si>
  <si>
    <t>030:35:53.10 N</t>
  </si>
  <si>
    <t>089:50:42.12 W</t>
  </si>
  <si>
    <t>030:35:50.93 N</t>
  </si>
  <si>
    <t>089:50:42.35 W</t>
  </si>
  <si>
    <t>030:35:48.23 N</t>
  </si>
  <si>
    <t>089:50:42.58 W</t>
  </si>
  <si>
    <t>030:35:43.29 N</t>
  </si>
  <si>
    <t>089:50:42.81 W</t>
  </si>
  <si>
    <t>030:35:40.74 N</t>
  </si>
  <si>
    <t>089:50:42.89 W</t>
  </si>
  <si>
    <t>030:35:33.24 N</t>
  </si>
  <si>
    <t>089:50:43.35 W</t>
  </si>
  <si>
    <t>030:35:30.85 N</t>
  </si>
  <si>
    <t>030:35:22.82 N</t>
  </si>
  <si>
    <t>089:50:43.89 W</t>
  </si>
  <si>
    <t>030:35:20.27 N</t>
  </si>
  <si>
    <t>089:50:44.13 W</t>
  </si>
  <si>
    <t>030:35:17.56 N</t>
  </si>
  <si>
    <t>089:50:44.28 W</t>
  </si>
  <si>
    <t>030:35:10.22 N</t>
  </si>
  <si>
    <t>089:50:45.13 W</t>
  </si>
  <si>
    <t>030:35:02.50 N</t>
  </si>
  <si>
    <t>089:50:45.90 W</t>
  </si>
  <si>
    <t>030:34:59.95 N</t>
  </si>
  <si>
    <t>089:50:46.29 W</t>
  </si>
  <si>
    <t>030:34:52.46 N</t>
  </si>
  <si>
    <t>089:50:47.29 W</t>
  </si>
  <si>
    <t>030:34:49.91 N</t>
  </si>
  <si>
    <t>089:50:47.68 W</t>
  </si>
  <si>
    <t>030:34:42.26 N</t>
  </si>
  <si>
    <t>089:50:48.45 W</t>
  </si>
  <si>
    <t>030:34:40.02 N</t>
  </si>
  <si>
    <t>089:50:48.61 W</t>
  </si>
  <si>
    <t>030:34:27.51 N</t>
  </si>
  <si>
    <t>089:50:49.69 W</t>
  </si>
  <si>
    <t>030:34:22.10 N</t>
  </si>
  <si>
    <t>089:50:49.61 W</t>
  </si>
  <si>
    <t>030:34:19.63 N</t>
  </si>
  <si>
    <t>030:34:17.39 N</t>
  </si>
  <si>
    <t>089:50:49.84 W</t>
  </si>
  <si>
    <t>030:34:11.83 N</t>
  </si>
  <si>
    <t>089:50:49.77 W</t>
  </si>
  <si>
    <t>030:34:09.04 N</t>
  </si>
  <si>
    <t>030:33:59.31 N</t>
  </si>
  <si>
    <t>030:33:51.97 N</t>
  </si>
  <si>
    <t>089:50:50.07 W</t>
  </si>
  <si>
    <t>030:33:49.11 N</t>
  </si>
  <si>
    <t>030:33:42.24 N</t>
  </si>
  <si>
    <t>089:50:50.23 W</t>
  </si>
  <si>
    <t>089:50:50.38 W</t>
  </si>
  <si>
    <t>030:33:31.66 N</t>
  </si>
  <si>
    <t>089:50:50.54 W</t>
  </si>
  <si>
    <t>030:33:29.49 N</t>
  </si>
  <si>
    <t>089:50:50.77 W</t>
  </si>
  <si>
    <t>030:33:22.16 N</t>
  </si>
  <si>
    <t>089:50:50.85 W</t>
  </si>
  <si>
    <t>030:33:19.61 N</t>
  </si>
  <si>
    <t>089:50:50.92 W</t>
  </si>
  <si>
    <t>030:33:13.89 N</t>
  </si>
  <si>
    <t>089:50:51.00 W</t>
  </si>
  <si>
    <t>030:33:11.03 N</t>
  </si>
  <si>
    <t>089:50:51.23 W</t>
  </si>
  <si>
    <t>030:33:08.56 N</t>
  </si>
  <si>
    <t>089:50:51.31 W</t>
  </si>
  <si>
    <t>030:33:00.83 N</t>
  </si>
  <si>
    <t>089:50:51.85 W</t>
  </si>
  <si>
    <t>030:32:58.36 N</t>
  </si>
  <si>
    <t>089:50:51.70 W</t>
  </si>
  <si>
    <t>030:32:56.20 N</t>
  </si>
  <si>
    <t>089:50:51.93 W</t>
  </si>
  <si>
    <t>030:32:49.33 N</t>
  </si>
  <si>
    <t>030:32:46.31 N</t>
  </si>
  <si>
    <t>089:50:52.47 W</t>
  </si>
  <si>
    <t>030:32:43.53 N</t>
  </si>
  <si>
    <t>030:32:35.73 N</t>
  </si>
  <si>
    <t>089:50:52.78 W</t>
  </si>
  <si>
    <t>030:32:33.49 N</t>
  </si>
  <si>
    <t>089:50:52.86 W</t>
  </si>
  <si>
    <t>030:32:31.17 N</t>
  </si>
  <si>
    <t>030:32:23.60 N</t>
  </si>
  <si>
    <t>089:50:53.63 W</t>
  </si>
  <si>
    <t>030:32:20.98 N</t>
  </si>
  <si>
    <t>089:50:53.78 W</t>
  </si>
  <si>
    <t>030:32:13.95 N</t>
  </si>
  <si>
    <t>089:50:54.63 W</t>
  </si>
  <si>
    <t>089:50:55.02 W</t>
  </si>
  <si>
    <t>030:32:06.14 N</t>
  </si>
  <si>
    <t>089:50:55.95 W</t>
  </si>
  <si>
    <t>030:32:03.13 N</t>
  </si>
  <si>
    <t>089:50:56.79 W</t>
  </si>
  <si>
    <t>030:31:55.95 N</t>
  </si>
  <si>
    <t>089:50:59.58 W</t>
  </si>
  <si>
    <t>030:31:48.99 N</t>
  </si>
  <si>
    <t>089:51:03.36 W</t>
  </si>
  <si>
    <t>030:31:42.04 N</t>
  </si>
  <si>
    <t>089:51:08.46 W</t>
  </si>
  <si>
    <t>030:31:35.71 N</t>
  </si>
  <si>
    <t>089:51:14.56 W</t>
  </si>
  <si>
    <t>030:31:34.01 N</t>
  </si>
  <si>
    <t>089:51:16.34 W</t>
  </si>
  <si>
    <t>030:31:30.38 N</t>
  </si>
  <si>
    <t>089:51:21.20 W</t>
  </si>
  <si>
    <t>030:31:29.06 N</t>
  </si>
  <si>
    <t>089:51:23.29 W</t>
  </si>
  <si>
    <t>030:31:24.82 N</t>
  </si>
  <si>
    <t>089:51:31.17 W</t>
  </si>
  <si>
    <t>030:31:23.58 N</t>
  </si>
  <si>
    <t>089:51:33.95 W</t>
  </si>
  <si>
    <t>030:31:20.80 N</t>
  </si>
  <si>
    <t>089:51:42.29 W</t>
  </si>
  <si>
    <t>030:31:19.95 N</t>
  </si>
  <si>
    <t>089:51:45.38 W</t>
  </si>
  <si>
    <t>030:31:18.40 N</t>
  </si>
  <si>
    <t>089:51:53.96 W</t>
  </si>
  <si>
    <t>030:31:18.25 N</t>
  </si>
  <si>
    <t>089:51:57.05 W</t>
  </si>
  <si>
    <t>030:31:18.02 N</t>
  </si>
  <si>
    <t>089:52:06.01 W</t>
  </si>
  <si>
    <t>089:52:08.48 W</t>
  </si>
  <si>
    <t>030:31:19.64 N</t>
  </si>
  <si>
    <t>089:52:20.22 W</t>
  </si>
  <si>
    <t>030:31:20.95 N</t>
  </si>
  <si>
    <t>089:52:25.55 W</t>
  </si>
  <si>
    <t>030:31:26.75 N</t>
  </si>
  <si>
    <t>089:52:39.15 W</t>
  </si>
  <si>
    <t>030:31:31.00 N</t>
  </si>
  <si>
    <t>089:52:46.33 W</t>
  </si>
  <si>
    <t>030:31:32.70 N</t>
  </si>
  <si>
    <t>089:52:48.65 W</t>
  </si>
  <si>
    <t>030:31:37.56 N</t>
  </si>
  <si>
    <t>089:52:54.83 W</t>
  </si>
  <si>
    <t>030:31:39.57 N</t>
  </si>
  <si>
    <t>089:52:56.99 W</t>
  </si>
  <si>
    <t>030:31:43.20 N</t>
  </si>
  <si>
    <t>089:53:00.47 W</t>
  </si>
  <si>
    <t>030:31:45.44 N</t>
  </si>
  <si>
    <t>089:53:02.32 W</t>
  </si>
  <si>
    <t>030:31:47.53 N</t>
  </si>
  <si>
    <t>089:53:03.71 W</t>
  </si>
  <si>
    <t>030:31:53.78 N</t>
  </si>
  <si>
    <t>089:53:07.88 W</t>
  </si>
  <si>
    <t>030:31:55.87 N</t>
  </si>
  <si>
    <t>089:53:08.97 W</t>
  </si>
  <si>
    <t>030:31:58.19 N</t>
  </si>
  <si>
    <t>089:53:10.05 W</t>
  </si>
  <si>
    <t>030:32:05.29 N</t>
  </si>
  <si>
    <t>089:53:12.67 W</t>
  </si>
  <si>
    <t>030:32:07.61 N</t>
  </si>
  <si>
    <t>089:53:13.45 W</t>
  </si>
  <si>
    <t>089:53:14.37 W</t>
  </si>
  <si>
    <t>030:32:16.49 N</t>
  </si>
  <si>
    <t>089:53:14.60 W</t>
  </si>
  <si>
    <t>030:32:21.75 N</t>
  </si>
  <si>
    <t>030:32:24.07 N</t>
  </si>
  <si>
    <t>089:53:14.22 W</t>
  </si>
  <si>
    <t>030:32:26.15 N</t>
  </si>
  <si>
    <t>089:53:13.83 W</t>
  </si>
  <si>
    <t>030:32:33.18 N</t>
  </si>
  <si>
    <t>089:53:12.06 W</t>
  </si>
  <si>
    <t>030:32:35.34 N</t>
  </si>
  <si>
    <t>089:53:11.21 W</t>
  </si>
  <si>
    <t>030:32:44.38 N</t>
  </si>
  <si>
    <t>089:53:07.65 W</t>
  </si>
  <si>
    <t>030:32:46.70 N</t>
  </si>
  <si>
    <t>089:53:06.26 W</t>
  </si>
  <si>
    <t>030:32:52.57 N</t>
  </si>
  <si>
    <t>089:53:03.56 W</t>
  </si>
  <si>
    <t>030:32:55.04 N</t>
  </si>
  <si>
    <t>089:53:02.17 W</t>
  </si>
  <si>
    <t>030:33:01.38 N</t>
  </si>
  <si>
    <t>089:52:59.39 W</t>
  </si>
  <si>
    <t>030:33:03.15 N</t>
  </si>
  <si>
    <t>089:52:58.38 W</t>
  </si>
  <si>
    <t>030:33:07.40 N</t>
  </si>
  <si>
    <t>089:52:56.22 W</t>
  </si>
  <si>
    <t>030:33:09.41 N</t>
  </si>
  <si>
    <t>089:52:55.22 W</t>
  </si>
  <si>
    <t>030:33:15.67 N</t>
  </si>
  <si>
    <t>089:52:52.28 W</t>
  </si>
  <si>
    <t>030:33:18.14 N</t>
  </si>
  <si>
    <t>089:52:51.35 W</t>
  </si>
  <si>
    <t>030:33:22.93 N</t>
  </si>
  <si>
    <t>089:52:49.42 W</t>
  </si>
  <si>
    <t>030:33:25.32 N</t>
  </si>
  <si>
    <t>089:52:48.73 W</t>
  </si>
  <si>
    <t>030:33:31.81 N</t>
  </si>
  <si>
    <t>089:52:46.87 W</t>
  </si>
  <si>
    <t>030:33:34.36 N</t>
  </si>
  <si>
    <t>089:52:46.10 W</t>
  </si>
  <si>
    <t>030:33:39.23 N</t>
  </si>
  <si>
    <t>089:52:45.17 W</t>
  </si>
  <si>
    <t>030:33:41.39 N</t>
  </si>
  <si>
    <t>089:52:44.71 W</t>
  </si>
  <si>
    <t>030:33:48.65 N</t>
  </si>
  <si>
    <t>089:52:43.55 W</t>
  </si>
  <si>
    <t>030:33:50.97 N</t>
  </si>
  <si>
    <t>089:52:43.16 W</t>
  </si>
  <si>
    <t>030:33:57.61 N</t>
  </si>
  <si>
    <t>089:52:42.55 W</t>
  </si>
  <si>
    <t>030:34:00.01 N</t>
  </si>
  <si>
    <t>089:52:42.24 W</t>
  </si>
  <si>
    <t>030:34:04.80 N</t>
  </si>
  <si>
    <t>089:52:42.01 W</t>
  </si>
  <si>
    <t>030:34:07.04 N</t>
  </si>
  <si>
    <t>089:52:41.77 W</t>
  </si>
  <si>
    <t>030:34:14.76 N</t>
  </si>
  <si>
    <t>089:52:41.39 W</t>
  </si>
  <si>
    <t>030:34:17.00 N</t>
  </si>
  <si>
    <t>089:52:41.23 W</t>
  </si>
  <si>
    <t>030:34:21.64 N</t>
  </si>
  <si>
    <t>089:52:41.00 W</t>
  </si>
  <si>
    <t>030:34:24.11 N</t>
  </si>
  <si>
    <t>030:34:31.45 N</t>
  </si>
  <si>
    <t>089:52:40.69 W</t>
  </si>
  <si>
    <t>030:34:38.71 N</t>
  </si>
  <si>
    <t>089:52:40.62 W</t>
  </si>
  <si>
    <t>030:34:43.65 N</t>
  </si>
  <si>
    <t>089:52:40.31 W</t>
  </si>
  <si>
    <t>030:34:50.45 N</t>
  </si>
  <si>
    <t>089:52:40.07 W</t>
  </si>
  <si>
    <t>030:34:52.23 N</t>
  </si>
  <si>
    <t>030:34:54.62 N</t>
  </si>
  <si>
    <t>089:52:40.00 W</t>
  </si>
  <si>
    <t>030:35:07.06 N</t>
  </si>
  <si>
    <t>089:52:39.53 W</t>
  </si>
  <si>
    <t>030:35:10.53 N</t>
  </si>
  <si>
    <t>030:35:19.26 N</t>
  </si>
  <si>
    <t>089:52:38.84 W</t>
  </si>
  <si>
    <t>030:35:21.58 N</t>
  </si>
  <si>
    <t>089:52:38.76 W</t>
  </si>
  <si>
    <t>089:52:38.14 W</t>
  </si>
  <si>
    <t>030:35:33.63 N</t>
  </si>
  <si>
    <t>089:52:37.99 W</t>
  </si>
  <si>
    <t>030:35:37.72 N</t>
  </si>
  <si>
    <t>089:52:37.76 W</t>
  </si>
  <si>
    <t>030:35:40.20 N</t>
  </si>
  <si>
    <t>030:35:45.22 N</t>
  </si>
  <si>
    <t>089:52:37.45 W</t>
  </si>
  <si>
    <t>030:35:47.38 N</t>
  </si>
  <si>
    <t>030:35:54.33 N</t>
  </si>
  <si>
    <t>089:52:36.98 W</t>
  </si>
  <si>
    <t>089:52:36.44 W</t>
  </si>
  <si>
    <t>030:36:03.45 N</t>
  </si>
  <si>
    <t>089:52:36.21 W</t>
  </si>
  <si>
    <t>030:36:11.02 N</t>
  </si>
  <si>
    <t>089:52:35.67 W</t>
  </si>
  <si>
    <t>030:36:17.43 N</t>
  </si>
  <si>
    <t>030:36:19.90 N</t>
  </si>
  <si>
    <t>030:36:24.54 N</t>
  </si>
  <si>
    <t>030:36:26.78 N</t>
  </si>
  <si>
    <t>030:36:33.88 N</t>
  </si>
  <si>
    <t>030:36:36.36 N</t>
  </si>
  <si>
    <t>030:36:43.31 N</t>
  </si>
  <si>
    <t>089:52:35.29 W</t>
  </si>
  <si>
    <t>030:36:45.70 N</t>
  </si>
  <si>
    <t>030:36:50.57 N</t>
  </si>
  <si>
    <t>089:52:34.82 W</t>
  </si>
  <si>
    <t>030:36:52.89 N</t>
  </si>
  <si>
    <t>030:36:55.13 N</t>
  </si>
  <si>
    <t>089:52:34.67 W</t>
  </si>
  <si>
    <t>030:37:01.77 N</t>
  </si>
  <si>
    <t>089:52:33.89 W</t>
  </si>
  <si>
    <t>030:37:04.01 N</t>
  </si>
  <si>
    <t>030:37:08.72 N</t>
  </si>
  <si>
    <t>030:37:11.19 N</t>
  </si>
  <si>
    <t>089:52:32.50 W</t>
  </si>
  <si>
    <t>030:37:15.75 N</t>
  </si>
  <si>
    <t>030:37:18.07 N</t>
  </si>
  <si>
    <t>089:52:31.65 W</t>
  </si>
  <si>
    <t>030:37:20.54 N</t>
  </si>
  <si>
    <t>089:52:31.35 W</t>
  </si>
  <si>
    <t>030:37:22.78 N</t>
  </si>
  <si>
    <t>089:52:31.11 W</t>
  </si>
  <si>
    <t>030:37:29.81 N</t>
  </si>
  <si>
    <t>089:52:30.19 W</t>
  </si>
  <si>
    <t>030:37:32.13 N</t>
  </si>
  <si>
    <t>089:52:29.88 W</t>
  </si>
  <si>
    <t>030:37:34.52 N</t>
  </si>
  <si>
    <t>089:52:29.72 W</t>
  </si>
  <si>
    <t>030:37:41.01 N</t>
  </si>
  <si>
    <t>089:52:29.03 W</t>
  </si>
  <si>
    <t>030:37:43.64 N</t>
  </si>
  <si>
    <t>089:52:28.87 W</t>
  </si>
  <si>
    <t>030:37:46.26 N</t>
  </si>
  <si>
    <t>089:52:28.49 W</t>
  </si>
  <si>
    <t>030:37:50.90 N</t>
  </si>
  <si>
    <t>030:37:52.91 N</t>
  </si>
  <si>
    <t>089:52:27.72 W</t>
  </si>
  <si>
    <t>030:37:54.30 N</t>
  </si>
  <si>
    <t>089:52:27.56 W</t>
  </si>
  <si>
    <t>030:37:59.78 N</t>
  </si>
  <si>
    <t>089:52:26.71 W</t>
  </si>
  <si>
    <t>030:38:01.95 N</t>
  </si>
  <si>
    <t>089:52:26.32 W</t>
  </si>
  <si>
    <t>030:38:07.35 N</t>
  </si>
  <si>
    <t>030:38:08.51 N</t>
  </si>
  <si>
    <t>089:52:24.93 W</t>
  </si>
  <si>
    <t>030:38:15.23 N</t>
  </si>
  <si>
    <t>089:52:23.39 W</t>
  </si>
  <si>
    <t>030:38:17.55 N</t>
  </si>
  <si>
    <t>089:52:22.62 W</t>
  </si>
  <si>
    <t>030:38:21.72 N</t>
  </si>
  <si>
    <t>089:52:21.69 W</t>
  </si>
  <si>
    <t>030:38:22.88 N</t>
  </si>
  <si>
    <t>089:52:21.46 W</t>
  </si>
  <si>
    <t>030:38:23.65 N</t>
  </si>
  <si>
    <t>089:52:21.30 W</t>
  </si>
  <si>
    <t>030:38:24.81 N</t>
  </si>
  <si>
    <t>089:52:20.84 W</t>
  </si>
  <si>
    <t>030:38:25.97 N</t>
  </si>
  <si>
    <t>089:52:20.53 W</t>
  </si>
  <si>
    <t>030:38:27.13 N</t>
  </si>
  <si>
    <t>030:38:33.69 N</t>
  </si>
  <si>
    <t>089:52:18.21 W</t>
  </si>
  <si>
    <t>030:38:34.70 N</t>
  </si>
  <si>
    <t>030:38:35.70 N</t>
  </si>
  <si>
    <t>089:52:17.44 W</t>
  </si>
  <si>
    <t>030:38:36.48 N</t>
  </si>
  <si>
    <t>089:52:17.29 W</t>
  </si>
  <si>
    <t>030:38:40.96 N</t>
  </si>
  <si>
    <t>089:52:15.90 W</t>
  </si>
  <si>
    <t>030:38:41.96 N</t>
  </si>
  <si>
    <t>089:52:15.51 W</t>
  </si>
  <si>
    <t>030:38:51.00 N</t>
  </si>
  <si>
    <t>089:52:13.12 W</t>
  </si>
  <si>
    <t>030:38:53.08 N</t>
  </si>
  <si>
    <t>089:52:12.73 W</t>
  </si>
  <si>
    <t>030:38:59.42 N</t>
  </si>
  <si>
    <t>089:52:11.57 W</t>
  </si>
  <si>
    <t>030:39:00.50 N</t>
  </si>
  <si>
    <t>089:52:11.34 W</t>
  </si>
  <si>
    <t>030:39:01.58 N</t>
  </si>
  <si>
    <t>089:52:11.03 W</t>
  </si>
  <si>
    <t>030:39:02.59 N</t>
  </si>
  <si>
    <t>030:39:09.69 N</t>
  </si>
  <si>
    <t>089:52:10.33 W</t>
  </si>
  <si>
    <t>030:39:12.09 N</t>
  </si>
  <si>
    <t>030:39:17.57 N</t>
  </si>
  <si>
    <t>030:39:18.58 N</t>
  </si>
  <si>
    <t>030:39:20.51 N</t>
  </si>
  <si>
    <t>030:39:27.92 N</t>
  </si>
  <si>
    <t>089:52:10.64 W</t>
  </si>
  <si>
    <t>030:39:29.16 N</t>
  </si>
  <si>
    <t>089:52:10.72 W</t>
  </si>
  <si>
    <t>030:39:30.32 N</t>
  </si>
  <si>
    <t>030:39:31.17 N</t>
  </si>
  <si>
    <t>030:39:36.03 N</t>
  </si>
  <si>
    <t>089:52:10.95 W</t>
  </si>
  <si>
    <t>030:39:37.19 N</t>
  </si>
  <si>
    <t>089:52:10.80 W</t>
  </si>
  <si>
    <t>030:39:38.51 N</t>
  </si>
  <si>
    <t>030:39:39.66 N</t>
  </si>
  <si>
    <t>030:39:43.76 N</t>
  </si>
  <si>
    <t>089:52:11.18 W</t>
  </si>
  <si>
    <t>030:39:44.92 N</t>
  </si>
  <si>
    <t>089:52:11.42 W</t>
  </si>
  <si>
    <t>030:39:46.08 N</t>
  </si>
  <si>
    <t>030:39:52.33 N</t>
  </si>
  <si>
    <t>089:52:11.80 W</t>
  </si>
  <si>
    <t>030:39:54.42 N</t>
  </si>
  <si>
    <t>089:52:11.88 W</t>
  </si>
  <si>
    <t>030:39:59.75 N</t>
  </si>
  <si>
    <t>089:52:12.34 W</t>
  </si>
  <si>
    <t>030:40:00.75 N</t>
  </si>
  <si>
    <t>089:52:12.57 W</t>
  </si>
  <si>
    <t>030:40:02.84 N</t>
  </si>
  <si>
    <t>030:40:08.01 N</t>
  </si>
  <si>
    <t>089:52:13.27 W</t>
  </si>
  <si>
    <t>030:40:08.94 N</t>
  </si>
  <si>
    <t>089:52:13.35 W</t>
  </si>
  <si>
    <t>030:40:10.10 N</t>
  </si>
  <si>
    <t>089:52:13.50 W</t>
  </si>
  <si>
    <t>030:40:15.58 N</t>
  </si>
  <si>
    <t>089:52:13.89 W</t>
  </si>
  <si>
    <t>030:40:20.99 N</t>
  </si>
  <si>
    <t>089:52:14.27 W</t>
  </si>
  <si>
    <t>030:40:22.07 N</t>
  </si>
  <si>
    <t>089:52:14.51 W</t>
  </si>
  <si>
    <t>030:40:23.77 N</t>
  </si>
  <si>
    <t>089:52:14.66 W</t>
  </si>
  <si>
    <t>030:40:25.94 N</t>
  </si>
  <si>
    <t>030:40:31.96 N</t>
  </si>
  <si>
    <t>089:52:15.05 W</t>
  </si>
  <si>
    <t>030:40:34.05 N</t>
  </si>
  <si>
    <t>089:52:15.28 W</t>
  </si>
  <si>
    <t>030:40:34.82 N</t>
  </si>
  <si>
    <t>030:40:40.61 N</t>
  </si>
  <si>
    <t>030:40:41.69 N</t>
  </si>
  <si>
    <t>089:52:16.05 W</t>
  </si>
  <si>
    <t>030:40:42.70 N</t>
  </si>
  <si>
    <t>030:40:46.72 N</t>
  </si>
  <si>
    <t>089:52:16.67 W</t>
  </si>
  <si>
    <t>030:40:48.72 N</t>
  </si>
  <si>
    <t>089:52:16.82 W</t>
  </si>
  <si>
    <t>030:40:50.50 N</t>
  </si>
  <si>
    <t>030:40:55.29 N</t>
  </si>
  <si>
    <t>030:40:56.14 N</t>
  </si>
  <si>
    <t>089:52:17.67 W</t>
  </si>
  <si>
    <t>030:40:57.07 N</t>
  </si>
  <si>
    <t>089:52:17.60 W</t>
  </si>
  <si>
    <t>030:41:02.01 N</t>
  </si>
  <si>
    <t>030:41:03.01 N</t>
  </si>
  <si>
    <t>030:41:09.19 N</t>
  </si>
  <si>
    <t>089:52:18.83 W</t>
  </si>
  <si>
    <t>030:41:11.36 N</t>
  </si>
  <si>
    <t>030:41:15.53 N</t>
  </si>
  <si>
    <t>089:52:19.22 W</t>
  </si>
  <si>
    <t>030:41:18.08 N</t>
  </si>
  <si>
    <t>089:52:19.45 W</t>
  </si>
  <si>
    <t>030:41:23.10 N</t>
  </si>
  <si>
    <t>089:52:19.60 W</t>
  </si>
  <si>
    <t>030:41:24.10 N</t>
  </si>
  <si>
    <t>030:41:25.96 N</t>
  </si>
  <si>
    <t>089:52:19.76 W</t>
  </si>
  <si>
    <t>030:41:31.83 N</t>
  </si>
  <si>
    <t>089:52:19.91 W</t>
  </si>
  <si>
    <t>030:41:33.99 N</t>
  </si>
  <si>
    <t>030:41:39.24 N</t>
  </si>
  <si>
    <t>030:41:40.17 N</t>
  </si>
  <si>
    <t>089:52:19.84 W</t>
  </si>
  <si>
    <t>030:41:41.41 N</t>
  </si>
  <si>
    <t>030:41:45.89 N</t>
  </si>
  <si>
    <t>030:41:46.66 N</t>
  </si>
  <si>
    <t>030:41:48.59 N</t>
  </si>
  <si>
    <t>030:41:54.93 N</t>
  </si>
  <si>
    <t>030:42:00.80 N</t>
  </si>
  <si>
    <t>030:42:02.88 N</t>
  </si>
  <si>
    <t>030:42:08.98 N</t>
  </si>
  <si>
    <t>030:42:10.30 N</t>
  </si>
  <si>
    <t>030:42:17.33 N</t>
  </si>
  <si>
    <t>030:42:19.57 N</t>
  </si>
  <si>
    <t>030:42:25.44 N</t>
  </si>
  <si>
    <t>030:42:27.60 N</t>
  </si>
  <si>
    <t>030:42:32.62 N</t>
  </si>
  <si>
    <t>030:42:33.47 N</t>
  </si>
  <si>
    <t>030:42:34.63 N</t>
  </si>
  <si>
    <t>089:52:19.37 W</t>
  </si>
  <si>
    <t>030:42:35.87 N</t>
  </si>
  <si>
    <t>030:42:42.90 N</t>
  </si>
  <si>
    <t>089:52:18.60 W</t>
  </si>
  <si>
    <t>030:42:48.53 N</t>
  </si>
  <si>
    <t>030:42:50.47 N</t>
  </si>
  <si>
    <t>030:42:54.25 N</t>
  </si>
  <si>
    <t>030:42:57.11 N</t>
  </si>
  <si>
    <t>089:52:16.28 W</t>
  </si>
  <si>
    <t>030:43:01.82 N</t>
  </si>
  <si>
    <t>030:43:07.31 N</t>
  </si>
  <si>
    <t>030:43:08.08 N</t>
  </si>
  <si>
    <t>030:43:12.56 N</t>
  </si>
  <si>
    <t>089:52:13.73 W</t>
  </si>
  <si>
    <t>030:43:13.56 N</t>
  </si>
  <si>
    <t>030:43:14.34 N</t>
  </si>
  <si>
    <t>030:43:15.42 N</t>
  </si>
  <si>
    <t>030:43:19.43 N</t>
  </si>
  <si>
    <t>030:43:20.44 N</t>
  </si>
  <si>
    <t>030:43:22.21 N</t>
  </si>
  <si>
    <t>030:43:26.93 N</t>
  </si>
  <si>
    <t>030:43:27.70 N</t>
  </si>
  <si>
    <t>030:43:28.55 N</t>
  </si>
  <si>
    <t>030:43:31.87 N</t>
  </si>
  <si>
    <t>030:43:33.34 N</t>
  </si>
  <si>
    <t>030:43:38.82 N</t>
  </si>
  <si>
    <t>089:52:11.72 W</t>
  </si>
  <si>
    <t>030:43:43.69 N</t>
  </si>
  <si>
    <t>030:43:45.23 N</t>
  </si>
  <si>
    <t>089:52:11.11 W</t>
  </si>
  <si>
    <t>030:43:50.10 N</t>
  </si>
  <si>
    <t>030:43:51.88 N</t>
  </si>
  <si>
    <t>030:43:56.20 N</t>
  </si>
  <si>
    <t>030:43:56.90 N</t>
  </si>
  <si>
    <t>030:43:57.52 N</t>
  </si>
  <si>
    <t>030:43:58.37 N</t>
  </si>
  <si>
    <t>089:52:10.26 W</t>
  </si>
  <si>
    <t>030:44:01.61 N</t>
  </si>
  <si>
    <t>089:52:10.10 W</t>
  </si>
  <si>
    <t>030:44:03.47 N</t>
  </si>
  <si>
    <t>030:44:08.33 N</t>
  </si>
  <si>
    <t>089:52:09.95 W</t>
  </si>
  <si>
    <t>030:44:10.26 N</t>
  </si>
  <si>
    <t>089:52:10.03 W</t>
  </si>
  <si>
    <t>030:44:14.74 N</t>
  </si>
  <si>
    <t>089:52:09.72 W</t>
  </si>
  <si>
    <t>030:44:15.67 N</t>
  </si>
  <si>
    <t>089:52:09.87 W</t>
  </si>
  <si>
    <t>030:44:16.37 N</t>
  </si>
  <si>
    <t>030:44:19.76 N</t>
  </si>
  <si>
    <t>089:52:09.48 W</t>
  </si>
  <si>
    <t>030:44:20.61 N</t>
  </si>
  <si>
    <t>030:44:21.54 N</t>
  </si>
  <si>
    <t>089:52:09.33 W</t>
  </si>
  <si>
    <t>030:44:26.87 N</t>
  </si>
  <si>
    <t>089:52:09.10 W</t>
  </si>
  <si>
    <t>030:44:28.42 N</t>
  </si>
  <si>
    <t>089:52:08.94 W</t>
  </si>
  <si>
    <t>030:44:33.82 N</t>
  </si>
  <si>
    <t>089:52:08.71 W</t>
  </si>
  <si>
    <t>030:44:35.75 N</t>
  </si>
  <si>
    <t>030:44:40.85 N</t>
  </si>
  <si>
    <t>089:52:08.09 W</t>
  </si>
  <si>
    <t>030:44:41.86 N</t>
  </si>
  <si>
    <t>089:52:07.94 W</t>
  </si>
  <si>
    <t>030:44:42.71 N</t>
  </si>
  <si>
    <t>089:52:07.79 W</t>
  </si>
  <si>
    <t>030:44:43.40 N</t>
  </si>
  <si>
    <t>030:44:46.88 N</t>
  </si>
  <si>
    <t>089:52:07.40 W</t>
  </si>
  <si>
    <t>030:44:47.96 N</t>
  </si>
  <si>
    <t>089:52:07.17 W</t>
  </si>
  <si>
    <t>030:44:49.58 N</t>
  </si>
  <si>
    <t>089:52:06.94 W</t>
  </si>
  <si>
    <t>030:44:53.75 N</t>
  </si>
  <si>
    <t>089:52:06.39 W</t>
  </si>
  <si>
    <t>030:44:55.38 N</t>
  </si>
  <si>
    <t>089:52:06.16 W</t>
  </si>
  <si>
    <t>030:45:01.09 N</t>
  </si>
  <si>
    <t>089:52:05.78 W</t>
  </si>
  <si>
    <t>030:45:02.79 N</t>
  </si>
  <si>
    <t>030:45:08.66 N</t>
  </si>
  <si>
    <t>089:52:05.39 W</t>
  </si>
  <si>
    <t>030:45:09.74 N</t>
  </si>
  <si>
    <t>030:45:20.25 N</t>
  </si>
  <si>
    <t>089:52:04.62 W</t>
  </si>
  <si>
    <t>030:45:21.10 N</t>
  </si>
  <si>
    <t>089:52:04.39 W</t>
  </si>
  <si>
    <t>030:45:21.95 N</t>
  </si>
  <si>
    <t>030:45:27.97 N</t>
  </si>
  <si>
    <t>030:45:29.98 N</t>
  </si>
  <si>
    <t>030:45:40.18 N</t>
  </si>
  <si>
    <t>030:45:41.34 N</t>
  </si>
  <si>
    <t>030:45:42.19 N</t>
  </si>
  <si>
    <t>030:45:47.83 N</t>
  </si>
  <si>
    <t>030:45:49.76 N</t>
  </si>
  <si>
    <t>030:45:54.62 N</t>
  </si>
  <si>
    <t>089:52:04.00 W</t>
  </si>
  <si>
    <t>030:45:56.71 N</t>
  </si>
  <si>
    <t>030:46:02.50 N</t>
  </si>
  <si>
    <t>089:52:03.61 W</t>
  </si>
  <si>
    <t>030:46:04.28 N</t>
  </si>
  <si>
    <t>089:52:03.46 W</t>
  </si>
  <si>
    <t>030:46:10.00 N</t>
  </si>
  <si>
    <t>089:52:03.00 W</t>
  </si>
  <si>
    <t>030:46:16.41 N</t>
  </si>
  <si>
    <t>089:52:02.46 W</t>
  </si>
  <si>
    <t>030:46:19.11 N</t>
  </si>
  <si>
    <t>030:46:25.76 N</t>
  </si>
  <si>
    <t>089:52:02.22 W</t>
  </si>
  <si>
    <t>030:46:30.31 N</t>
  </si>
  <si>
    <t>030:46:32.17 N</t>
  </si>
  <si>
    <t>030:46:38.04 N</t>
  </si>
  <si>
    <t>089:52:02.69 W</t>
  </si>
  <si>
    <t>030:46:43.83 N</t>
  </si>
  <si>
    <t>030:46:45.76 N</t>
  </si>
  <si>
    <t>089:52:02.30 W</t>
  </si>
  <si>
    <t>030:46:49.70 N</t>
  </si>
  <si>
    <t>089:52:01.84 W</t>
  </si>
  <si>
    <t>030:46:51.56 N</t>
  </si>
  <si>
    <t>089:52:01.45 W</t>
  </si>
  <si>
    <t>030:46:53.02 N</t>
  </si>
  <si>
    <t>089:52:01.14 W</t>
  </si>
  <si>
    <t>030:46:58.51 N</t>
  </si>
  <si>
    <t>089:51:59.98 W</t>
  </si>
  <si>
    <t>030:49:07.13 N</t>
  </si>
  <si>
    <t>089:51:55.12 W</t>
  </si>
  <si>
    <t>030:49:08.82 N</t>
  </si>
  <si>
    <t>089:51:55.50 W</t>
  </si>
  <si>
    <t>030:49:12.76 N</t>
  </si>
  <si>
    <t>089:51:56.28 W</t>
  </si>
  <si>
    <t>030:49:14.70 N</t>
  </si>
  <si>
    <t>089:51:56.51 W</t>
  </si>
  <si>
    <t>030:49:19.25 N</t>
  </si>
  <si>
    <t>089:51:57.28 W</t>
  </si>
  <si>
    <t>030:49:20.88 N</t>
  </si>
  <si>
    <t>089:51:57.51 W</t>
  </si>
  <si>
    <t>030:49:27.29 N</t>
  </si>
  <si>
    <t>089:51:58.59 W</t>
  </si>
  <si>
    <t>030:49:29.06 N</t>
  </si>
  <si>
    <t>089:51:58.90 W</t>
  </si>
  <si>
    <t>030:49:34.55 N</t>
  </si>
  <si>
    <t>089:52:00.14 W</t>
  </si>
  <si>
    <t>030:49:36.33 N</t>
  </si>
  <si>
    <t>089:52:00.68 W</t>
  </si>
  <si>
    <t>030:49:41.66 N</t>
  </si>
  <si>
    <t>030:49:42.66 N</t>
  </si>
  <si>
    <t>030:49:43.66 N</t>
  </si>
  <si>
    <t>030:49:48.38 N</t>
  </si>
  <si>
    <t>089:52:04.77 W</t>
  </si>
  <si>
    <t>030:49:49.38 N</t>
  </si>
  <si>
    <t>089:52:05.16 W</t>
  </si>
  <si>
    <t>030:49:50.92 N</t>
  </si>
  <si>
    <t>030:49:54.25 N</t>
  </si>
  <si>
    <t>030:49:55.71 N</t>
  </si>
  <si>
    <t>089:52:08.17 W</t>
  </si>
  <si>
    <t>030:50:01.12 N</t>
  </si>
  <si>
    <t>030:50:01.97 N</t>
  </si>
  <si>
    <t>030:50:06.37 N</t>
  </si>
  <si>
    <t>030:50:08.15 N</t>
  </si>
  <si>
    <t>030:50:12.01 N</t>
  </si>
  <si>
    <t>030:50:13.87 N</t>
  </si>
  <si>
    <t>030:50:18.89 N</t>
  </si>
  <si>
    <t>030:50:24.06 N</t>
  </si>
  <si>
    <t>030:50:28.93 N</t>
  </si>
  <si>
    <t>089:52:26.56 W</t>
  </si>
  <si>
    <t>030:50:30.94 N</t>
  </si>
  <si>
    <t>089:52:27.48 W</t>
  </si>
  <si>
    <t>030:50:36.35 N</t>
  </si>
  <si>
    <t>089:52:31.19 W</t>
  </si>
  <si>
    <t>030:50:38.12 N</t>
  </si>
  <si>
    <t>030:50:43.68 N</t>
  </si>
  <si>
    <t>030:50:45.54 N</t>
  </si>
  <si>
    <t>030:50:49.25 N</t>
  </si>
  <si>
    <t>089:52:37.83 W</t>
  </si>
  <si>
    <t>030:50:51.26 N</t>
  </si>
  <si>
    <t>030:50:57.13 N</t>
  </si>
  <si>
    <t>089:52:41.08 W</t>
  </si>
  <si>
    <t>030:50:58.28 N</t>
  </si>
  <si>
    <t>089:52:41.47 W</t>
  </si>
  <si>
    <t>030:50:58.90 N</t>
  </si>
  <si>
    <t>089:52:41.62 W</t>
  </si>
  <si>
    <t>030:51:00.91 N</t>
  </si>
  <si>
    <t>089:52:42.39 W</t>
  </si>
  <si>
    <t>030:51:07.01 N</t>
  </si>
  <si>
    <t>089:52:44.17 W</t>
  </si>
  <si>
    <t>030:51:09.33 N</t>
  </si>
  <si>
    <t>030:51:15.90 N</t>
  </si>
  <si>
    <t>030:51:17.36 N</t>
  </si>
  <si>
    <t>089:52:46.49 W</t>
  </si>
  <si>
    <t>030:51:18.37 N</t>
  </si>
  <si>
    <t>089:52:46.72 W</t>
  </si>
  <si>
    <t>030:51:25.48 N</t>
  </si>
  <si>
    <t>089:52:48.26 W</t>
  </si>
  <si>
    <t>030:51:27.95 N</t>
  </si>
  <si>
    <t>030:51:34.05 N</t>
  </si>
  <si>
    <t>089:52:49.81 W</t>
  </si>
  <si>
    <t>030:51:47.03 N</t>
  </si>
  <si>
    <t>089:52:52.43 W</t>
  </si>
  <si>
    <t>030:51:49.50 N</t>
  </si>
  <si>
    <t>089:52:52.90 W</t>
  </si>
  <si>
    <t>030:51:56.76 N</t>
  </si>
  <si>
    <t>089:52:54.60 W</t>
  </si>
  <si>
    <t>030:51:58.23 N</t>
  </si>
  <si>
    <t>030:51:59.39 N</t>
  </si>
  <si>
    <t>030:52:09.66 N</t>
  </si>
  <si>
    <t>089:52:57.38 W</t>
  </si>
  <si>
    <t>030:52:12.06 N</t>
  </si>
  <si>
    <t>089:52:57.92 W</t>
  </si>
  <si>
    <t>030:52:19.47 N</t>
  </si>
  <si>
    <t>089:52:59.70 W</t>
  </si>
  <si>
    <t>030:52:22.33 N</t>
  </si>
  <si>
    <t>089:53:00.24 W</t>
  </si>
  <si>
    <t>030:52:30.44 N</t>
  </si>
  <si>
    <t>089:53:01.94 W</t>
  </si>
  <si>
    <t>030:52:32.99 N</t>
  </si>
  <si>
    <t>089:53:02.55 W</t>
  </si>
  <si>
    <t>030:52:40.48 N</t>
  </si>
  <si>
    <t>089:53:04.10 W</t>
  </si>
  <si>
    <t>030:52:42.88 N</t>
  </si>
  <si>
    <t>089:53:04.49 W</t>
  </si>
  <si>
    <t>030:52:48.52 N</t>
  </si>
  <si>
    <t>089:53:05.49 W</t>
  </si>
  <si>
    <t>030:52:51.14 N</t>
  </si>
  <si>
    <t>089:53:06.11 W</t>
  </si>
  <si>
    <t>030:52:57.40 N</t>
  </si>
  <si>
    <t>089:53:07.03 W</t>
  </si>
  <si>
    <t>030:52:58.71 N</t>
  </si>
  <si>
    <t>089:53:07.42 W</t>
  </si>
  <si>
    <t>030:52:59.80 N</t>
  </si>
  <si>
    <t>089:53:07.50 W</t>
  </si>
  <si>
    <t>030:53:01.11 N</t>
  </si>
  <si>
    <t>030:53:07.60 N</t>
  </si>
  <si>
    <t>089:53:09.20 W</t>
  </si>
  <si>
    <t>030:53:08.60 N</t>
  </si>
  <si>
    <t>089:53:09.35 W</t>
  </si>
  <si>
    <t>030:53:11.07 N</t>
  </si>
  <si>
    <t>089:53:09.74 W</t>
  </si>
  <si>
    <t>030:53:19.34 N</t>
  </si>
  <si>
    <t>089:53:11.13 W</t>
  </si>
  <si>
    <t>030:53:22.12 N</t>
  </si>
  <si>
    <t>089:53:11.51 W</t>
  </si>
  <si>
    <t>030:53:26.91 N</t>
  </si>
  <si>
    <t>089:53:12.60 W</t>
  </si>
  <si>
    <t>030:53:28.07 N</t>
  </si>
  <si>
    <t>089:53:12.83 W</t>
  </si>
  <si>
    <t>030:53:29.54 N</t>
  </si>
  <si>
    <t>089:53:13.21 W</t>
  </si>
  <si>
    <t>030:53:30.69 N</t>
  </si>
  <si>
    <t>089:53:13.60 W</t>
  </si>
  <si>
    <t>030:53:37.34 N</t>
  </si>
  <si>
    <t>089:53:15.99 W</t>
  </si>
  <si>
    <t>030:53:45.53 N</t>
  </si>
  <si>
    <t>089:53:20.24 W</t>
  </si>
  <si>
    <t>030:53:47.69 N</t>
  </si>
  <si>
    <t>089:53:21.56 W</t>
  </si>
  <si>
    <t>030:53:53.95 N</t>
  </si>
  <si>
    <t>089:53:26.42 W</t>
  </si>
  <si>
    <t>030:53:56.26 N</t>
  </si>
  <si>
    <t>089:53:28.59 W</t>
  </si>
  <si>
    <t>030:54:00.51 N</t>
  </si>
  <si>
    <t>089:53:32.99 W</t>
  </si>
  <si>
    <t>030:54:01.36 N</t>
  </si>
  <si>
    <t>089:53:33.99 W</t>
  </si>
  <si>
    <t>030:54:02.29 N</t>
  </si>
  <si>
    <t>089:53:35.00 W</t>
  </si>
  <si>
    <t>030:54:03.29 N</t>
  </si>
  <si>
    <t>089:53:36.31 W</t>
  </si>
  <si>
    <t>030:54:04.14 N</t>
  </si>
  <si>
    <t>089:53:37.32 W</t>
  </si>
  <si>
    <t>030:54:07.77 N</t>
  </si>
  <si>
    <t>089:53:42.10 W</t>
  </si>
  <si>
    <t>030:54:09.47 N</t>
  </si>
  <si>
    <t>089:53:44.65 W</t>
  </si>
  <si>
    <t>030:54:10.32 N</t>
  </si>
  <si>
    <t>089:53:45.66 W</t>
  </si>
  <si>
    <t>030:54:11.02 N</t>
  </si>
  <si>
    <t>089:53:46.66 W</t>
  </si>
  <si>
    <t>030:54:11.56 N</t>
  </si>
  <si>
    <t>089:53:47.74 W</t>
  </si>
  <si>
    <t>030:54:15.03 N</t>
  </si>
  <si>
    <t>089:53:53.00 W</t>
  </si>
  <si>
    <t>030:54:16.81 N</t>
  </si>
  <si>
    <t>089:53:56.09 W</t>
  </si>
  <si>
    <t>030:54:21.21 N</t>
  </si>
  <si>
    <t>089:54:03.66 W</t>
  </si>
  <si>
    <t>030:54:26.93 N</t>
  </si>
  <si>
    <t>089:54:14.32 W</t>
  </si>
  <si>
    <t>030:54:28.40 N</t>
  </si>
  <si>
    <t>089:54:17.25 W</t>
  </si>
  <si>
    <t>030:54:29.71 N</t>
  </si>
  <si>
    <t>089:54:19.57 W</t>
  </si>
  <si>
    <t>030:54:32.96 N</t>
  </si>
  <si>
    <t>089:54:26.37 W</t>
  </si>
  <si>
    <t>030:54:34.35 N</t>
  </si>
  <si>
    <t>089:54:29.23 W</t>
  </si>
  <si>
    <t>030:54:34.96 N</t>
  </si>
  <si>
    <t>089:54:30.54 W</t>
  </si>
  <si>
    <t>030:54:35.66 N</t>
  </si>
  <si>
    <t>089:54:32.16 W</t>
  </si>
  <si>
    <t>030:54:36.43 N</t>
  </si>
  <si>
    <t>089:54:33.94 W</t>
  </si>
  <si>
    <t>030:54:39.68 N</t>
  </si>
  <si>
    <t>089:54:40.43 W</t>
  </si>
  <si>
    <t>030:54:40.29 N</t>
  </si>
  <si>
    <t>089:54:42.05 W</t>
  </si>
  <si>
    <t>030:54:41.07 N</t>
  </si>
  <si>
    <t>089:54:43.36 W</t>
  </si>
  <si>
    <t>030:54:41.84 N</t>
  </si>
  <si>
    <t>089:54:44.98 W</t>
  </si>
  <si>
    <t>030:54:42.46 N</t>
  </si>
  <si>
    <t>089:54:46.14 W</t>
  </si>
  <si>
    <t>030:54:45.16 N</t>
  </si>
  <si>
    <t>089:54:51.70 W</t>
  </si>
  <si>
    <t>030:54:46.01 N</t>
  </si>
  <si>
    <t>089:54:53.10 W</t>
  </si>
  <si>
    <t>030:54:46.71 N</t>
  </si>
  <si>
    <t>089:54:54.25 W</t>
  </si>
  <si>
    <t>030:54:47.32 N</t>
  </si>
  <si>
    <t>089:54:55.41 W</t>
  </si>
  <si>
    <t>030:54:50.80 N</t>
  </si>
  <si>
    <t>089:55:02.21 W</t>
  </si>
  <si>
    <t>030:54:52.35 N</t>
  </si>
  <si>
    <t>089:55:04.91 W</t>
  </si>
  <si>
    <t>030:54:53.74 N</t>
  </si>
  <si>
    <t>089:55:07.46 W</t>
  </si>
  <si>
    <t>030:54:58.45 N</t>
  </si>
  <si>
    <t>089:55:15.65 W</t>
  </si>
  <si>
    <t>030:55:06.94 N</t>
  </si>
  <si>
    <t>089:55:29.94 W</t>
  </si>
  <si>
    <t>030:55:07.79 N</t>
  </si>
  <si>
    <t>089:55:31.49 W</t>
  </si>
  <si>
    <t>030:55:12.82 N</t>
  </si>
  <si>
    <t>089:55:38.36 W</t>
  </si>
  <si>
    <t>030:55:17.99 N</t>
  </si>
  <si>
    <t>089:55:44.08 W</t>
  </si>
  <si>
    <t>030:55:24.09 N</t>
  </si>
  <si>
    <t>089:55:49.33 W</t>
  </si>
  <si>
    <t>030:55:26.57 N</t>
  </si>
  <si>
    <t>089:55:51.03 W</t>
  </si>
  <si>
    <t>030:55:27.42 N</t>
  </si>
  <si>
    <t>089:55:51.65 W</t>
  </si>
  <si>
    <t>030:55:33.29 N</t>
  </si>
  <si>
    <t>089:55:55.20 W</t>
  </si>
  <si>
    <t>030:55:34.99 N</t>
  </si>
  <si>
    <t>089:55:55.90 W</t>
  </si>
  <si>
    <t>030:55:36.30 N</t>
  </si>
  <si>
    <t>089:55:56.59 W</t>
  </si>
  <si>
    <t>030:55:38.93 N</t>
  </si>
  <si>
    <t>089:55:57.67 W</t>
  </si>
  <si>
    <t>030:55:44.02 N</t>
  </si>
  <si>
    <t>089:55:59.61 W</t>
  </si>
  <si>
    <t>030:55:46.34 N</t>
  </si>
  <si>
    <t>089:56:00.53 W</t>
  </si>
  <si>
    <t>030:55:47.35 N</t>
  </si>
  <si>
    <t>089:56:00.69 W</t>
  </si>
  <si>
    <t>030:55:53.53 N</t>
  </si>
  <si>
    <t>089:56:02.46 W</t>
  </si>
  <si>
    <t>030:55:56.38 N</t>
  </si>
  <si>
    <t>089:56:03.08 W</t>
  </si>
  <si>
    <t>030:56:01.79 N</t>
  </si>
  <si>
    <t>089:56:04.47 W</t>
  </si>
  <si>
    <t>030:56:04.26 N</t>
  </si>
  <si>
    <t>089:56:04.86 W</t>
  </si>
  <si>
    <t>030:56:10.44 N</t>
  </si>
  <si>
    <t>089:56:06.09 W</t>
  </si>
  <si>
    <t>030:56:11.68 N</t>
  </si>
  <si>
    <t>089:56:06.25 W</t>
  </si>
  <si>
    <t>030:56:13.22 N</t>
  </si>
  <si>
    <t>089:56:06.40 W</t>
  </si>
  <si>
    <t>030:56:14.69 N</t>
  </si>
  <si>
    <t>089:56:06.63 W</t>
  </si>
  <si>
    <t>030:56:19.71 N</t>
  </si>
  <si>
    <t>089:56:07.02 W</t>
  </si>
  <si>
    <t>030:56:22.03 N</t>
  </si>
  <si>
    <t>089:56:07.25 W</t>
  </si>
  <si>
    <t>030:56:23.03 N</t>
  </si>
  <si>
    <t>030:56:29.52 N</t>
  </si>
  <si>
    <t>089:56:06.79 W</t>
  </si>
  <si>
    <t>030:56:32.23 N</t>
  </si>
  <si>
    <t>089:56:06.48 W</t>
  </si>
  <si>
    <t>030:56:39.33 N</t>
  </si>
  <si>
    <t>089:56:04.70 W</t>
  </si>
  <si>
    <t>030:56:41.73 N</t>
  </si>
  <si>
    <t>089:56:04.09 W</t>
  </si>
  <si>
    <t>030:56:48.91 N</t>
  </si>
  <si>
    <t>030:56:54.86 N</t>
  </si>
  <si>
    <t>089:55:56.75 W</t>
  </si>
  <si>
    <t>030:56:56.02 N</t>
  </si>
  <si>
    <t>030:56:57.25 N</t>
  </si>
  <si>
    <t>089:55:54.82 W</t>
  </si>
  <si>
    <t>030:56:58.26 N</t>
  </si>
  <si>
    <t>089:55:53.81 W</t>
  </si>
  <si>
    <t>030:57:03.13 N</t>
  </si>
  <si>
    <t>089:55:49.25 W</t>
  </si>
  <si>
    <t>030:57:04.28 N</t>
  </si>
  <si>
    <t>089:55:47.94 W</t>
  </si>
  <si>
    <t>030:57:05.13 N</t>
  </si>
  <si>
    <t>089:55:46.71 W</t>
  </si>
  <si>
    <t>030:57:05.98 N</t>
  </si>
  <si>
    <t>089:55:45.70 W</t>
  </si>
  <si>
    <t>030:57:09.31 N</t>
  </si>
  <si>
    <t>089:55:41.37 W</t>
  </si>
  <si>
    <t>030:57:10.77 N</t>
  </si>
  <si>
    <t>089:55:39.13 W</t>
  </si>
  <si>
    <t>030:57:11.47 N</t>
  </si>
  <si>
    <t>089:55:37.98 W</t>
  </si>
  <si>
    <t>030:57:12.01 N</t>
  </si>
  <si>
    <t>089:55:37.13 W</t>
  </si>
  <si>
    <t>030:57:15.33 N</t>
  </si>
  <si>
    <t>089:55:31.64 W</t>
  </si>
  <si>
    <t>030:57:16.80 N</t>
  </si>
  <si>
    <t>089:55:29.17 W</t>
  </si>
  <si>
    <t>030:57:20.66 N</t>
  </si>
  <si>
    <t>089:55:21.60 W</t>
  </si>
  <si>
    <t>030:57:21.90 N</t>
  </si>
  <si>
    <t>089:55:19.20 W</t>
  </si>
  <si>
    <t>030:57:23.21 N</t>
  </si>
  <si>
    <t>089:55:16.66 W</t>
  </si>
  <si>
    <t>030:57:27.15 N</t>
  </si>
  <si>
    <t>089:55:09.01 W</t>
  </si>
  <si>
    <t>030:57:28.54 N</t>
  </si>
  <si>
    <t>089:55:06.15 W</t>
  </si>
  <si>
    <t>030:57:31.94 N</t>
  </si>
  <si>
    <t>089:55:00.20 W</t>
  </si>
  <si>
    <t>030:57:32.63 N</t>
  </si>
  <si>
    <t>089:54:58.89 W</t>
  </si>
  <si>
    <t>030:57:33.95 N</t>
  </si>
  <si>
    <t>089:54:56.42 W</t>
  </si>
  <si>
    <t>030:57:38.27 N</t>
  </si>
  <si>
    <t>089:54:48.92 W</t>
  </si>
  <si>
    <t>030:57:39.43 N</t>
  </si>
  <si>
    <t>089:54:46.76 W</t>
  </si>
  <si>
    <t>030:57:43.83 N</t>
  </si>
  <si>
    <t>089:54:39.35 W</t>
  </si>
  <si>
    <t>030:57:44.68 N</t>
  </si>
  <si>
    <t>089:54:38.03 W</t>
  </si>
  <si>
    <t>030:57:45.53 N</t>
  </si>
  <si>
    <t>089:54:36.49 W</t>
  </si>
  <si>
    <t>030:57:46.31 N</t>
  </si>
  <si>
    <t>089:54:35.48 W</t>
  </si>
  <si>
    <t>030:57:50.09 N</t>
  </si>
  <si>
    <t>089:54:29.84 W</t>
  </si>
  <si>
    <t>030:57:51.56 N</t>
  </si>
  <si>
    <t>089:54:27.60 W</t>
  </si>
  <si>
    <t>030:57:56.35 N</t>
  </si>
  <si>
    <t>089:54:20.50 W</t>
  </si>
  <si>
    <t>030:57:58.13 N</t>
  </si>
  <si>
    <t>089:54:17.79 W</t>
  </si>
  <si>
    <t>030:58:02.14 N</t>
  </si>
  <si>
    <t>089:54:12.39 W</t>
  </si>
  <si>
    <t>030:58:02.76 N</t>
  </si>
  <si>
    <t>089:54:11.23 W</t>
  </si>
  <si>
    <t>030:58:07.86 N</t>
  </si>
  <si>
    <t>089:54:04.04 W</t>
  </si>
  <si>
    <t>030:58:11.18 N</t>
  </si>
  <si>
    <t>089:53:59.56 W</t>
  </si>
  <si>
    <t>030:58:11.95 N</t>
  </si>
  <si>
    <t>089:53:58.33 W</t>
  </si>
  <si>
    <t>030:58:17.44 N</t>
  </si>
  <si>
    <t>089:53:50.83 W</t>
  </si>
  <si>
    <t>030:58:18.13 N</t>
  </si>
  <si>
    <t>089:53:49.67 W</t>
  </si>
  <si>
    <t>030:58:23.54 N</t>
  </si>
  <si>
    <t>089:53:41.87 W</t>
  </si>
  <si>
    <t>030:58:25.39 N</t>
  </si>
  <si>
    <t>089:53:39.09 W</t>
  </si>
  <si>
    <t>030:58:30.26 N</t>
  </si>
  <si>
    <t>089:53:31.99 W</t>
  </si>
  <si>
    <t>030:58:31.81 N</t>
  </si>
  <si>
    <t>089:53:29.75 W</t>
  </si>
  <si>
    <t>030:58:34.59 N</t>
  </si>
  <si>
    <t>089:53:25.65 W</t>
  </si>
  <si>
    <t>030:58:36.13 N</t>
  </si>
  <si>
    <t>089:53:23.49 W</t>
  </si>
  <si>
    <t>030:58:41.00 N</t>
  </si>
  <si>
    <t>089:53:16.77 W</t>
  </si>
  <si>
    <t>030:58:42.85 N</t>
  </si>
  <si>
    <t>089:53:13.99 W</t>
  </si>
  <si>
    <t>030:58:47.41 N</t>
  </si>
  <si>
    <t>089:53:07.81 W</t>
  </si>
  <si>
    <t>030:58:49.03 N</t>
  </si>
  <si>
    <t>030:58:49.73 N</t>
  </si>
  <si>
    <t>030:58:53.20 N</t>
  </si>
  <si>
    <t>089:52:59.54 W</t>
  </si>
  <si>
    <t>030:58:53.90 N</t>
  </si>
  <si>
    <t>030:58:54.83 N</t>
  </si>
  <si>
    <t>089:52:57.15 W</t>
  </si>
  <si>
    <t>030:58:55.52 N</t>
  </si>
  <si>
    <t>030:58:58.76 N</t>
  </si>
  <si>
    <t>089:52:51.66 W</t>
  </si>
  <si>
    <t>030:58:59.54 N</t>
  </si>
  <si>
    <t>089:52:50.27 W</t>
  </si>
  <si>
    <t>030:59:00.31 N</t>
  </si>
  <si>
    <t>030:59:01.24 N</t>
  </si>
  <si>
    <t>089:52:47.88 W</t>
  </si>
  <si>
    <t>030:59:04.79 N</t>
  </si>
  <si>
    <t>030:59:06.57 N</t>
  </si>
  <si>
    <t>030:59:10.04 N</t>
  </si>
  <si>
    <t>030:59:10.97 N</t>
  </si>
  <si>
    <t>030:59:11.67 N</t>
  </si>
  <si>
    <t>030:59:12.44 N</t>
  </si>
  <si>
    <t>089:52:31.27 W</t>
  </si>
  <si>
    <t>030:59:15.53 N</t>
  </si>
  <si>
    <t>030:59:16.45 N</t>
  </si>
  <si>
    <t>030:59:16.92 N</t>
  </si>
  <si>
    <t>089:52:24.55 W</t>
  </si>
  <si>
    <t>030:59:21.55 N</t>
  </si>
  <si>
    <t>030:59:23.02 N</t>
  </si>
  <si>
    <t>030:59:26.03 N</t>
  </si>
  <si>
    <t>030:59:27.50 N</t>
  </si>
  <si>
    <t>030:59:28.27 N</t>
  </si>
  <si>
    <t>030:59:31.90 N</t>
  </si>
  <si>
    <t>089:52:01.68 W</t>
  </si>
  <si>
    <t>030:59:33.45 N</t>
  </si>
  <si>
    <t>089:51:59.44 W</t>
  </si>
  <si>
    <t>030:59:36.85 N</t>
  </si>
  <si>
    <t>089:51:54.50 W</t>
  </si>
  <si>
    <t>030:59:38.47 N</t>
  </si>
  <si>
    <t>089:51:52.10 W</t>
  </si>
  <si>
    <t>030:59:43.11 N</t>
  </si>
  <si>
    <t>089:51:46.00 W</t>
  </si>
  <si>
    <t>030:59:44.42 N</t>
  </si>
  <si>
    <t>089:51:44.07 W</t>
  </si>
  <si>
    <t>030:59:47.82 N</t>
  </si>
  <si>
    <t>089:51:39.13 W</t>
  </si>
  <si>
    <t>030:59:49.36 N</t>
  </si>
  <si>
    <t>089:51:36.89 W</t>
  </si>
  <si>
    <t>030:59:52.68 N</t>
  </si>
  <si>
    <t>089:51:32.02 W</t>
  </si>
  <si>
    <t>030:59:54.15 N</t>
  </si>
  <si>
    <t>089:51:29.70 W</t>
  </si>
  <si>
    <t>030:59:55.70 N</t>
  </si>
  <si>
    <t>089:51:27.62 W</t>
  </si>
  <si>
    <t>031:00:00.95 N</t>
  </si>
  <si>
    <t>089:51:19.27 W</t>
  </si>
  <si>
    <t>031:00:04.73 N</t>
  </si>
  <si>
    <t>089:51:13.40 W</t>
  </si>
  <si>
    <t>031:00:05.20 N</t>
  </si>
  <si>
    <t>089:51:12.48 W</t>
  </si>
  <si>
    <t>031:00:06.12 N</t>
  </si>
  <si>
    <t>089:51:11.24 W</t>
  </si>
  <si>
    <t>031:00:06.90 N</t>
  </si>
  <si>
    <t>089:51:09.93 W</t>
  </si>
  <si>
    <t>031:00:11.61 N</t>
  </si>
  <si>
    <t>089:51:02.59 W</t>
  </si>
  <si>
    <t>031:00:13.15 N</t>
  </si>
  <si>
    <t>089:51:00.35 W</t>
  </si>
  <si>
    <t>031:00:16.24 N</t>
  </si>
  <si>
    <t>031:00:17.87 N</t>
  </si>
  <si>
    <t>089:50:54.01 W</t>
  </si>
  <si>
    <t>031:00:23.35 N</t>
  </si>
  <si>
    <t>089:50:47.45 W</t>
  </si>
  <si>
    <t>031:00:28.22 N</t>
  </si>
  <si>
    <t>089:50:42.74 W</t>
  </si>
  <si>
    <t>031:00:30.07 N</t>
  </si>
  <si>
    <t>089:50:40.88 W</t>
  </si>
  <si>
    <t>031:00:31.23 N</t>
  </si>
  <si>
    <t>089:50:39.88 W</t>
  </si>
  <si>
    <t>031:00:35.63 N</t>
  </si>
  <si>
    <t>031:00:36.95 N</t>
  </si>
  <si>
    <t>031:00:38.34 N</t>
  </si>
  <si>
    <t>031:00:43.98 N</t>
  </si>
  <si>
    <t>089:50:32.31 W</t>
  </si>
  <si>
    <t>031:00:46.53 N</t>
  </si>
  <si>
    <t>089:50:31.23 W</t>
  </si>
  <si>
    <t>031:00:54.33 N</t>
  </si>
  <si>
    <t>089:50:29.45 W</t>
  </si>
  <si>
    <t>031:01:12.17 N</t>
  </si>
  <si>
    <t>089:50:30.30 W</t>
  </si>
  <si>
    <t>031:01:17.35 N</t>
  </si>
  <si>
    <t>089:50:31.46 W</t>
  </si>
  <si>
    <t>031:01:19.74 N</t>
  </si>
  <si>
    <t>031:01:22.06 N</t>
  </si>
  <si>
    <t>089:50:33.23 W</t>
  </si>
  <si>
    <t>031:01:29.40 N</t>
  </si>
  <si>
    <t>031:01:31.95 N</t>
  </si>
  <si>
    <t>089:50:37.17 W</t>
  </si>
  <si>
    <t>031:01:37.97 N</t>
  </si>
  <si>
    <t>031:01:39.29 N</t>
  </si>
  <si>
    <t>089:50:40.34 W</t>
  </si>
  <si>
    <t>031:01:41.60 N</t>
  </si>
  <si>
    <t>089:50:41.42 W</t>
  </si>
  <si>
    <t>031:01:46.55 N</t>
  </si>
  <si>
    <t>089:50:43.59 W</t>
  </si>
  <si>
    <t>031:01:48.56 N</t>
  </si>
  <si>
    <t>089:50:44.51 W</t>
  </si>
  <si>
    <t>031:01:49.71 N</t>
  </si>
  <si>
    <t>031:01:54.89 N</t>
  </si>
  <si>
    <t>031:01:56.05 N</t>
  </si>
  <si>
    <t>089:50:47.83 W</t>
  </si>
  <si>
    <t>031:01:57.28 N</t>
  </si>
  <si>
    <t>031:01:58.75 N</t>
  </si>
  <si>
    <t>089:50:48.84 W</t>
  </si>
  <si>
    <t>031:02:01.22 N</t>
  </si>
  <si>
    <t>031:02:07.02 N</t>
  </si>
  <si>
    <t>031:02:08.49 N</t>
  </si>
  <si>
    <t>089:50:52.70 W</t>
  </si>
  <si>
    <t>031:02:09.95 N</t>
  </si>
  <si>
    <t>089:50:53.24 W</t>
  </si>
  <si>
    <t>031:02:11.27 N</t>
  </si>
  <si>
    <t>031:02:12.81 N</t>
  </si>
  <si>
    <t>089:50:54.17 W</t>
  </si>
  <si>
    <t>031:02:17.99 N</t>
  </si>
  <si>
    <t>089:50:55.79 W</t>
  </si>
  <si>
    <t>031:02:19.15 N</t>
  </si>
  <si>
    <t>089:50:56.18 W</t>
  </si>
  <si>
    <t>031:02:20.15 N</t>
  </si>
  <si>
    <t>089:50:56.56 W</t>
  </si>
  <si>
    <t>031:02:21.54 N</t>
  </si>
  <si>
    <t>031:02:28.57 N</t>
  </si>
  <si>
    <t>089:50:58.49 W</t>
  </si>
  <si>
    <t>031:02:31.04 N</t>
  </si>
  <si>
    <t>089:50:59.11 W</t>
  </si>
  <si>
    <t>031:02:36.68 N</t>
  </si>
  <si>
    <t>089:51:00.27 W</t>
  </si>
  <si>
    <t>031:02:39.46 N</t>
  </si>
  <si>
    <t>031:02:45.72 N</t>
  </si>
  <si>
    <t>089:51:01.43 W</t>
  </si>
  <si>
    <t>031:02:47.03 N</t>
  </si>
  <si>
    <t>089:51:01.58 W</t>
  </si>
  <si>
    <t>031:02:49.66 N</t>
  </si>
  <si>
    <t>089:51:01.74 W</t>
  </si>
  <si>
    <t>031:02:56.30 N</t>
  </si>
  <si>
    <t>089:51:01.82 W</t>
  </si>
  <si>
    <t>031:02:57.61 N</t>
  </si>
  <si>
    <t>031:03:05.49 N</t>
  </si>
  <si>
    <t>031:03:08.27 N</t>
  </si>
  <si>
    <t>089:51:01.12 W</t>
  </si>
  <si>
    <t>031:03:13.45 N</t>
  </si>
  <si>
    <t>089:51:00.66 W</t>
  </si>
  <si>
    <t>031:03:15.85 N</t>
  </si>
  <si>
    <t>089:51:00.50 W</t>
  </si>
  <si>
    <t>031:03:23.49 N</t>
  </si>
  <si>
    <t>089:51:00.04 W</t>
  </si>
  <si>
    <t>031:03:26.04 N</t>
  </si>
  <si>
    <t>089:50:59.73 W</t>
  </si>
  <si>
    <t>031:03:32.84 N</t>
  </si>
  <si>
    <t>089:50:59.50 W</t>
  </si>
  <si>
    <t>031:03:35.39 N</t>
  </si>
  <si>
    <t>031:03:41.65 N</t>
  </si>
  <si>
    <t>089:50:59.34 W</t>
  </si>
  <si>
    <t>031:03:44.04 N</t>
  </si>
  <si>
    <t>089:50:59.27 W</t>
  </si>
  <si>
    <t>031:03:53.70 N</t>
  </si>
  <si>
    <t>031:03:55.86 N</t>
  </si>
  <si>
    <t>031:04:01.03 N</t>
  </si>
  <si>
    <t>031:04:02.66 N</t>
  </si>
  <si>
    <t>031:04:03.89 N</t>
  </si>
  <si>
    <t>031:04:09.07 N</t>
  </si>
  <si>
    <t>031:04:17.49 N</t>
  </si>
  <si>
    <t>031:04:19.03 N</t>
  </si>
  <si>
    <t>089:51:00.81 W</t>
  </si>
  <si>
    <t>031:04:19.96 N</t>
  </si>
  <si>
    <t>089:51:01.04 W</t>
  </si>
  <si>
    <t>031:04:27.07 N</t>
  </si>
  <si>
    <t>089:51:03.13 W</t>
  </si>
  <si>
    <t>031:04:33.40 N</t>
  </si>
  <si>
    <t>089:51:05.68 W</t>
  </si>
  <si>
    <t>031:04:42.44 N</t>
  </si>
  <si>
    <t>089:51:11.32 W</t>
  </si>
  <si>
    <t>031:04:50.94 N</t>
  </si>
  <si>
    <t>031:04:56.50 N</t>
  </si>
  <si>
    <t>031:05:07.93 N</t>
  </si>
  <si>
    <t>089:51:49.48 W</t>
  </si>
  <si>
    <t>031:05:10.25 N</t>
  </si>
  <si>
    <t>089:52:00.76 W</t>
  </si>
  <si>
    <t>031:05:10.94 N</t>
  </si>
  <si>
    <t>031:05:11.10 N</t>
  </si>
  <si>
    <t>031:05:10.48 N</t>
  </si>
  <si>
    <t>089:52:22.77 W</t>
  </si>
  <si>
    <t>031:05:07.16 N</t>
  </si>
  <si>
    <t>089:52:38.38 W</t>
  </si>
  <si>
    <t>031:05:06.62 N</t>
  </si>
  <si>
    <t>089:52:39.69 W</t>
  </si>
  <si>
    <t>031:05:06.08 N</t>
  </si>
  <si>
    <t>089:52:41.54 W</t>
  </si>
  <si>
    <t>031:05:03.76 N</t>
  </si>
  <si>
    <t>089:52:47.49 W</t>
  </si>
  <si>
    <t>031:05:02.37 N</t>
  </si>
  <si>
    <t>089:52:50.35 W</t>
  </si>
  <si>
    <t>031:04:58.89 N</t>
  </si>
  <si>
    <t>089:52:56.76 W</t>
  </si>
  <si>
    <t>031:04:58.04 N</t>
  </si>
  <si>
    <t>089:52:58.23 W</t>
  </si>
  <si>
    <t>031:04:52.79 N</t>
  </si>
  <si>
    <t>089:53:05.72 W</t>
  </si>
  <si>
    <t>031:04:50.86 N</t>
  </si>
  <si>
    <t>089:53:08.12 W</t>
  </si>
  <si>
    <t>031:04:46.61 N</t>
  </si>
  <si>
    <t>089:53:12.21 W</t>
  </si>
  <si>
    <t>031:04:44.37 N</t>
  </si>
  <si>
    <t>031:04:37.26 N</t>
  </si>
  <si>
    <t>089:53:20.01 W</t>
  </si>
  <si>
    <t>031:04:29.54 N</t>
  </si>
  <si>
    <t>089:53:24.26 W</t>
  </si>
  <si>
    <t>031:04:26.91 N</t>
  </si>
  <si>
    <t>031:04:21.97 N</t>
  </si>
  <si>
    <t>089:53:27.43 W</t>
  </si>
  <si>
    <t>031:04:20.66 N</t>
  </si>
  <si>
    <t>089:53:27.58 W</t>
  </si>
  <si>
    <t>031:04:19.19 N</t>
  </si>
  <si>
    <t>089:53:28.05 W</t>
  </si>
  <si>
    <t>031:04:09.61 N</t>
  </si>
  <si>
    <t>089:53:29.44 W</t>
  </si>
  <si>
    <t>031:04:03.82 N</t>
  </si>
  <si>
    <t>089:53:29.36 W</t>
  </si>
  <si>
    <t>031:04:01.19 N</t>
  </si>
  <si>
    <t>089:53:29.13 W</t>
  </si>
  <si>
    <t>031:04:00.03 N</t>
  </si>
  <si>
    <t>031:03:53.77 N</t>
  </si>
  <si>
    <t>089:53:27.81 W</t>
  </si>
  <si>
    <t>031:03:51.38 N</t>
  </si>
  <si>
    <t>089:53:27.04 W</t>
  </si>
  <si>
    <t>031:03:48.52 N</t>
  </si>
  <si>
    <t>089:53:26.27 W</t>
  </si>
  <si>
    <t>031:03:41.11 N</t>
  </si>
  <si>
    <t>089:53:22.72 W</t>
  </si>
  <si>
    <t>031:03:39.95 N</t>
  </si>
  <si>
    <t>089:53:21.94 W</t>
  </si>
  <si>
    <t>031:03:34.54 N</t>
  </si>
  <si>
    <t>089:53:18.31 W</t>
  </si>
  <si>
    <t>031:03:32.07 N</t>
  </si>
  <si>
    <t>089:53:16.15 W</t>
  </si>
  <si>
    <t>031:03:29.90 N</t>
  </si>
  <si>
    <t>031:03:24.65 N</t>
  </si>
  <si>
    <t>089:53:08.19 W</t>
  </si>
  <si>
    <t>031:03:23.03 N</t>
  </si>
  <si>
    <t>031:03:20.17 N</t>
  </si>
  <si>
    <t>089:53:01.63 W</t>
  </si>
  <si>
    <t>031:03:18.55 N</t>
  </si>
  <si>
    <t>089:52:58.69 W</t>
  </si>
  <si>
    <t>031:03:15.54 N</t>
  </si>
  <si>
    <t>089:52:52.67 W</t>
  </si>
  <si>
    <t>031:03:14.84 N</t>
  </si>
  <si>
    <t>089:52:51.04 W</t>
  </si>
  <si>
    <t>031:03:14.30 N</t>
  </si>
  <si>
    <t>089:52:49.65 W</t>
  </si>
  <si>
    <t>031:03:13.76 N</t>
  </si>
  <si>
    <t>031:03:11.13 N</t>
  </si>
  <si>
    <t>031:03:10.44 N</t>
  </si>
  <si>
    <t>031:03:09.28 N</t>
  </si>
  <si>
    <t>031:03:06.42 N</t>
  </si>
  <si>
    <t>089:52:31.50 W</t>
  </si>
  <si>
    <t>031:03:05.65 N</t>
  </si>
  <si>
    <t>089:52:30.03 W</t>
  </si>
  <si>
    <t>031:03:05.18 N</t>
  </si>
  <si>
    <t>031:03:04.57 N</t>
  </si>
  <si>
    <t>031:03:03.33 N</t>
  </si>
  <si>
    <t>031:02:59.70 N</t>
  </si>
  <si>
    <t>031:02:58.39 N</t>
  </si>
  <si>
    <t>031:02:57.77 N</t>
  </si>
  <si>
    <t>031:02:57.07 N</t>
  </si>
  <si>
    <t>031:02:54.60 N</t>
  </si>
  <si>
    <t>031:02:53.21 N</t>
  </si>
  <si>
    <t>031:02:47.80 N</t>
  </si>
  <si>
    <t>089:51:56.12 W</t>
  </si>
  <si>
    <t>031:02:41.47 N</t>
  </si>
  <si>
    <t>089:51:47.16 W</t>
  </si>
  <si>
    <t>031:02:40.47 N</t>
  </si>
  <si>
    <t>089:51:45.85 W</t>
  </si>
  <si>
    <t>031:02:39.62 N</t>
  </si>
  <si>
    <t>089:51:44.84 W</t>
  </si>
  <si>
    <t>031:02:31.74 N</t>
  </si>
  <si>
    <t>089:51:34.72 W</t>
  </si>
  <si>
    <t>031:02:30.73 N</t>
  </si>
  <si>
    <t>089:51:33.72 W</t>
  </si>
  <si>
    <t>031:02:29.03 N</t>
  </si>
  <si>
    <t>089:51:31.79 W</t>
  </si>
  <si>
    <t>031:02:20.84 N</t>
  </si>
  <si>
    <t>031:02:19.84 N</t>
  </si>
  <si>
    <t>089:51:22.44 W</t>
  </si>
  <si>
    <t>031:02:12.66 N</t>
  </si>
  <si>
    <t>089:51:16.72 W</t>
  </si>
  <si>
    <t>031:02:11.42 N</t>
  </si>
  <si>
    <t>089:51:14.95 W</t>
  </si>
  <si>
    <t>031:02:08.64 N</t>
  </si>
  <si>
    <t>089:51:14.18 W</t>
  </si>
  <si>
    <t>031:02:03.39 N</t>
  </si>
  <si>
    <t>089:51:11.63 W</t>
  </si>
  <si>
    <t>031:02:02.23 N</t>
  </si>
  <si>
    <t>089:51:11.01 W</t>
  </si>
  <si>
    <t>089:51:10.62 W</t>
  </si>
  <si>
    <t>031:01:53.50 N</t>
  </si>
  <si>
    <t>089:51:08.23 W</t>
  </si>
  <si>
    <t>031:01:50.49 N</t>
  </si>
  <si>
    <t>089:51:07.61 W</t>
  </si>
  <si>
    <t>031:01:42.61 N</t>
  </si>
  <si>
    <t>089:51:06.45 W</t>
  </si>
  <si>
    <t>031:01:39.59 N</t>
  </si>
  <si>
    <t>031:01:31.25 N</t>
  </si>
  <si>
    <t>089:51:06.68 W</t>
  </si>
  <si>
    <t>031:01:29.09 N</t>
  </si>
  <si>
    <t>031:01:23.22 N</t>
  </si>
  <si>
    <t>089:51:07.45 W</t>
  </si>
  <si>
    <t>031:01:20.51 N</t>
  </si>
  <si>
    <t>031:01:12.33 N</t>
  </si>
  <si>
    <t>089:51:09.00 W</t>
  </si>
  <si>
    <t>031:01:10.94 N</t>
  </si>
  <si>
    <t>089:51:09.15 W</t>
  </si>
  <si>
    <t>031:01:09.62 N</t>
  </si>
  <si>
    <t>089:51:09.46 W</t>
  </si>
  <si>
    <t>031:01:08.08 N</t>
  </si>
  <si>
    <t>089:51:09.62 W</t>
  </si>
  <si>
    <t>031:01:01.28 N</t>
  </si>
  <si>
    <t>089:51:10.93 W</t>
  </si>
  <si>
    <t>031:00:58.89 N</t>
  </si>
  <si>
    <t>089:51:11.39 W</t>
  </si>
  <si>
    <t>031:00:57.42 N</t>
  </si>
  <si>
    <t>089:51:11.78 W</t>
  </si>
  <si>
    <t>031:00:52.01 N</t>
  </si>
  <si>
    <t>089:51:12.86 W</t>
  </si>
  <si>
    <t>031:00:50.85 N</t>
  </si>
  <si>
    <t>089:51:13.02 W</t>
  </si>
  <si>
    <t>089:51:14.41 W</t>
  </si>
  <si>
    <t>031:00:42.97 N</t>
  </si>
  <si>
    <t>031:00:40.19 N</t>
  </si>
  <si>
    <t>031:00:37.64 N</t>
  </si>
  <si>
    <t>089:51:15.57 W</t>
  </si>
  <si>
    <t>031:00:29.76 N</t>
  </si>
  <si>
    <t>089:51:16.57 W</t>
  </si>
  <si>
    <t>031:00:28.29 N</t>
  </si>
  <si>
    <t>031:00:26.98 N</t>
  </si>
  <si>
    <t>089:51:17.11 W</t>
  </si>
  <si>
    <t>031:00:21.19 N</t>
  </si>
  <si>
    <t>089:51:17.73 W</t>
  </si>
  <si>
    <t>031:00:20.03 N</t>
  </si>
  <si>
    <t>089:51:17.96 W</t>
  </si>
  <si>
    <t>031:00:18.72 N</t>
  </si>
  <si>
    <t>089:51:18.12 W</t>
  </si>
  <si>
    <t>031:00:10.45 N</t>
  </si>
  <si>
    <t>089:51:18.89 W</t>
  </si>
  <si>
    <t>031:00:08.83 N</t>
  </si>
  <si>
    <t>089:51:19.04 W</t>
  </si>
  <si>
    <t>031:00:02.11 N</t>
  </si>
  <si>
    <t>030:59:59.71 N</t>
  </si>
  <si>
    <t>030:59:58.17 N</t>
  </si>
  <si>
    <t>089:51:19.81 W</t>
  </si>
  <si>
    <t>030:59:57.16 N</t>
  </si>
  <si>
    <t>089:51:20.28 W</t>
  </si>
  <si>
    <t>030:59:46.74 N</t>
  </si>
  <si>
    <t>089:51:20.20 W</t>
  </si>
  <si>
    <t>030:59:38.62 N</t>
  </si>
  <si>
    <t>030:59:37.23 N</t>
  </si>
  <si>
    <t>089:51:20.43 W</t>
  </si>
  <si>
    <t>030:59:35.77 N</t>
  </si>
  <si>
    <t>030:59:30.59 N</t>
  </si>
  <si>
    <t>030:59:29.43 N</t>
  </si>
  <si>
    <t>030:59:28.20 N</t>
  </si>
  <si>
    <t>030:59:20.16 N</t>
  </si>
  <si>
    <t>089:51:20.12 W</t>
  </si>
  <si>
    <t>030:59:11.20 N</t>
  </si>
  <si>
    <t>089:51:20.05 W</t>
  </si>
  <si>
    <t>030:59:09.81 N</t>
  </si>
  <si>
    <t>030:59:08.65 N</t>
  </si>
  <si>
    <t>089:51:19.89 W</t>
  </si>
  <si>
    <t>030:59:07.26 N</t>
  </si>
  <si>
    <t>030:59:01.78 N</t>
  </si>
  <si>
    <t>030:58:59.46 N</t>
  </si>
  <si>
    <t>030:58:51.66 N</t>
  </si>
  <si>
    <t>030:58:48.95 N</t>
  </si>
  <si>
    <t>030:58:42.16 N</t>
  </si>
  <si>
    <t>030:58:40.84 N</t>
  </si>
  <si>
    <t>030:58:39.53 N</t>
  </si>
  <si>
    <t>030:58:33.43 N</t>
  </si>
  <si>
    <t>030:58:31.73 N</t>
  </si>
  <si>
    <t>030:58:30.57 N</t>
  </si>
  <si>
    <t>089:51:20.51 W</t>
  </si>
  <si>
    <t>030:58:22.38 N</t>
  </si>
  <si>
    <t>030:58:11.88 N</t>
  </si>
  <si>
    <t>089:51:22.13 W</t>
  </si>
  <si>
    <t>030:58:05.93 N</t>
  </si>
  <si>
    <t>089:51:22.90 W</t>
  </si>
  <si>
    <t>030:57:59.59 N</t>
  </si>
  <si>
    <t>089:51:23.45 W</t>
  </si>
  <si>
    <t>030:57:58.36 N</t>
  </si>
  <si>
    <t>030:57:53.03 N</t>
  </si>
  <si>
    <t>089:51:24.06 W</t>
  </si>
  <si>
    <t>030:57:47.47 N</t>
  </si>
  <si>
    <t>089:51:24.68 W</t>
  </si>
  <si>
    <t>030:57:43.29 N</t>
  </si>
  <si>
    <t>089:51:24.84 W</t>
  </si>
  <si>
    <t>030:57:37.04 N</t>
  </si>
  <si>
    <t>089:51:25.22 W</t>
  </si>
  <si>
    <t>030:57:35.65 N</t>
  </si>
  <si>
    <t>030:57:34.26 N</t>
  </si>
  <si>
    <t>089:51:25.45 W</t>
  </si>
  <si>
    <t>030:57:26.38 N</t>
  </si>
  <si>
    <t>089:51:25.84 W</t>
  </si>
  <si>
    <t>030:57:25.22 N</t>
  </si>
  <si>
    <t>030:57:19.50 N</t>
  </si>
  <si>
    <t>030:57:18.34 N</t>
  </si>
  <si>
    <t>089:51:26.46 W</t>
  </si>
  <si>
    <t>030:57:10.15 N</t>
  </si>
  <si>
    <t>089:51:27.00 W</t>
  </si>
  <si>
    <t>030:57:07.76 N</t>
  </si>
  <si>
    <t>089:51:27.23 W</t>
  </si>
  <si>
    <t>030:57:00.42 N</t>
  </si>
  <si>
    <t>089:51:27.85 W</t>
  </si>
  <si>
    <t>030:56:59.03 N</t>
  </si>
  <si>
    <t>089:51:28.00 W</t>
  </si>
  <si>
    <t>030:56:57.41 N</t>
  </si>
  <si>
    <t>030:56:56.10 N</t>
  </si>
  <si>
    <t>089:51:28.23 W</t>
  </si>
  <si>
    <t>030:56:48.45 N</t>
  </si>
  <si>
    <t>089:51:28.78 W</t>
  </si>
  <si>
    <t>030:56:47.29 N</t>
  </si>
  <si>
    <t>030:56:45.98 N</t>
  </si>
  <si>
    <t>030:56:40.96 N</t>
  </si>
  <si>
    <t>030:56:39.41 N</t>
  </si>
  <si>
    <t>089:51:29.16 W</t>
  </si>
  <si>
    <t>030:56:38.10 N</t>
  </si>
  <si>
    <t>089:51:29.39 W</t>
  </si>
  <si>
    <t>030:56:29.83 N</t>
  </si>
  <si>
    <t>030:56:28.21 N</t>
  </si>
  <si>
    <t>089:51:29.62 W</t>
  </si>
  <si>
    <t>030:56:27.05 N</t>
  </si>
  <si>
    <t>030:56:19.09 N</t>
  </si>
  <si>
    <t>030:56:17.94 N</t>
  </si>
  <si>
    <t>030:56:11.29 N</t>
  </si>
  <si>
    <t>030:56:09.82 N</t>
  </si>
  <si>
    <t>030:56:07.58 N</t>
  </si>
  <si>
    <t>089:51:29.55 W</t>
  </si>
  <si>
    <t>030:56:05.11 N</t>
  </si>
  <si>
    <t>030:55:56.77 N</t>
  </si>
  <si>
    <t>030:55:53.91 N</t>
  </si>
  <si>
    <t>089:51:29.32 W</t>
  </si>
  <si>
    <t>030:55:43.56 N</t>
  </si>
  <si>
    <t>030:55:40.78 N</t>
  </si>
  <si>
    <t>030:55:33.60 N</t>
  </si>
  <si>
    <t>089:51:29.78 W</t>
  </si>
  <si>
    <t>030:55:32.13 N</t>
  </si>
  <si>
    <t>030:55:30.97 N</t>
  </si>
  <si>
    <t>030:55:22.94 N</t>
  </si>
  <si>
    <t>089:51:30.09 W</t>
  </si>
  <si>
    <t>030:55:21.78 N</t>
  </si>
  <si>
    <t>089:51:30.32 W</t>
  </si>
  <si>
    <t>030:55:20.23 N</t>
  </si>
  <si>
    <t>089:51:30.17 W</t>
  </si>
  <si>
    <t>030:55:12.74 N</t>
  </si>
  <si>
    <t>089:51:30.71 W</t>
  </si>
  <si>
    <t>030:55:11.73 N</t>
  </si>
  <si>
    <t>030:55:10.34 N</t>
  </si>
  <si>
    <t>089:51:30.78 W</t>
  </si>
  <si>
    <t>030:55:08.95 N</t>
  </si>
  <si>
    <t>089:51:31.02 W</t>
  </si>
  <si>
    <t>030:55:07.41 N</t>
  </si>
  <si>
    <t>089:51:31.25 W</t>
  </si>
  <si>
    <t>030:54:59.68 N</t>
  </si>
  <si>
    <t>089:51:32.41 W</t>
  </si>
  <si>
    <t>030:54:57.21 N</t>
  </si>
  <si>
    <t>089:51:33.18 W</t>
  </si>
  <si>
    <t>030:54:54.89 N</t>
  </si>
  <si>
    <t>089:51:33.56 W</t>
  </si>
  <si>
    <t>030:54:47.56 N</t>
  </si>
  <si>
    <t>089:51:35.73 W</t>
  </si>
  <si>
    <t>089:51:36.35 W</t>
  </si>
  <si>
    <t>030:54:38.29 N</t>
  </si>
  <si>
    <t>089:51:38.66 W</t>
  </si>
  <si>
    <t>030:54:37.13 N</t>
  </si>
  <si>
    <t>030:54:36.12 N</t>
  </si>
  <si>
    <t>089:51:39.51 W</t>
  </si>
  <si>
    <t>030:54:34.81 N</t>
  </si>
  <si>
    <t>089:51:39.82 W</t>
  </si>
  <si>
    <t>030:54:33.50 N</t>
  </si>
  <si>
    <t>089:51:40.36 W</t>
  </si>
  <si>
    <t>030:54:26.39 N</t>
  </si>
  <si>
    <t>089:51:42.91 W</t>
  </si>
  <si>
    <t>030:54:25.23 N</t>
  </si>
  <si>
    <t>089:51:43.30 W</t>
  </si>
  <si>
    <t>030:54:24.46 N</t>
  </si>
  <si>
    <t>089:51:43.68 W</t>
  </si>
  <si>
    <t>030:54:21.99 N</t>
  </si>
  <si>
    <t>089:51:44.46 W</t>
  </si>
  <si>
    <t>030:54:08.24 N</t>
  </si>
  <si>
    <t>089:51:50.10 W</t>
  </si>
  <si>
    <t>030:53:59.12 N</t>
  </si>
  <si>
    <t>089:51:54.11 W</t>
  </si>
  <si>
    <t>030:53:58.12 N</t>
  </si>
  <si>
    <t>030:53:57.11 N</t>
  </si>
  <si>
    <t>030:53:52.71 N</t>
  </si>
  <si>
    <t>030:53:51.63 N</t>
  </si>
  <si>
    <t>089:51:57.67 W</t>
  </si>
  <si>
    <t>030:53:50.47 N</t>
  </si>
  <si>
    <t>089:51:58.21 W</t>
  </si>
  <si>
    <t>030:53:48.38 N</t>
  </si>
  <si>
    <t>089:51:59.29 W</t>
  </si>
  <si>
    <t>030:53:41.74 N</t>
  </si>
  <si>
    <t>030:53:39.81 N</t>
  </si>
  <si>
    <t>089:52:03.38 W</t>
  </si>
  <si>
    <t>030:53:38.65 N</t>
  </si>
  <si>
    <t>030:53:31.70 N</t>
  </si>
  <si>
    <t>089:52:07.32 W</t>
  </si>
  <si>
    <t>089:52:07.71 W</t>
  </si>
  <si>
    <t>030:53:28.61 N</t>
  </si>
  <si>
    <t>089:52:08.79 W</t>
  </si>
  <si>
    <t>030:53:26.60 N</t>
  </si>
  <si>
    <t>030:53:19.88 N</t>
  </si>
  <si>
    <t>089:52:12.11 W</t>
  </si>
  <si>
    <t>030:53:18.18 N</t>
  </si>
  <si>
    <t>030:53:11.77 N</t>
  </si>
  <si>
    <t>030:53:09.68 N</t>
  </si>
  <si>
    <t>089:52:14.89 W</t>
  </si>
  <si>
    <t>030:53:05.43 N</t>
  </si>
  <si>
    <t>030:53:04.51 N</t>
  </si>
  <si>
    <t>030:53:03.50 N</t>
  </si>
  <si>
    <t>030:52:57.09 N</t>
  </si>
  <si>
    <t>030:52:50.68 N</t>
  </si>
  <si>
    <t>030:52:49.68 N</t>
  </si>
  <si>
    <t>030:52:48.67 N</t>
  </si>
  <si>
    <t>089:52:14.12 W</t>
  </si>
  <si>
    <t>030:52:46.66 N</t>
  </si>
  <si>
    <t>030:52:41.56 N</t>
  </si>
  <si>
    <t>030:52:39.63 N</t>
  </si>
  <si>
    <t>030:52:38.94 N</t>
  </si>
  <si>
    <t>030:52:38.01 N</t>
  </si>
  <si>
    <t>030:52:36.62 N</t>
  </si>
  <si>
    <t>089:52:08.33 W</t>
  </si>
  <si>
    <t>030:52:33.14 N</t>
  </si>
  <si>
    <t>089:52:05.62 W</t>
  </si>
  <si>
    <t>030:52:32.37 N</t>
  </si>
  <si>
    <t>089:52:05.00 W</t>
  </si>
  <si>
    <t>030:52:31.60 N</t>
  </si>
  <si>
    <t>030:52:30.90 N</t>
  </si>
  <si>
    <t>030:52:29.90 N</t>
  </si>
  <si>
    <t>030:52:25.42 N</t>
  </si>
  <si>
    <t>030:52:24.80 N</t>
  </si>
  <si>
    <t>030:52:24.26 N</t>
  </si>
  <si>
    <t>030:52:23.80 N</t>
  </si>
  <si>
    <t>089:51:53.57 W</t>
  </si>
  <si>
    <t>030:52:21.94 N</t>
  </si>
  <si>
    <t>030:52:21.71 N</t>
  </si>
  <si>
    <t>089:51:48.40 W</t>
  </si>
  <si>
    <t>030:52:21.40 N</t>
  </si>
  <si>
    <t>089:51:47.78 W</t>
  </si>
  <si>
    <t>030:52:19.86 N</t>
  </si>
  <si>
    <t>089:51:42.06 W</t>
  </si>
  <si>
    <t>030:52:19.70 N</t>
  </si>
  <si>
    <t>089:51:41.29 W</t>
  </si>
  <si>
    <t>030:52:19.55 N</t>
  </si>
  <si>
    <t>089:51:40.44 W</t>
  </si>
  <si>
    <t>030:52:18.55 N</t>
  </si>
  <si>
    <t>089:51:36.11 W</t>
  </si>
  <si>
    <t>030:52:18.24 N</t>
  </si>
  <si>
    <t>030:52:17.39 N</t>
  </si>
  <si>
    <t>030:52:17.23 N</t>
  </si>
  <si>
    <t>030:52:16.69 N</t>
  </si>
  <si>
    <t>030:52:16.00 N</t>
  </si>
  <si>
    <t>030:52:14.06 N</t>
  </si>
  <si>
    <t>030:52:13.68 N</t>
  </si>
  <si>
    <t>030:52:13.14 N</t>
  </si>
  <si>
    <t>030:52:12.37 N</t>
  </si>
  <si>
    <t>089:51:13.94 W</t>
  </si>
  <si>
    <t>030:52:09.28 N</t>
  </si>
  <si>
    <t>089:51:08.77 W</t>
  </si>
  <si>
    <t>030:52:08.66 N</t>
  </si>
  <si>
    <t>089:51:07.84 W</t>
  </si>
  <si>
    <t>030:52:08.12 N</t>
  </si>
  <si>
    <t>030:52:03.64 N</t>
  </si>
  <si>
    <t>089:51:02.51 W</t>
  </si>
  <si>
    <t>030:52:01.86 N</t>
  </si>
  <si>
    <t>089:51:01.20 W</t>
  </si>
  <si>
    <t>030:51:54.98 N</t>
  </si>
  <si>
    <t>089:50:58.34 W</t>
  </si>
  <si>
    <t>030:51:52.90 N</t>
  </si>
  <si>
    <t>089:50:57.72 W</t>
  </si>
  <si>
    <t>030:51:46.72 N</t>
  </si>
  <si>
    <t>030:51:44.56 N</t>
  </si>
  <si>
    <t>089:50:58.11 W</t>
  </si>
  <si>
    <t>030:51:39.61 N</t>
  </si>
  <si>
    <t>030:51:38.84 N</t>
  </si>
  <si>
    <t>030:51:37.84 N</t>
  </si>
  <si>
    <t>089:51:00.12 W</t>
  </si>
  <si>
    <t>030:51:36.99 N</t>
  </si>
  <si>
    <t>030:51:31.04 N</t>
  </si>
  <si>
    <t>089:51:03.52 W</t>
  </si>
  <si>
    <t>030:51:23.24 N</t>
  </si>
  <si>
    <t>089:51:08.07 W</t>
  </si>
  <si>
    <t>030:51:17.91 N</t>
  </si>
  <si>
    <t>030:51:14.28 N</t>
  </si>
  <si>
    <t>089:51:13.25 W</t>
  </si>
  <si>
    <t>030:51:09.79 N</t>
  </si>
  <si>
    <t>030:51:08.79 N</t>
  </si>
  <si>
    <t>030:51:05.31 N</t>
  </si>
  <si>
    <t>089:51:18.50 W</t>
  </si>
  <si>
    <t>030:51:04.31 N</t>
  </si>
  <si>
    <t>089:51:19.35 W</t>
  </si>
  <si>
    <t>030:51:03.23 N</t>
  </si>
  <si>
    <t>030:50:57.28 N</t>
  </si>
  <si>
    <t>089:51:23.14 W</t>
  </si>
  <si>
    <t>030:50:56.43 N</t>
  </si>
  <si>
    <t>030:50:52.65 N</t>
  </si>
  <si>
    <t>089:51:25.61 W</t>
  </si>
  <si>
    <t>030:50:50.87 N</t>
  </si>
  <si>
    <t>089:51:26.61 W</t>
  </si>
  <si>
    <t>030:50:49.86 N</t>
  </si>
  <si>
    <t>089:51:27.38 W</t>
  </si>
  <si>
    <t>030:50:45.23 N</t>
  </si>
  <si>
    <t>089:51:29.93 W</t>
  </si>
  <si>
    <t>030:50:43.07 N</t>
  </si>
  <si>
    <t>089:51:31.09 W</t>
  </si>
  <si>
    <t>030:50:37.04 N</t>
  </si>
  <si>
    <t>030:50:35.11 N</t>
  </si>
  <si>
    <t>030:50:31.25 N</t>
  </si>
  <si>
    <t>089:51:36.50 W</t>
  </si>
  <si>
    <t>030:50:30.40 N</t>
  </si>
  <si>
    <t>030:50:29.39 N</t>
  </si>
  <si>
    <t>089:51:37.27 W</t>
  </si>
  <si>
    <t>030:50:24.37 N</t>
  </si>
  <si>
    <t>089:51:39.28 W</t>
  </si>
  <si>
    <t>030:50:22.83 N</t>
  </si>
  <si>
    <t>030:50:17.88 N</t>
  </si>
  <si>
    <t>089:51:41.68 W</t>
  </si>
  <si>
    <t>030:50:17.03 N</t>
  </si>
  <si>
    <t>089:51:41.83 W</t>
  </si>
  <si>
    <t>030:50:16.11 N</t>
  </si>
  <si>
    <t>089:51:42.14 W</t>
  </si>
  <si>
    <t>030:50:11.63 N</t>
  </si>
  <si>
    <t>030:50:10.47 N</t>
  </si>
  <si>
    <t>030:50:09.70 N</t>
  </si>
  <si>
    <t>030:50:05.99 N</t>
  </si>
  <si>
    <t>030:50:04.21 N</t>
  </si>
  <si>
    <t>030:50:03.13 N</t>
  </si>
  <si>
    <t>089:51:46.23 W</t>
  </si>
  <si>
    <t>030:50:02.05 N</t>
  </si>
  <si>
    <t>089:51:46.39 W</t>
  </si>
  <si>
    <t>030:50:01.28 N</t>
  </si>
  <si>
    <t>089:51:46.77 W</t>
  </si>
  <si>
    <t>030:49:56.10 N</t>
  </si>
  <si>
    <t>089:51:48.01 W</t>
  </si>
  <si>
    <t>030:49:49.84 N</t>
  </si>
  <si>
    <t>089:51:49.32 W</t>
  </si>
  <si>
    <t>030:49:48.92 N</t>
  </si>
  <si>
    <t>030:49:47.83 N</t>
  </si>
  <si>
    <t>089:51:49.55 W</t>
  </si>
  <si>
    <t>030:49:43.28 N</t>
  </si>
  <si>
    <t>089:51:50.25 W</t>
  </si>
  <si>
    <t>030:49:38.18 N</t>
  </si>
  <si>
    <t>089:51:50.95 W</t>
  </si>
  <si>
    <t>089:51:51.02 W</t>
  </si>
  <si>
    <t>030:49:32.93 N</t>
  </si>
  <si>
    <t>089:51:51.33 W</t>
  </si>
  <si>
    <t>030:49:30.92 N</t>
  </si>
  <si>
    <t>089:51:51.56 W</t>
  </si>
  <si>
    <t>030:49:27.13 N</t>
  </si>
  <si>
    <t>089:51:51.64 W</t>
  </si>
  <si>
    <t>030:49:26.28 N</t>
  </si>
  <si>
    <t>030:49:24.58 N</t>
  </si>
  <si>
    <t>030:49:20.03 N</t>
  </si>
  <si>
    <t>089:51:51.80 W</t>
  </si>
  <si>
    <t>030:49:13.77 N</t>
  </si>
  <si>
    <t>089:51:52.18 W</t>
  </si>
  <si>
    <t>030:49:12.30 N</t>
  </si>
  <si>
    <t>089:51:52.57 W</t>
  </si>
  <si>
    <t>030:49:10.68 N</t>
  </si>
  <si>
    <t>030:49:06.35 N</t>
  </si>
  <si>
    <t>030:49:03.57 N</t>
  </si>
  <si>
    <t>089:51:53.19 W</t>
  </si>
  <si>
    <t>030:48:59.09 N</t>
  </si>
  <si>
    <t>030:48:53.07 N</t>
  </si>
  <si>
    <t>030:48:47.89 N</t>
  </si>
  <si>
    <t>030:48:43.18 N</t>
  </si>
  <si>
    <t>089:51:53.11 W</t>
  </si>
  <si>
    <t>030:48:41.63 N</t>
  </si>
  <si>
    <t>030:48:40.63 N</t>
  </si>
  <si>
    <t>030:48:39.63 N</t>
  </si>
  <si>
    <t>030:48:34.60 N</t>
  </si>
  <si>
    <t>030:48:33.75 N</t>
  </si>
  <si>
    <t>089:51:52.41 W</t>
  </si>
  <si>
    <t>030:48:32.60 N</t>
  </si>
  <si>
    <t>089:51:52.34 W</t>
  </si>
  <si>
    <t>030:48:25.57 N</t>
  </si>
  <si>
    <t>089:51:51.95 W</t>
  </si>
  <si>
    <t>030:48:21.70 N</t>
  </si>
  <si>
    <t>030:48:19.93 N</t>
  </si>
  <si>
    <t>089:51:51.25 W</t>
  </si>
  <si>
    <t>030:48:17.92 N</t>
  </si>
  <si>
    <t>030:48:12.51 N</t>
  </si>
  <si>
    <t>030:48:11.51 N</t>
  </si>
  <si>
    <t>089:51:49.94 W</t>
  </si>
  <si>
    <t>030:48:06.41 N</t>
  </si>
  <si>
    <t>089:51:48.94 W</t>
  </si>
  <si>
    <t>030:48:04.79 N</t>
  </si>
  <si>
    <t>030:47:57.83 N</t>
  </si>
  <si>
    <t>030:47:55.90 N</t>
  </si>
  <si>
    <t>030:47:54.82 N</t>
  </si>
  <si>
    <t>030:47:50.42 N</t>
  </si>
  <si>
    <t>030:47:49.57 N</t>
  </si>
  <si>
    <t>089:51:43.84 W</t>
  </si>
  <si>
    <t>030:47:45.01 N</t>
  </si>
  <si>
    <t>089:51:42.22 W</t>
  </si>
  <si>
    <t>030:47:43.16 N</t>
  </si>
  <si>
    <t>089:51:41.37 W</t>
  </si>
  <si>
    <t>030:47:38.14 N</t>
  </si>
  <si>
    <t>030:47:37.13 N</t>
  </si>
  <si>
    <t>030:47:32.42 N</t>
  </si>
  <si>
    <t>030:47:30.26 N</t>
  </si>
  <si>
    <t>089:51:35.34 W</t>
  </si>
  <si>
    <t>030:47:25.24 N</t>
  </si>
  <si>
    <t>089:51:32.79 W</t>
  </si>
  <si>
    <t>030:47:23.38 N</t>
  </si>
  <si>
    <t>089:51:31.87 W</t>
  </si>
  <si>
    <t>030:47:22.38 N</t>
  </si>
  <si>
    <t>030:47:21.61 N</t>
  </si>
  <si>
    <t>030:47:17.20 N</t>
  </si>
  <si>
    <t>089:51:28.39 W</t>
  </si>
  <si>
    <t>030:47:16.28 N</t>
  </si>
  <si>
    <t>089:51:27.77 W</t>
  </si>
  <si>
    <t>030:47:11.87 N</t>
  </si>
  <si>
    <t>030:47:10.87 N</t>
  </si>
  <si>
    <t>030:47:09.40 N</t>
  </si>
  <si>
    <t>089:51:23.91 W</t>
  </si>
  <si>
    <t>030:47:04.46 N</t>
  </si>
  <si>
    <t>089:51:20.82 W</t>
  </si>
  <si>
    <t>030:47:02.60 N</t>
  </si>
  <si>
    <t>089:51:19.51 W</t>
  </si>
  <si>
    <t>030:46:57.58 N</t>
  </si>
  <si>
    <t>030:46:52.71 N</t>
  </si>
  <si>
    <t>089:51:12.40 W</t>
  </si>
  <si>
    <t>030:46:50.71 N</t>
  </si>
  <si>
    <t>089:51:10.78 W</t>
  </si>
  <si>
    <t>030:46:46.61 N</t>
  </si>
  <si>
    <t>030:46:45.69 N</t>
  </si>
  <si>
    <t>089:51:06.84 W</t>
  </si>
  <si>
    <t>030:46:44.68 N</t>
  </si>
  <si>
    <t>089:51:06.06 W</t>
  </si>
  <si>
    <t>030:46:41.20 N</t>
  </si>
  <si>
    <t>030:46:39.51 N</t>
  </si>
  <si>
    <t>089:51:01.89 W</t>
  </si>
  <si>
    <t>030:46:37.96 N</t>
  </si>
  <si>
    <t>030:46:36.42 N</t>
  </si>
  <si>
    <t>030:46:31.47 N</t>
  </si>
  <si>
    <t>089:50:54.79 W</t>
  </si>
  <si>
    <t>030:46:29.62 N</t>
  </si>
  <si>
    <t>030:46:28.00 N</t>
  </si>
  <si>
    <t>030:46:27.15 N</t>
  </si>
  <si>
    <t>030:46:23.21 N</t>
  </si>
  <si>
    <t>030:46:22.43 N</t>
  </si>
  <si>
    <t>089:50:46.91 W</t>
  </si>
  <si>
    <t>030:46:21.58 N</t>
  </si>
  <si>
    <t>030:46:17.57 N</t>
  </si>
  <si>
    <t>030:46:16.79 N</t>
  </si>
  <si>
    <t>030:46:11.16 N</t>
  </si>
  <si>
    <t>030:46:10.23 N</t>
  </si>
  <si>
    <t>089:50:36.40 W</t>
  </si>
  <si>
    <t>030:46:09.15 N</t>
  </si>
  <si>
    <t>030:46:04.98 N</t>
  </si>
  <si>
    <t>089:50:31.69 W</t>
  </si>
  <si>
    <t>030:46:03.51 N</t>
  </si>
  <si>
    <t>030:46:02.27 N</t>
  </si>
  <si>
    <t>089:50:29.22 W</t>
  </si>
  <si>
    <t>030:45:57.64 N</t>
  </si>
  <si>
    <t>089:50:25.12 W</t>
  </si>
  <si>
    <t>030:45:55.86 N</t>
  </si>
  <si>
    <t>089:50:23.58 W</t>
  </si>
  <si>
    <t>030:45:52.08 N</t>
  </si>
  <si>
    <t>089:50:20.49 W</t>
  </si>
  <si>
    <t>030:45:50.92 N</t>
  </si>
  <si>
    <t>089:50:19.41 W</t>
  </si>
  <si>
    <t>030:45:50.07 N</t>
  </si>
  <si>
    <t>089:50:18.79 W</t>
  </si>
  <si>
    <t>030:45:44.20 N</t>
  </si>
  <si>
    <t>089:50:14.08 W</t>
  </si>
  <si>
    <t>030:45:43.19 N</t>
  </si>
  <si>
    <t>089:50:13.23 W</t>
  </si>
  <si>
    <t>030:45:38.25 N</t>
  </si>
  <si>
    <t>089:50:09.06 W</t>
  </si>
  <si>
    <t>030:45:24.96 N</t>
  </si>
  <si>
    <t>089:49:57.85 W</t>
  </si>
  <si>
    <t>030:45:24.03 N</t>
  </si>
  <si>
    <t>089:49:57.24 W</t>
  </si>
  <si>
    <t>030:45:22.88 N</t>
  </si>
  <si>
    <t>089:49:56.23 W</t>
  </si>
  <si>
    <t>030:45:14.30 N</t>
  </si>
  <si>
    <t>089:49:48.51 W</t>
  </si>
  <si>
    <t>030:45:08.35 N</t>
  </si>
  <si>
    <t>089:49:43.18 W</t>
  </si>
  <si>
    <t>030:45:06.58 N</t>
  </si>
  <si>
    <t>089:49:41.71 W</t>
  </si>
  <si>
    <t>030:45:05.80 N</t>
  </si>
  <si>
    <t>089:49:40.78 W</t>
  </si>
  <si>
    <t>030:45:00.47 N</t>
  </si>
  <si>
    <t>089:49:36.07 W</t>
  </si>
  <si>
    <t>030:44:59.16 N</t>
  </si>
  <si>
    <t>089:49:35.14 W</t>
  </si>
  <si>
    <t>030:44:58.08 N</t>
  </si>
  <si>
    <t>089:49:34.14 W</t>
  </si>
  <si>
    <t>030:44:57.31 N</t>
  </si>
  <si>
    <t>089:49:33.14 W</t>
  </si>
  <si>
    <t>030:44:52.59 N</t>
  </si>
  <si>
    <t>089:49:28.96 W</t>
  </si>
  <si>
    <t>030:44:50.28 N</t>
  </si>
  <si>
    <t>089:49:26.80 W</t>
  </si>
  <si>
    <t>030:44:46.49 N</t>
  </si>
  <si>
    <t>089:49:23.33 W</t>
  </si>
  <si>
    <t>030:44:44.48 N</t>
  </si>
  <si>
    <t>089:49:21.39 W</t>
  </si>
  <si>
    <t>030:44:38.23 N</t>
  </si>
  <si>
    <t>089:49:15.52 W</t>
  </si>
  <si>
    <t>030:44:37.15 N</t>
  </si>
  <si>
    <t>089:49:14.75 W</t>
  </si>
  <si>
    <t>030:44:36.14 N</t>
  </si>
  <si>
    <t>089:49:13.51 W</t>
  </si>
  <si>
    <t>030:44:34.29 N</t>
  </si>
  <si>
    <t>089:49:11.89 W</t>
  </si>
  <si>
    <t>030:44:28.96 N</t>
  </si>
  <si>
    <t>089:49:06.79 W</t>
  </si>
  <si>
    <t>030:44:28.11 N</t>
  </si>
  <si>
    <t>089:49:06.02 W</t>
  </si>
  <si>
    <t>030:44:27.03 N</t>
  </si>
  <si>
    <t>089:49:04.86 W</t>
  </si>
  <si>
    <t>030:44:25.79 N</t>
  </si>
  <si>
    <t>089:49:03.86 W</t>
  </si>
  <si>
    <t>030:44:19.92 N</t>
  </si>
  <si>
    <t>089:48:58.14 W</t>
  </si>
  <si>
    <t>030:44:18.84 N</t>
  </si>
  <si>
    <t>089:48:57.29 W</t>
  </si>
  <si>
    <t>030:44:17.99 N</t>
  </si>
  <si>
    <t>089:48:56.52 W</t>
  </si>
  <si>
    <t>030:44:16.13 N</t>
  </si>
  <si>
    <t>089:48:54.82 W</t>
  </si>
  <si>
    <t>030:44:09.72 N</t>
  </si>
  <si>
    <t>089:48:48.80 W</t>
  </si>
  <si>
    <t>030:44:08.64 N</t>
  </si>
  <si>
    <t>089:48:47.64 W</t>
  </si>
  <si>
    <t>030:44:07.64 N</t>
  </si>
  <si>
    <t>089:48:46.86 W</t>
  </si>
  <si>
    <t>089:48:43.08 W</t>
  </si>
  <si>
    <t>030:44:01.77 N</t>
  </si>
  <si>
    <t>089:48:41.30 W</t>
  </si>
  <si>
    <t>030:44:00.84 N</t>
  </si>
  <si>
    <t>030:43:55.43 N</t>
  </si>
  <si>
    <t>089:48:35.74 W</t>
  </si>
  <si>
    <t>030:43:49.41 N</t>
  </si>
  <si>
    <t>089:48:30.64 W</t>
  </si>
  <si>
    <t>030:43:48.40 N</t>
  </si>
  <si>
    <t>089:48:29.87 W</t>
  </si>
  <si>
    <t>030:43:46.16 N</t>
  </si>
  <si>
    <t>030:43:41.53 N</t>
  </si>
  <si>
    <t>089:48:24.08 W</t>
  </si>
  <si>
    <t>030:43:39.52 N</t>
  </si>
  <si>
    <t>089:48:22.53 W</t>
  </si>
  <si>
    <t>030:43:38.59 N</t>
  </si>
  <si>
    <t>089:48:21.68 W</t>
  </si>
  <si>
    <t>030:43:33.65 N</t>
  </si>
  <si>
    <t>089:48:17.74 W</t>
  </si>
  <si>
    <t>030:43:32.64 N</t>
  </si>
  <si>
    <t>089:48:16.81 W</t>
  </si>
  <si>
    <t>030:43:31.79 N</t>
  </si>
  <si>
    <t>089:48:15.97 W</t>
  </si>
  <si>
    <t>030:43:30.48 N</t>
  </si>
  <si>
    <t>089:48:15.04 W</t>
  </si>
  <si>
    <t>030:43:25.77 N</t>
  </si>
  <si>
    <t>089:48:10.87 W</t>
  </si>
  <si>
    <t>030:43:24.61 N</t>
  </si>
  <si>
    <t>089:48:10.02 W</t>
  </si>
  <si>
    <t>030:43:23.45 N</t>
  </si>
  <si>
    <t>089:48:09.09 W</t>
  </si>
  <si>
    <t>030:43:22.45 N</t>
  </si>
  <si>
    <t>089:48:08.32 W</t>
  </si>
  <si>
    <t>030:43:16.34 N</t>
  </si>
  <si>
    <t>089:48:02.83 W</t>
  </si>
  <si>
    <t>030:43:15.19 N</t>
  </si>
  <si>
    <t>089:48:01.91 W</t>
  </si>
  <si>
    <t>030:43:14.18 N</t>
  </si>
  <si>
    <t>089:48:00.98 W</t>
  </si>
  <si>
    <t>030:43:07.92 N</t>
  </si>
  <si>
    <t>089:47:55.26 W</t>
  </si>
  <si>
    <t>030:43:05.68 N</t>
  </si>
  <si>
    <t>089:47:53.25 W</t>
  </si>
  <si>
    <t>030:43:01.67 N</t>
  </si>
  <si>
    <t>030:43:00.51 N</t>
  </si>
  <si>
    <t>030:42:59.50 N</t>
  </si>
  <si>
    <t>089:47:47.69 W</t>
  </si>
  <si>
    <t>030:42:55.41 N</t>
  </si>
  <si>
    <t>089:47:43.83 W</t>
  </si>
  <si>
    <t>030:42:53.40 N</t>
  </si>
  <si>
    <t>089:47:41.98 W</t>
  </si>
  <si>
    <t>030:42:52.32 N</t>
  </si>
  <si>
    <t>089:47:40.74 W</t>
  </si>
  <si>
    <t>030:42:47.07 N</t>
  </si>
  <si>
    <t>089:47:35.87 W</t>
  </si>
  <si>
    <t>030:42:45.37 N</t>
  </si>
  <si>
    <t>089:47:34.25 W</t>
  </si>
  <si>
    <t>030:42:40.89 N</t>
  </si>
  <si>
    <t>089:47:30.08 W</t>
  </si>
  <si>
    <t>030:42:39.65 N</t>
  </si>
  <si>
    <t>089:47:28.92 W</t>
  </si>
  <si>
    <t>030:42:38.65 N</t>
  </si>
  <si>
    <t>089:47:28.15 W</t>
  </si>
  <si>
    <t>030:42:32.70 N</t>
  </si>
  <si>
    <t>089:47:22.36 W</t>
  </si>
  <si>
    <t>030:42:31.69 N</t>
  </si>
  <si>
    <t>089:47:21.58 W</t>
  </si>
  <si>
    <t>030:42:30.61 N</t>
  </si>
  <si>
    <t>089:47:20.42 W</t>
  </si>
  <si>
    <t>030:42:25.75 N</t>
  </si>
  <si>
    <t>089:47:15.71 W</t>
  </si>
  <si>
    <t>030:42:24.59 N</t>
  </si>
  <si>
    <t>089:47:14.79 W</t>
  </si>
  <si>
    <t>030:42:23.58 N</t>
  </si>
  <si>
    <t>089:47:13.63 W</t>
  </si>
  <si>
    <t>030:42:18.56 N</t>
  </si>
  <si>
    <t>089:47:08.76 W</t>
  </si>
  <si>
    <t>030:42:16.55 N</t>
  </si>
  <si>
    <t>089:47:06.98 W</t>
  </si>
  <si>
    <t>030:42:15.70 N</t>
  </si>
  <si>
    <t>089:47:06.06 W</t>
  </si>
  <si>
    <t>030:42:14.85 N</t>
  </si>
  <si>
    <t>089:47:05.28 W</t>
  </si>
  <si>
    <t>030:42:08.13 N</t>
  </si>
  <si>
    <t>089:46:58.87 W</t>
  </si>
  <si>
    <t>030:41:57.94 N</t>
  </si>
  <si>
    <t>089:46:49.76 W</t>
  </si>
  <si>
    <t>030:41:53.61 N</t>
  </si>
  <si>
    <t>089:46:46.05 W</t>
  </si>
  <si>
    <t>030:41:52.61 N</t>
  </si>
  <si>
    <t>089:46:45.04 W</t>
  </si>
  <si>
    <t>030:41:51.76 N</t>
  </si>
  <si>
    <t>089:46:44.27 W</t>
  </si>
  <si>
    <t>030:41:43.26 N</t>
  </si>
  <si>
    <t>089:46:36.39 W</t>
  </si>
  <si>
    <t>030:41:42.10 N</t>
  </si>
  <si>
    <t>089:46:35.39 W</t>
  </si>
  <si>
    <t>030:41:40.87 N</t>
  </si>
  <si>
    <t>089:46:34.38 W</t>
  </si>
  <si>
    <t>030:41:39.94 N</t>
  </si>
  <si>
    <t>089:46:33.46 W</t>
  </si>
  <si>
    <t>030:41:34.69 N</t>
  </si>
  <si>
    <t>030:41:32.68 N</t>
  </si>
  <si>
    <t>089:46:26.81 W</t>
  </si>
  <si>
    <t>030:41:31.52 N</t>
  </si>
  <si>
    <t>089:46:25.73 W</t>
  </si>
  <si>
    <t>030:41:30.75 N</t>
  </si>
  <si>
    <t>089:46:24.96 W</t>
  </si>
  <si>
    <t>030:41:25.26 N</t>
  </si>
  <si>
    <t>089:46:20.09 W</t>
  </si>
  <si>
    <t>030:41:24.26 N</t>
  </si>
  <si>
    <t>089:46:19.32 W</t>
  </si>
  <si>
    <t>030:41:22.94 N</t>
  </si>
  <si>
    <t>089:46:18.16 W</t>
  </si>
  <si>
    <t>030:41:22.17 N</t>
  </si>
  <si>
    <t>030:41:20.09 N</t>
  </si>
  <si>
    <t>089:46:15.54 W</t>
  </si>
  <si>
    <t>030:41:13.75 N</t>
  </si>
  <si>
    <t>089:46:10.05 W</t>
  </si>
  <si>
    <t>030:41:11.67 N</t>
  </si>
  <si>
    <t>089:46:08.04 W</t>
  </si>
  <si>
    <t>030:41:10.43 N</t>
  </si>
  <si>
    <t>089:46:06.88 W</t>
  </si>
  <si>
    <t>030:41:05.18 N</t>
  </si>
  <si>
    <t>089:46:02.48 W</t>
  </si>
  <si>
    <t>030:41:02.71 N</t>
  </si>
  <si>
    <t>089:46:00.16 W</t>
  </si>
  <si>
    <t>030:40:57.61 N</t>
  </si>
  <si>
    <t>089:45:55.68 W</t>
  </si>
  <si>
    <t>030:40:56.29 N</t>
  </si>
  <si>
    <t>030:40:51.27 N</t>
  </si>
  <si>
    <t>030:40:50.11 N</t>
  </si>
  <si>
    <t>089:45:49.27 W</t>
  </si>
  <si>
    <t>030:40:49.03 N</t>
  </si>
  <si>
    <t>089:45:48.27 W</t>
  </si>
  <si>
    <t>030:40:48.03 N</t>
  </si>
  <si>
    <t>089:45:47.50 W</t>
  </si>
  <si>
    <t>030:40:46.25 N</t>
  </si>
  <si>
    <t>089:45:45.80 W</t>
  </si>
  <si>
    <t>030:40:39.30 N</t>
  </si>
  <si>
    <t>030:40:37.99 N</t>
  </si>
  <si>
    <t>030:40:36.98 N</t>
  </si>
  <si>
    <t>089:45:37.99 W</t>
  </si>
  <si>
    <t>030:40:35.21 N</t>
  </si>
  <si>
    <t>089:45:36.29 W</t>
  </si>
  <si>
    <t>030:40:30.88 N</t>
  </si>
  <si>
    <t>089:45:32.59 W</t>
  </si>
  <si>
    <t>030:40:29.64 N</t>
  </si>
  <si>
    <t>089:45:31.43 W</t>
  </si>
  <si>
    <t>030:40:28.64 N</t>
  </si>
  <si>
    <t>089:45:30.66 W</t>
  </si>
  <si>
    <t>030:40:22.92 N</t>
  </si>
  <si>
    <t>089:45:25.71 W</t>
  </si>
  <si>
    <t>030:40:21.92 N</t>
  </si>
  <si>
    <t>089:45:24.55 W</t>
  </si>
  <si>
    <t>030:40:16.74 N</t>
  </si>
  <si>
    <t>089:45:20.00 W</t>
  </si>
  <si>
    <t>089:45:18.99 W</t>
  </si>
  <si>
    <t>030:40:14.35 N</t>
  </si>
  <si>
    <t>089:45:17.83 W</t>
  </si>
  <si>
    <t>030:40:13.58 N</t>
  </si>
  <si>
    <t>089:45:17.06 W</t>
  </si>
  <si>
    <t>030:40:12.26 N</t>
  </si>
  <si>
    <t>089:45:16.13 W</t>
  </si>
  <si>
    <t>030:40:11.34 N</t>
  </si>
  <si>
    <t>089:45:15.05 W</t>
  </si>
  <si>
    <t>030:40:05.16 N</t>
  </si>
  <si>
    <t>089:45:09.33 W</t>
  </si>
  <si>
    <t>030:40:03.38 N</t>
  </si>
  <si>
    <t>089:45:07.56 W</t>
  </si>
  <si>
    <t>030:39:56.97 N</t>
  </si>
  <si>
    <t>089:45:02.00 W</t>
  </si>
  <si>
    <t>030:39:51.33 N</t>
  </si>
  <si>
    <t>089:44:57.52 W</t>
  </si>
  <si>
    <t>030:39:50.32 N</t>
  </si>
  <si>
    <t>089:44:56.74 W</t>
  </si>
  <si>
    <t>030:39:48.24 N</t>
  </si>
  <si>
    <t>089:44:54.89 W</t>
  </si>
  <si>
    <t>030:39:41.29 N</t>
  </si>
  <si>
    <t>089:44:49.71 W</t>
  </si>
  <si>
    <t>030:39:40.21 N</t>
  </si>
  <si>
    <t>089:44:48.79 W</t>
  </si>
  <si>
    <t>030:39:35.18 N</t>
  </si>
  <si>
    <t>089:44:44.62 W</t>
  </si>
  <si>
    <t>030:39:34.18 N</t>
  </si>
  <si>
    <t>089:44:44.00 W</t>
  </si>
  <si>
    <t>030:39:33.02 N</t>
  </si>
  <si>
    <t>089:44:43.15 W</t>
  </si>
  <si>
    <t>030:39:26.46 N</t>
  </si>
  <si>
    <t>089:44:37.28 W</t>
  </si>
  <si>
    <t>030:39:21.36 N</t>
  </si>
  <si>
    <t>089:44:32.87 W</t>
  </si>
  <si>
    <t>030:39:20.35 N</t>
  </si>
  <si>
    <t>089:44:32.10 W</t>
  </si>
  <si>
    <t>030:39:18.27 N</t>
  </si>
  <si>
    <t>089:44:30.17 W</t>
  </si>
  <si>
    <t>030:39:12.78 N</t>
  </si>
  <si>
    <t>089:44:25.30 W</t>
  </si>
  <si>
    <t>030:39:11.70 N</t>
  </si>
  <si>
    <t>089:44:24.22 W</t>
  </si>
  <si>
    <t>030:39:09.46 N</t>
  </si>
  <si>
    <t>089:44:22.21 W</t>
  </si>
  <si>
    <t>030:39:03.36 N</t>
  </si>
  <si>
    <t>089:44:16.96 W</t>
  </si>
  <si>
    <t>030:39:01.04 N</t>
  </si>
  <si>
    <t>089:44:14.88 W</t>
  </si>
  <si>
    <t>030:38:56.64 N</t>
  </si>
  <si>
    <t>089:44:11.01 W</t>
  </si>
  <si>
    <t>030:38:55.48 N</t>
  </si>
  <si>
    <t>089:44:09.78 W</t>
  </si>
  <si>
    <t>030:38:54.47 N</t>
  </si>
  <si>
    <t>089:44:09.24 W</t>
  </si>
  <si>
    <t>030:38:47.91 N</t>
  </si>
  <si>
    <t>089:44:03.44 W</t>
  </si>
  <si>
    <t>030:38:46.60 N</t>
  </si>
  <si>
    <t>089:44:02.28 W</t>
  </si>
  <si>
    <t>089:43:57.57 W</t>
  </si>
  <si>
    <t>030:38:36.86 N</t>
  </si>
  <si>
    <t>089:43:53.94 W</t>
  </si>
  <si>
    <t>030:38:34.85 N</t>
  </si>
  <si>
    <t>089:43:52.40 W</t>
  </si>
  <si>
    <t>089:43:51.62 W</t>
  </si>
  <si>
    <t>030:38:32.69 N</t>
  </si>
  <si>
    <t>089:43:50.62 W</t>
  </si>
  <si>
    <t>030:38:20.56 N</t>
  </si>
  <si>
    <t>089:43:43.05 W</t>
  </si>
  <si>
    <t>030:38:19.10 N</t>
  </si>
  <si>
    <t>089:43:42.51 W</t>
  </si>
  <si>
    <t>030:38:12.68 N</t>
  </si>
  <si>
    <t>089:43:39.96 W</t>
  </si>
  <si>
    <t>030:38:06.89 N</t>
  </si>
  <si>
    <t>089:43:38.41 W</t>
  </si>
  <si>
    <t>030:38:04.42 N</t>
  </si>
  <si>
    <t>089:43:37.80 W</t>
  </si>
  <si>
    <t>030:38:02.80 N</t>
  </si>
  <si>
    <t>089:43:37.72 W</t>
  </si>
  <si>
    <t>030:37:54.76 N</t>
  </si>
  <si>
    <t>089:43:37.33 W</t>
  </si>
  <si>
    <t>030:37:52.99 N</t>
  </si>
  <si>
    <t>089:43:37.41 W</t>
  </si>
  <si>
    <t>030:37:51.60 N</t>
  </si>
  <si>
    <t>089:43:37.56 W</t>
  </si>
  <si>
    <t>030:37:45.72 N</t>
  </si>
  <si>
    <t>089:43:38.34 W</t>
  </si>
  <si>
    <t>030:37:44.57 N</t>
  </si>
  <si>
    <t>089:43:38.72 W</t>
  </si>
  <si>
    <t>030:37:42.17 N</t>
  </si>
  <si>
    <t>089:43:39.19 W</t>
  </si>
  <si>
    <t>030:37:39.00 N</t>
  </si>
  <si>
    <t>089:43:40.11 W</t>
  </si>
  <si>
    <t>030:37:31.28 N</t>
  </si>
  <si>
    <t>089:43:43.28 W</t>
  </si>
  <si>
    <t>030:37:28.50 N</t>
  </si>
  <si>
    <t>089:43:44.67 W</t>
  </si>
  <si>
    <t>030:37:23.48 N</t>
  </si>
  <si>
    <t>089:43:47.84 W</t>
  </si>
  <si>
    <t>030:37:20.93 N</t>
  </si>
  <si>
    <t>089:43:49.62 W</t>
  </si>
  <si>
    <t>030:37:13.59 N</t>
  </si>
  <si>
    <t>089:43:55.56 W</t>
  </si>
  <si>
    <t>030:37:11.50 N</t>
  </si>
  <si>
    <t>030:37:05.48 N</t>
  </si>
  <si>
    <t>030:37:04.40 N</t>
  </si>
  <si>
    <t>089:44:04.76 W</t>
  </si>
  <si>
    <t>030:37:03.32 N</t>
  </si>
  <si>
    <t>089:44:06.22 W</t>
  </si>
  <si>
    <t>030:36:58.68 N</t>
  </si>
  <si>
    <t>089:44:11.55 W</t>
  </si>
  <si>
    <t>030:36:57.44 N</t>
  </si>
  <si>
    <t>089:44:12.94 W</t>
  </si>
  <si>
    <t>030:36:55.82 N</t>
  </si>
  <si>
    <t>089:44:15.11 W</t>
  </si>
  <si>
    <t>030:36:52.11 N</t>
  </si>
  <si>
    <t>089:44:20.05 W</t>
  </si>
  <si>
    <t>030:36:50.41 N</t>
  </si>
  <si>
    <t>089:44:22.60 W</t>
  </si>
  <si>
    <t>030:36:44.78 N</t>
  </si>
  <si>
    <t>089:44:30.32 W</t>
  </si>
  <si>
    <t>089:44:32.49 W</t>
  </si>
  <si>
    <t>030:36:37.90 N</t>
  </si>
  <si>
    <t>089:44:40.68 W</t>
  </si>
  <si>
    <t>030:36:36.20 N</t>
  </si>
  <si>
    <t>089:44:42.76 W</t>
  </si>
  <si>
    <t>030:36:32.65 N</t>
  </si>
  <si>
    <t>089:44:48.17 W</t>
  </si>
  <si>
    <t>030:36:31.18 N</t>
  </si>
  <si>
    <t>089:44:50.33 W</t>
  </si>
  <si>
    <t>030:36:25.85 N</t>
  </si>
  <si>
    <t>089:44:58.29 W</t>
  </si>
  <si>
    <t>030:36:24.15 N</t>
  </si>
  <si>
    <t>089:45:00.84 W</t>
  </si>
  <si>
    <t>030:36:18.90 N</t>
  </si>
  <si>
    <t>089:45:08.56 W</t>
  </si>
  <si>
    <t>030:36:17.28 N</t>
  </si>
  <si>
    <t>089:45:11.11 W</t>
  </si>
  <si>
    <t>030:36:11.71 N</t>
  </si>
  <si>
    <t>089:45:19.38 W</t>
  </si>
  <si>
    <t>030:36:10.01 N</t>
  </si>
  <si>
    <t>089:45:21.93 W</t>
  </si>
  <si>
    <t>030:36:08.16 N</t>
  </si>
  <si>
    <t>030:36:02.91 N</t>
  </si>
  <si>
    <t>089:45:32.05 W</t>
  </si>
  <si>
    <t>089:45:34.59 W</t>
  </si>
  <si>
    <t>030:35:55.88 N</t>
  </si>
  <si>
    <t>089:45:42.09 W</t>
  </si>
  <si>
    <t>030:35:53.95 N</t>
  </si>
  <si>
    <t>089:45:45.10 W</t>
  </si>
  <si>
    <t>030:35:48.77 N</t>
  </si>
  <si>
    <t>089:45:52.36 W</t>
  </si>
  <si>
    <t>030:35:47.15 N</t>
  </si>
  <si>
    <t>089:45:54.68 W</t>
  </si>
  <si>
    <t>030:35:43.05 N</t>
  </si>
  <si>
    <t>089:46:00.32 W</t>
  </si>
  <si>
    <t>030:35:41.51 N</t>
  </si>
  <si>
    <t>089:46:02.64 W</t>
  </si>
  <si>
    <t>030:35:35.87 N</t>
  </si>
  <si>
    <t>089:46:10.21 W</t>
  </si>
  <si>
    <t>030:35:33.94 N</t>
  </si>
  <si>
    <t>089:46:12.91 W</t>
  </si>
  <si>
    <t>030:35:32.16 N</t>
  </si>
  <si>
    <t>089:46:15.38 W</t>
  </si>
  <si>
    <t>030:35:26.60 N</t>
  </si>
  <si>
    <t>089:46:22.87 W</t>
  </si>
  <si>
    <t>030:35:24.98 N</t>
  </si>
  <si>
    <t>089:46:25.04 W</t>
  </si>
  <si>
    <t>030:35:17.49 N</t>
  </si>
  <si>
    <t>089:46:35.23 W</t>
  </si>
  <si>
    <t>030:35:15.55 N</t>
  </si>
  <si>
    <t>089:46:37.71 W</t>
  </si>
  <si>
    <t>030:35:10.07 N</t>
  </si>
  <si>
    <t>089:46:45.28 W</t>
  </si>
  <si>
    <t>030:35:08.37 N</t>
  </si>
  <si>
    <t>089:46:47.59 W</t>
  </si>
  <si>
    <t>030:34:59.18 N</t>
  </si>
  <si>
    <t>030:34:52.07 N</t>
  </si>
  <si>
    <t>089:47:10.15 W</t>
  </si>
  <si>
    <t>030:34:50.14 N</t>
  </si>
  <si>
    <t>089:47:12.70 W</t>
  </si>
  <si>
    <t>030:34:44.81 N</t>
  </si>
  <si>
    <t>089:47:20.19 W</t>
  </si>
  <si>
    <t>030:34:43.03 N</t>
  </si>
  <si>
    <t>089:47:22.43 W</t>
  </si>
  <si>
    <t>030:34:41.41 N</t>
  </si>
  <si>
    <t>089:47:24.75 W</t>
  </si>
  <si>
    <t>030:34:35.85 N</t>
  </si>
  <si>
    <t>089:47:32.32 W</t>
  </si>
  <si>
    <t>030:34:34.00 N</t>
  </si>
  <si>
    <t>089:47:34.87 W</t>
  </si>
  <si>
    <t>030:34:32.30 N</t>
  </si>
  <si>
    <t>089:47:37.42 W</t>
  </si>
  <si>
    <t>030:34:28.67 N</t>
  </si>
  <si>
    <t>089:47:42.75 W</t>
  </si>
  <si>
    <t>030:34:26.89 N</t>
  </si>
  <si>
    <t>089:47:45.38 W</t>
  </si>
  <si>
    <t>030:34:23.26 N</t>
  </si>
  <si>
    <t>089:47:50.63 W</t>
  </si>
  <si>
    <t>030:34:21.40 N</t>
  </si>
  <si>
    <t>089:47:53.33 W</t>
  </si>
  <si>
    <t>030:34:15.77 N</t>
  </si>
  <si>
    <t>089:48:01.37 W</t>
  </si>
  <si>
    <t>030:34:14.14 N</t>
  </si>
  <si>
    <t>089:48:03.61 W</t>
  </si>
  <si>
    <t>030:34:12.52 N</t>
  </si>
  <si>
    <t>089:48:05.92 W</t>
  </si>
  <si>
    <t>030:34:07.19 N</t>
  </si>
  <si>
    <t>089:48:13.03 W</t>
  </si>
  <si>
    <t>030:34:05.41 N</t>
  </si>
  <si>
    <t>089:48:15.27 W</t>
  </si>
  <si>
    <t>030:33:58.85 N</t>
  </si>
  <si>
    <t>089:48:22.84 W</t>
  </si>
  <si>
    <t>030:33:56.99 N</t>
  </si>
  <si>
    <t>089:48:24.77 W</t>
  </si>
  <si>
    <t>030:33:50.43 N</t>
  </si>
  <si>
    <t>089:48:30.80 W</t>
  </si>
  <si>
    <t>030:33:47.96 N</t>
  </si>
  <si>
    <t>030:33:45.64 N</t>
  </si>
  <si>
    <t>089:48:34.66 W</t>
  </si>
  <si>
    <t>030:33:38.76 N</t>
  </si>
  <si>
    <t>089:48:39.91 W</t>
  </si>
  <si>
    <t>030:33:31.19 N</t>
  </si>
  <si>
    <t>089:48:44.55 W</t>
  </si>
  <si>
    <t>030:33:23.24 N</t>
  </si>
  <si>
    <t>030:33:20.76 N</t>
  </si>
  <si>
    <t>089:48:49.95 W</t>
  </si>
  <si>
    <t>089:48:53.58 W</t>
  </si>
  <si>
    <t>030:33:10.72 N</t>
  </si>
  <si>
    <t>030:33:03.00 N</t>
  </si>
  <si>
    <t>089:48:57.91 W</t>
  </si>
  <si>
    <t>030:32:55.27 N</t>
  </si>
  <si>
    <t>089:49:00.92 W</t>
  </si>
  <si>
    <t>030:32:52.26 N</t>
  </si>
  <si>
    <t>089:49:01.70 W</t>
  </si>
  <si>
    <t>030:32:44.54 N</t>
  </si>
  <si>
    <t>089:49:03.94 W</t>
  </si>
  <si>
    <t>030:32:35.81 N</t>
  </si>
  <si>
    <t>030:32:27.46 N</t>
  </si>
  <si>
    <t>089:49:08.03 W</t>
  </si>
  <si>
    <t>030:32:24.91 N</t>
  </si>
  <si>
    <t>089:49:08.57 W</t>
  </si>
  <si>
    <t>030:32:17.19 N</t>
  </si>
  <si>
    <t>030:32:14.41 N</t>
  </si>
  <si>
    <t>030:32:11.86 N</t>
  </si>
  <si>
    <t>089:49:11.27 W</t>
  </si>
  <si>
    <t>030:32:05.68 N</t>
  </si>
  <si>
    <t>089:49:12.36 W</t>
  </si>
  <si>
    <t>030:31:57.88 N</t>
  </si>
  <si>
    <t>030:31:55.41 N</t>
  </si>
  <si>
    <t>089:49:14.21 W</t>
  </si>
  <si>
    <t>030:31:52.32 N</t>
  </si>
  <si>
    <t>089:49:14.60 W</t>
  </si>
  <si>
    <t>030:31:44.51 N</t>
  </si>
  <si>
    <t>089:49:15.91 W</t>
  </si>
  <si>
    <t>030:31:33.16 N</t>
  </si>
  <si>
    <t>089:49:17.30 W</t>
  </si>
  <si>
    <t>030:31:25.13 N</t>
  </si>
  <si>
    <t>089:49:18.07 W</t>
  </si>
  <si>
    <t>030:31:22.11 N</t>
  </si>
  <si>
    <t>089:49:18.46 W</t>
  </si>
  <si>
    <t>030:31:05.74 N</t>
  </si>
  <si>
    <t>089:49:20.47 W</t>
  </si>
  <si>
    <t>030:31:03.50 N</t>
  </si>
  <si>
    <t>030:30:55.00 N</t>
  </si>
  <si>
    <t>089:49:21.63 W</t>
  </si>
  <si>
    <t>030:30:52.84 N</t>
  </si>
  <si>
    <t>089:49:21.86 W</t>
  </si>
  <si>
    <t>030:30:50.13 N</t>
  </si>
  <si>
    <t>089:49:22.32 W</t>
  </si>
  <si>
    <t>030:30:41.71 N</t>
  </si>
  <si>
    <t>089:49:23.40 W</t>
  </si>
  <si>
    <t>030:30:38.70 N</t>
  </si>
  <si>
    <t>089:49:23.79 W</t>
  </si>
  <si>
    <t>089:49:25.02 W</t>
  </si>
  <si>
    <t>030:30:27.42 N</t>
  </si>
  <si>
    <t>089:49:25.26 W</t>
  </si>
  <si>
    <t>030:30:22.17 N</t>
  </si>
  <si>
    <t>089:49:25.64 W</t>
  </si>
  <si>
    <t>030:30:19.08 N</t>
  </si>
  <si>
    <t>089:49:25.80 W</t>
  </si>
  <si>
    <t>030:30:11.43 N</t>
  </si>
  <si>
    <t>030:30:03.17 N</t>
  </si>
  <si>
    <t>089:49:24.48 W</t>
  </si>
  <si>
    <t>030:29:54.82 N</t>
  </si>
  <si>
    <t>089:49:22.63 W</t>
  </si>
  <si>
    <t>030:29:52.27 N</t>
  </si>
  <si>
    <t>089:49:21.78 W</t>
  </si>
  <si>
    <t>030:29:43.93 N</t>
  </si>
  <si>
    <t>030:29:41.38 N</t>
  </si>
  <si>
    <t>089:49:17.69 W</t>
  </si>
  <si>
    <t>030:29:35.67 N</t>
  </si>
  <si>
    <t>089:49:15.37 W</t>
  </si>
  <si>
    <t>030:29:33.04 N</t>
  </si>
  <si>
    <t>089:49:14.13 W</t>
  </si>
  <si>
    <t>030:29:25.62 N</t>
  </si>
  <si>
    <t>089:49:10.97 W</t>
  </si>
  <si>
    <t>030:29:18.21 N</t>
  </si>
  <si>
    <t>089:49:07.41 W</t>
  </si>
  <si>
    <t>030:29:15.74 N</t>
  </si>
  <si>
    <t>030:29:10.41 N</t>
  </si>
  <si>
    <t>089:49:04.01 W</t>
  </si>
  <si>
    <t>030:29:08.01 N</t>
  </si>
  <si>
    <t>089:49:02.93 W</t>
  </si>
  <si>
    <t>030:29:02.37 N</t>
  </si>
  <si>
    <t>089:49:00.31 W</t>
  </si>
  <si>
    <t>030:28:59.44 N</t>
  </si>
  <si>
    <t>089:48:59.30 W</t>
  </si>
  <si>
    <t>030:28:52.17 N</t>
  </si>
  <si>
    <t>030:28:49.63 N</t>
  </si>
  <si>
    <t>089:48:55.36 W</t>
  </si>
  <si>
    <t>030:28:42.13 N</t>
  </si>
  <si>
    <t>089:48:52.50 W</t>
  </si>
  <si>
    <t>030:28:33.71 N</t>
  </si>
  <si>
    <t>089:48:49.80 W</t>
  </si>
  <si>
    <t>030:28:30.70 N</t>
  </si>
  <si>
    <t>030:28:28.15 N</t>
  </si>
  <si>
    <t>089:48:48.02 W</t>
  </si>
  <si>
    <t>030:28:20.04 N</t>
  </si>
  <si>
    <t>089:48:45.71 W</t>
  </si>
  <si>
    <t>030:28:17.26 N</t>
  </si>
  <si>
    <t>089:48:44.93 W</t>
  </si>
  <si>
    <t>030:28:09.07 N</t>
  </si>
  <si>
    <t>030:28:06.37 N</t>
  </si>
  <si>
    <t>089:48:42.46 W</t>
  </si>
  <si>
    <t>030:27:55.17 N</t>
  </si>
  <si>
    <t>089:48:40.07 W</t>
  </si>
  <si>
    <t>030:27:49.37 N</t>
  </si>
  <si>
    <t>030:27:46.59 N</t>
  </si>
  <si>
    <t>089:48:38.52 W</t>
  </si>
  <si>
    <t>030:27:39.41 N</t>
  </si>
  <si>
    <t>030:27:36.70 N</t>
  </si>
  <si>
    <t>089:48:37.52 W</t>
  </si>
  <si>
    <t>030:27:27.82 N</t>
  </si>
  <si>
    <t>089:48:37.13 W</t>
  </si>
  <si>
    <t>030:27:25.35 N</t>
  </si>
  <si>
    <t>030:27:17.70 N</t>
  </si>
  <si>
    <t>089:48:37.36 W</t>
  </si>
  <si>
    <t>030:27:13.61 N</t>
  </si>
  <si>
    <t>030:27:06.19 N</t>
  </si>
  <si>
    <t>089:48:38.91 W</t>
  </si>
  <si>
    <t>030:26:55.45 N</t>
  </si>
  <si>
    <t>089:48:40.45 W</t>
  </si>
  <si>
    <t>030:26:37.22 N</t>
  </si>
  <si>
    <t>089:48:44.32 W</t>
  </si>
  <si>
    <t>030:26:34.67 N</t>
  </si>
  <si>
    <t>089:48:44.86 W</t>
  </si>
  <si>
    <t>030:26:24.63 N</t>
  </si>
  <si>
    <t>089:48:47.40 W</t>
  </si>
  <si>
    <t>030:26:21.77 N</t>
  </si>
  <si>
    <t>089:48:48.25 W</t>
  </si>
  <si>
    <t>030:26:14.44 N</t>
  </si>
  <si>
    <t>030:26:12.27 N</t>
  </si>
  <si>
    <t>089:48:50.73 W</t>
  </si>
  <si>
    <t>089:48:52.97 W</t>
  </si>
  <si>
    <t>030:26:02.38 N</t>
  </si>
  <si>
    <t>089:48:53.66 W</t>
  </si>
  <si>
    <t>030:25:59.76 N</t>
  </si>
  <si>
    <t>089:48:54.43 W</t>
  </si>
  <si>
    <t>030:25:51.96 N</t>
  </si>
  <si>
    <t>089:48:56.91 W</t>
  </si>
  <si>
    <t>030:25:45.08 N</t>
  </si>
  <si>
    <t>089:48:59.07 W</t>
  </si>
  <si>
    <t>030:25:37.67 N</t>
  </si>
  <si>
    <t>089:49:01.39 W</t>
  </si>
  <si>
    <t>030:25:35.19 N</t>
  </si>
  <si>
    <t>030:25:27.31 N</t>
  </si>
  <si>
    <t>089:49:04.48 W</t>
  </si>
  <si>
    <t>030:25:24.84 N</t>
  </si>
  <si>
    <t>089:49:05.25 W</t>
  </si>
  <si>
    <t>030:25:17.74 N</t>
  </si>
  <si>
    <t>030:25:14.80 N</t>
  </si>
  <si>
    <t>030:25:07.23 N</t>
  </si>
  <si>
    <t>089:49:09.81 W</t>
  </si>
  <si>
    <t>030:25:04.91 N</t>
  </si>
  <si>
    <t>089:49:10.35 W</t>
  </si>
  <si>
    <t>089:49:11.35 W</t>
  </si>
  <si>
    <t>030:24:49.77 N</t>
  </si>
  <si>
    <t>030:24:47.61 N</t>
  </si>
  <si>
    <t>030:24:43.13 N</t>
  </si>
  <si>
    <t>089:49:13.59 W</t>
  </si>
  <si>
    <t>030:24:40.89 N</t>
  </si>
  <si>
    <t>030:24:33.70 N</t>
  </si>
  <si>
    <t>030:24:27.52 N</t>
  </si>
  <si>
    <t>089:49:15.14 W</t>
  </si>
  <si>
    <t>030:24:25.36 N</t>
  </si>
  <si>
    <t>089:49:15.29 W</t>
  </si>
  <si>
    <t>030:24:20.88 N</t>
  </si>
  <si>
    <t>030:24:18.80 N</t>
  </si>
  <si>
    <t>089:49:14.98 W</t>
  </si>
  <si>
    <t>030:24:16.25 N</t>
  </si>
  <si>
    <t>030:24:10.45 N</t>
  </si>
  <si>
    <t>089:49:13.90 W</t>
  </si>
  <si>
    <t>030:24:08.52 N</t>
  </si>
  <si>
    <t>030:24:07.05 N</t>
  </si>
  <si>
    <t>030:24:01.18 N</t>
  </si>
  <si>
    <t>030:23:55.70 N</t>
  </si>
  <si>
    <t>030:23:53.69 N</t>
  </si>
  <si>
    <t>089:49:13.98 W</t>
  </si>
  <si>
    <t>030:23:51.84 N</t>
  </si>
  <si>
    <t>030:23:46.43 N</t>
  </si>
  <si>
    <t>030:23:39.01 N</t>
  </si>
  <si>
    <t>089:49:14.36 W</t>
  </si>
  <si>
    <t>030:23:37.39 N</t>
  </si>
  <si>
    <t>030:23:31.60 N</t>
  </si>
  <si>
    <t>030:23:29.90 N</t>
  </si>
  <si>
    <t>030:23:23.87 N</t>
  </si>
  <si>
    <t>030:23:17.77 N</t>
  </si>
  <si>
    <t>030:23:15.92 N</t>
  </si>
  <si>
    <t>030:23:10.28 N</t>
  </si>
  <si>
    <t>089:49:14.52 W</t>
  </si>
  <si>
    <t>030:23:00.31 N</t>
  </si>
  <si>
    <t>030:22:54.13 N</t>
  </si>
  <si>
    <t>030:22:49.81 N</t>
  </si>
  <si>
    <t>089:49:13.21 W</t>
  </si>
  <si>
    <t>030:22:47.95 N</t>
  </si>
  <si>
    <t>030:22:46.02 N</t>
  </si>
  <si>
    <t>089:49:13.05 W</t>
  </si>
  <si>
    <t>030:22:39.61 N</t>
  </si>
  <si>
    <t>030:22:37.60 N</t>
  </si>
  <si>
    <t>089:49:13.44 W</t>
  </si>
  <si>
    <t>030:22:35.28 N</t>
  </si>
  <si>
    <t>030:22:29.18 N</t>
  </si>
  <si>
    <t>030:22:23.16 N</t>
  </si>
  <si>
    <t>030:22:21.07 N</t>
  </si>
  <si>
    <t>030:22:18.98 N</t>
  </si>
  <si>
    <t>030:22:13.35 N</t>
  </si>
  <si>
    <t>089:49:12.05 W</t>
  </si>
  <si>
    <t>030:22:11.41 N</t>
  </si>
  <si>
    <t>030:22:09.56 N</t>
  </si>
  <si>
    <t>030:22:04.69 N</t>
  </si>
  <si>
    <t>030:22:03.15 N</t>
  </si>
  <si>
    <t>030:21:59.05 N</t>
  </si>
  <si>
    <t>089:49:02.39 W</t>
  </si>
  <si>
    <t>030:21:55.58 N</t>
  </si>
  <si>
    <t>089:48:57.52 W</t>
  </si>
  <si>
    <t>030:21:53.03 N</t>
  </si>
  <si>
    <t>089:48:52.19 W</t>
  </si>
  <si>
    <t>030:21:52.41 N</t>
  </si>
  <si>
    <t>030:21:51.95 N</t>
  </si>
  <si>
    <t>030:21:51.33 N</t>
  </si>
  <si>
    <t>089:48:42.07 W</t>
  </si>
  <si>
    <t>030:21:51.64 N</t>
  </si>
  <si>
    <t>089:48:34.04 W</t>
  </si>
  <si>
    <t>030:21:53.42 N</t>
  </si>
  <si>
    <t>089:48:32.50 W</t>
  </si>
  <si>
    <t>089:48:26.47 W</t>
  </si>
  <si>
    <t>030:21:57.05 N</t>
  </si>
  <si>
    <t>089:48:24.93 W</t>
  </si>
  <si>
    <t>089:48:21.76 W</t>
  </si>
  <si>
    <t>030:22:00.37 N</t>
  </si>
  <si>
    <t>089:48:20.29 W</t>
  </si>
  <si>
    <t>030:22:04.77 N</t>
  </si>
  <si>
    <t>089:48:16.20 W</t>
  </si>
  <si>
    <t>030:22:06.24 N</t>
  </si>
  <si>
    <t>089:48:12.72 W</t>
  </si>
  <si>
    <t>030:22:12.88 N</t>
  </si>
  <si>
    <t>089:48:12.18 W</t>
  </si>
  <si>
    <t>030:22:16.82 N</t>
  </si>
  <si>
    <t>089:48:11.48 W</t>
  </si>
  <si>
    <t>030:22:18.83 N</t>
  </si>
  <si>
    <t>089:48:11.02 W</t>
  </si>
  <si>
    <t>030:22:24.39 N</t>
  </si>
  <si>
    <t>089:48:10.64 W</t>
  </si>
  <si>
    <t>030:22:26.25 N</t>
  </si>
  <si>
    <t>089:48:10.40 W</t>
  </si>
  <si>
    <t>030:22:32.19 N</t>
  </si>
  <si>
    <t>089:48:10.48 W</t>
  </si>
  <si>
    <t>030:22:38.06 N</t>
  </si>
  <si>
    <t>030:22:39.92 N</t>
  </si>
  <si>
    <t>030:22:46.18 N</t>
  </si>
  <si>
    <t>030:22:52.43 N</t>
  </si>
  <si>
    <t>089:48:11.56 W</t>
  </si>
  <si>
    <t>030:22:54.52 N</t>
  </si>
  <si>
    <t>089:48:11.87 W</t>
  </si>
  <si>
    <t>030:22:56.53 N</t>
  </si>
  <si>
    <t>030:23:02.32 N</t>
  </si>
  <si>
    <t>089:48:13.11 W</t>
  </si>
  <si>
    <t>030:23:04.25 N</t>
  </si>
  <si>
    <t>089:48:13.65 W</t>
  </si>
  <si>
    <t>030:23:06.26 N</t>
  </si>
  <si>
    <t>089:48:14.27 W</t>
  </si>
  <si>
    <t>030:23:12.13 N</t>
  </si>
  <si>
    <t>089:48:16.43 W</t>
  </si>
  <si>
    <t>030:23:13.98 N</t>
  </si>
  <si>
    <t>089:48:16.97 W</t>
  </si>
  <si>
    <t>030:23:24.18 N</t>
  </si>
  <si>
    <t>089:48:20.52 W</t>
  </si>
  <si>
    <t>030:23:26.19 N</t>
  </si>
  <si>
    <t>089:48:20.91 W</t>
  </si>
  <si>
    <t>030:23:32.45 N</t>
  </si>
  <si>
    <t>089:48:22.45 W</t>
  </si>
  <si>
    <t>030:23:36.54 N</t>
  </si>
  <si>
    <t>030:23:42.41 N</t>
  </si>
  <si>
    <t>089:48:23.54 W</t>
  </si>
  <si>
    <t>030:23:44.65 N</t>
  </si>
  <si>
    <t>089:48:23.38 W</t>
  </si>
  <si>
    <t>030:23:50.68 N</t>
  </si>
  <si>
    <t>030:23:52.76 N</t>
  </si>
  <si>
    <t>089:48:23.61 W</t>
  </si>
  <si>
    <t>030:23:54.69 N</t>
  </si>
  <si>
    <t>089:48:23.69 W</t>
  </si>
  <si>
    <t>030:24:00.49 N</t>
  </si>
  <si>
    <t>030:24:02.57 N</t>
  </si>
  <si>
    <t>089:48:23.92 W</t>
  </si>
  <si>
    <t>030:24:06.59 N</t>
  </si>
  <si>
    <t>030:24:08.37 N</t>
  </si>
  <si>
    <t>089:48:24.15 W</t>
  </si>
  <si>
    <t>030:24:14.08 N</t>
  </si>
  <si>
    <t>089:48:24.46 W</t>
  </si>
  <si>
    <t>030:24:16.32 N</t>
  </si>
  <si>
    <t>089:48:24.54 W</t>
  </si>
  <si>
    <t>030:24:22.50 N</t>
  </si>
  <si>
    <t>030:24:30.00 N</t>
  </si>
  <si>
    <t>089:48:25.47 W</t>
  </si>
  <si>
    <t>030:24:32.31 N</t>
  </si>
  <si>
    <t>089:48:25.70 W</t>
  </si>
  <si>
    <t>030:24:38.73 N</t>
  </si>
  <si>
    <t>089:48:26.32 W</t>
  </si>
  <si>
    <t>030:24:40.73 N</t>
  </si>
  <si>
    <t>030:24:45.45 N</t>
  </si>
  <si>
    <t>030:24:47.92 N</t>
  </si>
  <si>
    <t>089:48:27.24 W</t>
  </si>
  <si>
    <t>030:24:49.93 N</t>
  </si>
  <si>
    <t>030:24:56.65 N</t>
  </si>
  <si>
    <t>030:24:58.81 N</t>
  </si>
  <si>
    <t>089:48:28.25 W</t>
  </si>
  <si>
    <t>030:25:01.05 N</t>
  </si>
  <si>
    <t>089:48:28.48 W</t>
  </si>
  <si>
    <t>030:25:08.23 N</t>
  </si>
  <si>
    <t>089:48:29.41 W</t>
  </si>
  <si>
    <t>030:25:10.47 N</t>
  </si>
  <si>
    <t>089:48:29.64 W</t>
  </si>
  <si>
    <t>030:25:12.95 N</t>
  </si>
  <si>
    <t>030:25:19.28 N</t>
  </si>
  <si>
    <t>089:48:30.41 W</t>
  </si>
  <si>
    <t>030:25:21.98 N</t>
  </si>
  <si>
    <t>030:25:29.17 N</t>
  </si>
  <si>
    <t>089:48:31.57 W</t>
  </si>
  <si>
    <t>030:25:36.58 N</t>
  </si>
  <si>
    <t>089:48:32.19 W</t>
  </si>
  <si>
    <t>030:25:43.46 N</t>
  </si>
  <si>
    <t>030:25:45.78 N</t>
  </si>
  <si>
    <t>089:48:33.11 W</t>
  </si>
  <si>
    <t>030:25:53.66 N</t>
  </si>
  <si>
    <t>030:25:56.20 N</t>
  </si>
  <si>
    <t>089:48:34.20 W</t>
  </si>
  <si>
    <t>030:26:04.39 N</t>
  </si>
  <si>
    <t>089:48:35.59 W</t>
  </si>
  <si>
    <t>030:26:06.86 N</t>
  </si>
  <si>
    <t>089:48:35.97 W</t>
  </si>
  <si>
    <t>030:26:09.11 N</t>
  </si>
  <si>
    <t>089:48:36.36 W</t>
  </si>
  <si>
    <t>030:26:16.13 N</t>
  </si>
  <si>
    <t>030:26:18.61 N</t>
  </si>
  <si>
    <t>089:48:38.14 W</t>
  </si>
  <si>
    <t>030:26:21.16 N</t>
  </si>
  <si>
    <t>030:26:28.49 N</t>
  </si>
  <si>
    <t>089:48:40.30 W</t>
  </si>
  <si>
    <t>030:26:31.35 N</t>
  </si>
  <si>
    <t>089:48:40.92 W</t>
  </si>
  <si>
    <t>030:26:34.06 N</t>
  </si>
  <si>
    <t>030:26:43.94 N</t>
  </si>
  <si>
    <t>089:48:43.70 W</t>
  </si>
  <si>
    <t>030:26:51.28 N</t>
  </si>
  <si>
    <t>030:26:58.62 N</t>
  </si>
  <si>
    <t>089:48:49.03 W</t>
  </si>
  <si>
    <t>030:27:17.39 N</t>
  </si>
  <si>
    <t>030:27:24.81 N</t>
  </si>
  <si>
    <t>089:48:50.57 W</t>
  </si>
  <si>
    <t>030:27:39.87 N</t>
  </si>
  <si>
    <t>089:48:51.58 W</t>
  </si>
  <si>
    <t>030:27:42.65 N</t>
  </si>
  <si>
    <t>089:48:51.50 W</t>
  </si>
  <si>
    <t>030:27:48.21 N</t>
  </si>
  <si>
    <t>089:48:51.11 W</t>
  </si>
  <si>
    <t>030:27:51.15 N</t>
  </si>
  <si>
    <t>089:48:50.96 W</t>
  </si>
  <si>
    <t>030:27:55.94 N</t>
  </si>
  <si>
    <t>089:48:50.34 W</t>
  </si>
  <si>
    <t>030:27:58.41 N</t>
  </si>
  <si>
    <t>089:48:48.64 W</t>
  </si>
  <si>
    <t>030:28:08.45 N</t>
  </si>
  <si>
    <t>030:28:13.94 N</t>
  </si>
  <si>
    <t>030:28:16.41 N</t>
  </si>
  <si>
    <t>089:48:47.02 W</t>
  </si>
  <si>
    <t>030:28:24.52 N</t>
  </si>
  <si>
    <t>089:48:45.47 W</t>
  </si>
  <si>
    <t>030:28:26.68 N</t>
  </si>
  <si>
    <t>030:28:34.56 N</t>
  </si>
  <si>
    <t>089:48:43.47 W</t>
  </si>
  <si>
    <t>030:28:37.34 N</t>
  </si>
  <si>
    <t>089:48:43.00 W</t>
  </si>
  <si>
    <t>030:28:42.60 N</t>
  </si>
  <si>
    <t>089:48:42.00 W</t>
  </si>
  <si>
    <t>030:28:44.91 N</t>
  </si>
  <si>
    <t>089:48:41.61 W</t>
  </si>
  <si>
    <t>030:28:47.54 N</t>
  </si>
  <si>
    <t>089:48:41.07 W</t>
  </si>
  <si>
    <t>030:28:55.34 N</t>
  </si>
  <si>
    <t>089:48:39.76 W</t>
  </si>
  <si>
    <t>030:29:03.22 N</t>
  </si>
  <si>
    <t>030:29:05.69 N</t>
  </si>
  <si>
    <t>089:48:38.37 W</t>
  </si>
  <si>
    <t>030:29:08.86 N</t>
  </si>
  <si>
    <t>089:48:37.98 W</t>
  </si>
  <si>
    <t>030:29:15.97 N</t>
  </si>
  <si>
    <t>030:29:24.00 N</t>
  </si>
  <si>
    <t>089:48:36.74 W</t>
  </si>
  <si>
    <t>030:29:26.86 N</t>
  </si>
  <si>
    <t>030:29:34.66 N</t>
  </si>
  <si>
    <t>089:48:36.59 W</t>
  </si>
  <si>
    <t>030:29:37.06 N</t>
  </si>
  <si>
    <t>030:29:44.24 N</t>
  </si>
  <si>
    <t>030:29:52.97 N</t>
  </si>
  <si>
    <t>030:29:55.29 N</t>
  </si>
  <si>
    <t>030:30:03.32 N</t>
  </si>
  <si>
    <t>030:30:11.04 N</t>
  </si>
  <si>
    <t>089:48:36.98 W</t>
  </si>
  <si>
    <t>030:30:13.44 N</t>
  </si>
  <si>
    <t>030:30:18.15 N</t>
  </si>
  <si>
    <t>030:30:21.16 N</t>
  </si>
  <si>
    <t>030:30:29.04 N</t>
  </si>
  <si>
    <t>030:30:37.46 N</t>
  </si>
  <si>
    <t>030:30:44.72 N</t>
  </si>
  <si>
    <t>030:30:46.96 N</t>
  </si>
  <si>
    <t>030:30:49.44 N</t>
  </si>
  <si>
    <t>030:30:59.63 N</t>
  </si>
  <si>
    <t>030:31:07.28 N</t>
  </si>
  <si>
    <t>030:31:09.75 N</t>
  </si>
  <si>
    <t>089:48:44.70 W</t>
  </si>
  <si>
    <t>030:31:15.24 N</t>
  </si>
  <si>
    <t>089:48:45.32 W</t>
  </si>
  <si>
    <t>030:31:22.96 N</t>
  </si>
  <si>
    <t>089:48:45.63 W</t>
  </si>
  <si>
    <t>030:31:27.60 N</t>
  </si>
  <si>
    <t>089:48:45.86 W</t>
  </si>
  <si>
    <t>030:31:35.40 N</t>
  </si>
  <si>
    <t>030:31:40.88 N</t>
  </si>
  <si>
    <t>030:31:43.59 N</t>
  </si>
  <si>
    <t>089:48:46.09 W</t>
  </si>
  <si>
    <t>089:48:46.25 W</t>
  </si>
  <si>
    <t>030:31:53.32 N</t>
  </si>
  <si>
    <t>030:31:56.26 N</t>
  </si>
  <si>
    <t>030:32:03.36 N</t>
  </si>
  <si>
    <t>089:48:50.42 W</t>
  </si>
  <si>
    <t>030:32:05.99 N</t>
  </si>
  <si>
    <t>089:48:51.73 W</t>
  </si>
  <si>
    <t>030:32:13.40 N</t>
  </si>
  <si>
    <t>030:32:15.34 N</t>
  </si>
  <si>
    <t>030:32:21.59 N</t>
  </si>
  <si>
    <t>089:49:03.09 W</t>
  </si>
  <si>
    <t>089:49:09.96 W</t>
  </si>
  <si>
    <t>030:32:29.16 N</t>
  </si>
  <si>
    <t>089:49:12.28 W</t>
  </si>
  <si>
    <t>030:32:33.95 N</t>
  </si>
  <si>
    <t>089:49:19.62 W</t>
  </si>
  <si>
    <t>089:49:22.01 W</t>
  </si>
  <si>
    <t>030:32:40.06 N</t>
  </si>
  <si>
    <t>089:49:30.12 W</t>
  </si>
  <si>
    <t>089:49:38.47 W</t>
  </si>
  <si>
    <t>030:32:48.78 N</t>
  </si>
  <si>
    <t>089:49:45.96 W</t>
  </si>
  <si>
    <t>030:32:50.64 N</t>
  </si>
  <si>
    <t>089:49:48.97 W</t>
  </si>
  <si>
    <t>089:49:56.46 W</t>
  </si>
  <si>
    <t>030:32:56.90 N</t>
  </si>
  <si>
    <t>089:49:59.01 W</t>
  </si>
  <si>
    <t>030:33:01.99 N</t>
  </si>
  <si>
    <t>089:50:09.13 W</t>
  </si>
  <si>
    <t>030:33:09.72 N</t>
  </si>
  <si>
    <t>089:50:16.24 W</t>
  </si>
  <si>
    <t>030:33:11.57 N</t>
  </si>
  <si>
    <t>089:50:18.17 W</t>
  </si>
  <si>
    <t>089:50:20.18 W</t>
  </si>
  <si>
    <t>030:33:18.99 N</t>
  </si>
  <si>
    <t>089:50:26.28 W</t>
  </si>
  <si>
    <t>030:33:21.15 N</t>
  </si>
  <si>
    <t>089:50:28.52 W</t>
  </si>
  <si>
    <t>030:33:27.56 N</t>
  </si>
  <si>
    <t>089:50:34.62 W</t>
  </si>
  <si>
    <t>030:33:33.82 N</t>
  </si>
  <si>
    <t>030:33:35.91 N</t>
  </si>
  <si>
    <t>030:33:38.22 N</t>
  </si>
  <si>
    <t>030:33:45.25 N</t>
  </si>
  <si>
    <t>030:33:47.72 N</t>
  </si>
  <si>
    <t>089:50:51.62 W</t>
  </si>
  <si>
    <t>030:33:56.38 N</t>
  </si>
  <si>
    <t>030:33:58.62 N</t>
  </si>
  <si>
    <t>030:34:05.80 N</t>
  </si>
  <si>
    <t>089:51:03.75 W</t>
  </si>
  <si>
    <t>030:34:12.60 N</t>
  </si>
  <si>
    <t>030:34:15.15 N</t>
  </si>
  <si>
    <t>089:51:09.39 W</t>
  </si>
  <si>
    <t>030:34:19.78 N</t>
  </si>
  <si>
    <t>089:51:12.09 W</t>
  </si>
  <si>
    <t>030:34:21.94 N</t>
  </si>
  <si>
    <t>089:51:13.79 W</t>
  </si>
  <si>
    <t>030:34:32.37 N</t>
  </si>
  <si>
    <t>030:34:37.70 N</t>
  </si>
  <si>
    <t>030:34:40.72 N</t>
  </si>
  <si>
    <t>030:34:50.60 N</t>
  </si>
  <si>
    <t>030:35:03.74 N</t>
  </si>
  <si>
    <t>030:35:05.74 N</t>
  </si>
  <si>
    <t>030:35:12.93 N</t>
  </si>
  <si>
    <t>030:35:15.17 N</t>
  </si>
  <si>
    <t>089:51:11.09 W</t>
  </si>
  <si>
    <t>030:35:17.79 N</t>
  </si>
  <si>
    <t>089:51:09.54 W</t>
  </si>
  <si>
    <t>030:35:23.97 N</t>
  </si>
  <si>
    <t>030:35:25.83 N</t>
  </si>
  <si>
    <t>030:35:31.31 N</t>
  </si>
  <si>
    <t>089:50:57.18 W</t>
  </si>
  <si>
    <t>030:35:32.86 N</t>
  </si>
  <si>
    <t>030:35:37.49 N</t>
  </si>
  <si>
    <t>030:35:38.50 N</t>
  </si>
  <si>
    <t>030:35:42.05 N</t>
  </si>
  <si>
    <t>030:35:42.90 N</t>
  </si>
  <si>
    <t>030:35:44.60 N</t>
  </si>
  <si>
    <t>089:50:26.90 W</t>
  </si>
  <si>
    <t>030:35:44.99 N</t>
  </si>
  <si>
    <t>089:50:24.35 W</t>
  </si>
  <si>
    <t>030:35:45.60 N</t>
  </si>
  <si>
    <t>089:50:15.24 W</t>
  </si>
  <si>
    <t>030:35:44.91 N</t>
  </si>
  <si>
    <t>089:50:06.51 W</t>
  </si>
  <si>
    <t>030:35:44.37 N</t>
  </si>
  <si>
    <t>089:50:03.80 W</t>
  </si>
  <si>
    <t>030:35:42.21 N</t>
  </si>
  <si>
    <t>089:49:55.46 W</t>
  </si>
  <si>
    <t>030:35:41.20 N</t>
  </si>
  <si>
    <t>089:49:52.68 W</t>
  </si>
  <si>
    <t>030:35:40.04 N</t>
  </si>
  <si>
    <t>089:49:49.74 W</t>
  </si>
  <si>
    <t>030:35:36.26 N</t>
  </si>
  <si>
    <t>089:49:42.48 W</t>
  </si>
  <si>
    <t>030:35:34.79 N</t>
  </si>
  <si>
    <t>089:49:40.17 W</t>
  </si>
  <si>
    <t>030:35:33.09 N</t>
  </si>
  <si>
    <t>089:49:37.69 W</t>
  </si>
  <si>
    <t>030:35:27.84 N</t>
  </si>
  <si>
    <t>089:49:31.67 W</t>
  </si>
  <si>
    <t>089:49:26.03 W</t>
  </si>
  <si>
    <t>089:49:24.25 W</t>
  </si>
  <si>
    <t>030:35:17.10 N</t>
  </si>
  <si>
    <t>089:49:22.94 W</t>
  </si>
  <si>
    <t>089:49:19.23 W</t>
  </si>
  <si>
    <t>030:35:07.52 N</t>
  </si>
  <si>
    <t>030:35:05.13 N</t>
  </si>
  <si>
    <t>030:34:56.71 N</t>
  </si>
  <si>
    <t>030:34:54.47 N</t>
  </si>
  <si>
    <t>089:49:14.91 W</t>
  </si>
  <si>
    <t>030:34:46.12 N</t>
  </si>
  <si>
    <t>030:34:43.42 N</t>
  </si>
  <si>
    <t>030:34:32.84 N</t>
  </si>
  <si>
    <t>030:34:30.52 N</t>
  </si>
  <si>
    <t>089:49:17.92 W</t>
  </si>
  <si>
    <t>030:34:13.52 N</t>
  </si>
  <si>
    <t>089:49:20.24 W</t>
  </si>
  <si>
    <t>030:34:11.21 N</t>
  </si>
  <si>
    <t>089:49:20.62 W</t>
  </si>
  <si>
    <t>030:34:08.50 N</t>
  </si>
  <si>
    <t>089:49:21.24 W</t>
  </si>
  <si>
    <t>030:34:01.01 N</t>
  </si>
  <si>
    <t>089:49:22.86 W</t>
  </si>
  <si>
    <t>030:33:58.54 N</t>
  </si>
  <si>
    <t>089:49:23.09 W</t>
  </si>
  <si>
    <t>030:33:56.07 N</t>
  </si>
  <si>
    <t>089:49:23.48 W</t>
  </si>
  <si>
    <t>030:33:47.65 N</t>
  </si>
  <si>
    <t>089:49:24.64 W</t>
  </si>
  <si>
    <t>030:33:38.61 N</t>
  </si>
  <si>
    <t>089:49:25.41 W</t>
  </si>
  <si>
    <t>030:33:36.06 N</t>
  </si>
  <si>
    <t>030:33:27.33 N</t>
  </si>
  <si>
    <t>030:33:24.94 N</t>
  </si>
  <si>
    <t>030:33:16.83 N</t>
  </si>
  <si>
    <t>030:33:07.79 N</t>
  </si>
  <si>
    <t>030:33:05.16 N</t>
  </si>
  <si>
    <t>030:32:57.13 N</t>
  </si>
  <si>
    <t>030:32:54.73 N</t>
  </si>
  <si>
    <t>030:32:46.24 N</t>
  </si>
  <si>
    <t>030:32:43.38 N</t>
  </si>
  <si>
    <t>030:32:40.60 N</t>
  </si>
  <si>
    <t>030:32:37.89 N</t>
  </si>
  <si>
    <t>089:49:24.79 W</t>
  </si>
  <si>
    <t>030:32:29.70 N</t>
  </si>
  <si>
    <t>030:32:27.39 N</t>
  </si>
  <si>
    <t>030:32:24.45 N</t>
  </si>
  <si>
    <t>030:32:16.65 N</t>
  </si>
  <si>
    <t>089:49:24.10 W</t>
  </si>
  <si>
    <t>030:32:13.56 N</t>
  </si>
  <si>
    <t>089:49:23.87 W</t>
  </si>
  <si>
    <t>030:32:08.23 N</t>
  </si>
  <si>
    <t>089:49:23.71 W</t>
  </si>
  <si>
    <t>030:32:02.82 N</t>
  </si>
  <si>
    <t>030:31:55.25 N</t>
  </si>
  <si>
    <t>030:31:52.78 N</t>
  </si>
  <si>
    <t>030:31:44.59 N</t>
  </si>
  <si>
    <t>089:49:23.25 W</t>
  </si>
  <si>
    <t>030:31:41.89 N</t>
  </si>
  <si>
    <t>030:31:39.18 N</t>
  </si>
  <si>
    <t>089:49:23.02 W</t>
  </si>
  <si>
    <t>030:31:31.15 N</t>
  </si>
  <si>
    <t>089:49:22.71 W</t>
  </si>
  <si>
    <t>030:31:28.68 N</t>
  </si>
  <si>
    <t>030:31:26.05 N</t>
  </si>
  <si>
    <t>030:31:18.79 N</t>
  </si>
  <si>
    <t>030:31:15.86 N</t>
  </si>
  <si>
    <t>089:49:22.17 W</t>
  </si>
  <si>
    <t>030:31:13.07 N</t>
  </si>
  <si>
    <t>030:31:05.50 N</t>
  </si>
  <si>
    <t>030:31:02.49 N</t>
  </si>
  <si>
    <t>089:49:21.55 W</t>
  </si>
  <si>
    <t>030:30:54.84 N</t>
  </si>
  <si>
    <t>089:49:21.08 W</t>
  </si>
  <si>
    <t>030:30:52.29 N</t>
  </si>
  <si>
    <t>030:30:49.82 N</t>
  </si>
  <si>
    <t>089:49:21.01 W</t>
  </si>
  <si>
    <t>030:30:47.12 N</t>
  </si>
  <si>
    <t>089:49:20.85 W</t>
  </si>
  <si>
    <t>030:30:42.41 N</t>
  </si>
  <si>
    <t>030:30:39.47 N</t>
  </si>
  <si>
    <t>089:49:20.39 W</t>
  </si>
  <si>
    <t>030:30:36.46 N</t>
  </si>
  <si>
    <t>030:30:29.20 N</t>
  </si>
  <si>
    <t>030:30:26.49 N</t>
  </si>
  <si>
    <t>030:30:23.95 N</t>
  </si>
  <si>
    <t>030:30:16.30 N</t>
  </si>
  <si>
    <t>030:30:08.42 N</t>
  </si>
  <si>
    <t>089:49:20.08 W</t>
  </si>
  <si>
    <t>089:49:20.00 W</t>
  </si>
  <si>
    <t>030:30:03.01 N</t>
  </si>
  <si>
    <t>030:29:55.52 N</t>
  </si>
  <si>
    <t>089:49:19.85 W</t>
  </si>
  <si>
    <t>030:29:52.81 N</t>
  </si>
  <si>
    <t>030:29:50.65 N</t>
  </si>
  <si>
    <t>089:49:19.69 W</t>
  </si>
  <si>
    <t>030:29:41.77 N</t>
  </si>
  <si>
    <t>089:49:19.46 W</t>
  </si>
  <si>
    <t>030:29:33.19 N</t>
  </si>
  <si>
    <t>030:29:30.26 N</t>
  </si>
  <si>
    <t>030:29:22.30 N</t>
  </si>
  <si>
    <t>030:29:19.75 N</t>
  </si>
  <si>
    <t>030:29:11.64 N</t>
  </si>
  <si>
    <t>030:29:08.94 N</t>
  </si>
  <si>
    <t>030:28:59.67 N</t>
  </si>
  <si>
    <t>030:28:57.20 N</t>
  </si>
  <si>
    <t>030:28:48.62 N</t>
  </si>
  <si>
    <t>030:28:37.65 N</t>
  </si>
  <si>
    <t>089:49:20.78 W</t>
  </si>
  <si>
    <t>030:28:29.16 N</t>
  </si>
  <si>
    <t>030:28:26.30 N</t>
  </si>
  <si>
    <t>030:28:15.10 N</t>
  </si>
  <si>
    <t>030:28:12.39 N</t>
  </si>
  <si>
    <t>030:28:06.52 N</t>
  </si>
  <si>
    <t>030:28:03.35 N</t>
  </si>
  <si>
    <t>030:27:55.48 N</t>
  </si>
  <si>
    <t>030:27:52.31 N</t>
  </si>
  <si>
    <t>089:49:19.31 W</t>
  </si>
  <si>
    <t>030:27:44.12 N</t>
  </si>
  <si>
    <t>089:49:18.84 W</t>
  </si>
  <si>
    <t>030:27:41.26 N</t>
  </si>
  <si>
    <t>030:27:35.39 N</t>
  </si>
  <si>
    <t>030:27:33.07 N</t>
  </si>
  <si>
    <t>030:27:24.65 N</t>
  </si>
  <si>
    <t>089:49:16.68 W</t>
  </si>
  <si>
    <t>030:27:16.93 N</t>
  </si>
  <si>
    <t>030:27:14.07 N</t>
  </si>
  <si>
    <t>030:27:09.20 N</t>
  </si>
  <si>
    <t>030:27:06.65 N</t>
  </si>
  <si>
    <t>030:27:01.32 N</t>
  </si>
  <si>
    <t>089:49:11.20 W</t>
  </si>
  <si>
    <t>030:26:59.24 N</t>
  </si>
  <si>
    <t>089:49:10.50 W</t>
  </si>
  <si>
    <t>089:49:07.80 W</t>
  </si>
  <si>
    <t>030:26:49.58 N</t>
  </si>
  <si>
    <t>030:26:44.64 N</t>
  </si>
  <si>
    <t>089:49:04.32 W</t>
  </si>
  <si>
    <t>030:26:42.55 N</t>
  </si>
  <si>
    <t>089:49:03.24 W</t>
  </si>
  <si>
    <t>030:26:35.21 N</t>
  </si>
  <si>
    <t>030:26:29.19 N</t>
  </si>
  <si>
    <t>089:48:55.13 W</t>
  </si>
  <si>
    <t>030:26:27.10 N</t>
  </si>
  <si>
    <t>030:26:21.31 N</t>
  </si>
  <si>
    <t>030:26:19.38 N</t>
  </si>
  <si>
    <t>089:48:46.63 W</t>
  </si>
  <si>
    <t>030:26:12.97 N</t>
  </si>
  <si>
    <t>030:26:08.10 N</t>
  </si>
  <si>
    <t>030:26:07.17 N</t>
  </si>
  <si>
    <t>030:26:06.40 N</t>
  </si>
  <si>
    <t>030:26:04.55 N</t>
  </si>
  <si>
    <t>030:26:03.23 N</t>
  </si>
  <si>
    <t>030:26:03.00 N</t>
  </si>
  <si>
    <t>089:48:06.54 W</t>
  </si>
  <si>
    <t>030:26:02.69 N</t>
  </si>
  <si>
    <t>089:48:01.13 W</t>
  </si>
  <si>
    <t>030:26:02.62 N</t>
  </si>
  <si>
    <t>089:47:58.82 W</t>
  </si>
  <si>
    <t>030:26:02.77 N</t>
  </si>
  <si>
    <t>089:47:51.01 W</t>
  </si>
  <si>
    <t>030:26:03.39 N</t>
  </si>
  <si>
    <t>089:47:43.75 W</t>
  </si>
  <si>
    <t>030:26:03.54 N</t>
  </si>
  <si>
    <t>089:47:41.36 W</t>
  </si>
  <si>
    <t>030:26:05.09 N</t>
  </si>
  <si>
    <t>089:47:31.86 W</t>
  </si>
  <si>
    <t>089:47:25.14 W</t>
  </si>
  <si>
    <t>089:47:22.74 W</t>
  </si>
  <si>
    <t>030:26:08.33 N</t>
  </si>
  <si>
    <t>089:47:16.48 W</t>
  </si>
  <si>
    <t>030:26:08.87 N</t>
  </si>
  <si>
    <t>030:26:09.34 N</t>
  </si>
  <si>
    <t>089:47:11.85 W</t>
  </si>
  <si>
    <t>030:26:12.50 N</t>
  </si>
  <si>
    <t>089:47:00.42 W</t>
  </si>
  <si>
    <t>030:26:13.12 N</t>
  </si>
  <si>
    <t>089:46:58.10 W</t>
  </si>
  <si>
    <t>030:26:15.75 N</t>
  </si>
  <si>
    <t>089:46:48.98 W</t>
  </si>
  <si>
    <t>030:26:16.98 N</t>
  </si>
  <si>
    <t>089:46:44.66 W</t>
  </si>
  <si>
    <t>030:26:17.76 N</t>
  </si>
  <si>
    <t>089:46:42.42 W</t>
  </si>
  <si>
    <t>030:26:18.30 N</t>
  </si>
  <si>
    <t>089:46:40.10 W</t>
  </si>
  <si>
    <t>030:26:20.31 N</t>
  </si>
  <si>
    <t>030:26:20.77 N</t>
  </si>
  <si>
    <t>089:46:31.60 W</t>
  </si>
  <si>
    <t>030:26:22.86 N</t>
  </si>
  <si>
    <t>030:26:23.63 N</t>
  </si>
  <si>
    <t>089:46:22.72 W</t>
  </si>
  <si>
    <t>030:26:25.64 N</t>
  </si>
  <si>
    <t>089:46:15.85 W</t>
  </si>
  <si>
    <t>030:26:27.64 N</t>
  </si>
  <si>
    <t>089:46:09.43 W</t>
  </si>
  <si>
    <t>030:26:29.58 N</t>
  </si>
  <si>
    <t>030:26:30.19 N</t>
  </si>
  <si>
    <t>089:46:00.55 W</t>
  </si>
  <si>
    <t>030:26:31.51 N</t>
  </si>
  <si>
    <t>089:45:53.06 W</t>
  </si>
  <si>
    <t>030:26:32.05 N</t>
  </si>
  <si>
    <t>030:26:32.28 N</t>
  </si>
  <si>
    <t>089:45:43.63 W</t>
  </si>
  <si>
    <t>030:26:31.89 N</t>
  </si>
  <si>
    <t>089:45:36.22 W</t>
  </si>
  <si>
    <t>030:26:30.89 N</t>
  </si>
  <si>
    <t>089:45:28.72 W</t>
  </si>
  <si>
    <t>030:26:30.43 N</t>
  </si>
  <si>
    <t>089:45:26.41 W</t>
  </si>
  <si>
    <t>030:26:27.49 N</t>
  </si>
  <si>
    <t>089:45:16.67 W</t>
  </si>
  <si>
    <t>089:45:09.88 W</t>
  </si>
  <si>
    <t>030:26:23.78 N</t>
  </si>
  <si>
    <t>089:45:08.10 W</t>
  </si>
  <si>
    <t>030:26:22.70 N</t>
  </si>
  <si>
    <t>089:45:05.86 W</t>
  </si>
  <si>
    <t>089:44:59.45 W</t>
  </si>
  <si>
    <t>030:26:17.06 N</t>
  </si>
  <si>
    <t>089:44:57.28 W</t>
  </si>
  <si>
    <t>089:44:55.74 W</t>
  </si>
  <si>
    <t>030:26:11.11 N</t>
  </si>
  <si>
    <t>089:44:48.94 W</t>
  </si>
  <si>
    <t>030:26:05.55 N</t>
  </si>
  <si>
    <t>089:44:45.85 W</t>
  </si>
  <si>
    <t>030:26:03.85 N</t>
  </si>
  <si>
    <t>089:44:44.77 W</t>
  </si>
  <si>
    <t>030:25:57.67 N</t>
  </si>
  <si>
    <t>089:44:41.06 W</t>
  </si>
  <si>
    <t>030:25:51.18 N</t>
  </si>
  <si>
    <t>089:44:38.28 W</t>
  </si>
  <si>
    <t>030:25:48.56 N</t>
  </si>
  <si>
    <t>089:44:37.35 W</t>
  </si>
  <si>
    <t>030:25:46.63 N</t>
  </si>
  <si>
    <t>089:44:36.74 W</t>
  </si>
  <si>
    <t>030:25:39.98 N</t>
  </si>
  <si>
    <t>089:44:35.42 W</t>
  </si>
  <si>
    <t>030:25:37.20 N</t>
  </si>
  <si>
    <t>089:44:35.04 W</t>
  </si>
  <si>
    <t>030:25:30.17 N</t>
  </si>
  <si>
    <t>089:44:34.73 W</t>
  </si>
  <si>
    <t>089:44:34.65 W</t>
  </si>
  <si>
    <t>030:25:20.13 N</t>
  </si>
  <si>
    <t>089:44:35.50 W</t>
  </si>
  <si>
    <t>089:44:35.96 W</t>
  </si>
  <si>
    <t>030:25:10.94 N</t>
  </si>
  <si>
    <t>089:44:38.05 W</t>
  </si>
  <si>
    <t>030:25:04.06 N</t>
  </si>
  <si>
    <t>089:44:41.22 W</t>
  </si>
  <si>
    <t>030:25:01.67 N</t>
  </si>
  <si>
    <t>089:44:42.84 W</t>
  </si>
  <si>
    <t>030:24:55.80 N</t>
  </si>
  <si>
    <t>089:44:47.78 W</t>
  </si>
  <si>
    <t>030:24:51.16 N</t>
  </si>
  <si>
    <t>089:44:53.27 W</t>
  </si>
  <si>
    <t>030:24:44.83 N</t>
  </si>
  <si>
    <t>089:45:04.85 W</t>
  </si>
  <si>
    <t>030:24:41.97 N</t>
  </si>
  <si>
    <t>089:45:12.42 W</t>
  </si>
  <si>
    <t>030:24:41.51 N</t>
  </si>
  <si>
    <t>089:45:14.74 W</t>
  </si>
  <si>
    <t>089:45:17.45 W</t>
  </si>
  <si>
    <t>030:24:39.58 N</t>
  </si>
  <si>
    <t>089:45:26.10 W</t>
  </si>
  <si>
    <t>030:24:39.34 N</t>
  </si>
  <si>
    <t>089:45:28.88 W</t>
  </si>
  <si>
    <t>030:24:38.26 N</t>
  </si>
  <si>
    <t>089:45:37.22 W</t>
  </si>
  <si>
    <t>030:24:37.88 N</t>
  </si>
  <si>
    <t>089:45:39.54 W</t>
  </si>
  <si>
    <t>030:24:35.71 N</t>
  </si>
  <si>
    <t>089:45:48.11 W</t>
  </si>
  <si>
    <t>030:24:32.93 N</t>
  </si>
  <si>
    <t>089:45:55.84 W</t>
  </si>
  <si>
    <t>030:24:31.70 N</t>
  </si>
  <si>
    <t>089:45:58.54 W</t>
  </si>
  <si>
    <t>030:24:28.68 N</t>
  </si>
  <si>
    <t>089:46:04.18 W</t>
  </si>
  <si>
    <t>089:46:06.50 W</t>
  </si>
  <si>
    <t>030:24:20.42 N</t>
  </si>
  <si>
    <t>089:46:15.07 W</t>
  </si>
  <si>
    <t>030:24:18.33 N</t>
  </si>
  <si>
    <t>089:46:17.16 W</t>
  </si>
  <si>
    <t>030:24:16.09 N</t>
  </si>
  <si>
    <t>089:46:19.09 W</t>
  </si>
  <si>
    <t>030:24:10.38 N</t>
  </si>
  <si>
    <t>089:46:24.34 W</t>
  </si>
  <si>
    <t>030:24:08.44 N</t>
  </si>
  <si>
    <t>089:46:26.27 W</t>
  </si>
  <si>
    <t>030:24:02.34 N</t>
  </si>
  <si>
    <t>089:46:32.99 W</t>
  </si>
  <si>
    <t>030:23:56.86 N</t>
  </si>
  <si>
    <t>089:46:39.87 W</t>
  </si>
  <si>
    <t>030:23:55.16 N</t>
  </si>
  <si>
    <t>089:46:42.50 W</t>
  </si>
  <si>
    <t>030:23:53.84 N</t>
  </si>
  <si>
    <t>089:46:44.43 W</t>
  </si>
  <si>
    <t>030:23:50.29 N</t>
  </si>
  <si>
    <t>089:46:49.60 W</t>
  </si>
  <si>
    <t>030:23:48.44 N</t>
  </si>
  <si>
    <t>089:46:52.38 W</t>
  </si>
  <si>
    <t>030:23:43.49 N</t>
  </si>
  <si>
    <t>089:46:59.64 W</t>
  </si>
  <si>
    <t>030:23:41.72 N</t>
  </si>
  <si>
    <t>089:47:02.35 W</t>
  </si>
  <si>
    <t>030:23:40.40 N</t>
  </si>
  <si>
    <t>089:47:04.51 W</t>
  </si>
  <si>
    <t>030:23:35.46 N</t>
  </si>
  <si>
    <t>089:47:12.08 W</t>
  </si>
  <si>
    <t>030:23:33.91 N</t>
  </si>
  <si>
    <t>089:47:14.48 W</t>
  </si>
  <si>
    <t>030:23:32.14 N</t>
  </si>
  <si>
    <t>089:47:17.26 W</t>
  </si>
  <si>
    <t>030:23:27.50 N</t>
  </si>
  <si>
    <t>089:47:24.98 W</t>
  </si>
  <si>
    <t>030:23:26.04 N</t>
  </si>
  <si>
    <t>089:47:27.53 W</t>
  </si>
  <si>
    <t>030:23:21.79 N</t>
  </si>
  <si>
    <t>089:47:35.26 W</t>
  </si>
  <si>
    <t>030:23:20.63 N</t>
  </si>
  <si>
    <t>030:23:16.61 N</t>
  </si>
  <si>
    <t>089:47:46.53 W</t>
  </si>
  <si>
    <t>030:23:15.30 N</t>
  </si>
  <si>
    <t>089:47:49.47 W</t>
  </si>
  <si>
    <t>030:23:10.74 N</t>
  </si>
  <si>
    <t>089:48:00.75 W</t>
  </si>
  <si>
    <t>089:48:09.63 W</t>
  </si>
  <si>
    <t>030:23:06.11 N</t>
  </si>
  <si>
    <t>089:48:12.57 W</t>
  </si>
  <si>
    <t>030:23:03.87 N</t>
  </si>
  <si>
    <t>089:48:18.59 W</t>
  </si>
  <si>
    <t>089:48:21.14 W</t>
  </si>
  <si>
    <t>030:23:01.01 N</t>
  </si>
  <si>
    <t>030:22:59.85 N</t>
  </si>
  <si>
    <t>089:48:30.26 W</t>
  </si>
  <si>
    <t>030:22:59.00 N</t>
  </si>
  <si>
    <t>030:22:57.99 N</t>
  </si>
  <si>
    <t>030:22:55.83 N</t>
  </si>
  <si>
    <t>089:48:41.69 W</t>
  </si>
  <si>
    <t>030:22:54.90 N</t>
  </si>
  <si>
    <t>030:22:51.58 N</t>
  </si>
  <si>
    <t>089:48:54.05 W</t>
  </si>
  <si>
    <t>030:22:48.65 N</t>
  </si>
  <si>
    <t>089:49:02.16 W</t>
  </si>
  <si>
    <t>030:22:47.49 N</t>
  </si>
  <si>
    <t>089:49:05.48 W</t>
  </si>
  <si>
    <t>030:22:39.22 N</t>
  </si>
  <si>
    <t>089:49:27.96 W</t>
  </si>
  <si>
    <t>030:22:36.06 N</t>
  </si>
  <si>
    <t>089:49:35.92 W</t>
  </si>
  <si>
    <t>030:22:28.72 N</t>
  </si>
  <si>
    <t>089:49:49.90 W</t>
  </si>
  <si>
    <t>030:22:27.17 N</t>
  </si>
  <si>
    <t>089:49:51.91 W</t>
  </si>
  <si>
    <t>030:22:23.39 N</t>
  </si>
  <si>
    <t>089:49:56.62 W</t>
  </si>
  <si>
    <t>030:22:21.61 N</t>
  </si>
  <si>
    <t>089:49:58.78 W</t>
  </si>
  <si>
    <t>030:22:14.81 N</t>
  </si>
  <si>
    <t>089:50:04.96 W</t>
  </si>
  <si>
    <t>030:22:12.80 N</t>
  </si>
  <si>
    <t>030:22:05.78 N</t>
  </si>
  <si>
    <t>089:50:10.99 W</t>
  </si>
  <si>
    <t>030:21:58.05 N</t>
  </si>
  <si>
    <t>089:50:14.31 W</t>
  </si>
  <si>
    <t>030:21:55.66 N</t>
  </si>
  <si>
    <t>089:50:15.08 W</t>
  </si>
  <si>
    <t>030:21:48.16 N</t>
  </si>
  <si>
    <t>089:50:16.63 W</t>
  </si>
  <si>
    <t>030:21:40.59 N</t>
  </si>
  <si>
    <t>089:50:17.24 W</t>
  </si>
  <si>
    <t>030:21:38.04 N</t>
  </si>
  <si>
    <t>089:50:17.40 W</t>
  </si>
  <si>
    <t>030:21:30.70 N</t>
  </si>
  <si>
    <t>089:50:17.78 W</t>
  </si>
  <si>
    <t>030:21:22.75 N</t>
  </si>
  <si>
    <t>089:50:18.02 W</t>
  </si>
  <si>
    <t>030:21:16.34 N</t>
  </si>
  <si>
    <t>030:21:13.94 N</t>
  </si>
  <si>
    <t>030:21:08.77 N</t>
  </si>
  <si>
    <t>030:21:06.22 N</t>
  </si>
  <si>
    <t>030:20:59.19 N</t>
  </si>
  <si>
    <t>030:20:54.71 N</t>
  </si>
  <si>
    <t>089:50:18.40 W</t>
  </si>
  <si>
    <t>030:20:52.62 N</t>
  </si>
  <si>
    <t>030:20:46.52 N</t>
  </si>
  <si>
    <t>030:20:39.95 N</t>
  </si>
  <si>
    <t>030:20:37.56 N</t>
  </si>
  <si>
    <t>030:20:31.38 N</t>
  </si>
  <si>
    <t>089:50:18.56 W</t>
  </si>
  <si>
    <t>030:20:29.68 N</t>
  </si>
  <si>
    <t>030:20:23.42 N</t>
  </si>
  <si>
    <t>030:20:17.32 N</t>
  </si>
  <si>
    <t>030:20:11.37 N</t>
  </si>
  <si>
    <t>089:50:18.94 W</t>
  </si>
  <si>
    <t>030:20:09.44 N</t>
  </si>
  <si>
    <t>089:50:19.02 W</t>
  </si>
  <si>
    <t>030:20:05.73 N</t>
  </si>
  <si>
    <t>030:20:03.49 N</t>
  </si>
  <si>
    <t>030:19:57.70 N</t>
  </si>
  <si>
    <t>030:19:50.13 N</t>
  </si>
  <si>
    <t>030:19:48.12 N</t>
  </si>
  <si>
    <t>030:19:44.88 N</t>
  </si>
  <si>
    <t>089:50:16.39 W</t>
  </si>
  <si>
    <t>030:19:43.10 N</t>
  </si>
  <si>
    <t>089:50:15.47 W</t>
  </si>
  <si>
    <t>030:19:38.46 N</t>
  </si>
  <si>
    <t>089:50:12.15 W</t>
  </si>
  <si>
    <t>030:19:34.91 N</t>
  </si>
  <si>
    <t>089:50:07.51 W</t>
  </si>
  <si>
    <t>030:19:34.29 N</t>
  </si>
  <si>
    <t>089:50:05.97 W</t>
  </si>
  <si>
    <t>030:19:32.82 N</t>
  </si>
  <si>
    <t>089:49:59.55 W</t>
  </si>
  <si>
    <t>030:19:32.67 N</t>
  </si>
  <si>
    <t>030:19:33.37 N</t>
  </si>
  <si>
    <t>089:49:47.74 W</t>
  </si>
  <si>
    <t>030:19:33.67 N</t>
  </si>
  <si>
    <t>089:49:45.57 W</t>
  </si>
  <si>
    <t>030:19:34.14 N</t>
  </si>
  <si>
    <t>089:49:39.01 W</t>
  </si>
  <si>
    <t>030:19:34.37 N</t>
  </si>
  <si>
    <t>089:49:36.84 W</t>
  </si>
  <si>
    <t>030:19:34.68 N</t>
  </si>
  <si>
    <t>089:49:34.91 W</t>
  </si>
  <si>
    <t>030:19:36.76 N</t>
  </si>
  <si>
    <t>089:49:27.57 W</t>
  </si>
  <si>
    <t>030:19:37.61 N</t>
  </si>
  <si>
    <t>030:19:39.93 N</t>
  </si>
  <si>
    <t>030:19:40.94 N</t>
  </si>
  <si>
    <t>030:19:45.03 N</t>
  </si>
  <si>
    <t>089:49:17.07 W</t>
  </si>
  <si>
    <t>030:19:46.65 N</t>
  </si>
  <si>
    <t>089:49:16.14 W</t>
  </si>
  <si>
    <t>030:19:51.67 N</t>
  </si>
  <si>
    <t>030:19:53.30 N</t>
  </si>
  <si>
    <t>030:19:58.70 N</t>
  </si>
  <si>
    <t>030:20:00.17 N</t>
  </si>
  <si>
    <t>030:21:03.51 N</t>
  </si>
  <si>
    <t>030:21:05.06 N</t>
  </si>
  <si>
    <t>089:49:15.75 W</t>
  </si>
  <si>
    <t>030:21:09.08 N</t>
  </si>
  <si>
    <t>030:21:10.54 N</t>
  </si>
  <si>
    <t>030:21:14.56 N</t>
  </si>
  <si>
    <t>030:21:15.80 N</t>
  </si>
  <si>
    <t>030:21:17.80 N</t>
  </si>
  <si>
    <t>030:21:18.81 N</t>
  </si>
  <si>
    <t>030:21:21.13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</si>
</sst>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690"/>
  <sheetViews>
    <sheetView tabSelected="1" workbookViewId="0">
      <selection activeCell="P1" sqref="P1:Q1048576"/>
    </sheetView>
  </sheetViews>
  <sheetFormatPr defaultRowHeight="15" x14ac:dyDescent="0.25"/>
  <cols>
    <col min="1" max="1" width="22.28515625" bestFit="1" customWidth="1"/>
    <col min="2" max="3" width="11.7109375" bestFit="1" customWidth="1"/>
    <col min="4" max="4" width="13.7109375" bestFit="1" customWidth="1"/>
    <col min="5" max="5" width="10" bestFit="1" customWidth="1"/>
    <col min="6" max="6" width="14.140625" bestFit="1" customWidth="1"/>
    <col min="7" max="7" width="10.7109375" bestFit="1" customWidth="1"/>
    <col min="8" max="8" width="8.28515625" bestFit="1" customWidth="1"/>
    <col min="9" max="10" width="4.7109375" bestFit="1" customWidth="1"/>
    <col min="11" max="11" width="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tr">
        <f>"10/21/2020 18:15:44.381"</f>
        <v>10/21/2020 18:15:44.381</v>
      </c>
      <c r="B2" t="str">
        <f>"18:15:52.289"</f>
        <v>18:15:52.289</v>
      </c>
      <c r="C2" t="str">
        <f>"18:15:52.089"</f>
        <v>18:15:52.089</v>
      </c>
      <c r="D2" t="s">
        <v>15</v>
      </c>
      <c r="E2">
        <v>30.354344999999999</v>
      </c>
      <c r="F2" t="s">
        <v>16</v>
      </c>
      <c r="G2">
        <v>-89.820485000000005</v>
      </c>
      <c r="H2">
        <v>200</v>
      </c>
      <c r="I2">
        <v>3</v>
      </c>
      <c r="J2">
        <v>99</v>
      </c>
      <c r="K2">
        <v>1344</v>
      </c>
      <c r="L2">
        <v>1200</v>
      </c>
      <c r="O2">
        <v>200</v>
      </c>
    </row>
    <row r="3" spans="1:15" x14ac:dyDescent="0.25">
      <c r="A3" t="str">
        <f>"10/21/2020 18:15:44.381"</f>
        <v>10/21/2020 18:15:44.381</v>
      </c>
      <c r="B3" t="str">
        <f>"18:15:52.289"</f>
        <v>18:15:52.289</v>
      </c>
      <c r="C3" t="str">
        <f>"18:15:52.089"</f>
        <v>18:15:52.089</v>
      </c>
      <c r="D3" t="s">
        <v>15</v>
      </c>
      <c r="E3">
        <v>30.354344999999999</v>
      </c>
      <c r="F3" t="s">
        <v>16</v>
      </c>
      <c r="G3">
        <v>-89.820485000000005</v>
      </c>
      <c r="H3">
        <v>200</v>
      </c>
      <c r="I3">
        <v>3</v>
      </c>
      <c r="J3">
        <v>99</v>
      </c>
      <c r="K3">
        <v>1344</v>
      </c>
      <c r="L3">
        <v>1200</v>
      </c>
      <c r="O3">
        <v>200</v>
      </c>
    </row>
    <row r="4" spans="1:15" x14ac:dyDescent="0.25">
      <c r="A4" t="str">
        <f>"10/21/2020 18:15:44.381"</f>
        <v>10/21/2020 18:15:44.381</v>
      </c>
      <c r="B4" t="str">
        <f>"18:15:52.289"</f>
        <v>18:15:52.289</v>
      </c>
      <c r="C4" t="str">
        <f>"18:15:52.089"</f>
        <v>18:15:52.089</v>
      </c>
      <c r="D4" t="s">
        <v>15</v>
      </c>
      <c r="E4">
        <v>30.354344999999999</v>
      </c>
      <c r="F4" t="s">
        <v>16</v>
      </c>
      <c r="G4">
        <v>-89.820485000000005</v>
      </c>
      <c r="H4">
        <v>200</v>
      </c>
      <c r="I4">
        <v>3</v>
      </c>
      <c r="J4">
        <v>99</v>
      </c>
      <c r="K4">
        <v>1344</v>
      </c>
      <c r="L4">
        <v>1200</v>
      </c>
      <c r="O4">
        <v>200</v>
      </c>
    </row>
    <row r="5" spans="1:15" x14ac:dyDescent="0.25">
      <c r="A5" t="str">
        <f>"10/21/2020 18:15:44.381"</f>
        <v>10/21/2020 18:15:44.381</v>
      </c>
      <c r="B5" t="str">
        <f>"18:15:52.289"</f>
        <v>18:15:52.289</v>
      </c>
      <c r="C5" t="str">
        <f>"18:15:52.089"</f>
        <v>18:15:52.089</v>
      </c>
      <c r="D5" t="s">
        <v>15</v>
      </c>
      <c r="E5">
        <v>30.354344999999999</v>
      </c>
      <c r="F5" t="s">
        <v>16</v>
      </c>
      <c r="G5">
        <v>-89.820485000000005</v>
      </c>
      <c r="H5">
        <v>200</v>
      </c>
      <c r="I5">
        <v>3</v>
      </c>
      <c r="J5">
        <v>99</v>
      </c>
      <c r="K5">
        <v>1344</v>
      </c>
      <c r="L5">
        <v>1200</v>
      </c>
      <c r="O5">
        <v>200</v>
      </c>
    </row>
    <row r="6" spans="1:15" x14ac:dyDescent="0.25">
      <c r="A6" t="str">
        <f>"10/21/2020 18:15:44.381"</f>
        <v>10/21/2020 18:15:44.381</v>
      </c>
      <c r="B6" t="str">
        <f>"18:15:52.289"</f>
        <v>18:15:52.289</v>
      </c>
      <c r="C6" t="str">
        <f>"18:15:52.089"</f>
        <v>18:15:52.089</v>
      </c>
      <c r="D6" t="s">
        <v>15</v>
      </c>
      <c r="E6">
        <v>30.354344999999999</v>
      </c>
      <c r="F6" t="s">
        <v>16</v>
      </c>
      <c r="G6">
        <v>-89.820485000000005</v>
      </c>
      <c r="H6">
        <v>200</v>
      </c>
      <c r="I6">
        <v>3</v>
      </c>
      <c r="J6">
        <v>99</v>
      </c>
      <c r="K6">
        <v>1344</v>
      </c>
      <c r="L6">
        <v>1200</v>
      </c>
      <c r="O6">
        <v>200</v>
      </c>
    </row>
    <row r="7" spans="1:15" x14ac:dyDescent="0.25">
      <c r="A7" t="str">
        <f>"10/21/2020 18:15:47.979"</f>
        <v>10/21/2020 18:15:47.979</v>
      </c>
      <c r="B7" t="str">
        <f>"18:15:55.914"</f>
        <v>18:15:55.914</v>
      </c>
      <c r="C7" t="str">
        <f>"18:15:55.614"</f>
        <v>18:15:55.614</v>
      </c>
      <c r="D7" t="s">
        <v>17</v>
      </c>
      <c r="E7">
        <v>30.356019</v>
      </c>
      <c r="F7" t="s">
        <v>18</v>
      </c>
      <c r="G7">
        <v>-89.820378000000005</v>
      </c>
      <c r="H7">
        <v>300</v>
      </c>
      <c r="I7">
        <v>5</v>
      </c>
      <c r="J7">
        <v>98</v>
      </c>
      <c r="K7">
        <v>1216</v>
      </c>
      <c r="L7">
        <v>1200</v>
      </c>
      <c r="M7" t="str">
        <f t="shared" ref="M7:M70" si="0">"N35DC   "</f>
        <v xml:space="preserve">N35DC   </v>
      </c>
      <c r="N7">
        <v>1</v>
      </c>
      <c r="O7">
        <v>275</v>
      </c>
    </row>
    <row r="8" spans="1:15" x14ac:dyDescent="0.25">
      <c r="A8" t="str">
        <f>"10/21/2020 18:15:47.979"</f>
        <v>10/21/2020 18:15:47.979</v>
      </c>
      <c r="B8" t="str">
        <f>"18:15:55.914"</f>
        <v>18:15:55.914</v>
      </c>
      <c r="C8" t="str">
        <f>"18:15:55.614"</f>
        <v>18:15:55.614</v>
      </c>
      <c r="D8" t="s">
        <v>17</v>
      </c>
      <c r="E8">
        <v>30.356019</v>
      </c>
      <c r="F8" t="s">
        <v>18</v>
      </c>
      <c r="G8">
        <v>-89.820378000000005</v>
      </c>
      <c r="H8">
        <v>300</v>
      </c>
      <c r="I8">
        <v>5</v>
      </c>
      <c r="J8">
        <v>98</v>
      </c>
      <c r="K8">
        <v>1216</v>
      </c>
      <c r="L8">
        <v>1200</v>
      </c>
      <c r="M8" t="str">
        <f t="shared" si="0"/>
        <v xml:space="preserve">N35DC   </v>
      </c>
      <c r="N8">
        <v>1</v>
      </c>
      <c r="O8">
        <v>275</v>
      </c>
    </row>
    <row r="9" spans="1:15" x14ac:dyDescent="0.25">
      <c r="A9" t="str">
        <f>"10/21/2020 18:15:47.979"</f>
        <v>10/21/2020 18:15:47.979</v>
      </c>
      <c r="B9" t="str">
        <f>"18:15:55.914"</f>
        <v>18:15:55.914</v>
      </c>
      <c r="C9" t="str">
        <f>"18:15:55.614"</f>
        <v>18:15:55.614</v>
      </c>
      <c r="D9" t="s">
        <v>17</v>
      </c>
      <c r="E9">
        <v>30.356019</v>
      </c>
      <c r="F9" t="s">
        <v>18</v>
      </c>
      <c r="G9">
        <v>-89.820378000000005</v>
      </c>
      <c r="H9">
        <v>300</v>
      </c>
      <c r="I9">
        <v>5</v>
      </c>
      <c r="J9">
        <v>98</v>
      </c>
      <c r="K9">
        <v>1216</v>
      </c>
      <c r="L9">
        <v>1200</v>
      </c>
      <c r="M9" t="str">
        <f t="shared" si="0"/>
        <v xml:space="preserve">N35DC   </v>
      </c>
      <c r="N9">
        <v>1</v>
      </c>
      <c r="O9">
        <v>275</v>
      </c>
    </row>
    <row r="10" spans="1:15" x14ac:dyDescent="0.25">
      <c r="A10" t="str">
        <f>"10/21/2020 18:15:47.979"</f>
        <v>10/21/2020 18:15:47.979</v>
      </c>
      <c r="B10" t="str">
        <f>"18:15:55.914"</f>
        <v>18:15:55.914</v>
      </c>
      <c r="C10" t="str">
        <f>"18:15:55.614"</f>
        <v>18:15:55.614</v>
      </c>
      <c r="D10" t="s">
        <v>17</v>
      </c>
      <c r="E10">
        <v>30.356019</v>
      </c>
      <c r="F10" t="s">
        <v>18</v>
      </c>
      <c r="G10">
        <v>-89.820378000000005</v>
      </c>
      <c r="H10">
        <v>300</v>
      </c>
      <c r="I10">
        <v>5</v>
      </c>
      <c r="J10">
        <v>98</v>
      </c>
      <c r="K10">
        <v>1216</v>
      </c>
      <c r="L10">
        <v>1200</v>
      </c>
      <c r="M10" t="str">
        <f t="shared" si="0"/>
        <v xml:space="preserve">N35DC   </v>
      </c>
      <c r="N10">
        <v>1</v>
      </c>
      <c r="O10">
        <v>275</v>
      </c>
    </row>
    <row r="11" spans="1:15" x14ac:dyDescent="0.25">
      <c r="A11" t="str">
        <f>"10/21/2020 18:15:47.979"</f>
        <v>10/21/2020 18:15:47.979</v>
      </c>
      <c r="B11" t="str">
        <f>"18:15:55.914"</f>
        <v>18:15:55.914</v>
      </c>
      <c r="C11" t="str">
        <f>"18:15:55.614"</f>
        <v>18:15:55.614</v>
      </c>
      <c r="D11" t="s">
        <v>17</v>
      </c>
      <c r="E11">
        <v>30.356019</v>
      </c>
      <c r="F11" t="s">
        <v>18</v>
      </c>
      <c r="G11">
        <v>-89.820378000000005</v>
      </c>
      <c r="H11">
        <v>300</v>
      </c>
      <c r="I11">
        <v>5</v>
      </c>
      <c r="J11">
        <v>98</v>
      </c>
      <c r="K11">
        <v>1216</v>
      </c>
      <c r="L11">
        <v>1200</v>
      </c>
      <c r="M11" t="str">
        <f t="shared" si="0"/>
        <v xml:space="preserve">N35DC   </v>
      </c>
      <c r="N11">
        <v>1</v>
      </c>
      <c r="O11">
        <v>275</v>
      </c>
    </row>
    <row r="12" spans="1:15" x14ac:dyDescent="0.25">
      <c r="A12" t="str">
        <f>"10/21/2020 18:15:49.988"</f>
        <v>10/21/2020 18:15:49.988</v>
      </c>
      <c r="B12" t="str">
        <f>"18:15:57.922"</f>
        <v>18:15:57.922</v>
      </c>
      <c r="C12" t="str">
        <f>"18:15:57.622"</f>
        <v>18:15:57.622</v>
      </c>
      <c r="D12" t="s">
        <v>19</v>
      </c>
      <c r="E12">
        <v>30.356940999999999</v>
      </c>
      <c r="F12" t="s">
        <v>20</v>
      </c>
      <c r="G12">
        <v>-89.820312999999999</v>
      </c>
      <c r="H12">
        <v>300</v>
      </c>
      <c r="I12">
        <v>3</v>
      </c>
      <c r="J12">
        <v>98</v>
      </c>
      <c r="K12">
        <v>1152</v>
      </c>
      <c r="L12">
        <v>1200</v>
      </c>
      <c r="M12" t="str">
        <f t="shared" si="0"/>
        <v xml:space="preserve">N35DC   </v>
      </c>
      <c r="N12">
        <v>1</v>
      </c>
      <c r="O12">
        <v>325</v>
      </c>
    </row>
    <row r="13" spans="1:15" x14ac:dyDescent="0.25">
      <c r="A13" t="str">
        <f>"10/21/2020 18:15:49.988"</f>
        <v>10/21/2020 18:15:49.988</v>
      </c>
      <c r="B13" t="str">
        <f>"18:15:57.922"</f>
        <v>18:15:57.922</v>
      </c>
      <c r="C13" t="str">
        <f>"18:15:57.622"</f>
        <v>18:15:57.622</v>
      </c>
      <c r="D13" t="s">
        <v>19</v>
      </c>
      <c r="E13">
        <v>30.356940999999999</v>
      </c>
      <c r="F13" t="s">
        <v>20</v>
      </c>
      <c r="G13">
        <v>-89.820312999999999</v>
      </c>
      <c r="H13">
        <v>300</v>
      </c>
      <c r="I13">
        <v>3</v>
      </c>
      <c r="J13">
        <v>98</v>
      </c>
      <c r="K13">
        <v>1152</v>
      </c>
      <c r="L13">
        <v>1200</v>
      </c>
      <c r="M13" t="str">
        <f t="shared" si="0"/>
        <v xml:space="preserve">N35DC   </v>
      </c>
      <c r="N13">
        <v>1</v>
      </c>
      <c r="O13">
        <v>325</v>
      </c>
    </row>
    <row r="14" spans="1:15" x14ac:dyDescent="0.25">
      <c r="A14" t="str">
        <f>"10/21/2020 18:15:49.988"</f>
        <v>10/21/2020 18:15:49.988</v>
      </c>
      <c r="B14" t="str">
        <f>"18:15:57.922"</f>
        <v>18:15:57.922</v>
      </c>
      <c r="C14" t="str">
        <f>"18:15:57.622"</f>
        <v>18:15:57.622</v>
      </c>
      <c r="D14" t="s">
        <v>19</v>
      </c>
      <c r="E14">
        <v>30.356940999999999</v>
      </c>
      <c r="F14" t="s">
        <v>20</v>
      </c>
      <c r="G14">
        <v>-89.820312999999999</v>
      </c>
      <c r="H14">
        <v>300</v>
      </c>
      <c r="I14">
        <v>3</v>
      </c>
      <c r="J14">
        <v>98</v>
      </c>
      <c r="K14">
        <v>1152</v>
      </c>
      <c r="L14">
        <v>1200</v>
      </c>
      <c r="M14" t="str">
        <f t="shared" si="0"/>
        <v xml:space="preserve">N35DC   </v>
      </c>
      <c r="N14">
        <v>1</v>
      </c>
      <c r="O14">
        <v>325</v>
      </c>
    </row>
    <row r="15" spans="1:15" x14ac:dyDescent="0.25">
      <c r="A15" t="str">
        <f>"10/21/2020 18:15:49.988"</f>
        <v>10/21/2020 18:15:49.988</v>
      </c>
      <c r="B15" t="str">
        <f>"18:15:57.922"</f>
        <v>18:15:57.922</v>
      </c>
      <c r="C15" t="str">
        <f>"18:15:57.622"</f>
        <v>18:15:57.622</v>
      </c>
      <c r="D15" t="s">
        <v>19</v>
      </c>
      <c r="E15">
        <v>30.356940999999999</v>
      </c>
      <c r="F15" t="s">
        <v>20</v>
      </c>
      <c r="G15">
        <v>-89.820312999999999</v>
      </c>
      <c r="H15">
        <v>300</v>
      </c>
      <c r="I15">
        <v>3</v>
      </c>
      <c r="J15">
        <v>98</v>
      </c>
      <c r="K15">
        <v>1152</v>
      </c>
      <c r="L15">
        <v>1200</v>
      </c>
      <c r="M15" t="str">
        <f t="shared" si="0"/>
        <v xml:space="preserve">N35DC   </v>
      </c>
      <c r="N15">
        <v>1</v>
      </c>
      <c r="O15">
        <v>325</v>
      </c>
    </row>
    <row r="16" spans="1:15" x14ac:dyDescent="0.25">
      <c r="A16" t="str">
        <f>"10/21/2020 18:15:49.988"</f>
        <v>10/21/2020 18:15:49.988</v>
      </c>
      <c r="B16" t="str">
        <f>"18:15:57.922"</f>
        <v>18:15:57.922</v>
      </c>
      <c r="C16" t="str">
        <f>"18:15:57.622"</f>
        <v>18:15:57.622</v>
      </c>
      <c r="D16" t="s">
        <v>19</v>
      </c>
      <c r="E16">
        <v>30.356940999999999</v>
      </c>
      <c r="F16" t="s">
        <v>20</v>
      </c>
      <c r="G16">
        <v>-89.820312999999999</v>
      </c>
      <c r="H16">
        <v>300</v>
      </c>
      <c r="I16">
        <v>3</v>
      </c>
      <c r="J16">
        <v>98</v>
      </c>
      <c r="K16">
        <v>1152</v>
      </c>
      <c r="L16">
        <v>1200</v>
      </c>
      <c r="M16" t="str">
        <f t="shared" si="0"/>
        <v xml:space="preserve">N35DC   </v>
      </c>
      <c r="N16">
        <v>1</v>
      </c>
      <c r="O16">
        <v>325</v>
      </c>
    </row>
    <row r="17" spans="1:15" x14ac:dyDescent="0.25">
      <c r="A17" t="str">
        <f>"10/21/2020 18:15:51.146"</f>
        <v>10/21/2020 18:15:51.146</v>
      </c>
      <c r="B17" t="str">
        <f>"18:15:59.078"</f>
        <v>18:15:59.078</v>
      </c>
      <c r="C17" t="str">
        <f>"18:15:58.878"</f>
        <v>18:15:58.878</v>
      </c>
      <c r="D17" t="s">
        <v>21</v>
      </c>
      <c r="E17">
        <v>30.357455999999999</v>
      </c>
      <c r="F17" t="s">
        <v>20</v>
      </c>
      <c r="G17">
        <v>-89.820312999999999</v>
      </c>
      <c r="H17">
        <v>300</v>
      </c>
      <c r="I17">
        <v>3</v>
      </c>
      <c r="J17">
        <v>98</v>
      </c>
      <c r="K17">
        <v>1216</v>
      </c>
      <c r="L17">
        <v>1200</v>
      </c>
      <c r="M17" t="str">
        <f t="shared" si="0"/>
        <v xml:space="preserve">N35DC   </v>
      </c>
      <c r="N17">
        <v>1</v>
      </c>
      <c r="O17">
        <v>350</v>
      </c>
    </row>
    <row r="18" spans="1:15" x14ac:dyDescent="0.25">
      <c r="A18" t="str">
        <f>"10/21/2020 18:15:51.146"</f>
        <v>10/21/2020 18:15:51.146</v>
      </c>
      <c r="B18" t="str">
        <f>"18:15:59.078"</f>
        <v>18:15:59.078</v>
      </c>
      <c r="C18" t="str">
        <f>"18:15:58.878"</f>
        <v>18:15:58.878</v>
      </c>
      <c r="D18" t="s">
        <v>21</v>
      </c>
      <c r="E18">
        <v>30.357455999999999</v>
      </c>
      <c r="F18" t="s">
        <v>20</v>
      </c>
      <c r="G18">
        <v>-89.820312999999999</v>
      </c>
      <c r="H18">
        <v>300</v>
      </c>
      <c r="I18">
        <v>3</v>
      </c>
      <c r="J18">
        <v>98</v>
      </c>
      <c r="K18">
        <v>1216</v>
      </c>
      <c r="L18">
        <v>1200</v>
      </c>
      <c r="M18" t="str">
        <f t="shared" si="0"/>
        <v xml:space="preserve">N35DC   </v>
      </c>
      <c r="N18">
        <v>1</v>
      </c>
      <c r="O18">
        <v>350</v>
      </c>
    </row>
    <row r="19" spans="1:15" x14ac:dyDescent="0.25">
      <c r="A19" t="str">
        <f>"10/21/2020 18:15:51.146"</f>
        <v>10/21/2020 18:15:51.146</v>
      </c>
      <c r="B19" t="str">
        <f>"18:15:59.078"</f>
        <v>18:15:59.078</v>
      </c>
      <c r="C19" t="str">
        <f>"18:15:58.878"</f>
        <v>18:15:58.878</v>
      </c>
      <c r="D19" t="s">
        <v>21</v>
      </c>
      <c r="E19">
        <v>30.357455999999999</v>
      </c>
      <c r="F19" t="s">
        <v>20</v>
      </c>
      <c r="G19">
        <v>-89.820312999999999</v>
      </c>
      <c r="H19">
        <v>300</v>
      </c>
      <c r="I19">
        <v>3</v>
      </c>
      <c r="J19">
        <v>98</v>
      </c>
      <c r="K19">
        <v>1216</v>
      </c>
      <c r="L19">
        <v>1200</v>
      </c>
      <c r="M19" t="str">
        <f t="shared" si="0"/>
        <v xml:space="preserve">N35DC   </v>
      </c>
      <c r="N19">
        <v>1</v>
      </c>
      <c r="O19">
        <v>350</v>
      </c>
    </row>
    <row r="20" spans="1:15" x14ac:dyDescent="0.25">
      <c r="A20" t="str">
        <f>"10/21/2020 18:15:51.146"</f>
        <v>10/21/2020 18:15:51.146</v>
      </c>
      <c r="B20" t="str">
        <f>"18:15:59.078"</f>
        <v>18:15:59.078</v>
      </c>
      <c r="C20" t="str">
        <f>"18:15:58.878"</f>
        <v>18:15:58.878</v>
      </c>
      <c r="D20" t="s">
        <v>21</v>
      </c>
      <c r="E20">
        <v>30.357455999999999</v>
      </c>
      <c r="F20" t="s">
        <v>20</v>
      </c>
      <c r="G20">
        <v>-89.820312999999999</v>
      </c>
      <c r="H20">
        <v>300</v>
      </c>
      <c r="I20">
        <v>3</v>
      </c>
      <c r="J20">
        <v>98</v>
      </c>
      <c r="K20">
        <v>1216</v>
      </c>
      <c r="L20">
        <v>1200</v>
      </c>
      <c r="M20" t="str">
        <f t="shared" si="0"/>
        <v xml:space="preserve">N35DC   </v>
      </c>
      <c r="N20">
        <v>1</v>
      </c>
      <c r="O20">
        <v>350</v>
      </c>
    </row>
    <row r="21" spans="1:15" x14ac:dyDescent="0.25">
      <c r="A21" t="str">
        <f>"10/21/2020 18:15:51.146"</f>
        <v>10/21/2020 18:15:51.146</v>
      </c>
      <c r="B21" t="str">
        <f>"18:15:59.078"</f>
        <v>18:15:59.078</v>
      </c>
      <c r="C21" t="str">
        <f>"18:15:58.878"</f>
        <v>18:15:58.878</v>
      </c>
      <c r="D21" t="s">
        <v>21</v>
      </c>
      <c r="E21">
        <v>30.357455999999999</v>
      </c>
      <c r="F21" t="s">
        <v>20</v>
      </c>
      <c r="G21">
        <v>-89.820312999999999</v>
      </c>
      <c r="H21">
        <v>300</v>
      </c>
      <c r="I21">
        <v>3</v>
      </c>
      <c r="J21">
        <v>98</v>
      </c>
      <c r="K21">
        <v>1216</v>
      </c>
      <c r="L21">
        <v>1200</v>
      </c>
      <c r="M21" t="str">
        <f t="shared" si="0"/>
        <v xml:space="preserve">N35DC   </v>
      </c>
      <c r="N21">
        <v>1</v>
      </c>
      <c r="O21">
        <v>350</v>
      </c>
    </row>
    <row r="22" spans="1:15" x14ac:dyDescent="0.25">
      <c r="A22" t="str">
        <f>"10/21/2020 18:15:54.637"</f>
        <v>10/21/2020 18:15:54.637</v>
      </c>
      <c r="B22" t="str">
        <f>"18:16:02.570"</f>
        <v>18:16:02.570</v>
      </c>
      <c r="C22" t="str">
        <f>"18:16:02.470"</f>
        <v>18:16:02.470</v>
      </c>
      <c r="D22" t="s">
        <v>22</v>
      </c>
      <c r="E22">
        <v>30.359065999999999</v>
      </c>
      <c r="F22" t="s">
        <v>23</v>
      </c>
      <c r="G22">
        <v>-89.820228</v>
      </c>
      <c r="H22">
        <v>400</v>
      </c>
      <c r="I22">
        <v>2</v>
      </c>
      <c r="J22">
        <v>99</v>
      </c>
      <c r="K22">
        <v>896</v>
      </c>
      <c r="L22">
        <v>1200</v>
      </c>
      <c r="M22" t="str">
        <f t="shared" si="0"/>
        <v xml:space="preserve">N35DC   </v>
      </c>
      <c r="N22">
        <v>1</v>
      </c>
      <c r="O22">
        <v>400</v>
      </c>
    </row>
    <row r="23" spans="1:15" x14ac:dyDescent="0.25">
      <c r="A23" t="str">
        <f>"10/21/2020 18:15:54.637"</f>
        <v>10/21/2020 18:15:54.637</v>
      </c>
      <c r="B23" t="str">
        <f>"18:16:02.570"</f>
        <v>18:16:02.570</v>
      </c>
      <c r="C23" t="str">
        <f>"18:16:02.470"</f>
        <v>18:16:02.470</v>
      </c>
      <c r="D23" t="s">
        <v>22</v>
      </c>
      <c r="E23">
        <v>30.359065999999999</v>
      </c>
      <c r="F23" t="s">
        <v>23</v>
      </c>
      <c r="G23">
        <v>-89.820228</v>
      </c>
      <c r="H23">
        <v>400</v>
      </c>
      <c r="I23">
        <v>2</v>
      </c>
      <c r="J23">
        <v>99</v>
      </c>
      <c r="K23">
        <v>896</v>
      </c>
      <c r="L23">
        <v>1200</v>
      </c>
      <c r="M23" t="str">
        <f t="shared" si="0"/>
        <v xml:space="preserve">N35DC   </v>
      </c>
      <c r="N23">
        <v>1</v>
      </c>
      <c r="O23">
        <v>400</v>
      </c>
    </row>
    <row r="24" spans="1:15" x14ac:dyDescent="0.25">
      <c r="A24" t="str">
        <f>"10/21/2020 18:15:54.637"</f>
        <v>10/21/2020 18:15:54.637</v>
      </c>
      <c r="B24" t="str">
        <f>"18:16:02.570"</f>
        <v>18:16:02.570</v>
      </c>
      <c r="C24" t="str">
        <f>"18:16:02.470"</f>
        <v>18:16:02.470</v>
      </c>
      <c r="D24" t="s">
        <v>22</v>
      </c>
      <c r="E24">
        <v>30.359065999999999</v>
      </c>
      <c r="F24" t="s">
        <v>23</v>
      </c>
      <c r="G24">
        <v>-89.820228</v>
      </c>
      <c r="H24">
        <v>400</v>
      </c>
      <c r="I24">
        <v>2</v>
      </c>
      <c r="J24">
        <v>99</v>
      </c>
      <c r="K24">
        <v>896</v>
      </c>
      <c r="L24">
        <v>1200</v>
      </c>
      <c r="M24" t="str">
        <f t="shared" si="0"/>
        <v xml:space="preserve">N35DC   </v>
      </c>
      <c r="N24">
        <v>1</v>
      </c>
      <c r="O24">
        <v>400</v>
      </c>
    </row>
    <row r="25" spans="1:15" x14ac:dyDescent="0.25">
      <c r="A25" t="str">
        <f>"10/21/2020 18:15:54.637"</f>
        <v>10/21/2020 18:15:54.637</v>
      </c>
      <c r="B25" t="str">
        <f>"18:16:02.570"</f>
        <v>18:16:02.570</v>
      </c>
      <c r="C25" t="str">
        <f>"18:16:02.470"</f>
        <v>18:16:02.470</v>
      </c>
      <c r="D25" t="s">
        <v>22</v>
      </c>
      <c r="E25">
        <v>30.359065999999999</v>
      </c>
      <c r="F25" t="s">
        <v>23</v>
      </c>
      <c r="G25">
        <v>-89.820228</v>
      </c>
      <c r="H25">
        <v>400</v>
      </c>
      <c r="I25">
        <v>2</v>
      </c>
      <c r="J25">
        <v>99</v>
      </c>
      <c r="K25">
        <v>896</v>
      </c>
      <c r="L25">
        <v>1200</v>
      </c>
      <c r="M25" t="str">
        <f t="shared" si="0"/>
        <v xml:space="preserve">N35DC   </v>
      </c>
      <c r="N25">
        <v>1</v>
      </c>
      <c r="O25">
        <v>400</v>
      </c>
    </row>
    <row r="26" spans="1:15" x14ac:dyDescent="0.25">
      <c r="A26" t="str">
        <f>"10/21/2020 18:15:54.637"</f>
        <v>10/21/2020 18:15:54.637</v>
      </c>
      <c r="B26" t="str">
        <f>"18:16:02.570"</f>
        <v>18:16:02.570</v>
      </c>
      <c r="C26" t="str">
        <f>"18:16:02.470"</f>
        <v>18:16:02.470</v>
      </c>
      <c r="D26" t="s">
        <v>22</v>
      </c>
      <c r="E26">
        <v>30.359065999999999</v>
      </c>
      <c r="F26" t="s">
        <v>23</v>
      </c>
      <c r="G26">
        <v>-89.820228</v>
      </c>
      <c r="H26">
        <v>400</v>
      </c>
      <c r="I26">
        <v>2</v>
      </c>
      <c r="J26">
        <v>99</v>
      </c>
      <c r="K26">
        <v>896</v>
      </c>
      <c r="L26">
        <v>1200</v>
      </c>
      <c r="M26" t="str">
        <f t="shared" si="0"/>
        <v xml:space="preserve">N35DC   </v>
      </c>
      <c r="N26">
        <v>1</v>
      </c>
      <c r="O26">
        <v>400</v>
      </c>
    </row>
    <row r="27" spans="1:15" x14ac:dyDescent="0.25">
      <c r="A27" t="str">
        <f>"10/21/2020 18:15:55.602"</f>
        <v>10/21/2020 18:15:55.602</v>
      </c>
      <c r="B27" t="str">
        <f>"18:16:03.516"</f>
        <v>18:16:03.516</v>
      </c>
      <c r="C27" t="str">
        <f>"18:16:03.016"</f>
        <v>18:16:03.016</v>
      </c>
      <c r="D27" t="s">
        <v>24</v>
      </c>
      <c r="E27">
        <v>30.359452000000001</v>
      </c>
      <c r="F27" t="s">
        <v>25</v>
      </c>
      <c r="G27">
        <v>-89.820271000000005</v>
      </c>
      <c r="H27">
        <v>400</v>
      </c>
      <c r="I27">
        <v>2</v>
      </c>
      <c r="J27">
        <v>99</v>
      </c>
      <c r="K27">
        <v>960</v>
      </c>
      <c r="L27">
        <v>1200</v>
      </c>
      <c r="M27" t="str">
        <f t="shared" si="0"/>
        <v xml:space="preserve">N35DC   </v>
      </c>
      <c r="N27">
        <v>1</v>
      </c>
      <c r="O27">
        <v>425</v>
      </c>
    </row>
    <row r="28" spans="1:15" x14ac:dyDescent="0.25">
      <c r="A28" t="str">
        <f>"10/21/2020 18:15:55.602"</f>
        <v>10/21/2020 18:15:55.602</v>
      </c>
      <c r="B28" t="str">
        <f>"18:16:03.516"</f>
        <v>18:16:03.516</v>
      </c>
      <c r="C28" t="str">
        <f>"18:16:03.016"</f>
        <v>18:16:03.016</v>
      </c>
      <c r="D28" t="s">
        <v>24</v>
      </c>
      <c r="E28">
        <v>30.359452000000001</v>
      </c>
      <c r="F28" t="s">
        <v>25</v>
      </c>
      <c r="G28">
        <v>-89.820271000000005</v>
      </c>
      <c r="H28">
        <v>400</v>
      </c>
      <c r="I28">
        <v>2</v>
      </c>
      <c r="J28">
        <v>99</v>
      </c>
      <c r="K28">
        <v>960</v>
      </c>
      <c r="L28">
        <v>1200</v>
      </c>
      <c r="M28" t="str">
        <f t="shared" si="0"/>
        <v xml:space="preserve">N35DC   </v>
      </c>
      <c r="N28">
        <v>1</v>
      </c>
      <c r="O28">
        <v>425</v>
      </c>
    </row>
    <row r="29" spans="1:15" x14ac:dyDescent="0.25">
      <c r="A29" t="str">
        <f>"10/21/2020 18:15:55.602"</f>
        <v>10/21/2020 18:15:55.602</v>
      </c>
      <c r="B29" t="str">
        <f>"18:16:03.516"</f>
        <v>18:16:03.516</v>
      </c>
      <c r="C29" t="str">
        <f>"18:16:03.016"</f>
        <v>18:16:03.016</v>
      </c>
      <c r="D29" t="s">
        <v>24</v>
      </c>
      <c r="E29">
        <v>30.359452000000001</v>
      </c>
      <c r="F29" t="s">
        <v>25</v>
      </c>
      <c r="G29">
        <v>-89.820271000000005</v>
      </c>
      <c r="H29">
        <v>400</v>
      </c>
      <c r="I29">
        <v>2</v>
      </c>
      <c r="J29">
        <v>99</v>
      </c>
      <c r="K29">
        <v>960</v>
      </c>
      <c r="L29">
        <v>1200</v>
      </c>
      <c r="M29" t="str">
        <f t="shared" si="0"/>
        <v xml:space="preserve">N35DC   </v>
      </c>
      <c r="N29">
        <v>1</v>
      </c>
      <c r="O29">
        <v>425</v>
      </c>
    </row>
    <row r="30" spans="1:15" x14ac:dyDescent="0.25">
      <c r="A30" t="str">
        <f>"10/21/2020 18:15:55.602"</f>
        <v>10/21/2020 18:15:55.602</v>
      </c>
      <c r="B30" t="str">
        <f>"18:16:03.516"</f>
        <v>18:16:03.516</v>
      </c>
      <c r="C30" t="str">
        <f>"18:16:03.016"</f>
        <v>18:16:03.016</v>
      </c>
      <c r="D30" t="s">
        <v>24</v>
      </c>
      <c r="E30">
        <v>30.359452000000001</v>
      </c>
      <c r="F30" t="s">
        <v>25</v>
      </c>
      <c r="G30">
        <v>-89.820271000000005</v>
      </c>
      <c r="H30">
        <v>400</v>
      </c>
      <c r="I30">
        <v>2</v>
      </c>
      <c r="J30">
        <v>99</v>
      </c>
      <c r="K30">
        <v>960</v>
      </c>
      <c r="L30">
        <v>1200</v>
      </c>
      <c r="M30" t="str">
        <f t="shared" si="0"/>
        <v xml:space="preserve">N35DC   </v>
      </c>
      <c r="N30">
        <v>1</v>
      </c>
      <c r="O30">
        <v>425</v>
      </c>
    </row>
    <row r="31" spans="1:15" x14ac:dyDescent="0.25">
      <c r="A31" t="str">
        <f>"10/21/2020 18:15:55.602"</f>
        <v>10/21/2020 18:15:55.602</v>
      </c>
      <c r="B31" t="str">
        <f>"18:16:03.516"</f>
        <v>18:16:03.516</v>
      </c>
      <c r="C31" t="str">
        <f>"18:16:03.016"</f>
        <v>18:16:03.016</v>
      </c>
      <c r="D31" t="s">
        <v>24</v>
      </c>
      <c r="E31">
        <v>30.359452000000001</v>
      </c>
      <c r="F31" t="s">
        <v>25</v>
      </c>
      <c r="G31">
        <v>-89.820271000000005</v>
      </c>
      <c r="H31">
        <v>400</v>
      </c>
      <c r="I31">
        <v>2</v>
      </c>
      <c r="J31">
        <v>99</v>
      </c>
      <c r="K31">
        <v>960</v>
      </c>
      <c r="L31">
        <v>1200</v>
      </c>
      <c r="M31" t="str">
        <f t="shared" si="0"/>
        <v xml:space="preserve">N35DC   </v>
      </c>
      <c r="N31">
        <v>1</v>
      </c>
      <c r="O31">
        <v>425</v>
      </c>
    </row>
    <row r="32" spans="1:15" x14ac:dyDescent="0.25">
      <c r="A32" t="str">
        <f>"10/21/2020 18:15:58.418"</f>
        <v>10/21/2020 18:15:58.418</v>
      </c>
      <c r="B32" t="str">
        <f>"18:16:06.352"</f>
        <v>18:16:06.352</v>
      </c>
      <c r="C32" t="str">
        <f>"18:16:06.152"</f>
        <v>18:16:06.152</v>
      </c>
      <c r="D32" t="s">
        <v>26</v>
      </c>
      <c r="E32">
        <v>30.360804000000002</v>
      </c>
      <c r="F32" t="s">
        <v>27</v>
      </c>
      <c r="G32">
        <v>-89.820205999999999</v>
      </c>
      <c r="H32">
        <v>500</v>
      </c>
      <c r="I32">
        <v>1</v>
      </c>
      <c r="J32">
        <v>101</v>
      </c>
      <c r="K32">
        <v>832</v>
      </c>
      <c r="L32">
        <v>1200</v>
      </c>
      <c r="M32" t="str">
        <f t="shared" si="0"/>
        <v xml:space="preserve">N35DC   </v>
      </c>
      <c r="N32">
        <v>1</v>
      </c>
      <c r="O32">
        <v>475</v>
      </c>
    </row>
    <row r="33" spans="1:15" x14ac:dyDescent="0.25">
      <c r="A33" t="str">
        <f>"10/21/2020 18:15:58.418"</f>
        <v>10/21/2020 18:15:58.418</v>
      </c>
      <c r="B33" t="str">
        <f>"18:16:06.352"</f>
        <v>18:16:06.352</v>
      </c>
      <c r="C33" t="str">
        <f>"18:16:06.152"</f>
        <v>18:16:06.152</v>
      </c>
      <c r="D33" t="s">
        <v>26</v>
      </c>
      <c r="E33">
        <v>30.360804000000002</v>
      </c>
      <c r="F33" t="s">
        <v>27</v>
      </c>
      <c r="G33">
        <v>-89.820205999999999</v>
      </c>
      <c r="H33">
        <v>500</v>
      </c>
      <c r="I33">
        <v>1</v>
      </c>
      <c r="J33">
        <v>101</v>
      </c>
      <c r="K33">
        <v>832</v>
      </c>
      <c r="L33">
        <v>1200</v>
      </c>
      <c r="M33" t="str">
        <f t="shared" si="0"/>
        <v xml:space="preserve">N35DC   </v>
      </c>
      <c r="N33">
        <v>1</v>
      </c>
      <c r="O33">
        <v>475</v>
      </c>
    </row>
    <row r="34" spans="1:15" x14ac:dyDescent="0.25">
      <c r="A34" t="str">
        <f>"10/21/2020 18:15:58.418"</f>
        <v>10/21/2020 18:15:58.418</v>
      </c>
      <c r="B34" t="str">
        <f>"18:16:06.352"</f>
        <v>18:16:06.352</v>
      </c>
      <c r="C34" t="str">
        <f>"18:16:06.152"</f>
        <v>18:16:06.152</v>
      </c>
      <c r="D34" t="s">
        <v>26</v>
      </c>
      <c r="E34">
        <v>30.360804000000002</v>
      </c>
      <c r="F34" t="s">
        <v>27</v>
      </c>
      <c r="G34">
        <v>-89.820205999999999</v>
      </c>
      <c r="H34">
        <v>500</v>
      </c>
      <c r="I34">
        <v>1</v>
      </c>
      <c r="J34">
        <v>101</v>
      </c>
      <c r="K34">
        <v>832</v>
      </c>
      <c r="L34">
        <v>1200</v>
      </c>
      <c r="M34" t="str">
        <f t="shared" si="0"/>
        <v xml:space="preserve">N35DC   </v>
      </c>
      <c r="N34">
        <v>1</v>
      </c>
      <c r="O34">
        <v>475</v>
      </c>
    </row>
    <row r="35" spans="1:15" x14ac:dyDescent="0.25">
      <c r="A35" t="str">
        <f>"10/21/2020 18:15:58.418"</f>
        <v>10/21/2020 18:15:58.418</v>
      </c>
      <c r="B35" t="str">
        <f>"18:16:06.352"</f>
        <v>18:16:06.352</v>
      </c>
      <c r="C35" t="str">
        <f>"18:16:06.152"</f>
        <v>18:16:06.152</v>
      </c>
      <c r="D35" t="s">
        <v>26</v>
      </c>
      <c r="E35">
        <v>30.360804000000002</v>
      </c>
      <c r="F35" t="s">
        <v>27</v>
      </c>
      <c r="G35">
        <v>-89.820205999999999</v>
      </c>
      <c r="H35">
        <v>500</v>
      </c>
      <c r="I35">
        <v>1</v>
      </c>
      <c r="J35">
        <v>101</v>
      </c>
      <c r="K35">
        <v>832</v>
      </c>
      <c r="L35">
        <v>1200</v>
      </c>
      <c r="M35" t="str">
        <f t="shared" si="0"/>
        <v xml:space="preserve">N35DC   </v>
      </c>
      <c r="N35">
        <v>1</v>
      </c>
      <c r="O35">
        <v>475</v>
      </c>
    </row>
    <row r="36" spans="1:15" x14ac:dyDescent="0.25">
      <c r="A36" t="str">
        <f>"10/21/2020 18:15:58.418"</f>
        <v>10/21/2020 18:15:58.418</v>
      </c>
      <c r="B36" t="str">
        <f>"18:16:06.352"</f>
        <v>18:16:06.352</v>
      </c>
      <c r="C36" t="str">
        <f>"18:16:06.152"</f>
        <v>18:16:06.152</v>
      </c>
      <c r="D36" t="s">
        <v>26</v>
      </c>
      <c r="E36">
        <v>30.360804000000002</v>
      </c>
      <c r="F36" t="s">
        <v>27</v>
      </c>
      <c r="G36">
        <v>-89.820205999999999</v>
      </c>
      <c r="H36">
        <v>500</v>
      </c>
      <c r="I36">
        <v>1</v>
      </c>
      <c r="J36">
        <v>101</v>
      </c>
      <c r="K36">
        <v>832</v>
      </c>
      <c r="L36">
        <v>1200</v>
      </c>
      <c r="M36" t="str">
        <f t="shared" si="0"/>
        <v xml:space="preserve">N35DC   </v>
      </c>
      <c r="N36">
        <v>1</v>
      </c>
      <c r="O36">
        <v>475</v>
      </c>
    </row>
    <row r="37" spans="1:15" x14ac:dyDescent="0.25">
      <c r="A37" t="str">
        <f>"10/21/2020 18:16:01.623"</f>
        <v>10/21/2020 18:16:01.623</v>
      </c>
      <c r="B37" t="str">
        <f t="shared" ref="B37:C41" si="1">"18:16:09.531"</f>
        <v>18:16:09.531</v>
      </c>
      <c r="C37" t="str">
        <f t="shared" si="1"/>
        <v>18:16:09.531</v>
      </c>
      <c r="D37" t="s">
        <v>28</v>
      </c>
      <c r="E37">
        <v>30.362306</v>
      </c>
      <c r="F37" t="s">
        <v>27</v>
      </c>
      <c r="G37">
        <v>-89.820205999999999</v>
      </c>
      <c r="H37">
        <v>500</v>
      </c>
      <c r="I37">
        <v>0</v>
      </c>
      <c r="J37">
        <v>103</v>
      </c>
      <c r="K37">
        <v>960</v>
      </c>
      <c r="L37">
        <v>1200</v>
      </c>
      <c r="M37" t="str">
        <f t="shared" si="0"/>
        <v xml:space="preserve">N35DC   </v>
      </c>
      <c r="N37">
        <v>1</v>
      </c>
      <c r="O37">
        <v>500</v>
      </c>
    </row>
    <row r="38" spans="1:15" x14ac:dyDescent="0.25">
      <c r="A38" t="str">
        <f>"10/21/2020 18:16:01.623"</f>
        <v>10/21/2020 18:16:01.623</v>
      </c>
      <c r="B38" t="str">
        <f t="shared" si="1"/>
        <v>18:16:09.531</v>
      </c>
      <c r="C38" t="str">
        <f t="shared" si="1"/>
        <v>18:16:09.531</v>
      </c>
      <c r="D38" t="s">
        <v>28</v>
      </c>
      <c r="E38">
        <v>30.362306</v>
      </c>
      <c r="F38" t="s">
        <v>27</v>
      </c>
      <c r="G38">
        <v>-89.820205999999999</v>
      </c>
      <c r="H38">
        <v>500</v>
      </c>
      <c r="I38">
        <v>0</v>
      </c>
      <c r="J38">
        <v>103</v>
      </c>
      <c r="K38">
        <v>960</v>
      </c>
      <c r="L38">
        <v>1200</v>
      </c>
      <c r="M38" t="str">
        <f t="shared" si="0"/>
        <v xml:space="preserve">N35DC   </v>
      </c>
      <c r="N38">
        <v>1</v>
      </c>
      <c r="O38">
        <v>500</v>
      </c>
    </row>
    <row r="39" spans="1:15" x14ac:dyDescent="0.25">
      <c r="A39" t="str">
        <f>"10/21/2020 18:16:01.623"</f>
        <v>10/21/2020 18:16:01.623</v>
      </c>
      <c r="B39" t="str">
        <f t="shared" si="1"/>
        <v>18:16:09.531</v>
      </c>
      <c r="C39" t="str">
        <f t="shared" si="1"/>
        <v>18:16:09.531</v>
      </c>
      <c r="D39" t="s">
        <v>28</v>
      </c>
      <c r="E39">
        <v>30.362306</v>
      </c>
      <c r="F39" t="s">
        <v>27</v>
      </c>
      <c r="G39">
        <v>-89.820205999999999</v>
      </c>
      <c r="H39">
        <v>500</v>
      </c>
      <c r="I39">
        <v>0</v>
      </c>
      <c r="J39">
        <v>103</v>
      </c>
      <c r="K39">
        <v>960</v>
      </c>
      <c r="L39">
        <v>1200</v>
      </c>
      <c r="M39" t="str">
        <f t="shared" si="0"/>
        <v xml:space="preserve">N35DC   </v>
      </c>
      <c r="N39">
        <v>1</v>
      </c>
      <c r="O39">
        <v>500</v>
      </c>
    </row>
    <row r="40" spans="1:15" x14ac:dyDescent="0.25">
      <c r="A40" t="str">
        <f>"10/21/2020 18:16:01.623"</f>
        <v>10/21/2020 18:16:01.623</v>
      </c>
      <c r="B40" t="str">
        <f t="shared" si="1"/>
        <v>18:16:09.531</v>
      </c>
      <c r="C40" t="str">
        <f t="shared" si="1"/>
        <v>18:16:09.531</v>
      </c>
      <c r="D40" t="s">
        <v>28</v>
      </c>
      <c r="E40">
        <v>30.362306</v>
      </c>
      <c r="F40" t="s">
        <v>27</v>
      </c>
      <c r="G40">
        <v>-89.820205999999999</v>
      </c>
      <c r="H40">
        <v>500</v>
      </c>
      <c r="I40">
        <v>0</v>
      </c>
      <c r="J40">
        <v>103</v>
      </c>
      <c r="K40">
        <v>960</v>
      </c>
      <c r="L40">
        <v>1200</v>
      </c>
      <c r="M40" t="str">
        <f t="shared" si="0"/>
        <v xml:space="preserve">N35DC   </v>
      </c>
      <c r="N40">
        <v>1</v>
      </c>
      <c r="O40">
        <v>500</v>
      </c>
    </row>
    <row r="41" spans="1:15" x14ac:dyDescent="0.25">
      <c r="A41" t="str">
        <f>"10/21/2020 18:16:01.623"</f>
        <v>10/21/2020 18:16:01.623</v>
      </c>
      <c r="B41" t="str">
        <f t="shared" si="1"/>
        <v>18:16:09.531</v>
      </c>
      <c r="C41" t="str">
        <f t="shared" si="1"/>
        <v>18:16:09.531</v>
      </c>
      <c r="D41" t="s">
        <v>28</v>
      </c>
      <c r="E41">
        <v>30.362306</v>
      </c>
      <c r="F41" t="s">
        <v>27</v>
      </c>
      <c r="G41">
        <v>-89.820205999999999</v>
      </c>
      <c r="H41">
        <v>500</v>
      </c>
      <c r="I41">
        <v>0</v>
      </c>
      <c r="J41">
        <v>103</v>
      </c>
      <c r="K41">
        <v>960</v>
      </c>
      <c r="L41">
        <v>1200</v>
      </c>
      <c r="M41" t="str">
        <f t="shared" si="0"/>
        <v xml:space="preserve">N35DC   </v>
      </c>
      <c r="N41">
        <v>1</v>
      </c>
      <c r="O41">
        <v>500</v>
      </c>
    </row>
    <row r="42" spans="1:15" x14ac:dyDescent="0.25">
      <c r="A42" t="str">
        <f>"10/21/2020 18:16:02.513"</f>
        <v>10/21/2020 18:16:02.513</v>
      </c>
      <c r="B42" t="str">
        <f>"18:16:10.430"</f>
        <v>18:16:10.430</v>
      </c>
      <c r="C42" t="str">
        <f>"18:16:10.130"</f>
        <v>18:16:10.130</v>
      </c>
      <c r="D42" t="s">
        <v>29</v>
      </c>
      <c r="E42">
        <v>30.362735000000001</v>
      </c>
      <c r="F42" t="s">
        <v>23</v>
      </c>
      <c r="G42">
        <v>-89.820228</v>
      </c>
      <c r="H42">
        <v>500</v>
      </c>
      <c r="I42">
        <v>-1</v>
      </c>
      <c r="J42">
        <v>103</v>
      </c>
      <c r="K42">
        <v>1024</v>
      </c>
      <c r="L42">
        <v>1200</v>
      </c>
      <c r="M42" t="str">
        <f t="shared" si="0"/>
        <v xml:space="preserve">N35DC   </v>
      </c>
      <c r="N42">
        <v>1</v>
      </c>
      <c r="O42">
        <v>525</v>
      </c>
    </row>
    <row r="43" spans="1:15" x14ac:dyDescent="0.25">
      <c r="A43" t="str">
        <f>"10/21/2020 18:16:02.513"</f>
        <v>10/21/2020 18:16:02.513</v>
      </c>
      <c r="B43" t="str">
        <f>"18:16:10.430"</f>
        <v>18:16:10.430</v>
      </c>
      <c r="C43" t="str">
        <f>"18:16:10.130"</f>
        <v>18:16:10.130</v>
      </c>
      <c r="D43" t="s">
        <v>29</v>
      </c>
      <c r="E43">
        <v>30.362735000000001</v>
      </c>
      <c r="F43" t="s">
        <v>23</v>
      </c>
      <c r="G43">
        <v>-89.820228</v>
      </c>
      <c r="H43">
        <v>500</v>
      </c>
      <c r="I43">
        <v>-1</v>
      </c>
      <c r="J43">
        <v>103</v>
      </c>
      <c r="K43">
        <v>1024</v>
      </c>
      <c r="L43">
        <v>1200</v>
      </c>
      <c r="M43" t="str">
        <f t="shared" si="0"/>
        <v xml:space="preserve">N35DC   </v>
      </c>
      <c r="N43">
        <v>1</v>
      </c>
      <c r="O43">
        <v>525</v>
      </c>
    </row>
    <row r="44" spans="1:15" x14ac:dyDescent="0.25">
      <c r="A44" t="str">
        <f>"10/21/2020 18:16:02.513"</f>
        <v>10/21/2020 18:16:02.513</v>
      </c>
      <c r="B44" t="str">
        <f>"18:16:10.430"</f>
        <v>18:16:10.430</v>
      </c>
      <c r="C44" t="str">
        <f>"18:16:10.130"</f>
        <v>18:16:10.130</v>
      </c>
      <c r="D44" t="s">
        <v>29</v>
      </c>
      <c r="E44">
        <v>30.362735000000001</v>
      </c>
      <c r="F44" t="s">
        <v>23</v>
      </c>
      <c r="G44">
        <v>-89.820228</v>
      </c>
      <c r="H44">
        <v>500</v>
      </c>
      <c r="I44">
        <v>-1</v>
      </c>
      <c r="J44">
        <v>103</v>
      </c>
      <c r="K44">
        <v>1024</v>
      </c>
      <c r="L44">
        <v>1200</v>
      </c>
      <c r="M44" t="str">
        <f t="shared" si="0"/>
        <v xml:space="preserve">N35DC   </v>
      </c>
      <c r="N44">
        <v>1</v>
      </c>
      <c r="O44">
        <v>525</v>
      </c>
    </row>
    <row r="45" spans="1:15" x14ac:dyDescent="0.25">
      <c r="A45" t="str">
        <f>"10/21/2020 18:16:02.513"</f>
        <v>10/21/2020 18:16:02.513</v>
      </c>
      <c r="B45" t="str">
        <f>"18:16:10.430"</f>
        <v>18:16:10.430</v>
      </c>
      <c r="C45" t="str">
        <f>"18:16:10.130"</f>
        <v>18:16:10.130</v>
      </c>
      <c r="D45" t="s">
        <v>29</v>
      </c>
      <c r="E45">
        <v>30.362735000000001</v>
      </c>
      <c r="F45" t="s">
        <v>23</v>
      </c>
      <c r="G45">
        <v>-89.820228</v>
      </c>
      <c r="H45">
        <v>500</v>
      </c>
      <c r="I45">
        <v>-1</v>
      </c>
      <c r="J45">
        <v>103</v>
      </c>
      <c r="K45">
        <v>1024</v>
      </c>
      <c r="L45">
        <v>1200</v>
      </c>
      <c r="M45" t="str">
        <f t="shared" si="0"/>
        <v xml:space="preserve">N35DC   </v>
      </c>
      <c r="N45">
        <v>1</v>
      </c>
      <c r="O45">
        <v>525</v>
      </c>
    </row>
    <row r="46" spans="1:15" x14ac:dyDescent="0.25">
      <c r="A46" t="str">
        <f>"10/21/2020 18:16:02.513"</f>
        <v>10/21/2020 18:16:02.513</v>
      </c>
      <c r="B46" t="str">
        <f>"18:16:10.430"</f>
        <v>18:16:10.430</v>
      </c>
      <c r="C46" t="str">
        <f>"18:16:10.130"</f>
        <v>18:16:10.130</v>
      </c>
      <c r="D46" t="s">
        <v>29</v>
      </c>
      <c r="E46">
        <v>30.362735000000001</v>
      </c>
      <c r="F46" t="s">
        <v>23</v>
      </c>
      <c r="G46">
        <v>-89.820228</v>
      </c>
      <c r="H46">
        <v>500</v>
      </c>
      <c r="I46">
        <v>-1</v>
      </c>
      <c r="J46">
        <v>103</v>
      </c>
      <c r="K46">
        <v>1024</v>
      </c>
      <c r="L46">
        <v>1200</v>
      </c>
      <c r="M46" t="str">
        <f t="shared" si="0"/>
        <v xml:space="preserve">N35DC   </v>
      </c>
      <c r="N46">
        <v>1</v>
      </c>
      <c r="O46">
        <v>525</v>
      </c>
    </row>
    <row r="47" spans="1:15" x14ac:dyDescent="0.25">
      <c r="A47" t="str">
        <f>"10/21/2020 18:16:03.622"</f>
        <v>10/21/2020 18:16:03.622</v>
      </c>
      <c r="B47" t="str">
        <f>"18:16:11.531"</f>
        <v>18:16:11.531</v>
      </c>
      <c r="C47" t="str">
        <f>"18:16:10.731"</f>
        <v>18:16:10.731</v>
      </c>
      <c r="D47" t="s">
        <v>30</v>
      </c>
      <c r="E47">
        <v>30.363271000000001</v>
      </c>
      <c r="F47" t="s">
        <v>27</v>
      </c>
      <c r="G47">
        <v>-89.820205999999999</v>
      </c>
      <c r="H47">
        <v>500</v>
      </c>
      <c r="I47">
        <v>-1</v>
      </c>
      <c r="J47">
        <v>103</v>
      </c>
      <c r="K47">
        <v>1024</v>
      </c>
      <c r="L47">
        <v>1200</v>
      </c>
      <c r="M47" t="str">
        <f t="shared" si="0"/>
        <v xml:space="preserve">N35DC   </v>
      </c>
      <c r="N47">
        <v>1</v>
      </c>
      <c r="O47">
        <v>525</v>
      </c>
    </row>
    <row r="48" spans="1:15" x14ac:dyDescent="0.25">
      <c r="A48" t="str">
        <f>"10/21/2020 18:16:03.622"</f>
        <v>10/21/2020 18:16:03.622</v>
      </c>
      <c r="B48" t="str">
        <f>"18:16:11.531"</f>
        <v>18:16:11.531</v>
      </c>
      <c r="C48" t="str">
        <f>"18:16:10.731"</f>
        <v>18:16:10.731</v>
      </c>
      <c r="D48" t="s">
        <v>30</v>
      </c>
      <c r="E48">
        <v>30.363271000000001</v>
      </c>
      <c r="F48" t="s">
        <v>27</v>
      </c>
      <c r="G48">
        <v>-89.820205999999999</v>
      </c>
      <c r="H48">
        <v>500</v>
      </c>
      <c r="I48">
        <v>-1</v>
      </c>
      <c r="J48">
        <v>103</v>
      </c>
      <c r="K48">
        <v>1024</v>
      </c>
      <c r="L48">
        <v>1200</v>
      </c>
      <c r="M48" t="str">
        <f t="shared" si="0"/>
        <v xml:space="preserve">N35DC   </v>
      </c>
      <c r="N48">
        <v>1</v>
      </c>
      <c r="O48">
        <v>525</v>
      </c>
    </row>
    <row r="49" spans="1:15" x14ac:dyDescent="0.25">
      <c r="A49" t="str">
        <f>"10/21/2020 18:16:03.622"</f>
        <v>10/21/2020 18:16:03.622</v>
      </c>
      <c r="B49" t="str">
        <f>"18:16:11.531"</f>
        <v>18:16:11.531</v>
      </c>
      <c r="C49" t="str">
        <f>"18:16:10.731"</f>
        <v>18:16:10.731</v>
      </c>
      <c r="D49" t="s">
        <v>30</v>
      </c>
      <c r="E49">
        <v>30.363271000000001</v>
      </c>
      <c r="F49" t="s">
        <v>27</v>
      </c>
      <c r="G49">
        <v>-89.820205999999999</v>
      </c>
      <c r="H49">
        <v>500</v>
      </c>
      <c r="I49">
        <v>-1</v>
      </c>
      <c r="J49">
        <v>103</v>
      </c>
      <c r="K49">
        <v>1024</v>
      </c>
      <c r="L49">
        <v>1200</v>
      </c>
      <c r="M49" t="str">
        <f t="shared" si="0"/>
        <v xml:space="preserve">N35DC   </v>
      </c>
      <c r="N49">
        <v>1</v>
      </c>
      <c r="O49">
        <v>525</v>
      </c>
    </row>
    <row r="50" spans="1:15" x14ac:dyDescent="0.25">
      <c r="A50" t="str">
        <f>"10/21/2020 18:16:03.622"</f>
        <v>10/21/2020 18:16:03.622</v>
      </c>
      <c r="B50" t="str">
        <f>"18:16:11.531"</f>
        <v>18:16:11.531</v>
      </c>
      <c r="C50" t="str">
        <f>"18:16:10.731"</f>
        <v>18:16:10.731</v>
      </c>
      <c r="D50" t="s">
        <v>30</v>
      </c>
      <c r="E50">
        <v>30.363271000000001</v>
      </c>
      <c r="F50" t="s">
        <v>27</v>
      </c>
      <c r="G50">
        <v>-89.820205999999999</v>
      </c>
      <c r="H50">
        <v>500</v>
      </c>
      <c r="I50">
        <v>-1</v>
      </c>
      <c r="J50">
        <v>103</v>
      </c>
      <c r="K50">
        <v>1024</v>
      </c>
      <c r="L50">
        <v>1200</v>
      </c>
      <c r="M50" t="str">
        <f t="shared" si="0"/>
        <v xml:space="preserve">N35DC   </v>
      </c>
      <c r="N50">
        <v>1</v>
      </c>
      <c r="O50">
        <v>525</v>
      </c>
    </row>
    <row r="51" spans="1:15" x14ac:dyDescent="0.25">
      <c r="A51" t="str">
        <f>"10/21/2020 18:16:03.622"</f>
        <v>10/21/2020 18:16:03.622</v>
      </c>
      <c r="B51" t="str">
        <f>"18:16:11.531"</f>
        <v>18:16:11.531</v>
      </c>
      <c r="C51" t="str">
        <f>"18:16:10.731"</f>
        <v>18:16:10.731</v>
      </c>
      <c r="D51" t="s">
        <v>30</v>
      </c>
      <c r="E51">
        <v>30.363271000000001</v>
      </c>
      <c r="F51" t="s">
        <v>27</v>
      </c>
      <c r="G51">
        <v>-89.820205999999999</v>
      </c>
      <c r="H51">
        <v>500</v>
      </c>
      <c r="I51">
        <v>-1</v>
      </c>
      <c r="J51">
        <v>103</v>
      </c>
      <c r="K51">
        <v>1024</v>
      </c>
      <c r="L51">
        <v>1200</v>
      </c>
      <c r="M51" t="str">
        <f t="shared" si="0"/>
        <v xml:space="preserve">N35DC   </v>
      </c>
      <c r="N51">
        <v>1</v>
      </c>
      <c r="O51">
        <v>525</v>
      </c>
    </row>
    <row r="52" spans="1:15" x14ac:dyDescent="0.25">
      <c r="A52" t="str">
        <f>"10/21/2020 18:16:06.506"</f>
        <v>10/21/2020 18:16:06.506</v>
      </c>
      <c r="B52" t="str">
        <f>"18:16:14.453"</f>
        <v>18:16:14.453</v>
      </c>
      <c r="C52" t="str">
        <f>"18:16:13.953"</f>
        <v>18:16:13.953</v>
      </c>
      <c r="D52" t="s">
        <v>31</v>
      </c>
      <c r="E52">
        <v>30.364644999999999</v>
      </c>
      <c r="F52" t="s">
        <v>32</v>
      </c>
      <c r="G52">
        <v>-89.820184999999995</v>
      </c>
      <c r="H52">
        <v>600</v>
      </c>
      <c r="I52">
        <v>4</v>
      </c>
      <c r="J52">
        <v>103</v>
      </c>
      <c r="K52">
        <v>1280</v>
      </c>
      <c r="L52">
        <v>1200</v>
      </c>
      <c r="M52" t="str">
        <f t="shared" si="0"/>
        <v xml:space="preserve">N35DC   </v>
      </c>
      <c r="N52">
        <v>1</v>
      </c>
      <c r="O52">
        <v>575</v>
      </c>
    </row>
    <row r="53" spans="1:15" x14ac:dyDescent="0.25">
      <c r="A53" t="str">
        <f>"10/21/2020 18:16:06.506"</f>
        <v>10/21/2020 18:16:06.506</v>
      </c>
      <c r="B53" t="str">
        <f>"18:16:14.453"</f>
        <v>18:16:14.453</v>
      </c>
      <c r="C53" t="str">
        <f>"18:16:13.953"</f>
        <v>18:16:13.953</v>
      </c>
      <c r="D53" t="s">
        <v>31</v>
      </c>
      <c r="E53">
        <v>30.364644999999999</v>
      </c>
      <c r="F53" t="s">
        <v>32</v>
      </c>
      <c r="G53">
        <v>-89.820184999999995</v>
      </c>
      <c r="H53">
        <v>600</v>
      </c>
      <c r="I53">
        <v>4</v>
      </c>
      <c r="J53">
        <v>103</v>
      </c>
      <c r="K53">
        <v>1280</v>
      </c>
      <c r="L53">
        <v>1200</v>
      </c>
      <c r="M53" t="str">
        <f t="shared" si="0"/>
        <v xml:space="preserve">N35DC   </v>
      </c>
      <c r="N53">
        <v>1</v>
      </c>
      <c r="O53">
        <v>575</v>
      </c>
    </row>
    <row r="54" spans="1:15" x14ac:dyDescent="0.25">
      <c r="A54" t="str">
        <f>"10/21/2020 18:16:06.506"</f>
        <v>10/21/2020 18:16:06.506</v>
      </c>
      <c r="B54" t="str">
        <f>"18:16:14.453"</f>
        <v>18:16:14.453</v>
      </c>
      <c r="C54" t="str">
        <f>"18:16:13.953"</f>
        <v>18:16:13.953</v>
      </c>
      <c r="D54" t="s">
        <v>31</v>
      </c>
      <c r="E54">
        <v>30.364644999999999</v>
      </c>
      <c r="F54" t="s">
        <v>32</v>
      </c>
      <c r="G54">
        <v>-89.820184999999995</v>
      </c>
      <c r="H54">
        <v>600</v>
      </c>
      <c r="I54">
        <v>4</v>
      </c>
      <c r="J54">
        <v>103</v>
      </c>
      <c r="K54">
        <v>1280</v>
      </c>
      <c r="L54">
        <v>1200</v>
      </c>
      <c r="M54" t="str">
        <f t="shared" si="0"/>
        <v xml:space="preserve">N35DC   </v>
      </c>
      <c r="N54">
        <v>1</v>
      </c>
      <c r="O54">
        <v>575</v>
      </c>
    </row>
    <row r="55" spans="1:15" x14ac:dyDescent="0.25">
      <c r="A55" t="str">
        <f>"10/21/2020 18:16:06.506"</f>
        <v>10/21/2020 18:16:06.506</v>
      </c>
      <c r="B55" t="str">
        <f>"18:16:14.453"</f>
        <v>18:16:14.453</v>
      </c>
      <c r="C55" t="str">
        <f>"18:16:13.953"</f>
        <v>18:16:13.953</v>
      </c>
      <c r="D55" t="s">
        <v>31</v>
      </c>
      <c r="E55">
        <v>30.364644999999999</v>
      </c>
      <c r="F55" t="s">
        <v>32</v>
      </c>
      <c r="G55">
        <v>-89.820184999999995</v>
      </c>
      <c r="H55">
        <v>600</v>
      </c>
      <c r="I55">
        <v>4</v>
      </c>
      <c r="J55">
        <v>103</v>
      </c>
      <c r="K55">
        <v>1280</v>
      </c>
      <c r="L55">
        <v>1200</v>
      </c>
      <c r="M55" t="str">
        <f t="shared" si="0"/>
        <v xml:space="preserve">N35DC   </v>
      </c>
      <c r="N55">
        <v>1</v>
      </c>
      <c r="O55">
        <v>575</v>
      </c>
    </row>
    <row r="56" spans="1:15" x14ac:dyDescent="0.25">
      <c r="A56" t="str">
        <f>"10/21/2020 18:16:06.506"</f>
        <v>10/21/2020 18:16:06.506</v>
      </c>
      <c r="B56" t="str">
        <f>"18:16:14.453"</f>
        <v>18:16:14.453</v>
      </c>
      <c r="C56" t="str">
        <f>"18:16:13.953"</f>
        <v>18:16:13.953</v>
      </c>
      <c r="D56" t="s">
        <v>31</v>
      </c>
      <c r="E56">
        <v>30.364644999999999</v>
      </c>
      <c r="F56" t="s">
        <v>32</v>
      </c>
      <c r="G56">
        <v>-89.820184999999995</v>
      </c>
      <c r="H56">
        <v>600</v>
      </c>
      <c r="I56">
        <v>4</v>
      </c>
      <c r="J56">
        <v>103</v>
      </c>
      <c r="K56">
        <v>1280</v>
      </c>
      <c r="L56">
        <v>1200</v>
      </c>
      <c r="M56" t="str">
        <f t="shared" si="0"/>
        <v xml:space="preserve">N35DC   </v>
      </c>
      <c r="N56">
        <v>1</v>
      </c>
      <c r="O56">
        <v>575</v>
      </c>
    </row>
    <row r="57" spans="1:15" x14ac:dyDescent="0.25">
      <c r="A57" t="str">
        <f>"10/21/2020 18:16:07.466"</f>
        <v>10/21/2020 18:16:07.466</v>
      </c>
      <c r="B57" t="str">
        <f>"18:16:15.398"</f>
        <v>18:16:15.398</v>
      </c>
      <c r="C57" t="str">
        <f>"18:16:15.198"</f>
        <v>18:16:15.198</v>
      </c>
      <c r="D57" t="s">
        <v>33</v>
      </c>
      <c r="E57">
        <v>30.365095</v>
      </c>
      <c r="F57" t="s">
        <v>34</v>
      </c>
      <c r="G57">
        <v>-89.820162999999994</v>
      </c>
      <c r="H57">
        <v>600</v>
      </c>
      <c r="I57">
        <v>5</v>
      </c>
      <c r="J57">
        <v>103</v>
      </c>
      <c r="K57">
        <v>1344</v>
      </c>
      <c r="L57">
        <v>1200</v>
      </c>
      <c r="M57" t="str">
        <f t="shared" si="0"/>
        <v xml:space="preserve">N35DC   </v>
      </c>
      <c r="N57">
        <v>1</v>
      </c>
      <c r="O57">
        <v>600</v>
      </c>
    </row>
    <row r="58" spans="1:15" x14ac:dyDescent="0.25">
      <c r="A58" t="str">
        <f>"10/21/2020 18:16:07.466"</f>
        <v>10/21/2020 18:16:07.466</v>
      </c>
      <c r="B58" t="str">
        <f>"18:16:15.398"</f>
        <v>18:16:15.398</v>
      </c>
      <c r="C58" t="str">
        <f>"18:16:15.198"</f>
        <v>18:16:15.198</v>
      </c>
      <c r="D58" t="s">
        <v>33</v>
      </c>
      <c r="E58">
        <v>30.365095</v>
      </c>
      <c r="F58" t="s">
        <v>34</v>
      </c>
      <c r="G58">
        <v>-89.820162999999994</v>
      </c>
      <c r="H58">
        <v>600</v>
      </c>
      <c r="I58">
        <v>5</v>
      </c>
      <c r="J58">
        <v>103</v>
      </c>
      <c r="K58">
        <v>1344</v>
      </c>
      <c r="L58">
        <v>1200</v>
      </c>
      <c r="M58" t="str">
        <f t="shared" si="0"/>
        <v xml:space="preserve">N35DC   </v>
      </c>
      <c r="N58">
        <v>1</v>
      </c>
      <c r="O58">
        <v>600</v>
      </c>
    </row>
    <row r="59" spans="1:15" x14ac:dyDescent="0.25">
      <c r="A59" t="str">
        <f>"10/21/2020 18:16:07.466"</f>
        <v>10/21/2020 18:16:07.466</v>
      </c>
      <c r="B59" t="str">
        <f>"18:16:15.398"</f>
        <v>18:16:15.398</v>
      </c>
      <c r="C59" t="str">
        <f>"18:16:15.198"</f>
        <v>18:16:15.198</v>
      </c>
      <c r="D59" t="s">
        <v>33</v>
      </c>
      <c r="E59">
        <v>30.365095</v>
      </c>
      <c r="F59" t="s">
        <v>34</v>
      </c>
      <c r="G59">
        <v>-89.820162999999994</v>
      </c>
      <c r="H59">
        <v>600</v>
      </c>
      <c r="I59">
        <v>5</v>
      </c>
      <c r="J59">
        <v>103</v>
      </c>
      <c r="K59">
        <v>1344</v>
      </c>
      <c r="L59">
        <v>1200</v>
      </c>
      <c r="M59" t="str">
        <f t="shared" si="0"/>
        <v xml:space="preserve">N35DC   </v>
      </c>
      <c r="N59">
        <v>1</v>
      </c>
      <c r="O59">
        <v>600</v>
      </c>
    </row>
    <row r="60" spans="1:15" x14ac:dyDescent="0.25">
      <c r="A60" t="str">
        <f>"10/21/2020 18:16:07.466"</f>
        <v>10/21/2020 18:16:07.466</v>
      </c>
      <c r="B60" t="str">
        <f>"18:16:15.398"</f>
        <v>18:16:15.398</v>
      </c>
      <c r="C60" t="str">
        <f>"18:16:15.198"</f>
        <v>18:16:15.198</v>
      </c>
      <c r="D60" t="s">
        <v>33</v>
      </c>
      <c r="E60">
        <v>30.365095</v>
      </c>
      <c r="F60" t="s">
        <v>34</v>
      </c>
      <c r="G60">
        <v>-89.820162999999994</v>
      </c>
      <c r="H60">
        <v>600</v>
      </c>
      <c r="I60">
        <v>5</v>
      </c>
      <c r="J60">
        <v>103</v>
      </c>
      <c r="K60">
        <v>1344</v>
      </c>
      <c r="L60">
        <v>1200</v>
      </c>
      <c r="M60" t="str">
        <f t="shared" si="0"/>
        <v xml:space="preserve">N35DC   </v>
      </c>
      <c r="N60">
        <v>1</v>
      </c>
      <c r="O60">
        <v>600</v>
      </c>
    </row>
    <row r="61" spans="1:15" x14ac:dyDescent="0.25">
      <c r="A61" t="str">
        <f>"10/21/2020 18:16:07.466"</f>
        <v>10/21/2020 18:16:07.466</v>
      </c>
      <c r="B61" t="str">
        <f>"18:16:15.398"</f>
        <v>18:16:15.398</v>
      </c>
      <c r="C61" t="str">
        <f>"18:16:15.198"</f>
        <v>18:16:15.198</v>
      </c>
      <c r="D61" t="s">
        <v>33</v>
      </c>
      <c r="E61">
        <v>30.365095</v>
      </c>
      <c r="F61" t="s">
        <v>34</v>
      </c>
      <c r="G61">
        <v>-89.820162999999994</v>
      </c>
      <c r="H61">
        <v>600</v>
      </c>
      <c r="I61">
        <v>5</v>
      </c>
      <c r="J61">
        <v>103</v>
      </c>
      <c r="K61">
        <v>1344</v>
      </c>
      <c r="L61">
        <v>1200</v>
      </c>
      <c r="M61" t="str">
        <f t="shared" si="0"/>
        <v xml:space="preserve">N35DC   </v>
      </c>
      <c r="N61">
        <v>1</v>
      </c>
      <c r="O61">
        <v>600</v>
      </c>
    </row>
    <row r="62" spans="1:15" x14ac:dyDescent="0.25">
      <c r="A62" t="str">
        <f>"10/21/2020 18:16:08.475"</f>
        <v>10/21/2020 18:16:08.475</v>
      </c>
      <c r="B62" t="str">
        <f>"18:16:16.406"</f>
        <v>18:16:16.406</v>
      </c>
      <c r="C62" t="str">
        <f>"18:16:16.106"</f>
        <v>18:16:16.106</v>
      </c>
      <c r="D62" t="s">
        <v>35</v>
      </c>
      <c r="E62">
        <v>30.365566999999999</v>
      </c>
      <c r="F62" t="s">
        <v>36</v>
      </c>
      <c r="G62">
        <v>-89.820120000000003</v>
      </c>
      <c r="H62">
        <v>600</v>
      </c>
      <c r="I62">
        <v>6</v>
      </c>
      <c r="J62">
        <v>102</v>
      </c>
      <c r="K62">
        <v>1344</v>
      </c>
      <c r="L62">
        <v>1200</v>
      </c>
      <c r="M62" t="str">
        <f t="shared" si="0"/>
        <v xml:space="preserve">N35DC   </v>
      </c>
      <c r="N62">
        <v>1</v>
      </c>
      <c r="O62">
        <v>625</v>
      </c>
    </row>
    <row r="63" spans="1:15" x14ac:dyDescent="0.25">
      <c r="A63" t="str">
        <f>"10/21/2020 18:16:08.475"</f>
        <v>10/21/2020 18:16:08.475</v>
      </c>
      <c r="B63" t="str">
        <f>"18:16:16.406"</f>
        <v>18:16:16.406</v>
      </c>
      <c r="C63" t="str">
        <f>"18:16:16.106"</f>
        <v>18:16:16.106</v>
      </c>
      <c r="D63" t="s">
        <v>35</v>
      </c>
      <c r="E63">
        <v>30.365566999999999</v>
      </c>
      <c r="F63" t="s">
        <v>36</v>
      </c>
      <c r="G63">
        <v>-89.820120000000003</v>
      </c>
      <c r="H63">
        <v>600</v>
      </c>
      <c r="I63">
        <v>6</v>
      </c>
      <c r="J63">
        <v>102</v>
      </c>
      <c r="K63">
        <v>1344</v>
      </c>
      <c r="L63">
        <v>1200</v>
      </c>
      <c r="M63" t="str">
        <f t="shared" si="0"/>
        <v xml:space="preserve">N35DC   </v>
      </c>
      <c r="N63">
        <v>1</v>
      </c>
      <c r="O63">
        <v>625</v>
      </c>
    </row>
    <row r="64" spans="1:15" x14ac:dyDescent="0.25">
      <c r="A64" t="str">
        <f>"10/21/2020 18:16:08.475"</f>
        <v>10/21/2020 18:16:08.475</v>
      </c>
      <c r="B64" t="str">
        <f>"18:16:16.406"</f>
        <v>18:16:16.406</v>
      </c>
      <c r="C64" t="str">
        <f>"18:16:16.106"</f>
        <v>18:16:16.106</v>
      </c>
      <c r="D64" t="s">
        <v>35</v>
      </c>
      <c r="E64">
        <v>30.365566999999999</v>
      </c>
      <c r="F64" t="s">
        <v>36</v>
      </c>
      <c r="G64">
        <v>-89.820120000000003</v>
      </c>
      <c r="H64">
        <v>600</v>
      </c>
      <c r="I64">
        <v>6</v>
      </c>
      <c r="J64">
        <v>102</v>
      </c>
      <c r="K64">
        <v>1344</v>
      </c>
      <c r="L64">
        <v>1200</v>
      </c>
      <c r="M64" t="str">
        <f t="shared" si="0"/>
        <v xml:space="preserve">N35DC   </v>
      </c>
      <c r="N64">
        <v>1</v>
      </c>
      <c r="O64">
        <v>625</v>
      </c>
    </row>
    <row r="65" spans="1:15" x14ac:dyDescent="0.25">
      <c r="A65" t="str">
        <f>"10/21/2020 18:16:08.475"</f>
        <v>10/21/2020 18:16:08.475</v>
      </c>
      <c r="B65" t="str">
        <f>"18:16:16.406"</f>
        <v>18:16:16.406</v>
      </c>
      <c r="C65" t="str">
        <f>"18:16:16.106"</f>
        <v>18:16:16.106</v>
      </c>
      <c r="D65" t="s">
        <v>35</v>
      </c>
      <c r="E65">
        <v>30.365566999999999</v>
      </c>
      <c r="F65" t="s">
        <v>36</v>
      </c>
      <c r="G65">
        <v>-89.820120000000003</v>
      </c>
      <c r="H65">
        <v>600</v>
      </c>
      <c r="I65">
        <v>6</v>
      </c>
      <c r="J65">
        <v>102</v>
      </c>
      <c r="K65">
        <v>1344</v>
      </c>
      <c r="L65">
        <v>1200</v>
      </c>
      <c r="M65" t="str">
        <f t="shared" si="0"/>
        <v xml:space="preserve">N35DC   </v>
      </c>
      <c r="N65">
        <v>1</v>
      </c>
      <c r="O65">
        <v>625</v>
      </c>
    </row>
    <row r="66" spans="1:15" x14ac:dyDescent="0.25">
      <c r="A66" t="str">
        <f>"10/21/2020 18:16:08.475"</f>
        <v>10/21/2020 18:16:08.475</v>
      </c>
      <c r="B66" t="str">
        <f>"18:16:16.406"</f>
        <v>18:16:16.406</v>
      </c>
      <c r="C66" t="str">
        <f>"18:16:16.106"</f>
        <v>18:16:16.106</v>
      </c>
      <c r="D66" t="s">
        <v>35</v>
      </c>
      <c r="E66">
        <v>30.365566999999999</v>
      </c>
      <c r="F66" t="s">
        <v>36</v>
      </c>
      <c r="G66">
        <v>-89.820120000000003</v>
      </c>
      <c r="H66">
        <v>600</v>
      </c>
      <c r="I66">
        <v>6</v>
      </c>
      <c r="J66">
        <v>102</v>
      </c>
      <c r="K66">
        <v>1344</v>
      </c>
      <c r="L66">
        <v>1200</v>
      </c>
      <c r="M66" t="str">
        <f t="shared" si="0"/>
        <v xml:space="preserve">N35DC   </v>
      </c>
      <c r="N66">
        <v>1</v>
      </c>
      <c r="O66">
        <v>625</v>
      </c>
    </row>
    <row r="67" spans="1:15" x14ac:dyDescent="0.25">
      <c r="A67" t="str">
        <f>"10/21/2020 18:16:11.658"</f>
        <v>10/21/2020 18:16:11.658</v>
      </c>
      <c r="B67" t="str">
        <f>"18:16:19.570"</f>
        <v>18:16:19.570</v>
      </c>
      <c r="C67" t="str">
        <f>"18:16:19.170"</f>
        <v>18:16:19.170</v>
      </c>
      <c r="D67" t="s">
        <v>37</v>
      </c>
      <c r="E67">
        <v>30.367090999999999</v>
      </c>
      <c r="F67" t="s">
        <v>38</v>
      </c>
      <c r="G67">
        <v>-89.819927000000007</v>
      </c>
      <c r="H67">
        <v>700</v>
      </c>
      <c r="I67">
        <v>9</v>
      </c>
      <c r="J67">
        <v>101</v>
      </c>
      <c r="K67">
        <v>1024</v>
      </c>
      <c r="L67">
        <v>1200</v>
      </c>
      <c r="M67" t="str">
        <f t="shared" si="0"/>
        <v xml:space="preserve">N35DC   </v>
      </c>
      <c r="N67">
        <v>1</v>
      </c>
      <c r="O67">
        <v>700</v>
      </c>
    </row>
    <row r="68" spans="1:15" x14ac:dyDescent="0.25">
      <c r="A68" t="str">
        <f>"10/21/2020 18:16:11.658"</f>
        <v>10/21/2020 18:16:11.658</v>
      </c>
      <c r="B68" t="str">
        <f>"18:16:19.570"</f>
        <v>18:16:19.570</v>
      </c>
      <c r="C68" t="str">
        <f>"18:16:19.170"</f>
        <v>18:16:19.170</v>
      </c>
      <c r="D68" t="s">
        <v>37</v>
      </c>
      <c r="E68">
        <v>30.367090999999999</v>
      </c>
      <c r="F68" t="s">
        <v>38</v>
      </c>
      <c r="G68">
        <v>-89.819927000000007</v>
      </c>
      <c r="H68">
        <v>700</v>
      </c>
      <c r="I68">
        <v>9</v>
      </c>
      <c r="J68">
        <v>101</v>
      </c>
      <c r="K68">
        <v>1024</v>
      </c>
      <c r="L68">
        <v>1200</v>
      </c>
      <c r="M68" t="str">
        <f t="shared" si="0"/>
        <v xml:space="preserve">N35DC   </v>
      </c>
      <c r="N68">
        <v>1</v>
      </c>
      <c r="O68">
        <v>700</v>
      </c>
    </row>
    <row r="69" spans="1:15" x14ac:dyDescent="0.25">
      <c r="A69" t="str">
        <f>"10/21/2020 18:16:11.658"</f>
        <v>10/21/2020 18:16:11.658</v>
      </c>
      <c r="B69" t="str">
        <f>"18:16:19.570"</f>
        <v>18:16:19.570</v>
      </c>
      <c r="C69" t="str">
        <f>"18:16:19.170"</f>
        <v>18:16:19.170</v>
      </c>
      <c r="D69" t="s">
        <v>37</v>
      </c>
      <c r="E69">
        <v>30.367090999999999</v>
      </c>
      <c r="F69" t="s">
        <v>38</v>
      </c>
      <c r="G69">
        <v>-89.819927000000007</v>
      </c>
      <c r="H69">
        <v>700</v>
      </c>
      <c r="I69">
        <v>9</v>
      </c>
      <c r="J69">
        <v>101</v>
      </c>
      <c r="K69">
        <v>1024</v>
      </c>
      <c r="L69">
        <v>1200</v>
      </c>
      <c r="M69" t="str">
        <f t="shared" si="0"/>
        <v xml:space="preserve">N35DC   </v>
      </c>
      <c r="N69">
        <v>1</v>
      </c>
      <c r="O69">
        <v>700</v>
      </c>
    </row>
    <row r="70" spans="1:15" x14ac:dyDescent="0.25">
      <c r="A70" t="str">
        <f>"10/21/2020 18:16:11.658"</f>
        <v>10/21/2020 18:16:11.658</v>
      </c>
      <c r="B70" t="str">
        <f>"18:16:19.570"</f>
        <v>18:16:19.570</v>
      </c>
      <c r="C70" t="str">
        <f>"18:16:19.170"</f>
        <v>18:16:19.170</v>
      </c>
      <c r="D70" t="s">
        <v>37</v>
      </c>
      <c r="E70">
        <v>30.367090999999999</v>
      </c>
      <c r="F70" t="s">
        <v>38</v>
      </c>
      <c r="G70">
        <v>-89.819927000000007</v>
      </c>
      <c r="H70">
        <v>700</v>
      </c>
      <c r="I70">
        <v>9</v>
      </c>
      <c r="J70">
        <v>101</v>
      </c>
      <c r="K70">
        <v>1024</v>
      </c>
      <c r="L70">
        <v>1200</v>
      </c>
      <c r="M70" t="str">
        <f t="shared" si="0"/>
        <v xml:space="preserve">N35DC   </v>
      </c>
      <c r="N70">
        <v>1</v>
      </c>
      <c r="O70">
        <v>700</v>
      </c>
    </row>
    <row r="71" spans="1:15" x14ac:dyDescent="0.25">
      <c r="A71" t="str">
        <f>"10/21/2020 18:16:11.658"</f>
        <v>10/21/2020 18:16:11.658</v>
      </c>
      <c r="B71" t="str">
        <f>"18:16:19.570"</f>
        <v>18:16:19.570</v>
      </c>
      <c r="C71" t="str">
        <f>"18:16:19.170"</f>
        <v>18:16:19.170</v>
      </c>
      <c r="D71" t="s">
        <v>37</v>
      </c>
      <c r="E71">
        <v>30.367090999999999</v>
      </c>
      <c r="F71" t="s">
        <v>38</v>
      </c>
      <c r="G71">
        <v>-89.819927000000007</v>
      </c>
      <c r="H71">
        <v>700</v>
      </c>
      <c r="I71">
        <v>9</v>
      </c>
      <c r="J71">
        <v>101</v>
      </c>
      <c r="K71">
        <v>1024</v>
      </c>
      <c r="L71">
        <v>1200</v>
      </c>
      <c r="M71" t="str">
        <f t="shared" ref="M71:M134" si="2">"N35DC   "</f>
        <v xml:space="preserve">N35DC   </v>
      </c>
      <c r="N71">
        <v>1</v>
      </c>
      <c r="O71">
        <v>700</v>
      </c>
    </row>
    <row r="72" spans="1:15" x14ac:dyDescent="0.25">
      <c r="A72" t="str">
        <f>"10/21/2020 18:16:12.668"</f>
        <v>10/21/2020 18:16:12.668</v>
      </c>
      <c r="B72" t="str">
        <f>"18:16:20.617"</f>
        <v>18:16:20.617</v>
      </c>
      <c r="C72" t="str">
        <f>"18:16:20.217"</f>
        <v>18:16:20.217</v>
      </c>
      <c r="D72" t="s">
        <v>39</v>
      </c>
      <c r="E72">
        <v>30.367563000000001</v>
      </c>
      <c r="F72" t="s">
        <v>38</v>
      </c>
      <c r="G72">
        <v>-89.819927000000007</v>
      </c>
      <c r="H72">
        <v>700</v>
      </c>
      <c r="I72">
        <v>10</v>
      </c>
      <c r="J72">
        <v>102</v>
      </c>
      <c r="K72">
        <v>832</v>
      </c>
      <c r="L72">
        <v>1200</v>
      </c>
      <c r="M72" t="str">
        <f t="shared" si="2"/>
        <v xml:space="preserve">N35DC   </v>
      </c>
      <c r="N72">
        <v>1</v>
      </c>
      <c r="O72">
        <v>725</v>
      </c>
    </row>
    <row r="73" spans="1:15" x14ac:dyDescent="0.25">
      <c r="A73" t="str">
        <f>"10/21/2020 18:16:12.668"</f>
        <v>10/21/2020 18:16:12.668</v>
      </c>
      <c r="B73" t="str">
        <f>"18:16:20.617"</f>
        <v>18:16:20.617</v>
      </c>
      <c r="C73" t="str">
        <f>"18:16:20.217"</f>
        <v>18:16:20.217</v>
      </c>
      <c r="D73" t="s">
        <v>39</v>
      </c>
      <c r="E73">
        <v>30.367563000000001</v>
      </c>
      <c r="F73" t="s">
        <v>38</v>
      </c>
      <c r="G73">
        <v>-89.819927000000007</v>
      </c>
      <c r="H73">
        <v>700</v>
      </c>
      <c r="I73">
        <v>10</v>
      </c>
      <c r="J73">
        <v>102</v>
      </c>
      <c r="K73">
        <v>832</v>
      </c>
      <c r="L73">
        <v>1200</v>
      </c>
      <c r="M73" t="str">
        <f t="shared" si="2"/>
        <v xml:space="preserve">N35DC   </v>
      </c>
      <c r="N73">
        <v>1</v>
      </c>
      <c r="O73">
        <v>725</v>
      </c>
    </row>
    <row r="74" spans="1:15" x14ac:dyDescent="0.25">
      <c r="A74" t="str">
        <f>"10/21/2020 18:16:12.668"</f>
        <v>10/21/2020 18:16:12.668</v>
      </c>
      <c r="B74" t="str">
        <f>"18:16:20.617"</f>
        <v>18:16:20.617</v>
      </c>
      <c r="C74" t="str">
        <f>"18:16:20.217"</f>
        <v>18:16:20.217</v>
      </c>
      <c r="D74" t="s">
        <v>39</v>
      </c>
      <c r="E74">
        <v>30.367563000000001</v>
      </c>
      <c r="F74" t="s">
        <v>38</v>
      </c>
      <c r="G74">
        <v>-89.819927000000007</v>
      </c>
      <c r="H74">
        <v>700</v>
      </c>
      <c r="I74">
        <v>10</v>
      </c>
      <c r="J74">
        <v>102</v>
      </c>
      <c r="K74">
        <v>832</v>
      </c>
      <c r="L74">
        <v>1200</v>
      </c>
      <c r="M74" t="str">
        <f t="shared" si="2"/>
        <v xml:space="preserve">N35DC   </v>
      </c>
      <c r="N74">
        <v>1</v>
      </c>
      <c r="O74">
        <v>725</v>
      </c>
    </row>
    <row r="75" spans="1:15" x14ac:dyDescent="0.25">
      <c r="A75" t="str">
        <f>"10/21/2020 18:16:12.668"</f>
        <v>10/21/2020 18:16:12.668</v>
      </c>
      <c r="B75" t="str">
        <f>"18:16:20.617"</f>
        <v>18:16:20.617</v>
      </c>
      <c r="C75" t="str">
        <f>"18:16:20.217"</f>
        <v>18:16:20.217</v>
      </c>
      <c r="D75" t="s">
        <v>39</v>
      </c>
      <c r="E75">
        <v>30.367563000000001</v>
      </c>
      <c r="F75" t="s">
        <v>38</v>
      </c>
      <c r="G75">
        <v>-89.819927000000007</v>
      </c>
      <c r="H75">
        <v>700</v>
      </c>
      <c r="I75">
        <v>10</v>
      </c>
      <c r="J75">
        <v>102</v>
      </c>
      <c r="K75">
        <v>832</v>
      </c>
      <c r="L75">
        <v>1200</v>
      </c>
      <c r="M75" t="str">
        <f t="shared" si="2"/>
        <v xml:space="preserve">N35DC   </v>
      </c>
      <c r="N75">
        <v>1</v>
      </c>
      <c r="O75">
        <v>725</v>
      </c>
    </row>
    <row r="76" spans="1:15" x14ac:dyDescent="0.25">
      <c r="A76" t="str">
        <f>"10/21/2020 18:16:12.668"</f>
        <v>10/21/2020 18:16:12.668</v>
      </c>
      <c r="B76" t="str">
        <f>"18:16:20.617"</f>
        <v>18:16:20.617</v>
      </c>
      <c r="C76" t="str">
        <f>"18:16:20.217"</f>
        <v>18:16:20.217</v>
      </c>
      <c r="D76" t="s">
        <v>39</v>
      </c>
      <c r="E76">
        <v>30.367563000000001</v>
      </c>
      <c r="F76" t="s">
        <v>38</v>
      </c>
      <c r="G76">
        <v>-89.819927000000007</v>
      </c>
      <c r="H76">
        <v>700</v>
      </c>
      <c r="I76">
        <v>10</v>
      </c>
      <c r="J76">
        <v>102</v>
      </c>
      <c r="K76">
        <v>832</v>
      </c>
      <c r="L76">
        <v>1200</v>
      </c>
      <c r="M76" t="str">
        <f t="shared" si="2"/>
        <v xml:space="preserve">N35DC   </v>
      </c>
      <c r="N76">
        <v>1</v>
      </c>
      <c r="O76">
        <v>725</v>
      </c>
    </row>
    <row r="77" spans="1:15" x14ac:dyDescent="0.25">
      <c r="A77" t="str">
        <f>"10/21/2020 18:16:15.649"</f>
        <v>10/21/2020 18:16:15.649</v>
      </c>
      <c r="B77" t="str">
        <f>"18:16:23.586"</f>
        <v>18:16:23.586</v>
      </c>
      <c r="C77" t="str">
        <f>"18:16:23.186"</f>
        <v>18:16:23.186</v>
      </c>
      <c r="D77" t="s">
        <v>40</v>
      </c>
      <c r="E77">
        <v>30.369</v>
      </c>
      <c r="F77" t="s">
        <v>41</v>
      </c>
      <c r="G77">
        <v>-89.819755999999998</v>
      </c>
      <c r="H77">
        <v>700</v>
      </c>
      <c r="I77">
        <v>11</v>
      </c>
      <c r="J77">
        <v>103</v>
      </c>
      <c r="K77">
        <v>640</v>
      </c>
      <c r="L77">
        <v>1200</v>
      </c>
      <c r="M77" t="str">
        <f t="shared" si="2"/>
        <v xml:space="preserve">N35DC   </v>
      </c>
      <c r="N77">
        <v>1</v>
      </c>
      <c r="O77">
        <v>750</v>
      </c>
    </row>
    <row r="78" spans="1:15" x14ac:dyDescent="0.25">
      <c r="A78" t="str">
        <f>"10/21/2020 18:16:15.649"</f>
        <v>10/21/2020 18:16:15.649</v>
      </c>
      <c r="B78" t="str">
        <f>"18:16:23.586"</f>
        <v>18:16:23.586</v>
      </c>
      <c r="C78" t="str">
        <f>"18:16:23.186"</f>
        <v>18:16:23.186</v>
      </c>
      <c r="D78" t="s">
        <v>40</v>
      </c>
      <c r="E78">
        <v>30.369</v>
      </c>
      <c r="F78" t="s">
        <v>41</v>
      </c>
      <c r="G78">
        <v>-89.819755999999998</v>
      </c>
      <c r="H78">
        <v>700</v>
      </c>
      <c r="I78">
        <v>11</v>
      </c>
      <c r="J78">
        <v>103</v>
      </c>
      <c r="K78">
        <v>640</v>
      </c>
      <c r="L78">
        <v>1200</v>
      </c>
      <c r="M78" t="str">
        <f t="shared" si="2"/>
        <v xml:space="preserve">N35DC   </v>
      </c>
      <c r="N78">
        <v>1</v>
      </c>
      <c r="O78">
        <v>750</v>
      </c>
    </row>
    <row r="79" spans="1:15" x14ac:dyDescent="0.25">
      <c r="A79" t="str">
        <f>"10/21/2020 18:16:15.649"</f>
        <v>10/21/2020 18:16:15.649</v>
      </c>
      <c r="B79" t="str">
        <f>"18:16:23.586"</f>
        <v>18:16:23.586</v>
      </c>
      <c r="C79" t="str">
        <f>"18:16:23.186"</f>
        <v>18:16:23.186</v>
      </c>
      <c r="D79" t="s">
        <v>40</v>
      </c>
      <c r="E79">
        <v>30.369</v>
      </c>
      <c r="F79" t="s">
        <v>41</v>
      </c>
      <c r="G79">
        <v>-89.819755999999998</v>
      </c>
      <c r="H79">
        <v>700</v>
      </c>
      <c r="I79">
        <v>11</v>
      </c>
      <c r="J79">
        <v>103</v>
      </c>
      <c r="K79">
        <v>640</v>
      </c>
      <c r="L79">
        <v>1200</v>
      </c>
      <c r="M79" t="str">
        <f t="shared" si="2"/>
        <v xml:space="preserve">N35DC   </v>
      </c>
      <c r="N79">
        <v>1</v>
      </c>
      <c r="O79">
        <v>750</v>
      </c>
    </row>
    <row r="80" spans="1:15" x14ac:dyDescent="0.25">
      <c r="A80" t="str">
        <f>"10/21/2020 18:16:15.649"</f>
        <v>10/21/2020 18:16:15.649</v>
      </c>
      <c r="B80" t="str">
        <f>"18:16:23.586"</f>
        <v>18:16:23.586</v>
      </c>
      <c r="C80" t="str">
        <f>"18:16:23.186"</f>
        <v>18:16:23.186</v>
      </c>
      <c r="D80" t="s">
        <v>40</v>
      </c>
      <c r="E80">
        <v>30.369</v>
      </c>
      <c r="F80" t="s">
        <v>41</v>
      </c>
      <c r="G80">
        <v>-89.819755999999998</v>
      </c>
      <c r="H80">
        <v>700</v>
      </c>
      <c r="I80">
        <v>11</v>
      </c>
      <c r="J80">
        <v>103</v>
      </c>
      <c r="K80">
        <v>640</v>
      </c>
      <c r="L80">
        <v>1200</v>
      </c>
      <c r="M80" t="str">
        <f t="shared" si="2"/>
        <v xml:space="preserve">N35DC   </v>
      </c>
      <c r="N80">
        <v>1</v>
      </c>
      <c r="O80">
        <v>750</v>
      </c>
    </row>
    <row r="81" spans="1:15" x14ac:dyDescent="0.25">
      <c r="A81" t="str">
        <f>"10/21/2020 18:16:15.649"</f>
        <v>10/21/2020 18:16:15.649</v>
      </c>
      <c r="B81" t="str">
        <f>"18:16:23.586"</f>
        <v>18:16:23.586</v>
      </c>
      <c r="C81" t="str">
        <f>"18:16:23.186"</f>
        <v>18:16:23.186</v>
      </c>
      <c r="D81" t="s">
        <v>40</v>
      </c>
      <c r="E81">
        <v>30.369</v>
      </c>
      <c r="F81" t="s">
        <v>41</v>
      </c>
      <c r="G81">
        <v>-89.819755999999998</v>
      </c>
      <c r="H81">
        <v>700</v>
      </c>
      <c r="I81">
        <v>11</v>
      </c>
      <c r="J81">
        <v>103</v>
      </c>
      <c r="K81">
        <v>640</v>
      </c>
      <c r="L81">
        <v>1200</v>
      </c>
      <c r="M81" t="str">
        <f t="shared" si="2"/>
        <v xml:space="preserve">N35DC   </v>
      </c>
      <c r="N81">
        <v>1</v>
      </c>
      <c r="O81">
        <v>750</v>
      </c>
    </row>
    <row r="82" spans="1:15" x14ac:dyDescent="0.25">
      <c r="A82" t="str">
        <f>"10/21/2020 18:16:16.743"</f>
        <v>10/21/2020 18:16:16.743</v>
      </c>
      <c r="B82" t="str">
        <f t="shared" ref="B82:C86" si="3">"18:16:24.680"</f>
        <v>18:16:24.680</v>
      </c>
      <c r="C82" t="str">
        <f t="shared" si="3"/>
        <v>18:16:24.680</v>
      </c>
      <c r="D82" t="s">
        <v>42</v>
      </c>
      <c r="E82">
        <v>30.369515</v>
      </c>
      <c r="F82" t="s">
        <v>43</v>
      </c>
      <c r="G82">
        <v>-89.819670000000002</v>
      </c>
      <c r="H82">
        <v>700</v>
      </c>
      <c r="I82">
        <v>11</v>
      </c>
      <c r="J82">
        <v>104</v>
      </c>
      <c r="K82">
        <v>640</v>
      </c>
      <c r="L82">
        <v>1200</v>
      </c>
      <c r="M82" t="str">
        <f t="shared" si="2"/>
        <v xml:space="preserve">N35DC   </v>
      </c>
      <c r="N82">
        <v>1</v>
      </c>
      <c r="O82">
        <v>750</v>
      </c>
    </row>
    <row r="83" spans="1:15" x14ac:dyDescent="0.25">
      <c r="A83" t="str">
        <f>"10/21/2020 18:16:16.743"</f>
        <v>10/21/2020 18:16:16.743</v>
      </c>
      <c r="B83" t="str">
        <f t="shared" si="3"/>
        <v>18:16:24.680</v>
      </c>
      <c r="C83" t="str">
        <f t="shared" si="3"/>
        <v>18:16:24.680</v>
      </c>
      <c r="D83" t="s">
        <v>42</v>
      </c>
      <c r="E83">
        <v>30.369515</v>
      </c>
      <c r="F83" t="s">
        <v>43</v>
      </c>
      <c r="G83">
        <v>-89.819670000000002</v>
      </c>
      <c r="H83">
        <v>700</v>
      </c>
      <c r="I83">
        <v>11</v>
      </c>
      <c r="J83">
        <v>104</v>
      </c>
      <c r="K83">
        <v>640</v>
      </c>
      <c r="L83">
        <v>1200</v>
      </c>
      <c r="M83" t="str">
        <f t="shared" si="2"/>
        <v xml:space="preserve">N35DC   </v>
      </c>
      <c r="N83">
        <v>1</v>
      </c>
      <c r="O83">
        <v>750</v>
      </c>
    </row>
    <row r="84" spans="1:15" x14ac:dyDescent="0.25">
      <c r="A84" t="str">
        <f>"10/21/2020 18:16:16.743"</f>
        <v>10/21/2020 18:16:16.743</v>
      </c>
      <c r="B84" t="str">
        <f t="shared" si="3"/>
        <v>18:16:24.680</v>
      </c>
      <c r="C84" t="str">
        <f t="shared" si="3"/>
        <v>18:16:24.680</v>
      </c>
      <c r="D84" t="s">
        <v>42</v>
      </c>
      <c r="E84">
        <v>30.369515</v>
      </c>
      <c r="F84" t="s">
        <v>43</v>
      </c>
      <c r="G84">
        <v>-89.819670000000002</v>
      </c>
      <c r="H84">
        <v>700</v>
      </c>
      <c r="I84">
        <v>11</v>
      </c>
      <c r="J84">
        <v>104</v>
      </c>
      <c r="K84">
        <v>640</v>
      </c>
      <c r="L84">
        <v>1200</v>
      </c>
      <c r="M84" t="str">
        <f t="shared" si="2"/>
        <v xml:space="preserve">N35DC   </v>
      </c>
      <c r="N84">
        <v>1</v>
      </c>
      <c r="O84">
        <v>750</v>
      </c>
    </row>
    <row r="85" spans="1:15" x14ac:dyDescent="0.25">
      <c r="A85" t="str">
        <f>"10/21/2020 18:16:16.743"</f>
        <v>10/21/2020 18:16:16.743</v>
      </c>
      <c r="B85" t="str">
        <f t="shared" si="3"/>
        <v>18:16:24.680</v>
      </c>
      <c r="C85" t="str">
        <f t="shared" si="3"/>
        <v>18:16:24.680</v>
      </c>
      <c r="D85" t="s">
        <v>42</v>
      </c>
      <c r="E85">
        <v>30.369515</v>
      </c>
      <c r="F85" t="s">
        <v>43</v>
      </c>
      <c r="G85">
        <v>-89.819670000000002</v>
      </c>
      <c r="H85">
        <v>700</v>
      </c>
      <c r="I85">
        <v>11</v>
      </c>
      <c r="J85">
        <v>104</v>
      </c>
      <c r="K85">
        <v>640</v>
      </c>
      <c r="L85">
        <v>1200</v>
      </c>
      <c r="M85" t="str">
        <f t="shared" si="2"/>
        <v xml:space="preserve">N35DC   </v>
      </c>
      <c r="N85">
        <v>1</v>
      </c>
      <c r="O85">
        <v>750</v>
      </c>
    </row>
    <row r="86" spans="1:15" x14ac:dyDescent="0.25">
      <c r="A86" t="str">
        <f>"10/21/2020 18:16:16.743"</f>
        <v>10/21/2020 18:16:16.743</v>
      </c>
      <c r="B86" t="str">
        <f t="shared" si="3"/>
        <v>18:16:24.680</v>
      </c>
      <c r="C86" t="str">
        <f t="shared" si="3"/>
        <v>18:16:24.680</v>
      </c>
      <c r="D86" t="s">
        <v>42</v>
      </c>
      <c r="E86">
        <v>30.369515</v>
      </c>
      <c r="F86" t="s">
        <v>43</v>
      </c>
      <c r="G86">
        <v>-89.819670000000002</v>
      </c>
      <c r="H86">
        <v>700</v>
      </c>
      <c r="I86">
        <v>11</v>
      </c>
      <c r="J86">
        <v>104</v>
      </c>
      <c r="K86">
        <v>640</v>
      </c>
      <c r="L86">
        <v>1200</v>
      </c>
      <c r="M86" t="str">
        <f t="shared" si="2"/>
        <v xml:space="preserve">N35DC   </v>
      </c>
      <c r="N86">
        <v>1</v>
      </c>
      <c r="O86">
        <v>750</v>
      </c>
    </row>
    <row r="87" spans="1:15" x14ac:dyDescent="0.25">
      <c r="A87" t="str">
        <f>"10/21/2020 18:16:19.677"</f>
        <v>10/21/2020 18:16:19.677</v>
      </c>
      <c r="B87" t="str">
        <f t="shared" ref="B87:C91" si="4">"18:16:27.625"</f>
        <v>18:16:27.625</v>
      </c>
      <c r="C87" t="str">
        <f t="shared" si="4"/>
        <v>18:16:27.625</v>
      </c>
      <c r="D87" t="s">
        <v>44</v>
      </c>
      <c r="E87">
        <v>30.370975000000001</v>
      </c>
      <c r="F87" t="s">
        <v>45</v>
      </c>
      <c r="G87">
        <v>-89.819477000000006</v>
      </c>
      <c r="H87">
        <v>800</v>
      </c>
      <c r="I87">
        <v>14</v>
      </c>
      <c r="J87">
        <v>106</v>
      </c>
      <c r="K87">
        <v>640</v>
      </c>
      <c r="L87">
        <v>1200</v>
      </c>
      <c r="M87" t="str">
        <f t="shared" si="2"/>
        <v xml:space="preserve">N35DC   </v>
      </c>
      <c r="N87">
        <v>1</v>
      </c>
      <c r="O87">
        <v>800</v>
      </c>
    </row>
    <row r="88" spans="1:15" x14ac:dyDescent="0.25">
      <c r="A88" t="str">
        <f>"10/21/2020 18:16:19.677"</f>
        <v>10/21/2020 18:16:19.677</v>
      </c>
      <c r="B88" t="str">
        <f t="shared" si="4"/>
        <v>18:16:27.625</v>
      </c>
      <c r="C88" t="str">
        <f t="shared" si="4"/>
        <v>18:16:27.625</v>
      </c>
      <c r="D88" t="s">
        <v>44</v>
      </c>
      <c r="E88">
        <v>30.370975000000001</v>
      </c>
      <c r="F88" t="s">
        <v>45</v>
      </c>
      <c r="G88">
        <v>-89.819477000000006</v>
      </c>
      <c r="H88">
        <v>800</v>
      </c>
      <c r="I88">
        <v>14</v>
      </c>
      <c r="J88">
        <v>106</v>
      </c>
      <c r="K88">
        <v>640</v>
      </c>
      <c r="L88">
        <v>1200</v>
      </c>
      <c r="M88" t="str">
        <f t="shared" si="2"/>
        <v xml:space="preserve">N35DC   </v>
      </c>
      <c r="N88">
        <v>1</v>
      </c>
      <c r="O88">
        <v>800</v>
      </c>
    </row>
    <row r="89" spans="1:15" x14ac:dyDescent="0.25">
      <c r="A89" t="str">
        <f>"10/21/2020 18:16:19.677"</f>
        <v>10/21/2020 18:16:19.677</v>
      </c>
      <c r="B89" t="str">
        <f t="shared" si="4"/>
        <v>18:16:27.625</v>
      </c>
      <c r="C89" t="str">
        <f t="shared" si="4"/>
        <v>18:16:27.625</v>
      </c>
      <c r="D89" t="s">
        <v>44</v>
      </c>
      <c r="E89">
        <v>30.370975000000001</v>
      </c>
      <c r="F89" t="s">
        <v>45</v>
      </c>
      <c r="G89">
        <v>-89.819477000000006</v>
      </c>
      <c r="H89">
        <v>800</v>
      </c>
      <c r="I89">
        <v>14</v>
      </c>
      <c r="J89">
        <v>106</v>
      </c>
      <c r="K89">
        <v>640</v>
      </c>
      <c r="L89">
        <v>1200</v>
      </c>
      <c r="M89" t="str">
        <f t="shared" si="2"/>
        <v xml:space="preserve">N35DC   </v>
      </c>
      <c r="N89">
        <v>1</v>
      </c>
      <c r="O89">
        <v>800</v>
      </c>
    </row>
    <row r="90" spans="1:15" x14ac:dyDescent="0.25">
      <c r="A90" t="str">
        <f>"10/21/2020 18:16:19.677"</f>
        <v>10/21/2020 18:16:19.677</v>
      </c>
      <c r="B90" t="str">
        <f t="shared" si="4"/>
        <v>18:16:27.625</v>
      </c>
      <c r="C90" t="str">
        <f t="shared" si="4"/>
        <v>18:16:27.625</v>
      </c>
      <c r="D90" t="s">
        <v>44</v>
      </c>
      <c r="E90">
        <v>30.370975000000001</v>
      </c>
      <c r="F90" t="s">
        <v>45</v>
      </c>
      <c r="G90">
        <v>-89.819477000000006</v>
      </c>
      <c r="H90">
        <v>800</v>
      </c>
      <c r="I90">
        <v>14</v>
      </c>
      <c r="J90">
        <v>106</v>
      </c>
      <c r="K90">
        <v>640</v>
      </c>
      <c r="L90">
        <v>1200</v>
      </c>
      <c r="M90" t="str">
        <f t="shared" si="2"/>
        <v xml:space="preserve">N35DC   </v>
      </c>
      <c r="N90">
        <v>1</v>
      </c>
      <c r="O90">
        <v>800</v>
      </c>
    </row>
    <row r="91" spans="1:15" x14ac:dyDescent="0.25">
      <c r="A91" t="str">
        <f>"10/21/2020 18:16:19.677"</f>
        <v>10/21/2020 18:16:19.677</v>
      </c>
      <c r="B91" t="str">
        <f t="shared" si="4"/>
        <v>18:16:27.625</v>
      </c>
      <c r="C91" t="str">
        <f t="shared" si="4"/>
        <v>18:16:27.625</v>
      </c>
      <c r="D91" t="s">
        <v>44</v>
      </c>
      <c r="E91">
        <v>30.370975000000001</v>
      </c>
      <c r="F91" t="s">
        <v>45</v>
      </c>
      <c r="G91">
        <v>-89.819477000000006</v>
      </c>
      <c r="H91">
        <v>800</v>
      </c>
      <c r="I91">
        <v>14</v>
      </c>
      <c r="J91">
        <v>106</v>
      </c>
      <c r="K91">
        <v>640</v>
      </c>
      <c r="L91">
        <v>1200</v>
      </c>
      <c r="M91" t="str">
        <f t="shared" si="2"/>
        <v xml:space="preserve">N35DC   </v>
      </c>
      <c r="N91">
        <v>1</v>
      </c>
      <c r="O91">
        <v>800</v>
      </c>
    </row>
    <row r="92" spans="1:15" x14ac:dyDescent="0.25">
      <c r="A92" t="str">
        <f>"10/21/2020 18:16:22.509"</f>
        <v>10/21/2020 18:16:22.509</v>
      </c>
      <c r="B92" t="str">
        <f>"18:16:30.453"</f>
        <v>18:16:30.453</v>
      </c>
      <c r="C92" t="str">
        <f>"18:16:30.053"</f>
        <v>18:16:30.053</v>
      </c>
      <c r="D92" t="s">
        <v>46</v>
      </c>
      <c r="E92">
        <v>30.372347999999999</v>
      </c>
      <c r="F92" t="s">
        <v>47</v>
      </c>
      <c r="G92">
        <v>-89.819154999999995</v>
      </c>
      <c r="H92">
        <v>800</v>
      </c>
      <c r="I92">
        <v>22</v>
      </c>
      <c r="J92">
        <v>106</v>
      </c>
      <c r="K92">
        <v>768</v>
      </c>
      <c r="L92">
        <v>1200</v>
      </c>
      <c r="M92" t="str">
        <f t="shared" si="2"/>
        <v xml:space="preserve">N35DC   </v>
      </c>
      <c r="N92">
        <v>1</v>
      </c>
      <c r="O92">
        <v>825</v>
      </c>
    </row>
    <row r="93" spans="1:15" x14ac:dyDescent="0.25">
      <c r="A93" t="str">
        <f>"10/21/2020 18:16:22.509"</f>
        <v>10/21/2020 18:16:22.509</v>
      </c>
      <c r="B93" t="str">
        <f>"18:16:30.453"</f>
        <v>18:16:30.453</v>
      </c>
      <c r="C93" t="str">
        <f>"18:16:30.053"</f>
        <v>18:16:30.053</v>
      </c>
      <c r="D93" t="s">
        <v>46</v>
      </c>
      <c r="E93">
        <v>30.372347999999999</v>
      </c>
      <c r="F93" t="s">
        <v>47</v>
      </c>
      <c r="G93">
        <v>-89.819154999999995</v>
      </c>
      <c r="H93">
        <v>800</v>
      </c>
      <c r="I93">
        <v>22</v>
      </c>
      <c r="J93">
        <v>106</v>
      </c>
      <c r="K93">
        <v>768</v>
      </c>
      <c r="L93">
        <v>1200</v>
      </c>
      <c r="M93" t="str">
        <f t="shared" si="2"/>
        <v xml:space="preserve">N35DC   </v>
      </c>
      <c r="N93">
        <v>1</v>
      </c>
      <c r="O93">
        <v>825</v>
      </c>
    </row>
    <row r="94" spans="1:15" x14ac:dyDescent="0.25">
      <c r="A94" t="str">
        <f>"10/21/2020 18:16:22.509"</f>
        <v>10/21/2020 18:16:22.509</v>
      </c>
      <c r="B94" t="str">
        <f>"18:16:30.453"</f>
        <v>18:16:30.453</v>
      </c>
      <c r="C94" t="str">
        <f>"18:16:30.053"</f>
        <v>18:16:30.053</v>
      </c>
      <c r="D94" t="s">
        <v>46</v>
      </c>
      <c r="E94">
        <v>30.372347999999999</v>
      </c>
      <c r="F94" t="s">
        <v>47</v>
      </c>
      <c r="G94">
        <v>-89.819154999999995</v>
      </c>
      <c r="H94">
        <v>800</v>
      </c>
      <c r="I94">
        <v>22</v>
      </c>
      <c r="J94">
        <v>106</v>
      </c>
      <c r="K94">
        <v>768</v>
      </c>
      <c r="L94">
        <v>1200</v>
      </c>
      <c r="M94" t="str">
        <f t="shared" si="2"/>
        <v xml:space="preserve">N35DC   </v>
      </c>
      <c r="N94">
        <v>1</v>
      </c>
      <c r="O94">
        <v>825</v>
      </c>
    </row>
    <row r="95" spans="1:15" x14ac:dyDescent="0.25">
      <c r="A95" t="str">
        <f>"10/21/2020 18:16:22.509"</f>
        <v>10/21/2020 18:16:22.509</v>
      </c>
      <c r="B95" t="str">
        <f>"18:16:30.453"</f>
        <v>18:16:30.453</v>
      </c>
      <c r="C95" t="str">
        <f>"18:16:30.053"</f>
        <v>18:16:30.053</v>
      </c>
      <c r="D95" t="s">
        <v>46</v>
      </c>
      <c r="E95">
        <v>30.372347999999999</v>
      </c>
      <c r="F95" t="s">
        <v>47</v>
      </c>
      <c r="G95">
        <v>-89.819154999999995</v>
      </c>
      <c r="H95">
        <v>800</v>
      </c>
      <c r="I95">
        <v>22</v>
      </c>
      <c r="J95">
        <v>106</v>
      </c>
      <c r="K95">
        <v>768</v>
      </c>
      <c r="L95">
        <v>1200</v>
      </c>
      <c r="M95" t="str">
        <f t="shared" si="2"/>
        <v xml:space="preserve">N35DC   </v>
      </c>
      <c r="N95">
        <v>1</v>
      </c>
      <c r="O95">
        <v>825</v>
      </c>
    </row>
    <row r="96" spans="1:15" x14ac:dyDescent="0.25">
      <c r="A96" t="str">
        <f>"10/21/2020 18:16:22.509"</f>
        <v>10/21/2020 18:16:22.509</v>
      </c>
      <c r="B96" t="str">
        <f>"18:16:30.453"</f>
        <v>18:16:30.453</v>
      </c>
      <c r="C96" t="str">
        <f>"18:16:30.053"</f>
        <v>18:16:30.053</v>
      </c>
      <c r="D96" t="s">
        <v>46</v>
      </c>
      <c r="E96">
        <v>30.372347999999999</v>
      </c>
      <c r="F96" t="s">
        <v>47</v>
      </c>
      <c r="G96">
        <v>-89.819154999999995</v>
      </c>
      <c r="H96">
        <v>800</v>
      </c>
      <c r="I96">
        <v>22</v>
      </c>
      <c r="J96">
        <v>106</v>
      </c>
      <c r="K96">
        <v>768</v>
      </c>
      <c r="L96">
        <v>1200</v>
      </c>
      <c r="M96" t="str">
        <f t="shared" si="2"/>
        <v xml:space="preserve">N35DC   </v>
      </c>
      <c r="N96">
        <v>1</v>
      </c>
      <c r="O96">
        <v>825</v>
      </c>
    </row>
    <row r="97" spans="1:15" x14ac:dyDescent="0.25">
      <c r="A97" t="str">
        <f>"10/21/2020 18:16:23.582"</f>
        <v>10/21/2020 18:16:23.582</v>
      </c>
      <c r="B97" t="str">
        <f>"18:16:31.508"</f>
        <v>18:16:31.508</v>
      </c>
      <c r="C97" t="str">
        <f>"18:16:31.108"</f>
        <v>18:16:31.108</v>
      </c>
      <c r="D97" t="s">
        <v>48</v>
      </c>
      <c r="E97">
        <v>30.372862999999999</v>
      </c>
      <c r="F97" t="s">
        <v>49</v>
      </c>
      <c r="G97">
        <v>-89.819005000000004</v>
      </c>
      <c r="H97">
        <v>800</v>
      </c>
      <c r="I97">
        <v>26</v>
      </c>
      <c r="J97">
        <v>105</v>
      </c>
      <c r="K97">
        <v>896</v>
      </c>
      <c r="L97">
        <v>1200</v>
      </c>
      <c r="M97" t="str">
        <f t="shared" si="2"/>
        <v xml:space="preserve">N35DC   </v>
      </c>
      <c r="N97">
        <v>1</v>
      </c>
      <c r="O97">
        <v>825</v>
      </c>
    </row>
    <row r="98" spans="1:15" x14ac:dyDescent="0.25">
      <c r="A98" t="str">
        <f>"10/21/2020 18:16:23.582"</f>
        <v>10/21/2020 18:16:23.582</v>
      </c>
      <c r="B98" t="str">
        <f>"18:16:31.508"</f>
        <v>18:16:31.508</v>
      </c>
      <c r="C98" t="str">
        <f>"18:16:31.108"</f>
        <v>18:16:31.108</v>
      </c>
      <c r="D98" t="s">
        <v>48</v>
      </c>
      <c r="E98">
        <v>30.372862999999999</v>
      </c>
      <c r="F98" t="s">
        <v>49</v>
      </c>
      <c r="G98">
        <v>-89.819005000000004</v>
      </c>
      <c r="H98">
        <v>800</v>
      </c>
      <c r="I98">
        <v>26</v>
      </c>
      <c r="J98">
        <v>105</v>
      </c>
      <c r="K98">
        <v>896</v>
      </c>
      <c r="L98">
        <v>1200</v>
      </c>
      <c r="M98" t="str">
        <f t="shared" si="2"/>
        <v xml:space="preserve">N35DC   </v>
      </c>
      <c r="N98">
        <v>1</v>
      </c>
      <c r="O98">
        <v>825</v>
      </c>
    </row>
    <row r="99" spans="1:15" x14ac:dyDescent="0.25">
      <c r="A99" t="str">
        <f>"10/21/2020 18:16:23.582"</f>
        <v>10/21/2020 18:16:23.582</v>
      </c>
      <c r="B99" t="str">
        <f>"18:16:31.508"</f>
        <v>18:16:31.508</v>
      </c>
      <c r="C99" t="str">
        <f>"18:16:31.108"</f>
        <v>18:16:31.108</v>
      </c>
      <c r="D99" t="s">
        <v>48</v>
      </c>
      <c r="E99">
        <v>30.372862999999999</v>
      </c>
      <c r="F99" t="s">
        <v>49</v>
      </c>
      <c r="G99">
        <v>-89.819005000000004</v>
      </c>
      <c r="H99">
        <v>800</v>
      </c>
      <c r="I99">
        <v>26</v>
      </c>
      <c r="J99">
        <v>105</v>
      </c>
      <c r="K99">
        <v>896</v>
      </c>
      <c r="L99">
        <v>1200</v>
      </c>
      <c r="M99" t="str">
        <f t="shared" si="2"/>
        <v xml:space="preserve">N35DC   </v>
      </c>
      <c r="N99">
        <v>1</v>
      </c>
      <c r="O99">
        <v>825</v>
      </c>
    </row>
    <row r="100" spans="1:15" x14ac:dyDescent="0.25">
      <c r="A100" t="str">
        <f>"10/21/2020 18:16:23.582"</f>
        <v>10/21/2020 18:16:23.582</v>
      </c>
      <c r="B100" t="str">
        <f>"18:16:31.508"</f>
        <v>18:16:31.508</v>
      </c>
      <c r="C100" t="str">
        <f>"18:16:31.108"</f>
        <v>18:16:31.108</v>
      </c>
      <c r="D100" t="s">
        <v>48</v>
      </c>
      <c r="E100">
        <v>30.372862999999999</v>
      </c>
      <c r="F100" t="s">
        <v>49</v>
      </c>
      <c r="G100">
        <v>-89.819005000000004</v>
      </c>
      <c r="H100">
        <v>800</v>
      </c>
      <c r="I100">
        <v>26</v>
      </c>
      <c r="J100">
        <v>105</v>
      </c>
      <c r="K100">
        <v>896</v>
      </c>
      <c r="L100">
        <v>1200</v>
      </c>
      <c r="M100" t="str">
        <f t="shared" si="2"/>
        <v xml:space="preserve">N35DC   </v>
      </c>
      <c r="N100">
        <v>1</v>
      </c>
      <c r="O100">
        <v>825</v>
      </c>
    </row>
    <row r="101" spans="1:15" x14ac:dyDescent="0.25">
      <c r="A101" t="str">
        <f>"10/21/2020 18:16:23.582"</f>
        <v>10/21/2020 18:16:23.582</v>
      </c>
      <c r="B101" t="str">
        <f>"18:16:31.508"</f>
        <v>18:16:31.508</v>
      </c>
      <c r="C101" t="str">
        <f>"18:16:31.108"</f>
        <v>18:16:31.108</v>
      </c>
      <c r="D101" t="s">
        <v>48</v>
      </c>
      <c r="E101">
        <v>30.372862999999999</v>
      </c>
      <c r="F101" t="s">
        <v>49</v>
      </c>
      <c r="G101">
        <v>-89.819005000000004</v>
      </c>
      <c r="H101">
        <v>800</v>
      </c>
      <c r="I101">
        <v>26</v>
      </c>
      <c r="J101">
        <v>105</v>
      </c>
      <c r="K101">
        <v>896</v>
      </c>
      <c r="L101">
        <v>1200</v>
      </c>
      <c r="M101" t="str">
        <f t="shared" si="2"/>
        <v xml:space="preserve">N35DC   </v>
      </c>
      <c r="N101">
        <v>1</v>
      </c>
      <c r="O101">
        <v>825</v>
      </c>
    </row>
    <row r="102" spans="1:15" x14ac:dyDescent="0.25">
      <c r="A102" t="str">
        <f>"10/21/2020 18:16:25.552"</f>
        <v>10/21/2020 18:16:25.552</v>
      </c>
      <c r="B102" t="str">
        <f>"18:16:33.500"</f>
        <v>18:16:33.500</v>
      </c>
      <c r="C102" t="str">
        <f>"18:16:33.200"</f>
        <v>18:16:33.200</v>
      </c>
      <c r="D102" t="s">
        <v>50</v>
      </c>
      <c r="E102">
        <v>30.373806999999999</v>
      </c>
      <c r="F102" t="s">
        <v>51</v>
      </c>
      <c r="G102">
        <v>-89.818661000000006</v>
      </c>
      <c r="H102">
        <v>800</v>
      </c>
      <c r="I102">
        <v>36</v>
      </c>
      <c r="J102">
        <v>102</v>
      </c>
      <c r="K102">
        <v>1216</v>
      </c>
      <c r="L102">
        <v>1200</v>
      </c>
      <c r="M102" t="str">
        <f t="shared" si="2"/>
        <v xml:space="preserve">N35DC   </v>
      </c>
      <c r="N102">
        <v>1</v>
      </c>
      <c r="O102">
        <v>875</v>
      </c>
    </row>
    <row r="103" spans="1:15" x14ac:dyDescent="0.25">
      <c r="A103" t="str">
        <f>"10/21/2020 18:16:25.552"</f>
        <v>10/21/2020 18:16:25.552</v>
      </c>
      <c r="B103" t="str">
        <f>"18:16:33.500"</f>
        <v>18:16:33.500</v>
      </c>
      <c r="C103" t="str">
        <f>"18:16:33.200"</f>
        <v>18:16:33.200</v>
      </c>
      <c r="D103" t="s">
        <v>50</v>
      </c>
      <c r="E103">
        <v>30.373806999999999</v>
      </c>
      <c r="F103" t="s">
        <v>51</v>
      </c>
      <c r="G103">
        <v>-89.818661000000006</v>
      </c>
      <c r="H103">
        <v>800</v>
      </c>
      <c r="I103">
        <v>36</v>
      </c>
      <c r="J103">
        <v>102</v>
      </c>
      <c r="K103">
        <v>1216</v>
      </c>
      <c r="L103">
        <v>1200</v>
      </c>
      <c r="M103" t="str">
        <f t="shared" si="2"/>
        <v xml:space="preserve">N35DC   </v>
      </c>
      <c r="N103">
        <v>1</v>
      </c>
      <c r="O103">
        <v>875</v>
      </c>
    </row>
    <row r="104" spans="1:15" x14ac:dyDescent="0.25">
      <c r="A104" t="str">
        <f>"10/21/2020 18:16:25.552"</f>
        <v>10/21/2020 18:16:25.552</v>
      </c>
      <c r="B104" t="str">
        <f>"18:16:33.500"</f>
        <v>18:16:33.500</v>
      </c>
      <c r="C104" t="str">
        <f>"18:16:33.200"</f>
        <v>18:16:33.200</v>
      </c>
      <c r="D104" t="s">
        <v>50</v>
      </c>
      <c r="E104">
        <v>30.373806999999999</v>
      </c>
      <c r="F104" t="s">
        <v>51</v>
      </c>
      <c r="G104">
        <v>-89.818661000000006</v>
      </c>
      <c r="H104">
        <v>800</v>
      </c>
      <c r="I104">
        <v>36</v>
      </c>
      <c r="J104">
        <v>102</v>
      </c>
      <c r="K104">
        <v>1216</v>
      </c>
      <c r="L104">
        <v>1200</v>
      </c>
      <c r="M104" t="str">
        <f t="shared" si="2"/>
        <v xml:space="preserve">N35DC   </v>
      </c>
      <c r="N104">
        <v>1</v>
      </c>
      <c r="O104">
        <v>875</v>
      </c>
    </row>
    <row r="105" spans="1:15" x14ac:dyDescent="0.25">
      <c r="A105" t="str">
        <f>"10/21/2020 18:16:25.552"</f>
        <v>10/21/2020 18:16:25.552</v>
      </c>
      <c r="B105" t="str">
        <f>"18:16:33.500"</f>
        <v>18:16:33.500</v>
      </c>
      <c r="C105" t="str">
        <f>"18:16:33.200"</f>
        <v>18:16:33.200</v>
      </c>
      <c r="D105" t="s">
        <v>50</v>
      </c>
      <c r="E105">
        <v>30.373806999999999</v>
      </c>
      <c r="F105" t="s">
        <v>51</v>
      </c>
      <c r="G105">
        <v>-89.818661000000006</v>
      </c>
      <c r="H105">
        <v>800</v>
      </c>
      <c r="I105">
        <v>36</v>
      </c>
      <c r="J105">
        <v>102</v>
      </c>
      <c r="K105">
        <v>1216</v>
      </c>
      <c r="L105">
        <v>1200</v>
      </c>
      <c r="M105" t="str">
        <f t="shared" si="2"/>
        <v xml:space="preserve">N35DC   </v>
      </c>
      <c r="N105">
        <v>1</v>
      </c>
      <c r="O105">
        <v>875</v>
      </c>
    </row>
    <row r="106" spans="1:15" x14ac:dyDescent="0.25">
      <c r="A106" t="str">
        <f>"10/21/2020 18:16:25.552"</f>
        <v>10/21/2020 18:16:25.552</v>
      </c>
      <c r="B106" t="str">
        <f>"18:16:33.500"</f>
        <v>18:16:33.500</v>
      </c>
      <c r="C106" t="str">
        <f>"18:16:33.200"</f>
        <v>18:16:33.200</v>
      </c>
      <c r="D106" t="s">
        <v>50</v>
      </c>
      <c r="E106">
        <v>30.373806999999999</v>
      </c>
      <c r="F106" t="s">
        <v>51</v>
      </c>
      <c r="G106">
        <v>-89.818661000000006</v>
      </c>
      <c r="H106">
        <v>800</v>
      </c>
      <c r="I106">
        <v>36</v>
      </c>
      <c r="J106">
        <v>102</v>
      </c>
      <c r="K106">
        <v>1216</v>
      </c>
      <c r="L106">
        <v>1200</v>
      </c>
      <c r="M106" t="str">
        <f t="shared" si="2"/>
        <v xml:space="preserve">N35DC   </v>
      </c>
      <c r="N106">
        <v>1</v>
      </c>
      <c r="O106">
        <v>875</v>
      </c>
    </row>
    <row r="107" spans="1:15" x14ac:dyDescent="0.25">
      <c r="A107" t="str">
        <f>"10/21/2020 18:16:26.554"</f>
        <v>10/21/2020 18:16:26.554</v>
      </c>
      <c r="B107" t="str">
        <f>"18:16:34.492"</f>
        <v>18:16:34.492</v>
      </c>
      <c r="C107" t="str">
        <f>"18:16:34.092"</f>
        <v>18:16:34.092</v>
      </c>
      <c r="D107" t="s">
        <v>52</v>
      </c>
      <c r="E107">
        <v>30.374258000000001</v>
      </c>
      <c r="F107" t="s">
        <v>53</v>
      </c>
      <c r="G107">
        <v>-89.818404000000001</v>
      </c>
      <c r="H107">
        <v>900</v>
      </c>
      <c r="I107">
        <v>41</v>
      </c>
      <c r="J107">
        <v>101</v>
      </c>
      <c r="K107">
        <v>1152</v>
      </c>
      <c r="L107">
        <v>1200</v>
      </c>
      <c r="M107" t="str">
        <f t="shared" si="2"/>
        <v xml:space="preserve">N35DC   </v>
      </c>
      <c r="N107">
        <v>1</v>
      </c>
      <c r="O107">
        <v>800</v>
      </c>
    </row>
    <row r="108" spans="1:15" x14ac:dyDescent="0.25">
      <c r="A108" t="str">
        <f>"10/21/2020 18:16:26.554"</f>
        <v>10/21/2020 18:16:26.554</v>
      </c>
      <c r="B108" t="str">
        <f>"18:16:34.492"</f>
        <v>18:16:34.492</v>
      </c>
      <c r="C108" t="str">
        <f>"18:16:34.092"</f>
        <v>18:16:34.092</v>
      </c>
      <c r="D108" t="s">
        <v>52</v>
      </c>
      <c r="E108">
        <v>30.374258000000001</v>
      </c>
      <c r="F108" t="s">
        <v>53</v>
      </c>
      <c r="G108">
        <v>-89.818404000000001</v>
      </c>
      <c r="H108">
        <v>900</v>
      </c>
      <c r="I108">
        <v>41</v>
      </c>
      <c r="J108">
        <v>101</v>
      </c>
      <c r="K108">
        <v>1152</v>
      </c>
      <c r="L108">
        <v>1200</v>
      </c>
      <c r="M108" t="str">
        <f t="shared" si="2"/>
        <v xml:space="preserve">N35DC   </v>
      </c>
      <c r="N108">
        <v>1</v>
      </c>
      <c r="O108">
        <v>800</v>
      </c>
    </row>
    <row r="109" spans="1:15" x14ac:dyDescent="0.25">
      <c r="A109" t="str">
        <f>"10/21/2020 18:16:26.554"</f>
        <v>10/21/2020 18:16:26.554</v>
      </c>
      <c r="B109" t="str">
        <f>"18:16:34.492"</f>
        <v>18:16:34.492</v>
      </c>
      <c r="C109" t="str">
        <f>"18:16:34.092"</f>
        <v>18:16:34.092</v>
      </c>
      <c r="D109" t="s">
        <v>52</v>
      </c>
      <c r="E109">
        <v>30.374258000000001</v>
      </c>
      <c r="F109" t="s">
        <v>53</v>
      </c>
      <c r="G109">
        <v>-89.818404000000001</v>
      </c>
      <c r="H109">
        <v>900</v>
      </c>
      <c r="I109">
        <v>41</v>
      </c>
      <c r="J109">
        <v>101</v>
      </c>
      <c r="K109">
        <v>1152</v>
      </c>
      <c r="L109">
        <v>1200</v>
      </c>
      <c r="M109" t="str">
        <f t="shared" si="2"/>
        <v xml:space="preserve">N35DC   </v>
      </c>
      <c r="N109">
        <v>1</v>
      </c>
      <c r="O109">
        <v>800</v>
      </c>
    </row>
    <row r="110" spans="1:15" x14ac:dyDescent="0.25">
      <c r="A110" t="str">
        <f>"10/21/2020 18:16:26.554"</f>
        <v>10/21/2020 18:16:26.554</v>
      </c>
      <c r="B110" t="str">
        <f>"18:16:34.492"</f>
        <v>18:16:34.492</v>
      </c>
      <c r="C110" t="str">
        <f>"18:16:34.092"</f>
        <v>18:16:34.092</v>
      </c>
      <c r="D110" t="s">
        <v>52</v>
      </c>
      <c r="E110">
        <v>30.374258000000001</v>
      </c>
      <c r="F110" t="s">
        <v>53</v>
      </c>
      <c r="G110">
        <v>-89.818404000000001</v>
      </c>
      <c r="H110">
        <v>900</v>
      </c>
      <c r="I110">
        <v>41</v>
      </c>
      <c r="J110">
        <v>101</v>
      </c>
      <c r="K110">
        <v>1152</v>
      </c>
      <c r="L110">
        <v>1200</v>
      </c>
      <c r="M110" t="str">
        <f t="shared" si="2"/>
        <v xml:space="preserve">N35DC   </v>
      </c>
      <c r="N110">
        <v>1</v>
      </c>
      <c r="O110">
        <v>800</v>
      </c>
    </row>
    <row r="111" spans="1:15" x14ac:dyDescent="0.25">
      <c r="A111" t="str">
        <f>"10/21/2020 18:16:26.554"</f>
        <v>10/21/2020 18:16:26.554</v>
      </c>
      <c r="B111" t="str">
        <f>"18:16:34.492"</f>
        <v>18:16:34.492</v>
      </c>
      <c r="C111" t="str">
        <f>"18:16:34.092"</f>
        <v>18:16:34.092</v>
      </c>
      <c r="D111" t="s">
        <v>52</v>
      </c>
      <c r="E111">
        <v>30.374258000000001</v>
      </c>
      <c r="F111" t="s">
        <v>53</v>
      </c>
      <c r="G111">
        <v>-89.818404000000001</v>
      </c>
      <c r="H111">
        <v>900</v>
      </c>
      <c r="I111">
        <v>41</v>
      </c>
      <c r="J111">
        <v>101</v>
      </c>
      <c r="K111">
        <v>1152</v>
      </c>
      <c r="L111">
        <v>1200</v>
      </c>
      <c r="M111" t="str">
        <f t="shared" si="2"/>
        <v xml:space="preserve">N35DC   </v>
      </c>
      <c r="N111">
        <v>1</v>
      </c>
      <c r="O111">
        <v>800</v>
      </c>
    </row>
    <row r="112" spans="1:15" x14ac:dyDescent="0.25">
      <c r="A112" t="str">
        <f>"10/21/2020 18:16:27.594"</f>
        <v>10/21/2020 18:16:27.594</v>
      </c>
      <c r="B112" t="str">
        <f>"18:16:35.523"</f>
        <v>18:16:35.523</v>
      </c>
      <c r="C112" t="str">
        <f>"18:16:35.123"</f>
        <v>18:16:35.123</v>
      </c>
      <c r="D112" t="s">
        <v>54</v>
      </c>
      <c r="E112">
        <v>30.37473</v>
      </c>
      <c r="F112" t="s">
        <v>55</v>
      </c>
      <c r="G112">
        <v>-89.818168</v>
      </c>
      <c r="H112">
        <v>900</v>
      </c>
      <c r="I112">
        <v>46</v>
      </c>
      <c r="J112">
        <v>99</v>
      </c>
      <c r="K112">
        <v>1152</v>
      </c>
      <c r="L112">
        <v>1200</v>
      </c>
      <c r="M112" t="str">
        <f t="shared" si="2"/>
        <v xml:space="preserve">N35DC   </v>
      </c>
      <c r="N112">
        <v>1</v>
      </c>
      <c r="O112">
        <v>900</v>
      </c>
    </row>
    <row r="113" spans="1:15" x14ac:dyDescent="0.25">
      <c r="A113" t="str">
        <f>"10/21/2020 18:16:27.594"</f>
        <v>10/21/2020 18:16:27.594</v>
      </c>
      <c r="B113" t="str">
        <f>"18:16:35.523"</f>
        <v>18:16:35.523</v>
      </c>
      <c r="C113" t="str">
        <f>"18:16:35.123"</f>
        <v>18:16:35.123</v>
      </c>
      <c r="D113" t="s">
        <v>54</v>
      </c>
      <c r="E113">
        <v>30.37473</v>
      </c>
      <c r="F113" t="s">
        <v>55</v>
      </c>
      <c r="G113">
        <v>-89.818168</v>
      </c>
      <c r="H113">
        <v>900</v>
      </c>
      <c r="I113">
        <v>46</v>
      </c>
      <c r="J113">
        <v>99</v>
      </c>
      <c r="K113">
        <v>1152</v>
      </c>
      <c r="L113">
        <v>1200</v>
      </c>
      <c r="M113" t="str">
        <f t="shared" si="2"/>
        <v xml:space="preserve">N35DC   </v>
      </c>
      <c r="N113">
        <v>1</v>
      </c>
      <c r="O113">
        <v>900</v>
      </c>
    </row>
    <row r="114" spans="1:15" x14ac:dyDescent="0.25">
      <c r="A114" t="str">
        <f>"10/21/2020 18:16:27.594"</f>
        <v>10/21/2020 18:16:27.594</v>
      </c>
      <c r="B114" t="str">
        <f>"18:16:35.523"</f>
        <v>18:16:35.523</v>
      </c>
      <c r="C114" t="str">
        <f>"18:16:35.123"</f>
        <v>18:16:35.123</v>
      </c>
      <c r="D114" t="s">
        <v>54</v>
      </c>
      <c r="E114">
        <v>30.37473</v>
      </c>
      <c r="F114" t="s">
        <v>55</v>
      </c>
      <c r="G114">
        <v>-89.818168</v>
      </c>
      <c r="H114">
        <v>900</v>
      </c>
      <c r="I114">
        <v>46</v>
      </c>
      <c r="J114">
        <v>99</v>
      </c>
      <c r="K114">
        <v>1152</v>
      </c>
      <c r="L114">
        <v>1200</v>
      </c>
      <c r="M114" t="str">
        <f t="shared" si="2"/>
        <v xml:space="preserve">N35DC   </v>
      </c>
      <c r="N114">
        <v>1</v>
      </c>
      <c r="O114">
        <v>900</v>
      </c>
    </row>
    <row r="115" spans="1:15" x14ac:dyDescent="0.25">
      <c r="A115" t="str">
        <f>"10/21/2020 18:16:27.594"</f>
        <v>10/21/2020 18:16:27.594</v>
      </c>
      <c r="B115" t="str">
        <f>"18:16:35.523"</f>
        <v>18:16:35.523</v>
      </c>
      <c r="C115" t="str">
        <f>"18:16:35.123"</f>
        <v>18:16:35.123</v>
      </c>
      <c r="D115" t="s">
        <v>54</v>
      </c>
      <c r="E115">
        <v>30.37473</v>
      </c>
      <c r="F115" t="s">
        <v>55</v>
      </c>
      <c r="G115">
        <v>-89.818168</v>
      </c>
      <c r="H115">
        <v>900</v>
      </c>
      <c r="I115">
        <v>46</v>
      </c>
      <c r="J115">
        <v>99</v>
      </c>
      <c r="K115">
        <v>1152</v>
      </c>
      <c r="L115">
        <v>1200</v>
      </c>
      <c r="M115" t="str">
        <f t="shared" si="2"/>
        <v xml:space="preserve">N35DC   </v>
      </c>
      <c r="N115">
        <v>1</v>
      </c>
      <c r="O115">
        <v>900</v>
      </c>
    </row>
    <row r="116" spans="1:15" x14ac:dyDescent="0.25">
      <c r="A116" t="str">
        <f>"10/21/2020 18:16:27.594"</f>
        <v>10/21/2020 18:16:27.594</v>
      </c>
      <c r="B116" t="str">
        <f>"18:16:35.523"</f>
        <v>18:16:35.523</v>
      </c>
      <c r="C116" t="str">
        <f>"18:16:35.123"</f>
        <v>18:16:35.123</v>
      </c>
      <c r="D116" t="s">
        <v>54</v>
      </c>
      <c r="E116">
        <v>30.37473</v>
      </c>
      <c r="F116" t="s">
        <v>55</v>
      </c>
      <c r="G116">
        <v>-89.818168</v>
      </c>
      <c r="H116">
        <v>900</v>
      </c>
      <c r="I116">
        <v>46</v>
      </c>
      <c r="J116">
        <v>99</v>
      </c>
      <c r="K116">
        <v>1152</v>
      </c>
      <c r="L116">
        <v>1200</v>
      </c>
      <c r="M116" t="str">
        <f t="shared" si="2"/>
        <v xml:space="preserve">N35DC   </v>
      </c>
      <c r="N116">
        <v>1</v>
      </c>
      <c r="O116">
        <v>900</v>
      </c>
    </row>
    <row r="117" spans="1:15" x14ac:dyDescent="0.25">
      <c r="A117" t="str">
        <f>"10/21/2020 18:16:30.691"</f>
        <v>10/21/2020 18:16:30.691</v>
      </c>
      <c r="B117" t="str">
        <f t="shared" ref="B117:C121" si="5">"18:16:38.633"</f>
        <v>18:16:38.633</v>
      </c>
      <c r="C117" t="str">
        <f t="shared" si="5"/>
        <v>18:16:38.633</v>
      </c>
      <c r="D117" t="s">
        <v>56</v>
      </c>
      <c r="E117">
        <v>30.376080999999999</v>
      </c>
      <c r="F117" t="s">
        <v>57</v>
      </c>
      <c r="G117">
        <v>-89.817245</v>
      </c>
      <c r="H117">
        <v>900</v>
      </c>
      <c r="I117">
        <v>60</v>
      </c>
      <c r="J117">
        <v>92</v>
      </c>
      <c r="K117">
        <v>1024</v>
      </c>
      <c r="L117">
        <v>1200</v>
      </c>
      <c r="M117" t="str">
        <f t="shared" si="2"/>
        <v xml:space="preserve">N35DC   </v>
      </c>
      <c r="N117">
        <v>1</v>
      </c>
      <c r="O117">
        <v>975</v>
      </c>
    </row>
    <row r="118" spans="1:15" x14ac:dyDescent="0.25">
      <c r="A118" t="str">
        <f>"10/21/2020 18:16:30.691"</f>
        <v>10/21/2020 18:16:30.691</v>
      </c>
      <c r="B118" t="str">
        <f t="shared" si="5"/>
        <v>18:16:38.633</v>
      </c>
      <c r="C118" t="str">
        <f t="shared" si="5"/>
        <v>18:16:38.633</v>
      </c>
      <c r="D118" t="s">
        <v>56</v>
      </c>
      <c r="E118">
        <v>30.376080999999999</v>
      </c>
      <c r="F118" t="s">
        <v>57</v>
      </c>
      <c r="G118">
        <v>-89.817245</v>
      </c>
      <c r="H118">
        <v>900</v>
      </c>
      <c r="I118">
        <v>60</v>
      </c>
      <c r="J118">
        <v>92</v>
      </c>
      <c r="K118">
        <v>1024</v>
      </c>
      <c r="L118">
        <v>1200</v>
      </c>
      <c r="M118" t="str">
        <f t="shared" si="2"/>
        <v xml:space="preserve">N35DC   </v>
      </c>
      <c r="N118">
        <v>1</v>
      </c>
      <c r="O118">
        <v>975</v>
      </c>
    </row>
    <row r="119" spans="1:15" x14ac:dyDescent="0.25">
      <c r="A119" t="str">
        <f>"10/21/2020 18:16:30.691"</f>
        <v>10/21/2020 18:16:30.691</v>
      </c>
      <c r="B119" t="str">
        <f t="shared" si="5"/>
        <v>18:16:38.633</v>
      </c>
      <c r="C119" t="str">
        <f t="shared" si="5"/>
        <v>18:16:38.633</v>
      </c>
      <c r="D119" t="s">
        <v>56</v>
      </c>
      <c r="E119">
        <v>30.376080999999999</v>
      </c>
      <c r="F119" t="s">
        <v>57</v>
      </c>
      <c r="G119">
        <v>-89.817245</v>
      </c>
      <c r="H119">
        <v>900</v>
      </c>
      <c r="I119">
        <v>60</v>
      </c>
      <c r="J119">
        <v>92</v>
      </c>
      <c r="K119">
        <v>1024</v>
      </c>
      <c r="L119">
        <v>1200</v>
      </c>
      <c r="M119" t="str">
        <f t="shared" si="2"/>
        <v xml:space="preserve">N35DC   </v>
      </c>
      <c r="N119">
        <v>1</v>
      </c>
      <c r="O119">
        <v>975</v>
      </c>
    </row>
    <row r="120" spans="1:15" x14ac:dyDescent="0.25">
      <c r="A120" t="str">
        <f>"10/21/2020 18:16:30.691"</f>
        <v>10/21/2020 18:16:30.691</v>
      </c>
      <c r="B120" t="str">
        <f t="shared" si="5"/>
        <v>18:16:38.633</v>
      </c>
      <c r="C120" t="str">
        <f t="shared" si="5"/>
        <v>18:16:38.633</v>
      </c>
      <c r="D120" t="s">
        <v>56</v>
      </c>
      <c r="E120">
        <v>30.376080999999999</v>
      </c>
      <c r="F120" t="s">
        <v>57</v>
      </c>
      <c r="G120">
        <v>-89.817245</v>
      </c>
      <c r="H120">
        <v>900</v>
      </c>
      <c r="I120">
        <v>60</v>
      </c>
      <c r="J120">
        <v>92</v>
      </c>
      <c r="K120">
        <v>1024</v>
      </c>
      <c r="L120">
        <v>1200</v>
      </c>
      <c r="M120" t="str">
        <f t="shared" si="2"/>
        <v xml:space="preserve">N35DC   </v>
      </c>
      <c r="N120">
        <v>1</v>
      </c>
      <c r="O120">
        <v>975</v>
      </c>
    </row>
    <row r="121" spans="1:15" x14ac:dyDescent="0.25">
      <c r="A121" t="str">
        <f>"10/21/2020 18:16:30.691"</f>
        <v>10/21/2020 18:16:30.691</v>
      </c>
      <c r="B121" t="str">
        <f t="shared" si="5"/>
        <v>18:16:38.633</v>
      </c>
      <c r="C121" t="str">
        <f t="shared" si="5"/>
        <v>18:16:38.633</v>
      </c>
      <c r="D121" t="s">
        <v>56</v>
      </c>
      <c r="E121">
        <v>30.376080999999999</v>
      </c>
      <c r="F121" t="s">
        <v>57</v>
      </c>
      <c r="G121">
        <v>-89.817245</v>
      </c>
      <c r="H121">
        <v>900</v>
      </c>
      <c r="I121">
        <v>60</v>
      </c>
      <c r="J121">
        <v>92</v>
      </c>
      <c r="K121">
        <v>1024</v>
      </c>
      <c r="L121">
        <v>1200</v>
      </c>
      <c r="M121" t="str">
        <f t="shared" si="2"/>
        <v xml:space="preserve">N35DC   </v>
      </c>
      <c r="N121">
        <v>1</v>
      </c>
      <c r="O121">
        <v>975</v>
      </c>
    </row>
    <row r="122" spans="1:15" x14ac:dyDescent="0.25">
      <c r="A122" t="str">
        <f>"10/21/2020 18:16:31.763"</f>
        <v>10/21/2020 18:16:31.763</v>
      </c>
      <c r="B122" t="str">
        <f>"18:16:39.664"</f>
        <v>18:16:39.664</v>
      </c>
      <c r="C122" t="str">
        <f>"18:16:39.264"</f>
        <v>18:16:39.264</v>
      </c>
      <c r="D122" t="s">
        <v>58</v>
      </c>
      <c r="E122">
        <v>30.376553999999999</v>
      </c>
      <c r="F122" t="s">
        <v>59</v>
      </c>
      <c r="G122">
        <v>-89.816901999999999</v>
      </c>
      <c r="H122">
        <v>1000</v>
      </c>
      <c r="I122">
        <v>61</v>
      </c>
      <c r="J122">
        <v>92</v>
      </c>
      <c r="K122">
        <v>1024</v>
      </c>
      <c r="L122">
        <v>1200</v>
      </c>
      <c r="M122" t="str">
        <f t="shared" si="2"/>
        <v xml:space="preserve">N35DC   </v>
      </c>
      <c r="N122">
        <v>1</v>
      </c>
      <c r="O122">
        <v>1000</v>
      </c>
    </row>
    <row r="123" spans="1:15" x14ac:dyDescent="0.25">
      <c r="A123" t="str">
        <f>"10/21/2020 18:16:31.763"</f>
        <v>10/21/2020 18:16:31.763</v>
      </c>
      <c r="B123" t="str">
        <f>"18:16:39.664"</f>
        <v>18:16:39.664</v>
      </c>
      <c r="C123" t="str">
        <f>"18:16:39.264"</f>
        <v>18:16:39.264</v>
      </c>
      <c r="D123" t="s">
        <v>58</v>
      </c>
      <c r="E123">
        <v>30.376553999999999</v>
      </c>
      <c r="F123" t="s">
        <v>59</v>
      </c>
      <c r="G123">
        <v>-89.816901999999999</v>
      </c>
      <c r="H123">
        <v>1000</v>
      </c>
      <c r="I123">
        <v>61</v>
      </c>
      <c r="J123">
        <v>92</v>
      </c>
      <c r="K123">
        <v>1024</v>
      </c>
      <c r="L123">
        <v>1200</v>
      </c>
      <c r="M123" t="str">
        <f t="shared" si="2"/>
        <v xml:space="preserve">N35DC   </v>
      </c>
      <c r="N123">
        <v>1</v>
      </c>
      <c r="O123">
        <v>1000</v>
      </c>
    </row>
    <row r="124" spans="1:15" x14ac:dyDescent="0.25">
      <c r="A124" t="str">
        <f>"10/21/2020 18:16:31.763"</f>
        <v>10/21/2020 18:16:31.763</v>
      </c>
      <c r="B124" t="str">
        <f>"18:16:39.664"</f>
        <v>18:16:39.664</v>
      </c>
      <c r="C124" t="str">
        <f>"18:16:39.264"</f>
        <v>18:16:39.264</v>
      </c>
      <c r="D124" t="s">
        <v>58</v>
      </c>
      <c r="E124">
        <v>30.376553999999999</v>
      </c>
      <c r="F124" t="s">
        <v>59</v>
      </c>
      <c r="G124">
        <v>-89.816901999999999</v>
      </c>
      <c r="H124">
        <v>1000</v>
      </c>
      <c r="I124">
        <v>61</v>
      </c>
      <c r="J124">
        <v>92</v>
      </c>
      <c r="K124">
        <v>1024</v>
      </c>
      <c r="L124">
        <v>1200</v>
      </c>
      <c r="M124" t="str">
        <f t="shared" si="2"/>
        <v xml:space="preserve">N35DC   </v>
      </c>
      <c r="N124">
        <v>1</v>
      </c>
      <c r="O124">
        <v>1000</v>
      </c>
    </row>
    <row r="125" spans="1:15" x14ac:dyDescent="0.25">
      <c r="A125" t="str">
        <f>"10/21/2020 18:16:31.763"</f>
        <v>10/21/2020 18:16:31.763</v>
      </c>
      <c r="B125" t="str">
        <f>"18:16:39.664"</f>
        <v>18:16:39.664</v>
      </c>
      <c r="C125" t="str">
        <f>"18:16:39.264"</f>
        <v>18:16:39.264</v>
      </c>
      <c r="D125" t="s">
        <v>58</v>
      </c>
      <c r="E125">
        <v>30.376553999999999</v>
      </c>
      <c r="F125" t="s">
        <v>59</v>
      </c>
      <c r="G125">
        <v>-89.816901999999999</v>
      </c>
      <c r="H125">
        <v>1000</v>
      </c>
      <c r="I125">
        <v>61</v>
      </c>
      <c r="J125">
        <v>92</v>
      </c>
      <c r="K125">
        <v>1024</v>
      </c>
      <c r="L125">
        <v>1200</v>
      </c>
      <c r="M125" t="str">
        <f t="shared" si="2"/>
        <v xml:space="preserve">N35DC   </v>
      </c>
      <c r="N125">
        <v>1</v>
      </c>
      <c r="O125">
        <v>1000</v>
      </c>
    </row>
    <row r="126" spans="1:15" x14ac:dyDescent="0.25">
      <c r="A126" t="str">
        <f>"10/21/2020 18:16:31.763"</f>
        <v>10/21/2020 18:16:31.763</v>
      </c>
      <c r="B126" t="str">
        <f>"18:16:39.664"</f>
        <v>18:16:39.664</v>
      </c>
      <c r="C126" t="str">
        <f>"18:16:39.264"</f>
        <v>18:16:39.264</v>
      </c>
      <c r="D126" t="s">
        <v>58</v>
      </c>
      <c r="E126">
        <v>30.376553999999999</v>
      </c>
      <c r="F126" t="s">
        <v>59</v>
      </c>
      <c r="G126">
        <v>-89.816901999999999</v>
      </c>
      <c r="H126">
        <v>1000</v>
      </c>
      <c r="I126">
        <v>61</v>
      </c>
      <c r="J126">
        <v>92</v>
      </c>
      <c r="K126">
        <v>1024</v>
      </c>
      <c r="L126">
        <v>1200</v>
      </c>
      <c r="M126" t="str">
        <f t="shared" si="2"/>
        <v xml:space="preserve">N35DC   </v>
      </c>
      <c r="N126">
        <v>1</v>
      </c>
      <c r="O126">
        <v>1000</v>
      </c>
    </row>
    <row r="127" spans="1:15" x14ac:dyDescent="0.25">
      <c r="A127" t="str">
        <f>"10/21/2020 18:16:34.868"</f>
        <v>10/21/2020 18:16:34.868</v>
      </c>
      <c r="B127" t="str">
        <f>"18:16:42.797"</f>
        <v>18:16:42.797</v>
      </c>
      <c r="C127" t="str">
        <f>"18:16:42.597"</f>
        <v>18:16:42.597</v>
      </c>
      <c r="D127" t="s">
        <v>60</v>
      </c>
      <c r="E127">
        <v>30.377884000000002</v>
      </c>
      <c r="F127" t="s">
        <v>61</v>
      </c>
      <c r="G127">
        <v>-89.815871999999999</v>
      </c>
      <c r="H127">
        <v>1000</v>
      </c>
      <c r="I127">
        <v>63</v>
      </c>
      <c r="J127">
        <v>91</v>
      </c>
      <c r="K127">
        <v>1344</v>
      </c>
      <c r="L127">
        <v>1200</v>
      </c>
      <c r="M127" t="str">
        <f t="shared" si="2"/>
        <v xml:space="preserve">N35DC   </v>
      </c>
      <c r="N127">
        <v>1</v>
      </c>
      <c r="O127">
        <v>1050</v>
      </c>
    </row>
    <row r="128" spans="1:15" x14ac:dyDescent="0.25">
      <c r="A128" t="str">
        <f>"10/21/2020 18:16:34.868"</f>
        <v>10/21/2020 18:16:34.868</v>
      </c>
      <c r="B128" t="str">
        <f>"18:16:42.797"</f>
        <v>18:16:42.797</v>
      </c>
      <c r="C128" t="str">
        <f>"18:16:42.597"</f>
        <v>18:16:42.597</v>
      </c>
      <c r="D128" t="s">
        <v>60</v>
      </c>
      <c r="E128">
        <v>30.377884000000002</v>
      </c>
      <c r="F128" t="s">
        <v>61</v>
      </c>
      <c r="G128">
        <v>-89.815871999999999</v>
      </c>
      <c r="H128">
        <v>1000</v>
      </c>
      <c r="I128">
        <v>63</v>
      </c>
      <c r="J128">
        <v>91</v>
      </c>
      <c r="K128">
        <v>1344</v>
      </c>
      <c r="L128">
        <v>1200</v>
      </c>
      <c r="M128" t="str">
        <f t="shared" si="2"/>
        <v xml:space="preserve">N35DC   </v>
      </c>
      <c r="N128">
        <v>1</v>
      </c>
      <c r="O128">
        <v>1050</v>
      </c>
    </row>
    <row r="129" spans="1:15" x14ac:dyDescent="0.25">
      <c r="A129" t="str">
        <f>"10/21/2020 18:16:34.868"</f>
        <v>10/21/2020 18:16:34.868</v>
      </c>
      <c r="B129" t="str">
        <f>"18:16:42.797"</f>
        <v>18:16:42.797</v>
      </c>
      <c r="C129" t="str">
        <f>"18:16:42.597"</f>
        <v>18:16:42.597</v>
      </c>
      <c r="D129" t="s">
        <v>60</v>
      </c>
      <c r="E129">
        <v>30.377884000000002</v>
      </c>
      <c r="F129" t="s">
        <v>61</v>
      </c>
      <c r="G129">
        <v>-89.815871999999999</v>
      </c>
      <c r="H129">
        <v>1000</v>
      </c>
      <c r="I129">
        <v>63</v>
      </c>
      <c r="J129">
        <v>91</v>
      </c>
      <c r="K129">
        <v>1344</v>
      </c>
      <c r="L129">
        <v>1200</v>
      </c>
      <c r="M129" t="str">
        <f t="shared" si="2"/>
        <v xml:space="preserve">N35DC   </v>
      </c>
      <c r="N129">
        <v>1</v>
      </c>
      <c r="O129">
        <v>1050</v>
      </c>
    </row>
    <row r="130" spans="1:15" x14ac:dyDescent="0.25">
      <c r="A130" t="str">
        <f>"10/21/2020 18:16:34.868"</f>
        <v>10/21/2020 18:16:34.868</v>
      </c>
      <c r="B130" t="str">
        <f>"18:16:42.797"</f>
        <v>18:16:42.797</v>
      </c>
      <c r="C130" t="str">
        <f>"18:16:42.597"</f>
        <v>18:16:42.597</v>
      </c>
      <c r="D130" t="s">
        <v>60</v>
      </c>
      <c r="E130">
        <v>30.377884000000002</v>
      </c>
      <c r="F130" t="s">
        <v>61</v>
      </c>
      <c r="G130">
        <v>-89.815871999999999</v>
      </c>
      <c r="H130">
        <v>1000</v>
      </c>
      <c r="I130">
        <v>63</v>
      </c>
      <c r="J130">
        <v>91</v>
      </c>
      <c r="K130">
        <v>1344</v>
      </c>
      <c r="L130">
        <v>1200</v>
      </c>
      <c r="M130" t="str">
        <f t="shared" si="2"/>
        <v xml:space="preserve">N35DC   </v>
      </c>
      <c r="N130">
        <v>1</v>
      </c>
      <c r="O130">
        <v>1050</v>
      </c>
    </row>
    <row r="131" spans="1:15" x14ac:dyDescent="0.25">
      <c r="A131" t="str">
        <f>"10/21/2020 18:16:34.868"</f>
        <v>10/21/2020 18:16:34.868</v>
      </c>
      <c r="B131" t="str">
        <f>"18:16:42.797"</f>
        <v>18:16:42.797</v>
      </c>
      <c r="C131" t="str">
        <f>"18:16:42.597"</f>
        <v>18:16:42.597</v>
      </c>
      <c r="D131" t="s">
        <v>60</v>
      </c>
      <c r="E131">
        <v>30.377884000000002</v>
      </c>
      <c r="F131" t="s">
        <v>61</v>
      </c>
      <c r="G131">
        <v>-89.815871999999999</v>
      </c>
      <c r="H131">
        <v>1000</v>
      </c>
      <c r="I131">
        <v>63</v>
      </c>
      <c r="J131">
        <v>91</v>
      </c>
      <c r="K131">
        <v>1344</v>
      </c>
      <c r="L131">
        <v>1200</v>
      </c>
      <c r="M131" t="str">
        <f t="shared" si="2"/>
        <v xml:space="preserve">N35DC   </v>
      </c>
      <c r="N131">
        <v>1</v>
      </c>
      <c r="O131">
        <v>1050</v>
      </c>
    </row>
    <row r="132" spans="1:15" x14ac:dyDescent="0.25">
      <c r="A132" t="str">
        <f>"10/21/2020 18:16:35.910"</f>
        <v>10/21/2020 18:16:35.910</v>
      </c>
      <c r="B132" t="str">
        <f>"18:16:43.836"</f>
        <v>18:16:43.836</v>
      </c>
      <c r="C132" t="str">
        <f>"18:16:43.636"</f>
        <v>18:16:43.636</v>
      </c>
      <c r="D132" t="s">
        <v>62</v>
      </c>
      <c r="E132">
        <v>30.378312999999999</v>
      </c>
      <c r="F132" t="s">
        <v>63</v>
      </c>
      <c r="G132">
        <v>-89.815550000000002</v>
      </c>
      <c r="H132">
        <v>1000</v>
      </c>
      <c r="I132">
        <v>62</v>
      </c>
      <c r="J132">
        <v>90</v>
      </c>
      <c r="K132">
        <v>1600</v>
      </c>
      <c r="L132">
        <v>1200</v>
      </c>
      <c r="M132" t="str">
        <f t="shared" si="2"/>
        <v xml:space="preserve">N35DC   </v>
      </c>
      <c r="N132">
        <v>1</v>
      </c>
      <c r="O132">
        <v>1075</v>
      </c>
    </row>
    <row r="133" spans="1:15" x14ac:dyDescent="0.25">
      <c r="A133" t="str">
        <f>"10/21/2020 18:16:35.910"</f>
        <v>10/21/2020 18:16:35.910</v>
      </c>
      <c r="B133" t="str">
        <f>"18:16:43.836"</f>
        <v>18:16:43.836</v>
      </c>
      <c r="C133" t="str">
        <f>"18:16:43.636"</f>
        <v>18:16:43.636</v>
      </c>
      <c r="D133" t="s">
        <v>62</v>
      </c>
      <c r="E133">
        <v>30.378312999999999</v>
      </c>
      <c r="F133" t="s">
        <v>63</v>
      </c>
      <c r="G133">
        <v>-89.815550000000002</v>
      </c>
      <c r="H133">
        <v>1000</v>
      </c>
      <c r="I133">
        <v>62</v>
      </c>
      <c r="J133">
        <v>90</v>
      </c>
      <c r="K133">
        <v>1600</v>
      </c>
      <c r="L133">
        <v>1200</v>
      </c>
      <c r="M133" t="str">
        <f t="shared" si="2"/>
        <v xml:space="preserve">N35DC   </v>
      </c>
      <c r="N133">
        <v>1</v>
      </c>
      <c r="O133">
        <v>1075</v>
      </c>
    </row>
    <row r="134" spans="1:15" x14ac:dyDescent="0.25">
      <c r="A134" t="str">
        <f>"10/21/2020 18:16:35.910"</f>
        <v>10/21/2020 18:16:35.910</v>
      </c>
      <c r="B134" t="str">
        <f>"18:16:43.836"</f>
        <v>18:16:43.836</v>
      </c>
      <c r="C134" t="str">
        <f>"18:16:43.636"</f>
        <v>18:16:43.636</v>
      </c>
      <c r="D134" t="s">
        <v>62</v>
      </c>
      <c r="E134">
        <v>30.378312999999999</v>
      </c>
      <c r="F134" t="s">
        <v>63</v>
      </c>
      <c r="G134">
        <v>-89.815550000000002</v>
      </c>
      <c r="H134">
        <v>1000</v>
      </c>
      <c r="I134">
        <v>62</v>
      </c>
      <c r="J134">
        <v>90</v>
      </c>
      <c r="K134">
        <v>1600</v>
      </c>
      <c r="L134">
        <v>1200</v>
      </c>
      <c r="M134" t="str">
        <f t="shared" si="2"/>
        <v xml:space="preserve">N35DC   </v>
      </c>
      <c r="N134">
        <v>1</v>
      </c>
      <c r="O134">
        <v>1075</v>
      </c>
    </row>
    <row r="135" spans="1:15" x14ac:dyDescent="0.25">
      <c r="A135" t="str">
        <f>"10/21/2020 18:16:35.910"</f>
        <v>10/21/2020 18:16:35.910</v>
      </c>
      <c r="B135" t="str">
        <f>"18:16:43.836"</f>
        <v>18:16:43.836</v>
      </c>
      <c r="C135" t="str">
        <f>"18:16:43.636"</f>
        <v>18:16:43.636</v>
      </c>
      <c r="D135" t="s">
        <v>62</v>
      </c>
      <c r="E135">
        <v>30.378312999999999</v>
      </c>
      <c r="F135" t="s">
        <v>63</v>
      </c>
      <c r="G135">
        <v>-89.815550000000002</v>
      </c>
      <c r="H135">
        <v>1000</v>
      </c>
      <c r="I135">
        <v>62</v>
      </c>
      <c r="J135">
        <v>90</v>
      </c>
      <c r="K135">
        <v>1600</v>
      </c>
      <c r="L135">
        <v>1200</v>
      </c>
      <c r="M135" t="str">
        <f t="shared" ref="M135:M198" si="6">"N35DC   "</f>
        <v xml:space="preserve">N35DC   </v>
      </c>
      <c r="N135">
        <v>1</v>
      </c>
      <c r="O135">
        <v>1075</v>
      </c>
    </row>
    <row r="136" spans="1:15" x14ac:dyDescent="0.25">
      <c r="A136" t="str">
        <f>"10/21/2020 18:16:35.910"</f>
        <v>10/21/2020 18:16:35.910</v>
      </c>
      <c r="B136" t="str">
        <f>"18:16:43.836"</f>
        <v>18:16:43.836</v>
      </c>
      <c r="C136" t="str">
        <f>"18:16:43.636"</f>
        <v>18:16:43.636</v>
      </c>
      <c r="D136" t="s">
        <v>62</v>
      </c>
      <c r="E136">
        <v>30.378312999999999</v>
      </c>
      <c r="F136" t="s">
        <v>63</v>
      </c>
      <c r="G136">
        <v>-89.815550000000002</v>
      </c>
      <c r="H136">
        <v>1000</v>
      </c>
      <c r="I136">
        <v>62</v>
      </c>
      <c r="J136">
        <v>90</v>
      </c>
      <c r="K136">
        <v>1600</v>
      </c>
      <c r="L136">
        <v>1200</v>
      </c>
      <c r="M136" t="str">
        <f t="shared" si="6"/>
        <v xml:space="preserve">N35DC   </v>
      </c>
      <c r="N136">
        <v>1</v>
      </c>
      <c r="O136">
        <v>1075</v>
      </c>
    </row>
    <row r="137" spans="1:15" x14ac:dyDescent="0.25">
      <c r="A137" t="str">
        <f>"10/21/2020 18:16:36.886"</f>
        <v>10/21/2020 18:16:36.886</v>
      </c>
      <c r="B137" t="str">
        <f>"18:16:44.828"</f>
        <v>18:16:44.828</v>
      </c>
      <c r="C137" t="str">
        <f>"18:16:44.628"</f>
        <v>18:16:44.628</v>
      </c>
      <c r="D137" t="s">
        <v>64</v>
      </c>
      <c r="E137">
        <v>30.378699000000001</v>
      </c>
      <c r="F137" t="s">
        <v>65</v>
      </c>
      <c r="G137">
        <v>-89.815163999999996</v>
      </c>
      <c r="H137">
        <v>1100</v>
      </c>
      <c r="I137">
        <v>62</v>
      </c>
      <c r="J137">
        <v>88</v>
      </c>
      <c r="K137">
        <v>1600</v>
      </c>
      <c r="L137">
        <v>1200</v>
      </c>
      <c r="M137" t="str">
        <f t="shared" si="6"/>
        <v xml:space="preserve">N35DC   </v>
      </c>
      <c r="N137">
        <v>1</v>
      </c>
      <c r="O137">
        <v>1100</v>
      </c>
    </row>
    <row r="138" spans="1:15" x14ac:dyDescent="0.25">
      <c r="A138" t="str">
        <f>"10/21/2020 18:16:36.886"</f>
        <v>10/21/2020 18:16:36.886</v>
      </c>
      <c r="B138" t="str">
        <f>"18:16:44.828"</f>
        <v>18:16:44.828</v>
      </c>
      <c r="C138" t="str">
        <f>"18:16:44.628"</f>
        <v>18:16:44.628</v>
      </c>
      <c r="D138" t="s">
        <v>64</v>
      </c>
      <c r="E138">
        <v>30.378699000000001</v>
      </c>
      <c r="F138" t="s">
        <v>65</v>
      </c>
      <c r="G138">
        <v>-89.815163999999996</v>
      </c>
      <c r="H138">
        <v>1100</v>
      </c>
      <c r="I138">
        <v>62</v>
      </c>
      <c r="J138">
        <v>88</v>
      </c>
      <c r="K138">
        <v>1600</v>
      </c>
      <c r="L138">
        <v>1200</v>
      </c>
      <c r="M138" t="str">
        <f t="shared" si="6"/>
        <v xml:space="preserve">N35DC   </v>
      </c>
      <c r="N138">
        <v>1</v>
      </c>
      <c r="O138">
        <v>1100</v>
      </c>
    </row>
    <row r="139" spans="1:15" x14ac:dyDescent="0.25">
      <c r="A139" t="str">
        <f>"10/21/2020 18:16:36.886"</f>
        <v>10/21/2020 18:16:36.886</v>
      </c>
      <c r="B139" t="str">
        <f>"18:16:44.828"</f>
        <v>18:16:44.828</v>
      </c>
      <c r="C139" t="str">
        <f>"18:16:44.628"</f>
        <v>18:16:44.628</v>
      </c>
      <c r="D139" t="s">
        <v>64</v>
      </c>
      <c r="E139">
        <v>30.378699000000001</v>
      </c>
      <c r="F139" t="s">
        <v>65</v>
      </c>
      <c r="G139">
        <v>-89.815163999999996</v>
      </c>
      <c r="H139">
        <v>1100</v>
      </c>
      <c r="I139">
        <v>62</v>
      </c>
      <c r="J139">
        <v>88</v>
      </c>
      <c r="K139">
        <v>1600</v>
      </c>
      <c r="L139">
        <v>1200</v>
      </c>
      <c r="M139" t="str">
        <f t="shared" si="6"/>
        <v xml:space="preserve">N35DC   </v>
      </c>
      <c r="N139">
        <v>1</v>
      </c>
      <c r="O139">
        <v>1100</v>
      </c>
    </row>
    <row r="140" spans="1:15" x14ac:dyDescent="0.25">
      <c r="A140" t="str">
        <f>"10/21/2020 18:16:36.886"</f>
        <v>10/21/2020 18:16:36.886</v>
      </c>
      <c r="B140" t="str">
        <f>"18:16:44.828"</f>
        <v>18:16:44.828</v>
      </c>
      <c r="C140" t="str">
        <f>"18:16:44.628"</f>
        <v>18:16:44.628</v>
      </c>
      <c r="D140" t="s">
        <v>64</v>
      </c>
      <c r="E140">
        <v>30.378699000000001</v>
      </c>
      <c r="F140" t="s">
        <v>65</v>
      </c>
      <c r="G140">
        <v>-89.815163999999996</v>
      </c>
      <c r="H140">
        <v>1100</v>
      </c>
      <c r="I140">
        <v>62</v>
      </c>
      <c r="J140">
        <v>88</v>
      </c>
      <c r="K140">
        <v>1600</v>
      </c>
      <c r="L140">
        <v>1200</v>
      </c>
      <c r="M140" t="str">
        <f t="shared" si="6"/>
        <v xml:space="preserve">N35DC   </v>
      </c>
      <c r="N140">
        <v>1</v>
      </c>
      <c r="O140">
        <v>1100</v>
      </c>
    </row>
    <row r="141" spans="1:15" x14ac:dyDescent="0.25">
      <c r="A141" t="str">
        <f>"10/21/2020 18:16:36.886"</f>
        <v>10/21/2020 18:16:36.886</v>
      </c>
      <c r="B141" t="str">
        <f>"18:16:44.828"</f>
        <v>18:16:44.828</v>
      </c>
      <c r="C141" t="str">
        <f>"18:16:44.628"</f>
        <v>18:16:44.628</v>
      </c>
      <c r="D141" t="s">
        <v>64</v>
      </c>
      <c r="E141">
        <v>30.378699000000001</v>
      </c>
      <c r="F141" t="s">
        <v>65</v>
      </c>
      <c r="G141">
        <v>-89.815163999999996</v>
      </c>
      <c r="H141">
        <v>1100</v>
      </c>
      <c r="I141">
        <v>62</v>
      </c>
      <c r="J141">
        <v>88</v>
      </c>
      <c r="K141">
        <v>1600</v>
      </c>
      <c r="L141">
        <v>1200</v>
      </c>
      <c r="M141" t="str">
        <f t="shared" si="6"/>
        <v xml:space="preserve">N35DC   </v>
      </c>
      <c r="N141">
        <v>1</v>
      </c>
      <c r="O141">
        <v>1100</v>
      </c>
    </row>
    <row r="142" spans="1:15" x14ac:dyDescent="0.25">
      <c r="A142" t="str">
        <f>"10/21/2020 18:16:39.804"</f>
        <v>10/21/2020 18:16:39.804</v>
      </c>
      <c r="B142" t="str">
        <f>"18:16:47.734"</f>
        <v>18:16:47.734</v>
      </c>
      <c r="C142" t="str">
        <f>"18:16:47.434"</f>
        <v>18:16:47.434</v>
      </c>
      <c r="D142" t="s">
        <v>66</v>
      </c>
      <c r="E142">
        <v>30.379901</v>
      </c>
      <c r="F142" t="s">
        <v>67</v>
      </c>
      <c r="G142">
        <v>-89.814261999999999</v>
      </c>
      <c r="H142">
        <v>1100</v>
      </c>
      <c r="I142">
        <v>61</v>
      </c>
      <c r="J142">
        <v>87</v>
      </c>
      <c r="K142">
        <v>1344</v>
      </c>
      <c r="L142">
        <v>1200</v>
      </c>
      <c r="M142" t="str">
        <f t="shared" si="6"/>
        <v xml:space="preserve">N35DC   </v>
      </c>
      <c r="N142">
        <v>1</v>
      </c>
      <c r="O142">
        <v>1175</v>
      </c>
    </row>
    <row r="143" spans="1:15" x14ac:dyDescent="0.25">
      <c r="A143" t="str">
        <f>"10/21/2020 18:16:39.804"</f>
        <v>10/21/2020 18:16:39.804</v>
      </c>
      <c r="B143" t="str">
        <f>"18:16:47.734"</f>
        <v>18:16:47.734</v>
      </c>
      <c r="C143" t="str">
        <f>"18:16:47.434"</f>
        <v>18:16:47.434</v>
      </c>
      <c r="D143" t="s">
        <v>66</v>
      </c>
      <c r="E143">
        <v>30.379901</v>
      </c>
      <c r="F143" t="s">
        <v>67</v>
      </c>
      <c r="G143">
        <v>-89.814261999999999</v>
      </c>
      <c r="H143">
        <v>1100</v>
      </c>
      <c r="I143">
        <v>61</v>
      </c>
      <c r="J143">
        <v>87</v>
      </c>
      <c r="K143">
        <v>1344</v>
      </c>
      <c r="L143">
        <v>1200</v>
      </c>
      <c r="M143" t="str">
        <f t="shared" si="6"/>
        <v xml:space="preserve">N35DC   </v>
      </c>
      <c r="N143">
        <v>1</v>
      </c>
      <c r="O143">
        <v>1175</v>
      </c>
    </row>
    <row r="144" spans="1:15" x14ac:dyDescent="0.25">
      <c r="A144" t="str">
        <f>"10/21/2020 18:16:39.804"</f>
        <v>10/21/2020 18:16:39.804</v>
      </c>
      <c r="B144" t="str">
        <f>"18:16:47.734"</f>
        <v>18:16:47.734</v>
      </c>
      <c r="C144" t="str">
        <f>"18:16:47.434"</f>
        <v>18:16:47.434</v>
      </c>
      <c r="D144" t="s">
        <v>66</v>
      </c>
      <c r="E144">
        <v>30.379901</v>
      </c>
      <c r="F144" t="s">
        <v>67</v>
      </c>
      <c r="G144">
        <v>-89.814261999999999</v>
      </c>
      <c r="H144">
        <v>1100</v>
      </c>
      <c r="I144">
        <v>61</v>
      </c>
      <c r="J144">
        <v>87</v>
      </c>
      <c r="K144">
        <v>1344</v>
      </c>
      <c r="L144">
        <v>1200</v>
      </c>
      <c r="M144" t="str">
        <f t="shared" si="6"/>
        <v xml:space="preserve">N35DC   </v>
      </c>
      <c r="N144">
        <v>1</v>
      </c>
      <c r="O144">
        <v>1175</v>
      </c>
    </row>
    <row r="145" spans="1:15" x14ac:dyDescent="0.25">
      <c r="A145" t="str">
        <f>"10/21/2020 18:16:39.804"</f>
        <v>10/21/2020 18:16:39.804</v>
      </c>
      <c r="B145" t="str">
        <f>"18:16:47.734"</f>
        <v>18:16:47.734</v>
      </c>
      <c r="C145" t="str">
        <f>"18:16:47.434"</f>
        <v>18:16:47.434</v>
      </c>
      <c r="D145" t="s">
        <v>66</v>
      </c>
      <c r="E145">
        <v>30.379901</v>
      </c>
      <c r="F145" t="s">
        <v>67</v>
      </c>
      <c r="G145">
        <v>-89.814261999999999</v>
      </c>
      <c r="H145">
        <v>1100</v>
      </c>
      <c r="I145">
        <v>61</v>
      </c>
      <c r="J145">
        <v>87</v>
      </c>
      <c r="K145">
        <v>1344</v>
      </c>
      <c r="L145">
        <v>1200</v>
      </c>
      <c r="M145" t="str">
        <f t="shared" si="6"/>
        <v xml:space="preserve">N35DC   </v>
      </c>
      <c r="N145">
        <v>1</v>
      </c>
      <c r="O145">
        <v>1175</v>
      </c>
    </row>
    <row r="146" spans="1:15" x14ac:dyDescent="0.25">
      <c r="A146" t="str">
        <f>"10/21/2020 18:16:39.804"</f>
        <v>10/21/2020 18:16:39.804</v>
      </c>
      <c r="B146" t="str">
        <f>"18:16:47.734"</f>
        <v>18:16:47.734</v>
      </c>
      <c r="C146" t="str">
        <f>"18:16:47.434"</f>
        <v>18:16:47.434</v>
      </c>
      <c r="D146" t="s">
        <v>66</v>
      </c>
      <c r="E146">
        <v>30.379901</v>
      </c>
      <c r="F146" t="s">
        <v>67</v>
      </c>
      <c r="G146">
        <v>-89.814261999999999</v>
      </c>
      <c r="H146">
        <v>1100</v>
      </c>
      <c r="I146">
        <v>61</v>
      </c>
      <c r="J146">
        <v>87</v>
      </c>
      <c r="K146">
        <v>1344</v>
      </c>
      <c r="L146">
        <v>1200</v>
      </c>
      <c r="M146" t="str">
        <f t="shared" si="6"/>
        <v xml:space="preserve">N35DC   </v>
      </c>
      <c r="N146">
        <v>1</v>
      </c>
      <c r="O146">
        <v>1175</v>
      </c>
    </row>
    <row r="147" spans="1:15" x14ac:dyDescent="0.25">
      <c r="A147" t="str">
        <f>"10/21/2020 18:16:40.664"</f>
        <v>10/21/2020 18:16:40.664</v>
      </c>
      <c r="B147" t="str">
        <f>"18:16:48.602"</f>
        <v>18:16:48.602</v>
      </c>
      <c r="C147" t="str">
        <f>"18:16:48.402"</f>
        <v>18:16:48.402</v>
      </c>
      <c r="D147" t="s">
        <v>68</v>
      </c>
      <c r="E147">
        <v>30.380223000000001</v>
      </c>
      <c r="F147" t="s">
        <v>69</v>
      </c>
      <c r="G147">
        <v>-89.813941</v>
      </c>
      <c r="H147">
        <v>1200</v>
      </c>
      <c r="I147">
        <v>61</v>
      </c>
      <c r="J147">
        <v>86</v>
      </c>
      <c r="K147">
        <v>1408</v>
      </c>
      <c r="L147">
        <v>1200</v>
      </c>
      <c r="M147" t="str">
        <f t="shared" si="6"/>
        <v xml:space="preserve">N35DC   </v>
      </c>
      <c r="N147">
        <v>1</v>
      </c>
      <c r="O147">
        <v>1200</v>
      </c>
    </row>
    <row r="148" spans="1:15" x14ac:dyDescent="0.25">
      <c r="A148" t="str">
        <f>"10/21/2020 18:16:40.664"</f>
        <v>10/21/2020 18:16:40.664</v>
      </c>
      <c r="B148" t="str">
        <f>"18:16:48.602"</f>
        <v>18:16:48.602</v>
      </c>
      <c r="C148" t="str">
        <f>"18:16:48.402"</f>
        <v>18:16:48.402</v>
      </c>
      <c r="D148" t="s">
        <v>68</v>
      </c>
      <c r="E148">
        <v>30.380223000000001</v>
      </c>
      <c r="F148" t="s">
        <v>69</v>
      </c>
      <c r="G148">
        <v>-89.813941</v>
      </c>
      <c r="H148">
        <v>1200</v>
      </c>
      <c r="I148">
        <v>61</v>
      </c>
      <c r="J148">
        <v>86</v>
      </c>
      <c r="K148">
        <v>1408</v>
      </c>
      <c r="L148">
        <v>1200</v>
      </c>
      <c r="M148" t="str">
        <f t="shared" si="6"/>
        <v xml:space="preserve">N35DC   </v>
      </c>
      <c r="N148">
        <v>1</v>
      </c>
      <c r="O148">
        <v>1200</v>
      </c>
    </row>
    <row r="149" spans="1:15" x14ac:dyDescent="0.25">
      <c r="A149" t="str">
        <f>"10/21/2020 18:16:40.664"</f>
        <v>10/21/2020 18:16:40.664</v>
      </c>
      <c r="B149" t="str">
        <f>"18:16:48.602"</f>
        <v>18:16:48.602</v>
      </c>
      <c r="C149" t="str">
        <f>"18:16:48.402"</f>
        <v>18:16:48.402</v>
      </c>
      <c r="D149" t="s">
        <v>68</v>
      </c>
      <c r="E149">
        <v>30.380223000000001</v>
      </c>
      <c r="F149" t="s">
        <v>69</v>
      </c>
      <c r="G149">
        <v>-89.813941</v>
      </c>
      <c r="H149">
        <v>1200</v>
      </c>
      <c r="I149">
        <v>61</v>
      </c>
      <c r="J149">
        <v>86</v>
      </c>
      <c r="K149">
        <v>1408</v>
      </c>
      <c r="L149">
        <v>1200</v>
      </c>
      <c r="M149" t="str">
        <f t="shared" si="6"/>
        <v xml:space="preserve">N35DC   </v>
      </c>
      <c r="N149">
        <v>1</v>
      </c>
      <c r="O149">
        <v>1200</v>
      </c>
    </row>
    <row r="150" spans="1:15" x14ac:dyDescent="0.25">
      <c r="A150" t="str">
        <f>"10/21/2020 18:16:40.664"</f>
        <v>10/21/2020 18:16:40.664</v>
      </c>
      <c r="B150" t="str">
        <f>"18:16:48.602"</f>
        <v>18:16:48.602</v>
      </c>
      <c r="C150" t="str">
        <f>"18:16:48.402"</f>
        <v>18:16:48.402</v>
      </c>
      <c r="D150" t="s">
        <v>68</v>
      </c>
      <c r="E150">
        <v>30.380223000000001</v>
      </c>
      <c r="F150" t="s">
        <v>69</v>
      </c>
      <c r="G150">
        <v>-89.813941</v>
      </c>
      <c r="H150">
        <v>1200</v>
      </c>
      <c r="I150">
        <v>61</v>
      </c>
      <c r="J150">
        <v>86</v>
      </c>
      <c r="K150">
        <v>1408</v>
      </c>
      <c r="L150">
        <v>1200</v>
      </c>
      <c r="M150" t="str">
        <f t="shared" si="6"/>
        <v xml:space="preserve">N35DC   </v>
      </c>
      <c r="N150">
        <v>1</v>
      </c>
      <c r="O150">
        <v>1200</v>
      </c>
    </row>
    <row r="151" spans="1:15" x14ac:dyDescent="0.25">
      <c r="A151" t="str">
        <f>"10/21/2020 18:16:40.664"</f>
        <v>10/21/2020 18:16:40.664</v>
      </c>
      <c r="B151" t="str">
        <f>"18:16:48.602"</f>
        <v>18:16:48.602</v>
      </c>
      <c r="C151" t="str">
        <f>"18:16:48.402"</f>
        <v>18:16:48.402</v>
      </c>
      <c r="D151" t="s">
        <v>68</v>
      </c>
      <c r="E151">
        <v>30.380223000000001</v>
      </c>
      <c r="F151" t="s">
        <v>69</v>
      </c>
      <c r="G151">
        <v>-89.813941</v>
      </c>
      <c r="H151">
        <v>1200</v>
      </c>
      <c r="I151">
        <v>61</v>
      </c>
      <c r="J151">
        <v>86</v>
      </c>
      <c r="K151">
        <v>1408</v>
      </c>
      <c r="L151">
        <v>1200</v>
      </c>
      <c r="M151" t="str">
        <f t="shared" si="6"/>
        <v xml:space="preserve">N35DC   </v>
      </c>
      <c r="N151">
        <v>1</v>
      </c>
      <c r="O151">
        <v>1200</v>
      </c>
    </row>
    <row r="152" spans="1:15" x14ac:dyDescent="0.25">
      <c r="A152" t="str">
        <f>"10/21/2020 18:16:43.891"</f>
        <v>10/21/2020 18:16:43.891</v>
      </c>
      <c r="B152" t="str">
        <f>"18:16:51.812"</f>
        <v>18:16:51.812</v>
      </c>
      <c r="C152" t="str">
        <f>"18:16:51.712"</f>
        <v>18:16:51.712</v>
      </c>
      <c r="D152" t="s">
        <v>70</v>
      </c>
      <c r="E152">
        <v>30.381532</v>
      </c>
      <c r="F152" t="s">
        <v>71</v>
      </c>
      <c r="G152">
        <v>-89.812911</v>
      </c>
      <c r="H152">
        <v>1200</v>
      </c>
      <c r="I152">
        <v>61</v>
      </c>
      <c r="J152">
        <v>85</v>
      </c>
      <c r="K152">
        <v>1280</v>
      </c>
      <c r="L152">
        <v>1200</v>
      </c>
      <c r="M152" t="str">
        <f t="shared" si="6"/>
        <v xml:space="preserve">N35DC   </v>
      </c>
      <c r="N152">
        <v>1</v>
      </c>
      <c r="O152">
        <v>1275</v>
      </c>
    </row>
    <row r="153" spans="1:15" x14ac:dyDescent="0.25">
      <c r="A153" t="str">
        <f>"10/21/2020 18:16:43.891"</f>
        <v>10/21/2020 18:16:43.891</v>
      </c>
      <c r="B153" t="str">
        <f>"18:16:51.812"</f>
        <v>18:16:51.812</v>
      </c>
      <c r="C153" t="str">
        <f>"18:16:51.712"</f>
        <v>18:16:51.712</v>
      </c>
      <c r="D153" t="s">
        <v>70</v>
      </c>
      <c r="E153">
        <v>30.381532</v>
      </c>
      <c r="F153" t="s">
        <v>71</v>
      </c>
      <c r="G153">
        <v>-89.812911</v>
      </c>
      <c r="H153">
        <v>1200</v>
      </c>
      <c r="I153">
        <v>61</v>
      </c>
      <c r="J153">
        <v>85</v>
      </c>
      <c r="K153">
        <v>1280</v>
      </c>
      <c r="L153">
        <v>1200</v>
      </c>
      <c r="M153" t="str">
        <f t="shared" si="6"/>
        <v xml:space="preserve">N35DC   </v>
      </c>
      <c r="N153">
        <v>1</v>
      </c>
      <c r="O153">
        <v>1275</v>
      </c>
    </row>
    <row r="154" spans="1:15" x14ac:dyDescent="0.25">
      <c r="A154" t="str">
        <f>"10/21/2020 18:16:43.891"</f>
        <v>10/21/2020 18:16:43.891</v>
      </c>
      <c r="B154" t="str">
        <f>"18:16:51.812"</f>
        <v>18:16:51.812</v>
      </c>
      <c r="C154" t="str">
        <f>"18:16:51.712"</f>
        <v>18:16:51.712</v>
      </c>
      <c r="D154" t="s">
        <v>70</v>
      </c>
      <c r="E154">
        <v>30.381532</v>
      </c>
      <c r="F154" t="s">
        <v>71</v>
      </c>
      <c r="G154">
        <v>-89.812911</v>
      </c>
      <c r="H154">
        <v>1200</v>
      </c>
      <c r="I154">
        <v>61</v>
      </c>
      <c r="J154">
        <v>85</v>
      </c>
      <c r="K154">
        <v>1280</v>
      </c>
      <c r="L154">
        <v>1200</v>
      </c>
      <c r="M154" t="str">
        <f t="shared" si="6"/>
        <v xml:space="preserve">N35DC   </v>
      </c>
      <c r="N154">
        <v>1</v>
      </c>
      <c r="O154">
        <v>1275</v>
      </c>
    </row>
    <row r="155" spans="1:15" x14ac:dyDescent="0.25">
      <c r="A155" t="str">
        <f>"10/21/2020 18:16:43.891"</f>
        <v>10/21/2020 18:16:43.891</v>
      </c>
      <c r="B155" t="str">
        <f>"18:16:51.812"</f>
        <v>18:16:51.812</v>
      </c>
      <c r="C155" t="str">
        <f>"18:16:51.712"</f>
        <v>18:16:51.712</v>
      </c>
      <c r="D155" t="s">
        <v>70</v>
      </c>
      <c r="E155">
        <v>30.381532</v>
      </c>
      <c r="F155" t="s">
        <v>71</v>
      </c>
      <c r="G155">
        <v>-89.812911</v>
      </c>
      <c r="H155">
        <v>1200</v>
      </c>
      <c r="I155">
        <v>61</v>
      </c>
      <c r="J155">
        <v>85</v>
      </c>
      <c r="K155">
        <v>1280</v>
      </c>
      <c r="L155">
        <v>1200</v>
      </c>
      <c r="M155" t="str">
        <f t="shared" si="6"/>
        <v xml:space="preserve">N35DC   </v>
      </c>
      <c r="N155">
        <v>1</v>
      </c>
      <c r="O155">
        <v>1275</v>
      </c>
    </row>
    <row r="156" spans="1:15" x14ac:dyDescent="0.25">
      <c r="A156" t="str">
        <f>"10/21/2020 18:16:43.891"</f>
        <v>10/21/2020 18:16:43.891</v>
      </c>
      <c r="B156" t="str">
        <f>"18:16:51.812"</f>
        <v>18:16:51.812</v>
      </c>
      <c r="C156" t="str">
        <f>"18:16:51.712"</f>
        <v>18:16:51.712</v>
      </c>
      <c r="D156" t="s">
        <v>70</v>
      </c>
      <c r="E156">
        <v>30.381532</v>
      </c>
      <c r="F156" t="s">
        <v>71</v>
      </c>
      <c r="G156">
        <v>-89.812911</v>
      </c>
      <c r="H156">
        <v>1200</v>
      </c>
      <c r="I156">
        <v>61</v>
      </c>
      <c r="J156">
        <v>85</v>
      </c>
      <c r="K156">
        <v>1280</v>
      </c>
      <c r="L156">
        <v>1200</v>
      </c>
      <c r="M156" t="str">
        <f t="shared" si="6"/>
        <v xml:space="preserve">N35DC   </v>
      </c>
      <c r="N156">
        <v>1</v>
      </c>
      <c r="O156">
        <v>1275</v>
      </c>
    </row>
    <row r="157" spans="1:15" x14ac:dyDescent="0.25">
      <c r="A157" t="str">
        <f>"10/21/2020 18:16:44.848"</f>
        <v>10/21/2020 18:16:44.848</v>
      </c>
      <c r="B157" t="str">
        <f>"18:16:52.789"</f>
        <v>18:16:52.789</v>
      </c>
      <c r="C157" t="str">
        <f>"18:16:52.389"</f>
        <v>18:16:52.389</v>
      </c>
      <c r="D157" t="s">
        <v>72</v>
      </c>
      <c r="E157">
        <v>30.381875000000001</v>
      </c>
      <c r="F157" t="s">
        <v>73</v>
      </c>
      <c r="G157">
        <v>-89.812523999999996</v>
      </c>
      <c r="H157">
        <v>1200</v>
      </c>
      <c r="I157">
        <v>62</v>
      </c>
      <c r="J157">
        <v>84</v>
      </c>
      <c r="K157">
        <v>1152</v>
      </c>
      <c r="L157">
        <v>1200</v>
      </c>
      <c r="M157" t="str">
        <f t="shared" si="6"/>
        <v xml:space="preserve">N35DC   </v>
      </c>
      <c r="N157">
        <v>1</v>
      </c>
      <c r="O157">
        <v>1275</v>
      </c>
    </row>
    <row r="158" spans="1:15" x14ac:dyDescent="0.25">
      <c r="A158" t="str">
        <f>"10/21/2020 18:16:44.848"</f>
        <v>10/21/2020 18:16:44.848</v>
      </c>
      <c r="B158" t="str">
        <f>"18:16:52.789"</f>
        <v>18:16:52.789</v>
      </c>
      <c r="C158" t="str">
        <f>"18:16:52.389"</f>
        <v>18:16:52.389</v>
      </c>
      <c r="D158" t="s">
        <v>72</v>
      </c>
      <c r="E158">
        <v>30.381875000000001</v>
      </c>
      <c r="F158" t="s">
        <v>73</v>
      </c>
      <c r="G158">
        <v>-89.812523999999996</v>
      </c>
      <c r="H158">
        <v>1200</v>
      </c>
      <c r="I158">
        <v>62</v>
      </c>
      <c r="J158">
        <v>84</v>
      </c>
      <c r="K158">
        <v>1152</v>
      </c>
      <c r="L158">
        <v>1200</v>
      </c>
      <c r="M158" t="str">
        <f t="shared" si="6"/>
        <v xml:space="preserve">N35DC   </v>
      </c>
      <c r="N158">
        <v>1</v>
      </c>
      <c r="O158">
        <v>1275</v>
      </c>
    </row>
    <row r="159" spans="1:15" x14ac:dyDescent="0.25">
      <c r="A159" t="str">
        <f>"10/21/2020 18:16:44.848"</f>
        <v>10/21/2020 18:16:44.848</v>
      </c>
      <c r="B159" t="str">
        <f>"18:16:52.789"</f>
        <v>18:16:52.789</v>
      </c>
      <c r="C159" t="str">
        <f>"18:16:52.389"</f>
        <v>18:16:52.389</v>
      </c>
      <c r="D159" t="s">
        <v>72</v>
      </c>
      <c r="E159">
        <v>30.381875000000001</v>
      </c>
      <c r="F159" t="s">
        <v>73</v>
      </c>
      <c r="G159">
        <v>-89.812523999999996</v>
      </c>
      <c r="H159">
        <v>1200</v>
      </c>
      <c r="I159">
        <v>62</v>
      </c>
      <c r="J159">
        <v>84</v>
      </c>
      <c r="K159">
        <v>1152</v>
      </c>
      <c r="L159">
        <v>1200</v>
      </c>
      <c r="M159" t="str">
        <f t="shared" si="6"/>
        <v xml:space="preserve">N35DC   </v>
      </c>
      <c r="N159">
        <v>1</v>
      </c>
      <c r="O159">
        <v>1275</v>
      </c>
    </row>
    <row r="160" spans="1:15" x14ac:dyDescent="0.25">
      <c r="A160" t="str">
        <f>"10/21/2020 18:16:44.848"</f>
        <v>10/21/2020 18:16:44.848</v>
      </c>
      <c r="B160" t="str">
        <f>"18:16:52.789"</f>
        <v>18:16:52.789</v>
      </c>
      <c r="C160" t="str">
        <f>"18:16:52.389"</f>
        <v>18:16:52.389</v>
      </c>
      <c r="D160" t="s">
        <v>72</v>
      </c>
      <c r="E160">
        <v>30.381875000000001</v>
      </c>
      <c r="F160" t="s">
        <v>73</v>
      </c>
      <c r="G160">
        <v>-89.812523999999996</v>
      </c>
      <c r="H160">
        <v>1200</v>
      </c>
      <c r="I160">
        <v>62</v>
      </c>
      <c r="J160">
        <v>84</v>
      </c>
      <c r="K160">
        <v>1152</v>
      </c>
      <c r="L160">
        <v>1200</v>
      </c>
      <c r="M160" t="str">
        <f t="shared" si="6"/>
        <v xml:space="preserve">N35DC   </v>
      </c>
      <c r="N160">
        <v>1</v>
      </c>
      <c r="O160">
        <v>1275</v>
      </c>
    </row>
    <row r="161" spans="1:15" x14ac:dyDescent="0.25">
      <c r="A161" t="str">
        <f>"10/21/2020 18:16:44.848"</f>
        <v>10/21/2020 18:16:44.848</v>
      </c>
      <c r="B161" t="str">
        <f>"18:16:52.789"</f>
        <v>18:16:52.789</v>
      </c>
      <c r="C161" t="str">
        <f>"18:16:52.389"</f>
        <v>18:16:52.389</v>
      </c>
      <c r="D161" t="s">
        <v>72</v>
      </c>
      <c r="E161">
        <v>30.381875000000001</v>
      </c>
      <c r="F161" t="s">
        <v>73</v>
      </c>
      <c r="G161">
        <v>-89.812523999999996</v>
      </c>
      <c r="H161">
        <v>1200</v>
      </c>
      <c r="I161">
        <v>62</v>
      </c>
      <c r="J161">
        <v>84</v>
      </c>
      <c r="K161">
        <v>1152</v>
      </c>
      <c r="L161">
        <v>1200</v>
      </c>
      <c r="M161" t="str">
        <f t="shared" si="6"/>
        <v xml:space="preserve">N35DC   </v>
      </c>
      <c r="N161">
        <v>1</v>
      </c>
      <c r="O161">
        <v>1275</v>
      </c>
    </row>
    <row r="162" spans="1:15" x14ac:dyDescent="0.25">
      <c r="A162" t="str">
        <f>"10/21/2020 18:16:45.806"</f>
        <v>10/21/2020 18:16:45.806</v>
      </c>
      <c r="B162" t="str">
        <f>"18:16:53.734"</f>
        <v>18:16:53.734</v>
      </c>
      <c r="C162" t="str">
        <f>"18:16:53.334"</f>
        <v>18:16:53.334</v>
      </c>
      <c r="D162" t="s">
        <v>74</v>
      </c>
      <c r="E162">
        <v>30.382239999999999</v>
      </c>
      <c r="F162" t="s">
        <v>75</v>
      </c>
      <c r="G162">
        <v>-89.812267000000006</v>
      </c>
      <c r="H162">
        <v>1300</v>
      </c>
      <c r="I162">
        <v>63</v>
      </c>
      <c r="J162">
        <v>84</v>
      </c>
      <c r="K162">
        <v>960</v>
      </c>
      <c r="L162">
        <v>1200</v>
      </c>
      <c r="M162" t="str">
        <f t="shared" si="6"/>
        <v xml:space="preserve">N35DC   </v>
      </c>
      <c r="N162">
        <v>1</v>
      </c>
      <c r="O162">
        <v>1200</v>
      </c>
    </row>
    <row r="163" spans="1:15" x14ac:dyDescent="0.25">
      <c r="A163" t="str">
        <f>"10/21/2020 18:16:45.806"</f>
        <v>10/21/2020 18:16:45.806</v>
      </c>
      <c r="B163" t="str">
        <f>"18:16:53.734"</f>
        <v>18:16:53.734</v>
      </c>
      <c r="C163" t="str">
        <f>"18:16:53.334"</f>
        <v>18:16:53.334</v>
      </c>
      <c r="D163" t="s">
        <v>74</v>
      </c>
      <c r="E163">
        <v>30.382239999999999</v>
      </c>
      <c r="F163" t="s">
        <v>75</v>
      </c>
      <c r="G163">
        <v>-89.812267000000006</v>
      </c>
      <c r="H163">
        <v>1300</v>
      </c>
      <c r="I163">
        <v>63</v>
      </c>
      <c r="J163">
        <v>84</v>
      </c>
      <c r="K163">
        <v>960</v>
      </c>
      <c r="L163">
        <v>1200</v>
      </c>
      <c r="M163" t="str">
        <f t="shared" si="6"/>
        <v xml:space="preserve">N35DC   </v>
      </c>
      <c r="N163">
        <v>1</v>
      </c>
      <c r="O163">
        <v>1200</v>
      </c>
    </row>
    <row r="164" spans="1:15" x14ac:dyDescent="0.25">
      <c r="A164" t="str">
        <f>"10/21/2020 18:16:45.806"</f>
        <v>10/21/2020 18:16:45.806</v>
      </c>
      <c r="B164" t="str">
        <f>"18:16:53.734"</f>
        <v>18:16:53.734</v>
      </c>
      <c r="C164" t="str">
        <f>"18:16:53.334"</f>
        <v>18:16:53.334</v>
      </c>
      <c r="D164" t="s">
        <v>74</v>
      </c>
      <c r="E164">
        <v>30.382239999999999</v>
      </c>
      <c r="F164" t="s">
        <v>75</v>
      </c>
      <c r="G164">
        <v>-89.812267000000006</v>
      </c>
      <c r="H164">
        <v>1300</v>
      </c>
      <c r="I164">
        <v>63</v>
      </c>
      <c r="J164">
        <v>84</v>
      </c>
      <c r="K164">
        <v>960</v>
      </c>
      <c r="L164">
        <v>1200</v>
      </c>
      <c r="M164" t="str">
        <f t="shared" si="6"/>
        <v xml:space="preserve">N35DC   </v>
      </c>
      <c r="N164">
        <v>1</v>
      </c>
      <c r="O164">
        <v>1200</v>
      </c>
    </row>
    <row r="165" spans="1:15" x14ac:dyDescent="0.25">
      <c r="A165" t="str">
        <f>"10/21/2020 18:16:45.806"</f>
        <v>10/21/2020 18:16:45.806</v>
      </c>
      <c r="B165" t="str">
        <f>"18:16:53.734"</f>
        <v>18:16:53.734</v>
      </c>
      <c r="C165" t="str">
        <f>"18:16:53.334"</f>
        <v>18:16:53.334</v>
      </c>
      <c r="D165" t="s">
        <v>74</v>
      </c>
      <c r="E165">
        <v>30.382239999999999</v>
      </c>
      <c r="F165" t="s">
        <v>75</v>
      </c>
      <c r="G165">
        <v>-89.812267000000006</v>
      </c>
      <c r="H165">
        <v>1300</v>
      </c>
      <c r="I165">
        <v>63</v>
      </c>
      <c r="J165">
        <v>84</v>
      </c>
      <c r="K165">
        <v>960</v>
      </c>
      <c r="L165">
        <v>1200</v>
      </c>
      <c r="M165" t="str">
        <f t="shared" si="6"/>
        <v xml:space="preserve">N35DC   </v>
      </c>
      <c r="N165">
        <v>1</v>
      </c>
      <c r="O165">
        <v>1200</v>
      </c>
    </row>
    <row r="166" spans="1:15" x14ac:dyDescent="0.25">
      <c r="A166" t="str">
        <f>"10/21/2020 18:16:45.806"</f>
        <v>10/21/2020 18:16:45.806</v>
      </c>
      <c r="B166" t="str">
        <f>"18:16:53.734"</f>
        <v>18:16:53.734</v>
      </c>
      <c r="C166" t="str">
        <f>"18:16:53.334"</f>
        <v>18:16:53.334</v>
      </c>
      <c r="D166" t="s">
        <v>74</v>
      </c>
      <c r="E166">
        <v>30.382239999999999</v>
      </c>
      <c r="F166" t="s">
        <v>75</v>
      </c>
      <c r="G166">
        <v>-89.812267000000006</v>
      </c>
      <c r="H166">
        <v>1300</v>
      </c>
      <c r="I166">
        <v>63</v>
      </c>
      <c r="J166">
        <v>84</v>
      </c>
      <c r="K166">
        <v>960</v>
      </c>
      <c r="L166">
        <v>1200</v>
      </c>
      <c r="M166" t="str">
        <f t="shared" si="6"/>
        <v xml:space="preserve">N35DC   </v>
      </c>
      <c r="N166">
        <v>1</v>
      </c>
      <c r="O166">
        <v>1200</v>
      </c>
    </row>
    <row r="167" spans="1:15" x14ac:dyDescent="0.25">
      <c r="A167" t="str">
        <f>"10/21/2020 18:16:48.605"</f>
        <v>10/21/2020 18:16:48.605</v>
      </c>
      <c r="B167" t="str">
        <f>"18:16:56.555"</f>
        <v>18:16:56.555</v>
      </c>
      <c r="C167" t="str">
        <f>"18:16:56.455"</f>
        <v>18:16:56.455</v>
      </c>
      <c r="D167" t="s">
        <v>76</v>
      </c>
      <c r="E167">
        <v>30.383334000000001</v>
      </c>
      <c r="F167" t="s">
        <v>77</v>
      </c>
      <c r="G167">
        <v>-89.811301</v>
      </c>
      <c r="H167">
        <v>1300</v>
      </c>
      <c r="I167">
        <v>66</v>
      </c>
      <c r="J167">
        <v>85</v>
      </c>
      <c r="K167">
        <v>640</v>
      </c>
      <c r="L167">
        <v>1200</v>
      </c>
      <c r="M167" t="str">
        <f t="shared" si="6"/>
        <v xml:space="preserve">N35DC   </v>
      </c>
      <c r="N167">
        <v>1</v>
      </c>
      <c r="O167">
        <v>1350</v>
      </c>
    </row>
    <row r="168" spans="1:15" x14ac:dyDescent="0.25">
      <c r="A168" t="str">
        <f>"10/21/2020 18:16:48.605"</f>
        <v>10/21/2020 18:16:48.605</v>
      </c>
      <c r="B168" t="str">
        <f>"18:16:56.555"</f>
        <v>18:16:56.555</v>
      </c>
      <c r="C168" t="str">
        <f>"18:16:56.455"</f>
        <v>18:16:56.455</v>
      </c>
      <c r="D168" t="s">
        <v>76</v>
      </c>
      <c r="E168">
        <v>30.383334000000001</v>
      </c>
      <c r="F168" t="s">
        <v>77</v>
      </c>
      <c r="G168">
        <v>-89.811301</v>
      </c>
      <c r="H168">
        <v>1300</v>
      </c>
      <c r="I168">
        <v>66</v>
      </c>
      <c r="J168">
        <v>85</v>
      </c>
      <c r="K168">
        <v>640</v>
      </c>
      <c r="L168">
        <v>1200</v>
      </c>
      <c r="M168" t="str">
        <f t="shared" si="6"/>
        <v xml:space="preserve">N35DC   </v>
      </c>
      <c r="N168">
        <v>1</v>
      </c>
      <c r="O168">
        <v>1350</v>
      </c>
    </row>
    <row r="169" spans="1:15" x14ac:dyDescent="0.25">
      <c r="A169" t="str">
        <f>"10/21/2020 18:16:48.605"</f>
        <v>10/21/2020 18:16:48.605</v>
      </c>
      <c r="B169" t="str">
        <f>"18:16:56.555"</f>
        <v>18:16:56.555</v>
      </c>
      <c r="C169" t="str">
        <f>"18:16:56.455"</f>
        <v>18:16:56.455</v>
      </c>
      <c r="D169" t="s">
        <v>76</v>
      </c>
      <c r="E169">
        <v>30.383334000000001</v>
      </c>
      <c r="F169" t="s">
        <v>77</v>
      </c>
      <c r="G169">
        <v>-89.811301</v>
      </c>
      <c r="H169">
        <v>1300</v>
      </c>
      <c r="I169">
        <v>66</v>
      </c>
      <c r="J169">
        <v>85</v>
      </c>
      <c r="K169">
        <v>640</v>
      </c>
      <c r="L169">
        <v>1200</v>
      </c>
      <c r="M169" t="str">
        <f t="shared" si="6"/>
        <v xml:space="preserve">N35DC   </v>
      </c>
      <c r="N169">
        <v>1</v>
      </c>
      <c r="O169">
        <v>1350</v>
      </c>
    </row>
    <row r="170" spans="1:15" x14ac:dyDescent="0.25">
      <c r="A170" t="str">
        <f>"10/21/2020 18:16:48.605"</f>
        <v>10/21/2020 18:16:48.605</v>
      </c>
      <c r="B170" t="str">
        <f>"18:16:56.555"</f>
        <v>18:16:56.555</v>
      </c>
      <c r="C170" t="str">
        <f>"18:16:56.455"</f>
        <v>18:16:56.455</v>
      </c>
      <c r="D170" t="s">
        <v>76</v>
      </c>
      <c r="E170">
        <v>30.383334000000001</v>
      </c>
      <c r="F170" t="s">
        <v>77</v>
      </c>
      <c r="G170">
        <v>-89.811301</v>
      </c>
      <c r="H170">
        <v>1300</v>
      </c>
      <c r="I170">
        <v>66</v>
      </c>
      <c r="J170">
        <v>85</v>
      </c>
      <c r="K170">
        <v>640</v>
      </c>
      <c r="L170">
        <v>1200</v>
      </c>
      <c r="M170" t="str">
        <f t="shared" si="6"/>
        <v xml:space="preserve">N35DC   </v>
      </c>
      <c r="N170">
        <v>1</v>
      </c>
      <c r="O170">
        <v>1350</v>
      </c>
    </row>
    <row r="171" spans="1:15" x14ac:dyDescent="0.25">
      <c r="A171" t="str">
        <f>"10/21/2020 18:16:48.605"</f>
        <v>10/21/2020 18:16:48.605</v>
      </c>
      <c r="B171" t="str">
        <f>"18:16:56.555"</f>
        <v>18:16:56.555</v>
      </c>
      <c r="C171" t="str">
        <f>"18:16:56.455"</f>
        <v>18:16:56.455</v>
      </c>
      <c r="D171" t="s">
        <v>76</v>
      </c>
      <c r="E171">
        <v>30.383334000000001</v>
      </c>
      <c r="F171" t="s">
        <v>77</v>
      </c>
      <c r="G171">
        <v>-89.811301</v>
      </c>
      <c r="H171">
        <v>1300</v>
      </c>
      <c r="I171">
        <v>66</v>
      </c>
      <c r="J171">
        <v>85</v>
      </c>
      <c r="K171">
        <v>640</v>
      </c>
      <c r="L171">
        <v>1200</v>
      </c>
      <c r="M171" t="str">
        <f t="shared" si="6"/>
        <v xml:space="preserve">N35DC   </v>
      </c>
      <c r="N171">
        <v>1</v>
      </c>
      <c r="O171">
        <v>1350</v>
      </c>
    </row>
    <row r="172" spans="1:15" x14ac:dyDescent="0.25">
      <c r="A172" t="str">
        <f>"10/21/2020 18:16:49.686"</f>
        <v>10/21/2020 18:16:49.686</v>
      </c>
      <c r="B172" t="str">
        <f>"18:16:57.617"</f>
        <v>18:16:57.617</v>
      </c>
      <c r="C172" t="str">
        <f>"18:16:57.517"</f>
        <v>18:16:57.517</v>
      </c>
      <c r="D172" t="s">
        <v>78</v>
      </c>
      <c r="E172">
        <v>30.383742000000002</v>
      </c>
      <c r="F172" t="s">
        <v>79</v>
      </c>
      <c r="G172">
        <v>-89.810872000000003</v>
      </c>
      <c r="H172">
        <v>1300</v>
      </c>
      <c r="I172">
        <v>67</v>
      </c>
      <c r="J172">
        <v>85</v>
      </c>
      <c r="K172">
        <v>640</v>
      </c>
      <c r="L172">
        <v>1200</v>
      </c>
      <c r="M172" t="str">
        <f t="shared" si="6"/>
        <v xml:space="preserve">N35DC   </v>
      </c>
      <c r="N172">
        <v>1</v>
      </c>
      <c r="O172">
        <v>1350</v>
      </c>
    </row>
    <row r="173" spans="1:15" x14ac:dyDescent="0.25">
      <c r="A173" t="str">
        <f>"10/21/2020 18:16:49.686"</f>
        <v>10/21/2020 18:16:49.686</v>
      </c>
      <c r="B173" t="str">
        <f>"18:16:57.617"</f>
        <v>18:16:57.617</v>
      </c>
      <c r="C173" t="str">
        <f>"18:16:57.517"</f>
        <v>18:16:57.517</v>
      </c>
      <c r="D173" t="s">
        <v>78</v>
      </c>
      <c r="E173">
        <v>30.383742000000002</v>
      </c>
      <c r="F173" t="s">
        <v>79</v>
      </c>
      <c r="G173">
        <v>-89.810872000000003</v>
      </c>
      <c r="H173">
        <v>1300</v>
      </c>
      <c r="I173">
        <v>67</v>
      </c>
      <c r="J173">
        <v>85</v>
      </c>
      <c r="K173">
        <v>640</v>
      </c>
      <c r="L173">
        <v>1200</v>
      </c>
      <c r="M173" t="str">
        <f t="shared" si="6"/>
        <v xml:space="preserve">N35DC   </v>
      </c>
      <c r="N173">
        <v>1</v>
      </c>
      <c r="O173">
        <v>1350</v>
      </c>
    </row>
    <row r="174" spans="1:15" x14ac:dyDescent="0.25">
      <c r="A174" t="str">
        <f>"10/21/2020 18:16:49.686"</f>
        <v>10/21/2020 18:16:49.686</v>
      </c>
      <c r="B174" t="str">
        <f>"18:16:57.617"</f>
        <v>18:16:57.617</v>
      </c>
      <c r="C174" t="str">
        <f>"18:16:57.517"</f>
        <v>18:16:57.517</v>
      </c>
      <c r="D174" t="s">
        <v>78</v>
      </c>
      <c r="E174">
        <v>30.383742000000002</v>
      </c>
      <c r="F174" t="s">
        <v>79</v>
      </c>
      <c r="G174">
        <v>-89.810872000000003</v>
      </c>
      <c r="H174">
        <v>1300</v>
      </c>
      <c r="I174">
        <v>67</v>
      </c>
      <c r="J174">
        <v>85</v>
      </c>
      <c r="K174">
        <v>640</v>
      </c>
      <c r="L174">
        <v>1200</v>
      </c>
      <c r="M174" t="str">
        <f t="shared" si="6"/>
        <v xml:space="preserve">N35DC   </v>
      </c>
      <c r="N174">
        <v>1</v>
      </c>
      <c r="O174">
        <v>1350</v>
      </c>
    </row>
    <row r="175" spans="1:15" x14ac:dyDescent="0.25">
      <c r="A175" t="str">
        <f>"10/21/2020 18:16:49.686"</f>
        <v>10/21/2020 18:16:49.686</v>
      </c>
      <c r="B175" t="str">
        <f>"18:16:57.617"</f>
        <v>18:16:57.617</v>
      </c>
      <c r="C175" t="str">
        <f>"18:16:57.517"</f>
        <v>18:16:57.517</v>
      </c>
      <c r="D175" t="s">
        <v>78</v>
      </c>
      <c r="E175">
        <v>30.383742000000002</v>
      </c>
      <c r="F175" t="s">
        <v>79</v>
      </c>
      <c r="G175">
        <v>-89.810872000000003</v>
      </c>
      <c r="H175">
        <v>1300</v>
      </c>
      <c r="I175">
        <v>67</v>
      </c>
      <c r="J175">
        <v>85</v>
      </c>
      <c r="K175">
        <v>640</v>
      </c>
      <c r="L175">
        <v>1200</v>
      </c>
      <c r="M175" t="str">
        <f t="shared" si="6"/>
        <v xml:space="preserve">N35DC   </v>
      </c>
      <c r="N175">
        <v>1</v>
      </c>
      <c r="O175">
        <v>1350</v>
      </c>
    </row>
    <row r="176" spans="1:15" x14ac:dyDescent="0.25">
      <c r="A176" t="str">
        <f>"10/21/2020 18:16:49.686"</f>
        <v>10/21/2020 18:16:49.686</v>
      </c>
      <c r="B176" t="str">
        <f>"18:16:57.617"</f>
        <v>18:16:57.617</v>
      </c>
      <c r="C176" t="str">
        <f>"18:16:57.517"</f>
        <v>18:16:57.517</v>
      </c>
      <c r="D176" t="s">
        <v>78</v>
      </c>
      <c r="E176">
        <v>30.383742000000002</v>
      </c>
      <c r="F176" t="s">
        <v>79</v>
      </c>
      <c r="G176">
        <v>-89.810872000000003</v>
      </c>
      <c r="H176">
        <v>1300</v>
      </c>
      <c r="I176">
        <v>67</v>
      </c>
      <c r="J176">
        <v>85</v>
      </c>
      <c r="K176">
        <v>640</v>
      </c>
      <c r="L176">
        <v>1200</v>
      </c>
      <c r="M176" t="str">
        <f t="shared" si="6"/>
        <v xml:space="preserve">N35DC   </v>
      </c>
      <c r="N176">
        <v>1</v>
      </c>
      <c r="O176">
        <v>1350</v>
      </c>
    </row>
    <row r="177" spans="1:15" x14ac:dyDescent="0.25">
      <c r="A177" t="str">
        <f>"10/21/2020 18:16:50.729"</f>
        <v>10/21/2020 18:16:50.729</v>
      </c>
      <c r="B177" t="str">
        <f>"18:16:58.672"</f>
        <v>18:16:58.672</v>
      </c>
      <c r="C177" t="str">
        <f>"18:16:58.472"</f>
        <v>18:16:58.472</v>
      </c>
      <c r="D177" t="s">
        <v>80</v>
      </c>
      <c r="E177">
        <v>30.384170999999998</v>
      </c>
      <c r="F177" t="s">
        <v>81</v>
      </c>
      <c r="G177">
        <v>-89.810485999999997</v>
      </c>
      <c r="H177">
        <v>1300</v>
      </c>
      <c r="I177">
        <v>68</v>
      </c>
      <c r="J177">
        <v>84</v>
      </c>
      <c r="K177">
        <v>640</v>
      </c>
      <c r="L177">
        <v>1200</v>
      </c>
      <c r="M177" t="str">
        <f t="shared" si="6"/>
        <v xml:space="preserve">N35DC   </v>
      </c>
      <c r="N177">
        <v>1</v>
      </c>
      <c r="O177">
        <v>1350</v>
      </c>
    </row>
    <row r="178" spans="1:15" x14ac:dyDescent="0.25">
      <c r="A178" t="str">
        <f>"10/21/2020 18:16:50.729"</f>
        <v>10/21/2020 18:16:50.729</v>
      </c>
      <c r="B178" t="str">
        <f>"18:16:58.672"</f>
        <v>18:16:58.672</v>
      </c>
      <c r="C178" t="str">
        <f>"18:16:58.472"</f>
        <v>18:16:58.472</v>
      </c>
      <c r="D178" t="s">
        <v>80</v>
      </c>
      <c r="E178">
        <v>30.384170999999998</v>
      </c>
      <c r="F178" t="s">
        <v>81</v>
      </c>
      <c r="G178">
        <v>-89.810485999999997</v>
      </c>
      <c r="H178">
        <v>1300</v>
      </c>
      <c r="I178">
        <v>68</v>
      </c>
      <c r="J178">
        <v>84</v>
      </c>
      <c r="K178">
        <v>640</v>
      </c>
      <c r="L178">
        <v>1200</v>
      </c>
      <c r="M178" t="str">
        <f t="shared" si="6"/>
        <v xml:space="preserve">N35DC   </v>
      </c>
      <c r="N178">
        <v>1</v>
      </c>
      <c r="O178">
        <v>1350</v>
      </c>
    </row>
    <row r="179" spans="1:15" x14ac:dyDescent="0.25">
      <c r="A179" t="str">
        <f>"10/21/2020 18:16:50.729"</f>
        <v>10/21/2020 18:16:50.729</v>
      </c>
      <c r="B179" t="str">
        <f>"18:16:58.672"</f>
        <v>18:16:58.672</v>
      </c>
      <c r="C179" t="str">
        <f>"18:16:58.472"</f>
        <v>18:16:58.472</v>
      </c>
      <c r="D179" t="s">
        <v>80</v>
      </c>
      <c r="E179">
        <v>30.384170999999998</v>
      </c>
      <c r="F179" t="s">
        <v>81</v>
      </c>
      <c r="G179">
        <v>-89.810485999999997</v>
      </c>
      <c r="H179">
        <v>1300</v>
      </c>
      <c r="I179">
        <v>68</v>
      </c>
      <c r="J179">
        <v>84</v>
      </c>
      <c r="K179">
        <v>640</v>
      </c>
      <c r="L179">
        <v>1200</v>
      </c>
      <c r="M179" t="str">
        <f t="shared" si="6"/>
        <v xml:space="preserve">N35DC   </v>
      </c>
      <c r="N179">
        <v>1</v>
      </c>
      <c r="O179">
        <v>1350</v>
      </c>
    </row>
    <row r="180" spans="1:15" x14ac:dyDescent="0.25">
      <c r="A180" t="str">
        <f>"10/21/2020 18:16:50.729"</f>
        <v>10/21/2020 18:16:50.729</v>
      </c>
      <c r="B180" t="str">
        <f>"18:16:58.672"</f>
        <v>18:16:58.672</v>
      </c>
      <c r="C180" t="str">
        <f>"18:16:58.472"</f>
        <v>18:16:58.472</v>
      </c>
      <c r="D180" t="s">
        <v>80</v>
      </c>
      <c r="E180">
        <v>30.384170999999998</v>
      </c>
      <c r="F180" t="s">
        <v>81</v>
      </c>
      <c r="G180">
        <v>-89.810485999999997</v>
      </c>
      <c r="H180">
        <v>1300</v>
      </c>
      <c r="I180">
        <v>68</v>
      </c>
      <c r="J180">
        <v>84</v>
      </c>
      <c r="K180">
        <v>640</v>
      </c>
      <c r="L180">
        <v>1200</v>
      </c>
      <c r="M180" t="str">
        <f t="shared" si="6"/>
        <v xml:space="preserve">N35DC   </v>
      </c>
      <c r="N180">
        <v>1</v>
      </c>
      <c r="O180">
        <v>1350</v>
      </c>
    </row>
    <row r="181" spans="1:15" x14ac:dyDescent="0.25">
      <c r="A181" t="str">
        <f>"10/21/2020 18:16:50.729"</f>
        <v>10/21/2020 18:16:50.729</v>
      </c>
      <c r="B181" t="str">
        <f>"18:16:58.672"</f>
        <v>18:16:58.672</v>
      </c>
      <c r="C181" t="str">
        <f>"18:16:58.472"</f>
        <v>18:16:58.472</v>
      </c>
      <c r="D181" t="s">
        <v>80</v>
      </c>
      <c r="E181">
        <v>30.384170999999998</v>
      </c>
      <c r="F181" t="s">
        <v>81</v>
      </c>
      <c r="G181">
        <v>-89.810485999999997</v>
      </c>
      <c r="H181">
        <v>1300</v>
      </c>
      <c r="I181">
        <v>68</v>
      </c>
      <c r="J181">
        <v>84</v>
      </c>
      <c r="K181">
        <v>640</v>
      </c>
      <c r="L181">
        <v>1200</v>
      </c>
      <c r="M181" t="str">
        <f t="shared" si="6"/>
        <v xml:space="preserve">N35DC   </v>
      </c>
      <c r="N181">
        <v>1</v>
      </c>
      <c r="O181">
        <v>1350</v>
      </c>
    </row>
    <row r="182" spans="1:15" x14ac:dyDescent="0.25">
      <c r="A182" t="str">
        <f>"10/21/2020 18:16:52.849"</f>
        <v>10/21/2020 18:16:52.849</v>
      </c>
      <c r="B182" t="str">
        <f>"18:17:00.766"</f>
        <v>18:17:00.766</v>
      </c>
      <c r="C182" t="str">
        <f>"18:17:00.366"</f>
        <v>18:17:00.366</v>
      </c>
      <c r="D182" t="s">
        <v>82</v>
      </c>
      <c r="E182">
        <v>30.384965000000001</v>
      </c>
      <c r="F182" t="s">
        <v>83</v>
      </c>
      <c r="G182">
        <v>-89.809777999999994</v>
      </c>
      <c r="H182">
        <v>1300</v>
      </c>
      <c r="I182">
        <v>70</v>
      </c>
      <c r="J182">
        <v>82</v>
      </c>
      <c r="K182">
        <v>896</v>
      </c>
      <c r="L182">
        <v>1200</v>
      </c>
      <c r="M182" t="str">
        <f t="shared" si="6"/>
        <v xml:space="preserve">N35DC   </v>
      </c>
      <c r="N182">
        <v>1</v>
      </c>
      <c r="O182">
        <v>1375</v>
      </c>
    </row>
    <row r="183" spans="1:15" x14ac:dyDescent="0.25">
      <c r="A183" t="str">
        <f>"10/21/2020 18:16:52.849"</f>
        <v>10/21/2020 18:16:52.849</v>
      </c>
      <c r="B183" t="str">
        <f>"18:17:00.766"</f>
        <v>18:17:00.766</v>
      </c>
      <c r="C183" t="str">
        <f>"18:17:00.366"</f>
        <v>18:17:00.366</v>
      </c>
      <c r="D183" t="s">
        <v>82</v>
      </c>
      <c r="E183">
        <v>30.384965000000001</v>
      </c>
      <c r="F183" t="s">
        <v>83</v>
      </c>
      <c r="G183">
        <v>-89.809777999999994</v>
      </c>
      <c r="H183">
        <v>1300</v>
      </c>
      <c r="I183">
        <v>70</v>
      </c>
      <c r="J183">
        <v>82</v>
      </c>
      <c r="K183">
        <v>896</v>
      </c>
      <c r="L183">
        <v>1200</v>
      </c>
      <c r="M183" t="str">
        <f t="shared" si="6"/>
        <v xml:space="preserve">N35DC   </v>
      </c>
      <c r="N183">
        <v>1</v>
      </c>
      <c r="O183">
        <v>1375</v>
      </c>
    </row>
    <row r="184" spans="1:15" x14ac:dyDescent="0.25">
      <c r="A184" t="str">
        <f>"10/21/2020 18:16:52.849"</f>
        <v>10/21/2020 18:16:52.849</v>
      </c>
      <c r="B184" t="str">
        <f>"18:17:00.766"</f>
        <v>18:17:00.766</v>
      </c>
      <c r="C184" t="str">
        <f>"18:17:00.366"</f>
        <v>18:17:00.366</v>
      </c>
      <c r="D184" t="s">
        <v>82</v>
      </c>
      <c r="E184">
        <v>30.384965000000001</v>
      </c>
      <c r="F184" t="s">
        <v>83</v>
      </c>
      <c r="G184">
        <v>-89.809777999999994</v>
      </c>
      <c r="H184">
        <v>1300</v>
      </c>
      <c r="I184">
        <v>70</v>
      </c>
      <c r="J184">
        <v>82</v>
      </c>
      <c r="K184">
        <v>896</v>
      </c>
      <c r="L184">
        <v>1200</v>
      </c>
      <c r="M184" t="str">
        <f t="shared" si="6"/>
        <v xml:space="preserve">N35DC   </v>
      </c>
      <c r="N184">
        <v>1</v>
      </c>
      <c r="O184">
        <v>1375</v>
      </c>
    </row>
    <row r="185" spans="1:15" x14ac:dyDescent="0.25">
      <c r="A185" t="str">
        <f>"10/21/2020 18:16:52.849"</f>
        <v>10/21/2020 18:16:52.849</v>
      </c>
      <c r="B185" t="str">
        <f>"18:17:00.766"</f>
        <v>18:17:00.766</v>
      </c>
      <c r="C185" t="str">
        <f>"18:17:00.366"</f>
        <v>18:17:00.366</v>
      </c>
      <c r="D185" t="s">
        <v>82</v>
      </c>
      <c r="E185">
        <v>30.384965000000001</v>
      </c>
      <c r="F185" t="s">
        <v>83</v>
      </c>
      <c r="G185">
        <v>-89.809777999999994</v>
      </c>
      <c r="H185">
        <v>1300</v>
      </c>
      <c r="I185">
        <v>70</v>
      </c>
      <c r="J185">
        <v>82</v>
      </c>
      <c r="K185">
        <v>896</v>
      </c>
      <c r="L185">
        <v>1200</v>
      </c>
      <c r="M185" t="str">
        <f t="shared" si="6"/>
        <v xml:space="preserve">N35DC   </v>
      </c>
      <c r="N185">
        <v>1</v>
      </c>
      <c r="O185">
        <v>1375</v>
      </c>
    </row>
    <row r="186" spans="1:15" x14ac:dyDescent="0.25">
      <c r="A186" t="str">
        <f>"10/21/2020 18:16:52.849"</f>
        <v>10/21/2020 18:16:52.849</v>
      </c>
      <c r="B186" t="str">
        <f>"18:17:00.766"</f>
        <v>18:17:00.766</v>
      </c>
      <c r="C186" t="str">
        <f>"18:17:00.366"</f>
        <v>18:17:00.366</v>
      </c>
      <c r="D186" t="s">
        <v>82</v>
      </c>
      <c r="E186">
        <v>30.384965000000001</v>
      </c>
      <c r="F186" t="s">
        <v>83</v>
      </c>
      <c r="G186">
        <v>-89.809777999999994</v>
      </c>
      <c r="H186">
        <v>1300</v>
      </c>
      <c r="I186">
        <v>70</v>
      </c>
      <c r="J186">
        <v>82</v>
      </c>
      <c r="K186">
        <v>896</v>
      </c>
      <c r="L186">
        <v>1200</v>
      </c>
      <c r="M186" t="str">
        <f t="shared" si="6"/>
        <v xml:space="preserve">N35DC   </v>
      </c>
      <c r="N186">
        <v>1</v>
      </c>
      <c r="O186">
        <v>1375</v>
      </c>
    </row>
    <row r="187" spans="1:15" x14ac:dyDescent="0.25">
      <c r="A187" t="str">
        <f>"10/21/2020 18:16:53.810"</f>
        <v>10/21/2020 18:16:53.810</v>
      </c>
      <c r="B187" t="str">
        <f>"18:17:01.742"</f>
        <v>18:17:01.742</v>
      </c>
      <c r="C187" t="str">
        <f>"18:17:01.442"</f>
        <v>18:17:01.442</v>
      </c>
      <c r="D187" t="s">
        <v>84</v>
      </c>
      <c r="E187">
        <v>30.385351</v>
      </c>
      <c r="F187" t="s">
        <v>85</v>
      </c>
      <c r="G187">
        <v>-89.809413000000006</v>
      </c>
      <c r="H187">
        <v>1300</v>
      </c>
      <c r="I187">
        <v>71</v>
      </c>
      <c r="J187">
        <v>81</v>
      </c>
      <c r="K187">
        <v>960</v>
      </c>
      <c r="L187">
        <v>1200</v>
      </c>
      <c r="M187" t="str">
        <f t="shared" si="6"/>
        <v xml:space="preserve">N35DC   </v>
      </c>
      <c r="N187">
        <v>1</v>
      </c>
      <c r="O187">
        <v>1400</v>
      </c>
    </row>
    <row r="188" spans="1:15" x14ac:dyDescent="0.25">
      <c r="A188" t="str">
        <f>"10/21/2020 18:16:53.810"</f>
        <v>10/21/2020 18:16:53.810</v>
      </c>
      <c r="B188" t="str">
        <f>"18:17:01.742"</f>
        <v>18:17:01.742</v>
      </c>
      <c r="C188" t="str">
        <f>"18:17:01.442"</f>
        <v>18:17:01.442</v>
      </c>
      <c r="D188" t="s">
        <v>84</v>
      </c>
      <c r="E188">
        <v>30.385351</v>
      </c>
      <c r="F188" t="s">
        <v>85</v>
      </c>
      <c r="G188">
        <v>-89.809413000000006</v>
      </c>
      <c r="H188">
        <v>1300</v>
      </c>
      <c r="I188">
        <v>71</v>
      </c>
      <c r="J188">
        <v>81</v>
      </c>
      <c r="K188">
        <v>960</v>
      </c>
      <c r="L188">
        <v>1200</v>
      </c>
      <c r="M188" t="str">
        <f t="shared" si="6"/>
        <v xml:space="preserve">N35DC   </v>
      </c>
      <c r="N188">
        <v>1</v>
      </c>
      <c r="O188">
        <v>1400</v>
      </c>
    </row>
    <row r="189" spans="1:15" x14ac:dyDescent="0.25">
      <c r="A189" t="str">
        <f>"10/21/2020 18:16:53.810"</f>
        <v>10/21/2020 18:16:53.810</v>
      </c>
      <c r="B189" t="str">
        <f>"18:17:01.742"</f>
        <v>18:17:01.742</v>
      </c>
      <c r="C189" t="str">
        <f>"18:17:01.442"</f>
        <v>18:17:01.442</v>
      </c>
      <c r="D189" t="s">
        <v>84</v>
      </c>
      <c r="E189">
        <v>30.385351</v>
      </c>
      <c r="F189" t="s">
        <v>85</v>
      </c>
      <c r="G189">
        <v>-89.809413000000006</v>
      </c>
      <c r="H189">
        <v>1300</v>
      </c>
      <c r="I189">
        <v>71</v>
      </c>
      <c r="J189">
        <v>81</v>
      </c>
      <c r="K189">
        <v>960</v>
      </c>
      <c r="L189">
        <v>1200</v>
      </c>
      <c r="M189" t="str">
        <f t="shared" si="6"/>
        <v xml:space="preserve">N35DC   </v>
      </c>
      <c r="N189">
        <v>1</v>
      </c>
      <c r="O189">
        <v>1400</v>
      </c>
    </row>
    <row r="190" spans="1:15" x14ac:dyDescent="0.25">
      <c r="A190" t="str">
        <f>"10/21/2020 18:16:53.810"</f>
        <v>10/21/2020 18:16:53.810</v>
      </c>
      <c r="B190" t="str">
        <f>"18:17:01.742"</f>
        <v>18:17:01.742</v>
      </c>
      <c r="C190" t="str">
        <f>"18:17:01.442"</f>
        <v>18:17:01.442</v>
      </c>
      <c r="D190" t="s">
        <v>84</v>
      </c>
      <c r="E190">
        <v>30.385351</v>
      </c>
      <c r="F190" t="s">
        <v>85</v>
      </c>
      <c r="G190">
        <v>-89.809413000000006</v>
      </c>
      <c r="H190">
        <v>1300</v>
      </c>
      <c r="I190">
        <v>71</v>
      </c>
      <c r="J190">
        <v>81</v>
      </c>
      <c r="K190">
        <v>960</v>
      </c>
      <c r="L190">
        <v>1200</v>
      </c>
      <c r="M190" t="str">
        <f t="shared" si="6"/>
        <v xml:space="preserve">N35DC   </v>
      </c>
      <c r="N190">
        <v>1</v>
      </c>
      <c r="O190">
        <v>1400</v>
      </c>
    </row>
    <row r="191" spans="1:15" x14ac:dyDescent="0.25">
      <c r="A191" t="str">
        <f>"10/21/2020 18:16:53.810"</f>
        <v>10/21/2020 18:16:53.810</v>
      </c>
      <c r="B191" t="str">
        <f>"18:17:01.742"</f>
        <v>18:17:01.742</v>
      </c>
      <c r="C191" t="str">
        <f>"18:17:01.442"</f>
        <v>18:17:01.442</v>
      </c>
      <c r="D191" t="s">
        <v>84</v>
      </c>
      <c r="E191">
        <v>30.385351</v>
      </c>
      <c r="F191" t="s">
        <v>85</v>
      </c>
      <c r="G191">
        <v>-89.809413000000006</v>
      </c>
      <c r="H191">
        <v>1300</v>
      </c>
      <c r="I191">
        <v>71</v>
      </c>
      <c r="J191">
        <v>81</v>
      </c>
      <c r="K191">
        <v>960</v>
      </c>
      <c r="L191">
        <v>1200</v>
      </c>
      <c r="M191" t="str">
        <f t="shared" si="6"/>
        <v xml:space="preserve">N35DC   </v>
      </c>
      <c r="N191">
        <v>1</v>
      </c>
      <c r="O191">
        <v>1400</v>
      </c>
    </row>
    <row r="192" spans="1:15" x14ac:dyDescent="0.25">
      <c r="A192" t="str">
        <f>"10/21/2020 18:16:54.695"</f>
        <v>10/21/2020 18:16:54.695</v>
      </c>
      <c r="B192" t="str">
        <f>"18:17:02.617"</f>
        <v>18:17:02.617</v>
      </c>
      <c r="C192" t="str">
        <f>"18:17:02.417"</f>
        <v>18:17:02.417</v>
      </c>
      <c r="D192" t="s">
        <v>86</v>
      </c>
      <c r="E192">
        <v>30.385673000000001</v>
      </c>
      <c r="F192" t="s">
        <v>87</v>
      </c>
      <c r="G192">
        <v>-89.809048000000004</v>
      </c>
      <c r="H192">
        <v>1400</v>
      </c>
      <c r="I192">
        <v>71</v>
      </c>
      <c r="J192">
        <v>81</v>
      </c>
      <c r="K192">
        <v>896</v>
      </c>
      <c r="L192">
        <v>1200</v>
      </c>
      <c r="M192" t="str">
        <f t="shared" si="6"/>
        <v xml:space="preserve">N35DC   </v>
      </c>
      <c r="N192">
        <v>1</v>
      </c>
      <c r="O192">
        <v>1325</v>
      </c>
    </row>
    <row r="193" spans="1:15" x14ac:dyDescent="0.25">
      <c r="A193" t="str">
        <f>"10/21/2020 18:16:54.695"</f>
        <v>10/21/2020 18:16:54.695</v>
      </c>
      <c r="B193" t="str">
        <f>"18:17:02.617"</f>
        <v>18:17:02.617</v>
      </c>
      <c r="C193" t="str">
        <f>"18:17:02.417"</f>
        <v>18:17:02.417</v>
      </c>
      <c r="D193" t="s">
        <v>86</v>
      </c>
      <c r="E193">
        <v>30.385673000000001</v>
      </c>
      <c r="F193" t="s">
        <v>87</v>
      </c>
      <c r="G193">
        <v>-89.809048000000004</v>
      </c>
      <c r="H193">
        <v>1400</v>
      </c>
      <c r="I193">
        <v>71</v>
      </c>
      <c r="J193">
        <v>81</v>
      </c>
      <c r="K193">
        <v>896</v>
      </c>
      <c r="L193">
        <v>1200</v>
      </c>
      <c r="M193" t="str">
        <f t="shared" si="6"/>
        <v xml:space="preserve">N35DC   </v>
      </c>
      <c r="N193">
        <v>1</v>
      </c>
      <c r="O193">
        <v>1325</v>
      </c>
    </row>
    <row r="194" spans="1:15" x14ac:dyDescent="0.25">
      <c r="A194" t="str">
        <f>"10/21/2020 18:16:54.695"</f>
        <v>10/21/2020 18:16:54.695</v>
      </c>
      <c r="B194" t="str">
        <f>"18:17:02.617"</f>
        <v>18:17:02.617</v>
      </c>
      <c r="C194" t="str">
        <f>"18:17:02.417"</f>
        <v>18:17:02.417</v>
      </c>
      <c r="D194" t="s">
        <v>86</v>
      </c>
      <c r="E194">
        <v>30.385673000000001</v>
      </c>
      <c r="F194" t="s">
        <v>87</v>
      </c>
      <c r="G194">
        <v>-89.809048000000004</v>
      </c>
      <c r="H194">
        <v>1400</v>
      </c>
      <c r="I194">
        <v>71</v>
      </c>
      <c r="J194">
        <v>81</v>
      </c>
      <c r="K194">
        <v>896</v>
      </c>
      <c r="L194">
        <v>1200</v>
      </c>
      <c r="M194" t="str">
        <f t="shared" si="6"/>
        <v xml:space="preserve">N35DC   </v>
      </c>
      <c r="N194">
        <v>1</v>
      </c>
      <c r="O194">
        <v>1325</v>
      </c>
    </row>
    <row r="195" spans="1:15" x14ac:dyDescent="0.25">
      <c r="A195" t="str">
        <f>"10/21/2020 18:16:54.695"</f>
        <v>10/21/2020 18:16:54.695</v>
      </c>
      <c r="B195" t="str">
        <f>"18:17:02.617"</f>
        <v>18:17:02.617</v>
      </c>
      <c r="C195" t="str">
        <f>"18:17:02.417"</f>
        <v>18:17:02.417</v>
      </c>
      <c r="D195" t="s">
        <v>86</v>
      </c>
      <c r="E195">
        <v>30.385673000000001</v>
      </c>
      <c r="F195" t="s">
        <v>87</v>
      </c>
      <c r="G195">
        <v>-89.809048000000004</v>
      </c>
      <c r="H195">
        <v>1400</v>
      </c>
      <c r="I195">
        <v>71</v>
      </c>
      <c r="J195">
        <v>81</v>
      </c>
      <c r="K195">
        <v>896</v>
      </c>
      <c r="L195">
        <v>1200</v>
      </c>
      <c r="M195" t="str">
        <f t="shared" si="6"/>
        <v xml:space="preserve">N35DC   </v>
      </c>
      <c r="N195">
        <v>1</v>
      </c>
      <c r="O195">
        <v>1325</v>
      </c>
    </row>
    <row r="196" spans="1:15" x14ac:dyDescent="0.25">
      <c r="A196" t="str">
        <f>"10/21/2020 18:16:54.695"</f>
        <v>10/21/2020 18:16:54.695</v>
      </c>
      <c r="B196" t="str">
        <f>"18:17:02.617"</f>
        <v>18:17:02.617</v>
      </c>
      <c r="C196" t="str">
        <f>"18:17:02.417"</f>
        <v>18:17:02.417</v>
      </c>
      <c r="D196" t="s">
        <v>86</v>
      </c>
      <c r="E196">
        <v>30.385673000000001</v>
      </c>
      <c r="F196" t="s">
        <v>87</v>
      </c>
      <c r="G196">
        <v>-89.809048000000004</v>
      </c>
      <c r="H196">
        <v>1400</v>
      </c>
      <c r="I196">
        <v>71</v>
      </c>
      <c r="J196">
        <v>81</v>
      </c>
      <c r="K196">
        <v>896</v>
      </c>
      <c r="L196">
        <v>1200</v>
      </c>
      <c r="M196" t="str">
        <f t="shared" si="6"/>
        <v xml:space="preserve">N35DC   </v>
      </c>
      <c r="N196">
        <v>1</v>
      </c>
      <c r="O196">
        <v>1325</v>
      </c>
    </row>
    <row r="197" spans="1:15" x14ac:dyDescent="0.25">
      <c r="A197" t="str">
        <f>"10/21/2020 18:16:57.845"</f>
        <v>10/21/2020 18:16:57.845</v>
      </c>
      <c r="B197" t="str">
        <f>"18:17:05.781"</f>
        <v>18:17:05.781</v>
      </c>
      <c r="C197" t="str">
        <f>"18:17:05.581"</f>
        <v>18:17:05.581</v>
      </c>
      <c r="D197" t="s">
        <v>88</v>
      </c>
      <c r="E197">
        <v>30.386875</v>
      </c>
      <c r="F197" t="s">
        <v>89</v>
      </c>
      <c r="G197">
        <v>-89.807804000000004</v>
      </c>
      <c r="H197">
        <v>1400</v>
      </c>
      <c r="I197">
        <v>72</v>
      </c>
      <c r="J197">
        <v>81</v>
      </c>
      <c r="K197">
        <v>1024</v>
      </c>
      <c r="L197">
        <v>1200</v>
      </c>
      <c r="M197" t="str">
        <f t="shared" si="6"/>
        <v xml:space="preserve">N35DC   </v>
      </c>
      <c r="N197">
        <v>1</v>
      </c>
      <c r="O197">
        <v>1450</v>
      </c>
    </row>
    <row r="198" spans="1:15" x14ac:dyDescent="0.25">
      <c r="A198" t="str">
        <f>"10/21/2020 18:16:57.845"</f>
        <v>10/21/2020 18:16:57.845</v>
      </c>
      <c r="B198" t="str">
        <f>"18:17:05.781"</f>
        <v>18:17:05.781</v>
      </c>
      <c r="C198" t="str">
        <f>"18:17:05.581"</f>
        <v>18:17:05.581</v>
      </c>
      <c r="D198" t="s">
        <v>88</v>
      </c>
      <c r="E198">
        <v>30.386875</v>
      </c>
      <c r="F198" t="s">
        <v>89</v>
      </c>
      <c r="G198">
        <v>-89.807804000000004</v>
      </c>
      <c r="H198">
        <v>1400</v>
      </c>
      <c r="I198">
        <v>72</v>
      </c>
      <c r="J198">
        <v>81</v>
      </c>
      <c r="K198">
        <v>1024</v>
      </c>
      <c r="L198">
        <v>1200</v>
      </c>
      <c r="M198" t="str">
        <f t="shared" si="6"/>
        <v xml:space="preserve">N35DC   </v>
      </c>
      <c r="N198">
        <v>1</v>
      </c>
      <c r="O198">
        <v>1450</v>
      </c>
    </row>
    <row r="199" spans="1:15" x14ac:dyDescent="0.25">
      <c r="A199" t="str">
        <f>"10/21/2020 18:16:57.845"</f>
        <v>10/21/2020 18:16:57.845</v>
      </c>
      <c r="B199" t="str">
        <f>"18:17:05.781"</f>
        <v>18:17:05.781</v>
      </c>
      <c r="C199" t="str">
        <f>"18:17:05.581"</f>
        <v>18:17:05.581</v>
      </c>
      <c r="D199" t="s">
        <v>88</v>
      </c>
      <c r="E199">
        <v>30.386875</v>
      </c>
      <c r="F199" t="s">
        <v>89</v>
      </c>
      <c r="G199">
        <v>-89.807804000000004</v>
      </c>
      <c r="H199">
        <v>1400</v>
      </c>
      <c r="I199">
        <v>72</v>
      </c>
      <c r="J199">
        <v>81</v>
      </c>
      <c r="K199">
        <v>1024</v>
      </c>
      <c r="L199">
        <v>1200</v>
      </c>
      <c r="M199" t="str">
        <f t="shared" ref="M199:M262" si="7">"N35DC   "</f>
        <v xml:space="preserve">N35DC   </v>
      </c>
      <c r="N199">
        <v>1</v>
      </c>
      <c r="O199">
        <v>1450</v>
      </c>
    </row>
    <row r="200" spans="1:15" x14ac:dyDescent="0.25">
      <c r="A200" t="str">
        <f>"10/21/2020 18:16:57.845"</f>
        <v>10/21/2020 18:16:57.845</v>
      </c>
      <c r="B200" t="str">
        <f>"18:17:05.781"</f>
        <v>18:17:05.781</v>
      </c>
      <c r="C200" t="str">
        <f>"18:17:05.581"</f>
        <v>18:17:05.581</v>
      </c>
      <c r="D200" t="s">
        <v>88</v>
      </c>
      <c r="E200">
        <v>30.386875</v>
      </c>
      <c r="F200" t="s">
        <v>89</v>
      </c>
      <c r="G200">
        <v>-89.807804000000004</v>
      </c>
      <c r="H200">
        <v>1400</v>
      </c>
      <c r="I200">
        <v>72</v>
      </c>
      <c r="J200">
        <v>81</v>
      </c>
      <c r="K200">
        <v>1024</v>
      </c>
      <c r="L200">
        <v>1200</v>
      </c>
      <c r="M200" t="str">
        <f t="shared" si="7"/>
        <v xml:space="preserve">N35DC   </v>
      </c>
      <c r="N200">
        <v>1</v>
      </c>
      <c r="O200">
        <v>1450</v>
      </c>
    </row>
    <row r="201" spans="1:15" x14ac:dyDescent="0.25">
      <c r="A201" t="str">
        <f>"10/21/2020 18:16:57.845"</f>
        <v>10/21/2020 18:16:57.845</v>
      </c>
      <c r="B201" t="str">
        <f>"18:17:05.781"</f>
        <v>18:17:05.781</v>
      </c>
      <c r="C201" t="str">
        <f>"18:17:05.581"</f>
        <v>18:17:05.581</v>
      </c>
      <c r="D201" t="s">
        <v>88</v>
      </c>
      <c r="E201">
        <v>30.386875</v>
      </c>
      <c r="F201" t="s">
        <v>89</v>
      </c>
      <c r="G201">
        <v>-89.807804000000004</v>
      </c>
      <c r="H201">
        <v>1400</v>
      </c>
      <c r="I201">
        <v>72</v>
      </c>
      <c r="J201">
        <v>81</v>
      </c>
      <c r="K201">
        <v>1024</v>
      </c>
      <c r="L201">
        <v>1200</v>
      </c>
      <c r="M201" t="str">
        <f t="shared" si="7"/>
        <v xml:space="preserve">N35DC   </v>
      </c>
      <c r="N201">
        <v>1</v>
      </c>
      <c r="O201">
        <v>1450</v>
      </c>
    </row>
    <row r="202" spans="1:15" x14ac:dyDescent="0.25">
      <c r="A202" t="str">
        <f>"10/21/2020 18:16:58.768"</f>
        <v>10/21/2020 18:16:58.768</v>
      </c>
      <c r="B202" t="str">
        <f>"18:17:06.711"</f>
        <v>18:17:06.711</v>
      </c>
      <c r="C202" t="str">
        <f>"18:17:06.511"</f>
        <v>18:17:06.511</v>
      </c>
      <c r="D202" t="s">
        <v>90</v>
      </c>
      <c r="E202">
        <v>30.387197</v>
      </c>
      <c r="F202" t="s">
        <v>91</v>
      </c>
      <c r="G202">
        <v>-89.807460000000006</v>
      </c>
      <c r="H202">
        <v>1400</v>
      </c>
      <c r="I202">
        <v>72</v>
      </c>
      <c r="J202">
        <v>80</v>
      </c>
      <c r="K202">
        <v>1280</v>
      </c>
      <c r="L202">
        <v>1200</v>
      </c>
      <c r="M202" t="str">
        <f t="shared" si="7"/>
        <v xml:space="preserve">N35DC   </v>
      </c>
      <c r="N202">
        <v>1</v>
      </c>
      <c r="O202">
        <v>1475</v>
      </c>
    </row>
    <row r="203" spans="1:15" x14ac:dyDescent="0.25">
      <c r="A203" t="str">
        <f>"10/21/2020 18:16:58.768"</f>
        <v>10/21/2020 18:16:58.768</v>
      </c>
      <c r="B203" t="str">
        <f>"18:17:06.711"</f>
        <v>18:17:06.711</v>
      </c>
      <c r="C203" t="str">
        <f>"18:17:06.511"</f>
        <v>18:17:06.511</v>
      </c>
      <c r="D203" t="s">
        <v>90</v>
      </c>
      <c r="E203">
        <v>30.387197</v>
      </c>
      <c r="F203" t="s">
        <v>91</v>
      </c>
      <c r="G203">
        <v>-89.807460000000006</v>
      </c>
      <c r="H203">
        <v>1400</v>
      </c>
      <c r="I203">
        <v>72</v>
      </c>
      <c r="J203">
        <v>80</v>
      </c>
      <c r="K203">
        <v>1280</v>
      </c>
      <c r="L203">
        <v>1200</v>
      </c>
      <c r="M203" t="str">
        <f t="shared" si="7"/>
        <v xml:space="preserve">N35DC   </v>
      </c>
      <c r="N203">
        <v>1</v>
      </c>
      <c r="O203">
        <v>1475</v>
      </c>
    </row>
    <row r="204" spans="1:15" x14ac:dyDescent="0.25">
      <c r="A204" t="str">
        <f>"10/21/2020 18:16:58.768"</f>
        <v>10/21/2020 18:16:58.768</v>
      </c>
      <c r="B204" t="str">
        <f>"18:17:06.711"</f>
        <v>18:17:06.711</v>
      </c>
      <c r="C204" t="str">
        <f>"18:17:06.511"</f>
        <v>18:17:06.511</v>
      </c>
      <c r="D204" t="s">
        <v>90</v>
      </c>
      <c r="E204">
        <v>30.387197</v>
      </c>
      <c r="F204" t="s">
        <v>91</v>
      </c>
      <c r="G204">
        <v>-89.807460000000006</v>
      </c>
      <c r="H204">
        <v>1400</v>
      </c>
      <c r="I204">
        <v>72</v>
      </c>
      <c r="J204">
        <v>80</v>
      </c>
      <c r="K204">
        <v>1280</v>
      </c>
      <c r="L204">
        <v>1200</v>
      </c>
      <c r="M204" t="str">
        <f t="shared" si="7"/>
        <v xml:space="preserve">N35DC   </v>
      </c>
      <c r="N204">
        <v>1</v>
      </c>
      <c r="O204">
        <v>1475</v>
      </c>
    </row>
    <row r="205" spans="1:15" x14ac:dyDescent="0.25">
      <c r="A205" t="str">
        <f>"10/21/2020 18:16:58.768"</f>
        <v>10/21/2020 18:16:58.768</v>
      </c>
      <c r="B205" t="str">
        <f>"18:17:06.711"</f>
        <v>18:17:06.711</v>
      </c>
      <c r="C205" t="str">
        <f>"18:17:06.511"</f>
        <v>18:17:06.511</v>
      </c>
      <c r="D205" t="s">
        <v>90</v>
      </c>
      <c r="E205">
        <v>30.387197</v>
      </c>
      <c r="F205" t="s">
        <v>91</v>
      </c>
      <c r="G205">
        <v>-89.807460000000006</v>
      </c>
      <c r="H205">
        <v>1400</v>
      </c>
      <c r="I205">
        <v>72</v>
      </c>
      <c r="J205">
        <v>80</v>
      </c>
      <c r="K205">
        <v>1280</v>
      </c>
      <c r="L205">
        <v>1200</v>
      </c>
      <c r="M205" t="str">
        <f t="shared" si="7"/>
        <v xml:space="preserve">N35DC   </v>
      </c>
      <c r="N205">
        <v>1</v>
      </c>
      <c r="O205">
        <v>1475</v>
      </c>
    </row>
    <row r="206" spans="1:15" x14ac:dyDescent="0.25">
      <c r="A206" t="str">
        <f>"10/21/2020 18:16:58.768"</f>
        <v>10/21/2020 18:16:58.768</v>
      </c>
      <c r="B206" t="str">
        <f>"18:17:06.711"</f>
        <v>18:17:06.711</v>
      </c>
      <c r="C206" t="str">
        <f>"18:17:06.511"</f>
        <v>18:17:06.511</v>
      </c>
      <c r="D206" t="s">
        <v>90</v>
      </c>
      <c r="E206">
        <v>30.387197</v>
      </c>
      <c r="F206" t="s">
        <v>91</v>
      </c>
      <c r="G206">
        <v>-89.807460000000006</v>
      </c>
      <c r="H206">
        <v>1400</v>
      </c>
      <c r="I206">
        <v>72</v>
      </c>
      <c r="J206">
        <v>80</v>
      </c>
      <c r="K206">
        <v>1280</v>
      </c>
      <c r="L206">
        <v>1200</v>
      </c>
      <c r="M206" t="str">
        <f t="shared" si="7"/>
        <v xml:space="preserve">N35DC   </v>
      </c>
      <c r="N206">
        <v>1</v>
      </c>
      <c r="O206">
        <v>1475</v>
      </c>
    </row>
    <row r="207" spans="1:15" x14ac:dyDescent="0.25">
      <c r="A207" t="str">
        <f>"10/21/2020 18:17:01.820"</f>
        <v>10/21/2020 18:17:01.820</v>
      </c>
      <c r="B207" t="str">
        <f>"18:17:09.750"</f>
        <v>18:17:09.750</v>
      </c>
      <c r="C207" t="str">
        <f>"18:17:09.350"</f>
        <v>18:17:09.350</v>
      </c>
      <c r="D207" t="s">
        <v>92</v>
      </c>
      <c r="E207">
        <v>30.388376999999998</v>
      </c>
      <c r="F207" t="s">
        <v>93</v>
      </c>
      <c r="G207">
        <v>-89.806280000000001</v>
      </c>
      <c r="H207">
        <v>1500</v>
      </c>
      <c r="I207">
        <v>70</v>
      </c>
      <c r="J207">
        <v>83</v>
      </c>
      <c r="K207">
        <v>1024</v>
      </c>
      <c r="L207">
        <v>1200</v>
      </c>
      <c r="M207" t="str">
        <f t="shared" si="7"/>
        <v xml:space="preserve">N35DC   </v>
      </c>
      <c r="N207">
        <v>1</v>
      </c>
      <c r="O207">
        <v>1425</v>
      </c>
    </row>
    <row r="208" spans="1:15" x14ac:dyDescent="0.25">
      <c r="A208" t="str">
        <f>"10/21/2020 18:17:01.820"</f>
        <v>10/21/2020 18:17:01.820</v>
      </c>
      <c r="B208" t="str">
        <f>"18:17:09.750"</f>
        <v>18:17:09.750</v>
      </c>
      <c r="C208" t="str">
        <f>"18:17:09.350"</f>
        <v>18:17:09.350</v>
      </c>
      <c r="D208" t="s">
        <v>92</v>
      </c>
      <c r="E208">
        <v>30.388376999999998</v>
      </c>
      <c r="F208" t="s">
        <v>93</v>
      </c>
      <c r="G208">
        <v>-89.806280000000001</v>
      </c>
      <c r="H208">
        <v>1500</v>
      </c>
      <c r="I208">
        <v>70</v>
      </c>
      <c r="J208">
        <v>83</v>
      </c>
      <c r="K208">
        <v>1024</v>
      </c>
      <c r="L208">
        <v>1200</v>
      </c>
      <c r="M208" t="str">
        <f t="shared" si="7"/>
        <v xml:space="preserve">N35DC   </v>
      </c>
      <c r="N208">
        <v>1</v>
      </c>
      <c r="O208">
        <v>1425</v>
      </c>
    </row>
    <row r="209" spans="1:15" x14ac:dyDescent="0.25">
      <c r="A209" t="str">
        <f>"10/21/2020 18:17:01.820"</f>
        <v>10/21/2020 18:17:01.820</v>
      </c>
      <c r="B209" t="str">
        <f>"18:17:09.750"</f>
        <v>18:17:09.750</v>
      </c>
      <c r="C209" t="str">
        <f>"18:17:09.350"</f>
        <v>18:17:09.350</v>
      </c>
      <c r="D209" t="s">
        <v>92</v>
      </c>
      <c r="E209">
        <v>30.388376999999998</v>
      </c>
      <c r="F209" t="s">
        <v>93</v>
      </c>
      <c r="G209">
        <v>-89.806280000000001</v>
      </c>
      <c r="H209">
        <v>1500</v>
      </c>
      <c r="I209">
        <v>70</v>
      </c>
      <c r="J209">
        <v>83</v>
      </c>
      <c r="K209">
        <v>1024</v>
      </c>
      <c r="L209">
        <v>1200</v>
      </c>
      <c r="M209" t="str">
        <f t="shared" si="7"/>
        <v xml:space="preserve">N35DC   </v>
      </c>
      <c r="N209">
        <v>1</v>
      </c>
      <c r="O209">
        <v>1425</v>
      </c>
    </row>
    <row r="210" spans="1:15" x14ac:dyDescent="0.25">
      <c r="A210" t="str">
        <f>"10/21/2020 18:17:01.820"</f>
        <v>10/21/2020 18:17:01.820</v>
      </c>
      <c r="B210" t="str">
        <f>"18:17:09.750"</f>
        <v>18:17:09.750</v>
      </c>
      <c r="C210" t="str">
        <f>"18:17:09.350"</f>
        <v>18:17:09.350</v>
      </c>
      <c r="D210" t="s">
        <v>92</v>
      </c>
      <c r="E210">
        <v>30.388376999999998</v>
      </c>
      <c r="F210" t="s">
        <v>93</v>
      </c>
      <c r="G210">
        <v>-89.806280000000001</v>
      </c>
      <c r="H210">
        <v>1500</v>
      </c>
      <c r="I210">
        <v>70</v>
      </c>
      <c r="J210">
        <v>83</v>
      </c>
      <c r="K210">
        <v>1024</v>
      </c>
      <c r="L210">
        <v>1200</v>
      </c>
      <c r="M210" t="str">
        <f t="shared" si="7"/>
        <v xml:space="preserve">N35DC   </v>
      </c>
      <c r="N210">
        <v>1</v>
      </c>
      <c r="O210">
        <v>1425</v>
      </c>
    </row>
    <row r="211" spans="1:15" x14ac:dyDescent="0.25">
      <c r="A211" t="str">
        <f>"10/21/2020 18:17:01.820"</f>
        <v>10/21/2020 18:17:01.820</v>
      </c>
      <c r="B211" t="str">
        <f>"18:17:09.750"</f>
        <v>18:17:09.750</v>
      </c>
      <c r="C211" t="str">
        <f>"18:17:09.350"</f>
        <v>18:17:09.350</v>
      </c>
      <c r="D211" t="s">
        <v>92</v>
      </c>
      <c r="E211">
        <v>30.388376999999998</v>
      </c>
      <c r="F211" t="s">
        <v>93</v>
      </c>
      <c r="G211">
        <v>-89.806280000000001</v>
      </c>
      <c r="H211">
        <v>1500</v>
      </c>
      <c r="I211">
        <v>70</v>
      </c>
      <c r="J211">
        <v>83</v>
      </c>
      <c r="K211">
        <v>1024</v>
      </c>
      <c r="L211">
        <v>1200</v>
      </c>
      <c r="M211" t="str">
        <f t="shared" si="7"/>
        <v xml:space="preserve">N35DC   </v>
      </c>
      <c r="N211">
        <v>1</v>
      </c>
      <c r="O211">
        <v>1425</v>
      </c>
    </row>
    <row r="212" spans="1:15" x14ac:dyDescent="0.25">
      <c r="A212" t="str">
        <f>"10/21/2020 18:17:04.866"</f>
        <v>10/21/2020 18:17:04.866</v>
      </c>
      <c r="B212" t="str">
        <f>"18:17:12.781"</f>
        <v>18:17:12.781</v>
      </c>
      <c r="C212" t="str">
        <f>"18:17:12.381"</f>
        <v>18:17:12.381</v>
      </c>
      <c r="D212" t="s">
        <v>94</v>
      </c>
      <c r="E212">
        <v>30.389600000000002</v>
      </c>
      <c r="F212" t="s">
        <v>95</v>
      </c>
      <c r="G212">
        <v>-89.805206999999996</v>
      </c>
      <c r="H212">
        <v>1500</v>
      </c>
      <c r="I212">
        <v>64</v>
      </c>
      <c r="J212">
        <v>89</v>
      </c>
      <c r="K212">
        <v>1216</v>
      </c>
      <c r="L212">
        <v>1200</v>
      </c>
      <c r="M212" t="str">
        <f t="shared" si="7"/>
        <v xml:space="preserve">N35DC   </v>
      </c>
      <c r="N212">
        <v>1</v>
      </c>
      <c r="O212">
        <v>1575</v>
      </c>
    </row>
    <row r="213" spans="1:15" x14ac:dyDescent="0.25">
      <c r="A213" t="str">
        <f>"10/21/2020 18:17:04.866"</f>
        <v>10/21/2020 18:17:04.866</v>
      </c>
      <c r="B213" t="str">
        <f>"18:17:12.781"</f>
        <v>18:17:12.781</v>
      </c>
      <c r="C213" t="str">
        <f>"18:17:12.381"</f>
        <v>18:17:12.381</v>
      </c>
      <c r="D213" t="s">
        <v>94</v>
      </c>
      <c r="E213">
        <v>30.389600000000002</v>
      </c>
      <c r="F213" t="s">
        <v>95</v>
      </c>
      <c r="G213">
        <v>-89.805206999999996</v>
      </c>
      <c r="H213">
        <v>1500</v>
      </c>
      <c r="I213">
        <v>64</v>
      </c>
      <c r="J213">
        <v>89</v>
      </c>
      <c r="K213">
        <v>1216</v>
      </c>
      <c r="L213">
        <v>1200</v>
      </c>
      <c r="M213" t="str">
        <f t="shared" si="7"/>
        <v xml:space="preserve">N35DC   </v>
      </c>
      <c r="N213">
        <v>1</v>
      </c>
      <c r="O213">
        <v>1575</v>
      </c>
    </row>
    <row r="214" spans="1:15" x14ac:dyDescent="0.25">
      <c r="A214" t="str">
        <f>"10/21/2020 18:17:04.866"</f>
        <v>10/21/2020 18:17:04.866</v>
      </c>
      <c r="B214" t="str">
        <f>"18:17:12.781"</f>
        <v>18:17:12.781</v>
      </c>
      <c r="C214" t="str">
        <f>"18:17:12.381"</f>
        <v>18:17:12.381</v>
      </c>
      <c r="D214" t="s">
        <v>94</v>
      </c>
      <c r="E214">
        <v>30.389600000000002</v>
      </c>
      <c r="F214" t="s">
        <v>95</v>
      </c>
      <c r="G214">
        <v>-89.805206999999996</v>
      </c>
      <c r="H214">
        <v>1500</v>
      </c>
      <c r="I214">
        <v>64</v>
      </c>
      <c r="J214">
        <v>89</v>
      </c>
      <c r="K214">
        <v>1216</v>
      </c>
      <c r="L214">
        <v>1200</v>
      </c>
      <c r="M214" t="str">
        <f t="shared" si="7"/>
        <v xml:space="preserve">N35DC   </v>
      </c>
      <c r="N214">
        <v>1</v>
      </c>
      <c r="O214">
        <v>1575</v>
      </c>
    </row>
    <row r="215" spans="1:15" x14ac:dyDescent="0.25">
      <c r="A215" t="str">
        <f>"10/21/2020 18:17:04.866"</f>
        <v>10/21/2020 18:17:04.866</v>
      </c>
      <c r="B215" t="str">
        <f>"18:17:12.781"</f>
        <v>18:17:12.781</v>
      </c>
      <c r="C215" t="str">
        <f>"18:17:12.381"</f>
        <v>18:17:12.381</v>
      </c>
      <c r="D215" t="s">
        <v>94</v>
      </c>
      <c r="E215">
        <v>30.389600000000002</v>
      </c>
      <c r="F215" t="s">
        <v>95</v>
      </c>
      <c r="G215">
        <v>-89.805206999999996</v>
      </c>
      <c r="H215">
        <v>1500</v>
      </c>
      <c r="I215">
        <v>64</v>
      </c>
      <c r="J215">
        <v>89</v>
      </c>
      <c r="K215">
        <v>1216</v>
      </c>
      <c r="L215">
        <v>1200</v>
      </c>
      <c r="M215" t="str">
        <f t="shared" si="7"/>
        <v xml:space="preserve">N35DC   </v>
      </c>
      <c r="N215">
        <v>1</v>
      </c>
      <c r="O215">
        <v>1575</v>
      </c>
    </row>
    <row r="216" spans="1:15" x14ac:dyDescent="0.25">
      <c r="A216" t="str">
        <f>"10/21/2020 18:17:04.866"</f>
        <v>10/21/2020 18:17:04.866</v>
      </c>
      <c r="B216" t="str">
        <f>"18:17:12.781"</f>
        <v>18:17:12.781</v>
      </c>
      <c r="C216" t="str">
        <f>"18:17:12.381"</f>
        <v>18:17:12.381</v>
      </c>
      <c r="D216" t="s">
        <v>94</v>
      </c>
      <c r="E216">
        <v>30.389600000000002</v>
      </c>
      <c r="F216" t="s">
        <v>95</v>
      </c>
      <c r="G216">
        <v>-89.805206999999996</v>
      </c>
      <c r="H216">
        <v>1500</v>
      </c>
      <c r="I216">
        <v>64</v>
      </c>
      <c r="J216">
        <v>89</v>
      </c>
      <c r="K216">
        <v>1216</v>
      </c>
      <c r="L216">
        <v>1200</v>
      </c>
      <c r="M216" t="str">
        <f t="shared" si="7"/>
        <v xml:space="preserve">N35DC   </v>
      </c>
      <c r="N216">
        <v>1</v>
      </c>
      <c r="O216">
        <v>1575</v>
      </c>
    </row>
    <row r="217" spans="1:15" x14ac:dyDescent="0.25">
      <c r="A217" t="str">
        <f>"10/21/2020 18:17:05.853"</f>
        <v>10/21/2020 18:17:05.853</v>
      </c>
      <c r="B217" t="str">
        <f>"18:17:13.773"</f>
        <v>18:17:13.773</v>
      </c>
      <c r="C217" t="str">
        <f>"18:17:13.373"</f>
        <v>18:17:13.373</v>
      </c>
      <c r="D217" t="s">
        <v>96</v>
      </c>
      <c r="E217">
        <v>30.390007000000001</v>
      </c>
      <c r="F217" t="s">
        <v>97</v>
      </c>
      <c r="G217">
        <v>-89.804884999999999</v>
      </c>
      <c r="H217">
        <v>1500</v>
      </c>
      <c r="I217">
        <v>62</v>
      </c>
      <c r="J217">
        <v>91</v>
      </c>
      <c r="K217">
        <v>1152</v>
      </c>
      <c r="L217">
        <v>1200</v>
      </c>
      <c r="M217" t="str">
        <f t="shared" si="7"/>
        <v xml:space="preserve">N35DC   </v>
      </c>
      <c r="N217">
        <v>1</v>
      </c>
      <c r="O217">
        <v>1600</v>
      </c>
    </row>
    <row r="218" spans="1:15" x14ac:dyDescent="0.25">
      <c r="A218" t="str">
        <f>"10/21/2020 18:17:05.853"</f>
        <v>10/21/2020 18:17:05.853</v>
      </c>
      <c r="B218" t="str">
        <f>"18:17:13.773"</f>
        <v>18:17:13.773</v>
      </c>
      <c r="C218" t="str">
        <f>"18:17:13.373"</f>
        <v>18:17:13.373</v>
      </c>
      <c r="D218" t="s">
        <v>96</v>
      </c>
      <c r="E218">
        <v>30.390007000000001</v>
      </c>
      <c r="F218" t="s">
        <v>97</v>
      </c>
      <c r="G218">
        <v>-89.804884999999999</v>
      </c>
      <c r="H218">
        <v>1500</v>
      </c>
      <c r="I218">
        <v>62</v>
      </c>
      <c r="J218">
        <v>91</v>
      </c>
      <c r="K218">
        <v>1152</v>
      </c>
      <c r="L218">
        <v>1200</v>
      </c>
      <c r="M218" t="str">
        <f t="shared" si="7"/>
        <v xml:space="preserve">N35DC   </v>
      </c>
      <c r="N218">
        <v>1</v>
      </c>
      <c r="O218">
        <v>1600</v>
      </c>
    </row>
    <row r="219" spans="1:15" x14ac:dyDescent="0.25">
      <c r="A219" t="str">
        <f>"10/21/2020 18:17:05.853"</f>
        <v>10/21/2020 18:17:05.853</v>
      </c>
      <c r="B219" t="str">
        <f>"18:17:13.773"</f>
        <v>18:17:13.773</v>
      </c>
      <c r="C219" t="str">
        <f>"18:17:13.373"</f>
        <v>18:17:13.373</v>
      </c>
      <c r="D219" t="s">
        <v>96</v>
      </c>
      <c r="E219">
        <v>30.390007000000001</v>
      </c>
      <c r="F219" t="s">
        <v>97</v>
      </c>
      <c r="G219">
        <v>-89.804884999999999</v>
      </c>
      <c r="H219">
        <v>1500</v>
      </c>
      <c r="I219">
        <v>62</v>
      </c>
      <c r="J219">
        <v>91</v>
      </c>
      <c r="K219">
        <v>1152</v>
      </c>
      <c r="L219">
        <v>1200</v>
      </c>
      <c r="M219" t="str">
        <f t="shared" si="7"/>
        <v xml:space="preserve">N35DC   </v>
      </c>
      <c r="N219">
        <v>1</v>
      </c>
      <c r="O219">
        <v>1600</v>
      </c>
    </row>
    <row r="220" spans="1:15" x14ac:dyDescent="0.25">
      <c r="A220" t="str">
        <f>"10/21/2020 18:17:05.853"</f>
        <v>10/21/2020 18:17:05.853</v>
      </c>
      <c r="B220" t="str">
        <f>"18:17:13.773"</f>
        <v>18:17:13.773</v>
      </c>
      <c r="C220" t="str">
        <f>"18:17:13.373"</f>
        <v>18:17:13.373</v>
      </c>
      <c r="D220" t="s">
        <v>96</v>
      </c>
      <c r="E220">
        <v>30.390007000000001</v>
      </c>
      <c r="F220" t="s">
        <v>97</v>
      </c>
      <c r="G220">
        <v>-89.804884999999999</v>
      </c>
      <c r="H220">
        <v>1500</v>
      </c>
      <c r="I220">
        <v>62</v>
      </c>
      <c r="J220">
        <v>91</v>
      </c>
      <c r="K220">
        <v>1152</v>
      </c>
      <c r="L220">
        <v>1200</v>
      </c>
      <c r="M220" t="str">
        <f t="shared" si="7"/>
        <v xml:space="preserve">N35DC   </v>
      </c>
      <c r="N220">
        <v>1</v>
      </c>
      <c r="O220">
        <v>1600</v>
      </c>
    </row>
    <row r="221" spans="1:15" x14ac:dyDescent="0.25">
      <c r="A221" t="str">
        <f>"10/21/2020 18:17:05.853"</f>
        <v>10/21/2020 18:17:05.853</v>
      </c>
      <c r="B221" t="str">
        <f>"18:17:13.773"</f>
        <v>18:17:13.773</v>
      </c>
      <c r="C221" t="str">
        <f>"18:17:13.373"</f>
        <v>18:17:13.373</v>
      </c>
      <c r="D221" t="s">
        <v>96</v>
      </c>
      <c r="E221">
        <v>30.390007000000001</v>
      </c>
      <c r="F221" t="s">
        <v>97</v>
      </c>
      <c r="G221">
        <v>-89.804884999999999</v>
      </c>
      <c r="H221">
        <v>1500</v>
      </c>
      <c r="I221">
        <v>62</v>
      </c>
      <c r="J221">
        <v>91</v>
      </c>
      <c r="K221">
        <v>1152</v>
      </c>
      <c r="L221">
        <v>1200</v>
      </c>
      <c r="M221" t="str">
        <f t="shared" si="7"/>
        <v xml:space="preserve">N35DC   </v>
      </c>
      <c r="N221">
        <v>1</v>
      </c>
      <c r="O221">
        <v>1600</v>
      </c>
    </row>
    <row r="222" spans="1:15" x14ac:dyDescent="0.25">
      <c r="A222" t="str">
        <f>"10/21/2020 18:17:07.887"</f>
        <v>10/21/2020 18:17:07.887</v>
      </c>
      <c r="B222" t="str">
        <f t="shared" ref="B222:C226" si="8">"18:17:15.812"</f>
        <v>18:17:15.812</v>
      </c>
      <c r="C222" t="str">
        <f t="shared" si="8"/>
        <v>18:17:15.812</v>
      </c>
      <c r="D222" t="s">
        <v>98</v>
      </c>
      <c r="E222">
        <v>30.390886999999999</v>
      </c>
      <c r="F222" t="s">
        <v>99</v>
      </c>
      <c r="G222">
        <v>-89.804284999999993</v>
      </c>
      <c r="H222">
        <v>1600</v>
      </c>
      <c r="I222">
        <v>53</v>
      </c>
      <c r="J222">
        <v>96</v>
      </c>
      <c r="K222">
        <v>960</v>
      </c>
      <c r="L222">
        <v>1200</v>
      </c>
      <c r="M222" t="str">
        <f t="shared" si="7"/>
        <v xml:space="preserve">N35DC   </v>
      </c>
      <c r="N222">
        <v>1</v>
      </c>
      <c r="O222">
        <v>1550</v>
      </c>
    </row>
    <row r="223" spans="1:15" x14ac:dyDescent="0.25">
      <c r="A223" t="str">
        <f>"10/21/2020 18:17:07.887"</f>
        <v>10/21/2020 18:17:07.887</v>
      </c>
      <c r="B223" t="str">
        <f t="shared" si="8"/>
        <v>18:17:15.812</v>
      </c>
      <c r="C223" t="str">
        <f t="shared" si="8"/>
        <v>18:17:15.812</v>
      </c>
      <c r="D223" t="s">
        <v>98</v>
      </c>
      <c r="E223">
        <v>30.390886999999999</v>
      </c>
      <c r="F223" t="s">
        <v>99</v>
      </c>
      <c r="G223">
        <v>-89.804284999999993</v>
      </c>
      <c r="H223">
        <v>1600</v>
      </c>
      <c r="I223">
        <v>53</v>
      </c>
      <c r="J223">
        <v>96</v>
      </c>
      <c r="K223">
        <v>960</v>
      </c>
      <c r="L223">
        <v>1200</v>
      </c>
      <c r="M223" t="str">
        <f t="shared" si="7"/>
        <v xml:space="preserve">N35DC   </v>
      </c>
      <c r="N223">
        <v>1</v>
      </c>
      <c r="O223">
        <v>1550</v>
      </c>
    </row>
    <row r="224" spans="1:15" x14ac:dyDescent="0.25">
      <c r="A224" t="str">
        <f>"10/21/2020 18:17:07.887"</f>
        <v>10/21/2020 18:17:07.887</v>
      </c>
      <c r="B224" t="str">
        <f t="shared" si="8"/>
        <v>18:17:15.812</v>
      </c>
      <c r="C224" t="str">
        <f t="shared" si="8"/>
        <v>18:17:15.812</v>
      </c>
      <c r="D224" t="s">
        <v>98</v>
      </c>
      <c r="E224">
        <v>30.390886999999999</v>
      </c>
      <c r="F224" t="s">
        <v>99</v>
      </c>
      <c r="G224">
        <v>-89.804284999999993</v>
      </c>
      <c r="H224">
        <v>1600</v>
      </c>
      <c r="I224">
        <v>53</v>
      </c>
      <c r="J224">
        <v>96</v>
      </c>
      <c r="K224">
        <v>960</v>
      </c>
      <c r="L224">
        <v>1200</v>
      </c>
      <c r="M224" t="str">
        <f t="shared" si="7"/>
        <v xml:space="preserve">N35DC   </v>
      </c>
      <c r="N224">
        <v>1</v>
      </c>
      <c r="O224">
        <v>1550</v>
      </c>
    </row>
    <row r="225" spans="1:15" x14ac:dyDescent="0.25">
      <c r="A225" t="str">
        <f>"10/21/2020 18:17:07.887"</f>
        <v>10/21/2020 18:17:07.887</v>
      </c>
      <c r="B225" t="str">
        <f t="shared" si="8"/>
        <v>18:17:15.812</v>
      </c>
      <c r="C225" t="str">
        <f t="shared" si="8"/>
        <v>18:17:15.812</v>
      </c>
      <c r="D225" t="s">
        <v>98</v>
      </c>
      <c r="E225">
        <v>30.390886999999999</v>
      </c>
      <c r="F225" t="s">
        <v>99</v>
      </c>
      <c r="G225">
        <v>-89.804284999999993</v>
      </c>
      <c r="H225">
        <v>1600</v>
      </c>
      <c r="I225">
        <v>53</v>
      </c>
      <c r="J225">
        <v>96</v>
      </c>
      <c r="K225">
        <v>960</v>
      </c>
      <c r="L225">
        <v>1200</v>
      </c>
      <c r="M225" t="str">
        <f t="shared" si="7"/>
        <v xml:space="preserve">N35DC   </v>
      </c>
      <c r="N225">
        <v>1</v>
      </c>
      <c r="O225">
        <v>1550</v>
      </c>
    </row>
    <row r="226" spans="1:15" x14ac:dyDescent="0.25">
      <c r="A226" t="str">
        <f>"10/21/2020 18:17:07.887"</f>
        <v>10/21/2020 18:17:07.887</v>
      </c>
      <c r="B226" t="str">
        <f t="shared" si="8"/>
        <v>18:17:15.812</v>
      </c>
      <c r="C226" t="str">
        <f t="shared" si="8"/>
        <v>18:17:15.812</v>
      </c>
      <c r="D226" t="s">
        <v>98</v>
      </c>
      <c r="E226">
        <v>30.390886999999999</v>
      </c>
      <c r="F226" t="s">
        <v>99</v>
      </c>
      <c r="G226">
        <v>-89.804284999999993</v>
      </c>
      <c r="H226">
        <v>1600</v>
      </c>
      <c r="I226">
        <v>53</v>
      </c>
      <c r="J226">
        <v>96</v>
      </c>
      <c r="K226">
        <v>960</v>
      </c>
      <c r="L226">
        <v>1200</v>
      </c>
      <c r="M226" t="str">
        <f t="shared" si="7"/>
        <v xml:space="preserve">N35DC   </v>
      </c>
      <c r="N226">
        <v>1</v>
      </c>
      <c r="O226">
        <v>1550</v>
      </c>
    </row>
    <row r="227" spans="1:15" x14ac:dyDescent="0.25">
      <c r="A227" t="str">
        <f>"10/21/2020 18:17:08.734"</f>
        <v>10/21/2020 18:17:08.734</v>
      </c>
      <c r="B227" t="str">
        <f>"18:17:16.664"</f>
        <v>18:17:16.664</v>
      </c>
      <c r="C227" t="str">
        <f>"18:17:16.264"</f>
        <v>18:17:16.264</v>
      </c>
      <c r="D227" t="s">
        <v>100</v>
      </c>
      <c r="E227">
        <v>30.391295</v>
      </c>
      <c r="F227" t="s">
        <v>101</v>
      </c>
      <c r="G227">
        <v>-89.804049000000006</v>
      </c>
      <c r="H227">
        <v>1600</v>
      </c>
      <c r="I227">
        <v>52</v>
      </c>
      <c r="J227">
        <v>97</v>
      </c>
      <c r="K227">
        <v>1024</v>
      </c>
      <c r="L227">
        <v>1200</v>
      </c>
      <c r="M227" t="str">
        <f t="shared" si="7"/>
        <v xml:space="preserve">N35DC   </v>
      </c>
      <c r="N227">
        <v>1</v>
      </c>
      <c r="O227">
        <v>1650</v>
      </c>
    </row>
    <row r="228" spans="1:15" x14ac:dyDescent="0.25">
      <c r="A228" t="str">
        <f>"10/21/2020 18:17:08.734"</f>
        <v>10/21/2020 18:17:08.734</v>
      </c>
      <c r="B228" t="str">
        <f>"18:17:16.664"</f>
        <v>18:17:16.664</v>
      </c>
      <c r="C228" t="str">
        <f>"18:17:16.264"</f>
        <v>18:17:16.264</v>
      </c>
      <c r="D228" t="s">
        <v>100</v>
      </c>
      <c r="E228">
        <v>30.391295</v>
      </c>
      <c r="F228" t="s">
        <v>101</v>
      </c>
      <c r="G228">
        <v>-89.804049000000006</v>
      </c>
      <c r="H228">
        <v>1600</v>
      </c>
      <c r="I228">
        <v>52</v>
      </c>
      <c r="J228">
        <v>97</v>
      </c>
      <c r="K228">
        <v>1024</v>
      </c>
      <c r="L228">
        <v>1200</v>
      </c>
      <c r="M228" t="str">
        <f t="shared" si="7"/>
        <v xml:space="preserve">N35DC   </v>
      </c>
      <c r="N228">
        <v>1</v>
      </c>
      <c r="O228">
        <v>1650</v>
      </c>
    </row>
    <row r="229" spans="1:15" x14ac:dyDescent="0.25">
      <c r="A229" t="str">
        <f>"10/21/2020 18:17:08.734"</f>
        <v>10/21/2020 18:17:08.734</v>
      </c>
      <c r="B229" t="str">
        <f>"18:17:16.664"</f>
        <v>18:17:16.664</v>
      </c>
      <c r="C229" t="str">
        <f>"18:17:16.264"</f>
        <v>18:17:16.264</v>
      </c>
      <c r="D229" t="s">
        <v>100</v>
      </c>
      <c r="E229">
        <v>30.391295</v>
      </c>
      <c r="F229" t="s">
        <v>101</v>
      </c>
      <c r="G229">
        <v>-89.804049000000006</v>
      </c>
      <c r="H229">
        <v>1600</v>
      </c>
      <c r="I229">
        <v>52</v>
      </c>
      <c r="J229">
        <v>97</v>
      </c>
      <c r="K229">
        <v>1024</v>
      </c>
      <c r="L229">
        <v>1200</v>
      </c>
      <c r="M229" t="str">
        <f t="shared" si="7"/>
        <v xml:space="preserve">N35DC   </v>
      </c>
      <c r="N229">
        <v>1</v>
      </c>
      <c r="O229">
        <v>1650</v>
      </c>
    </row>
    <row r="230" spans="1:15" x14ac:dyDescent="0.25">
      <c r="A230" t="str">
        <f>"10/21/2020 18:17:08.734"</f>
        <v>10/21/2020 18:17:08.734</v>
      </c>
      <c r="B230" t="str">
        <f>"18:17:16.664"</f>
        <v>18:17:16.664</v>
      </c>
      <c r="C230" t="str">
        <f>"18:17:16.264"</f>
        <v>18:17:16.264</v>
      </c>
      <c r="D230" t="s">
        <v>100</v>
      </c>
      <c r="E230">
        <v>30.391295</v>
      </c>
      <c r="F230" t="s">
        <v>101</v>
      </c>
      <c r="G230">
        <v>-89.804049000000006</v>
      </c>
      <c r="H230">
        <v>1600</v>
      </c>
      <c r="I230">
        <v>52</v>
      </c>
      <c r="J230">
        <v>97</v>
      </c>
      <c r="K230">
        <v>1024</v>
      </c>
      <c r="L230">
        <v>1200</v>
      </c>
      <c r="M230" t="str">
        <f t="shared" si="7"/>
        <v xml:space="preserve">N35DC   </v>
      </c>
      <c r="N230">
        <v>1</v>
      </c>
      <c r="O230">
        <v>1650</v>
      </c>
    </row>
    <row r="231" spans="1:15" x14ac:dyDescent="0.25">
      <c r="A231" t="str">
        <f>"10/21/2020 18:17:08.734"</f>
        <v>10/21/2020 18:17:08.734</v>
      </c>
      <c r="B231" t="str">
        <f>"18:17:16.664"</f>
        <v>18:17:16.664</v>
      </c>
      <c r="C231" t="str">
        <f>"18:17:16.264"</f>
        <v>18:17:16.264</v>
      </c>
      <c r="D231" t="s">
        <v>100</v>
      </c>
      <c r="E231">
        <v>30.391295</v>
      </c>
      <c r="F231" t="s">
        <v>101</v>
      </c>
      <c r="G231">
        <v>-89.804049000000006</v>
      </c>
      <c r="H231">
        <v>1600</v>
      </c>
      <c r="I231">
        <v>52</v>
      </c>
      <c r="J231">
        <v>97</v>
      </c>
      <c r="K231">
        <v>1024</v>
      </c>
      <c r="L231">
        <v>1200</v>
      </c>
      <c r="M231" t="str">
        <f t="shared" si="7"/>
        <v xml:space="preserve">N35DC   </v>
      </c>
      <c r="N231">
        <v>1</v>
      </c>
      <c r="O231">
        <v>1650</v>
      </c>
    </row>
    <row r="232" spans="1:15" x14ac:dyDescent="0.25">
      <c r="A232" t="str">
        <f>"10/21/2020 18:17:11.710"</f>
        <v>10/21/2020 18:17:11.710</v>
      </c>
      <c r="B232" t="str">
        <f>"18:17:19.648"</f>
        <v>18:17:19.648</v>
      </c>
      <c r="C232" t="str">
        <f>"18:17:19.448"</f>
        <v>18:17:19.448</v>
      </c>
      <c r="D232" t="s">
        <v>102</v>
      </c>
      <c r="E232">
        <v>30.392668</v>
      </c>
      <c r="F232" t="s">
        <v>103</v>
      </c>
      <c r="G232">
        <v>-89.803319000000002</v>
      </c>
      <c r="H232">
        <v>1600</v>
      </c>
      <c r="I232">
        <v>40</v>
      </c>
      <c r="J232">
        <v>100</v>
      </c>
      <c r="K232">
        <v>832</v>
      </c>
      <c r="L232">
        <v>1200</v>
      </c>
      <c r="M232" t="str">
        <f t="shared" si="7"/>
        <v xml:space="preserve">N35DC   </v>
      </c>
      <c r="N232">
        <v>1</v>
      </c>
      <c r="O232">
        <v>1700</v>
      </c>
    </row>
    <row r="233" spans="1:15" x14ac:dyDescent="0.25">
      <c r="A233" t="str">
        <f>"10/21/2020 18:17:11.710"</f>
        <v>10/21/2020 18:17:11.710</v>
      </c>
      <c r="B233" t="str">
        <f>"18:17:19.648"</f>
        <v>18:17:19.648</v>
      </c>
      <c r="C233" t="str">
        <f>"18:17:19.448"</f>
        <v>18:17:19.448</v>
      </c>
      <c r="D233" t="s">
        <v>102</v>
      </c>
      <c r="E233">
        <v>30.392668</v>
      </c>
      <c r="F233" t="s">
        <v>103</v>
      </c>
      <c r="G233">
        <v>-89.803319000000002</v>
      </c>
      <c r="H233">
        <v>1600</v>
      </c>
      <c r="I233">
        <v>40</v>
      </c>
      <c r="J233">
        <v>100</v>
      </c>
      <c r="K233">
        <v>832</v>
      </c>
      <c r="L233">
        <v>1200</v>
      </c>
      <c r="M233" t="str">
        <f t="shared" si="7"/>
        <v xml:space="preserve">N35DC   </v>
      </c>
      <c r="N233">
        <v>1</v>
      </c>
      <c r="O233">
        <v>1700</v>
      </c>
    </row>
    <row r="234" spans="1:15" x14ac:dyDescent="0.25">
      <c r="A234" t="str">
        <f>"10/21/2020 18:17:11.710"</f>
        <v>10/21/2020 18:17:11.710</v>
      </c>
      <c r="B234" t="str">
        <f>"18:17:19.648"</f>
        <v>18:17:19.648</v>
      </c>
      <c r="C234" t="str">
        <f>"18:17:19.448"</f>
        <v>18:17:19.448</v>
      </c>
      <c r="D234" t="s">
        <v>102</v>
      </c>
      <c r="E234">
        <v>30.392668</v>
      </c>
      <c r="F234" t="s">
        <v>103</v>
      </c>
      <c r="G234">
        <v>-89.803319000000002</v>
      </c>
      <c r="H234">
        <v>1600</v>
      </c>
      <c r="I234">
        <v>40</v>
      </c>
      <c r="J234">
        <v>100</v>
      </c>
      <c r="K234">
        <v>832</v>
      </c>
      <c r="L234">
        <v>1200</v>
      </c>
      <c r="M234" t="str">
        <f t="shared" si="7"/>
        <v xml:space="preserve">N35DC   </v>
      </c>
      <c r="N234">
        <v>1</v>
      </c>
      <c r="O234">
        <v>1700</v>
      </c>
    </row>
    <row r="235" spans="1:15" x14ac:dyDescent="0.25">
      <c r="A235" t="str">
        <f>"10/21/2020 18:17:11.710"</f>
        <v>10/21/2020 18:17:11.710</v>
      </c>
      <c r="B235" t="str">
        <f>"18:17:19.648"</f>
        <v>18:17:19.648</v>
      </c>
      <c r="C235" t="str">
        <f>"18:17:19.448"</f>
        <v>18:17:19.448</v>
      </c>
      <c r="D235" t="s">
        <v>102</v>
      </c>
      <c r="E235">
        <v>30.392668</v>
      </c>
      <c r="F235" t="s">
        <v>103</v>
      </c>
      <c r="G235">
        <v>-89.803319000000002</v>
      </c>
      <c r="H235">
        <v>1600</v>
      </c>
      <c r="I235">
        <v>40</v>
      </c>
      <c r="J235">
        <v>100</v>
      </c>
      <c r="K235">
        <v>832</v>
      </c>
      <c r="L235">
        <v>1200</v>
      </c>
      <c r="M235" t="str">
        <f t="shared" si="7"/>
        <v xml:space="preserve">N35DC   </v>
      </c>
      <c r="N235">
        <v>1</v>
      </c>
      <c r="O235">
        <v>1700</v>
      </c>
    </row>
    <row r="236" spans="1:15" x14ac:dyDescent="0.25">
      <c r="A236" t="str">
        <f>"10/21/2020 18:17:11.710"</f>
        <v>10/21/2020 18:17:11.710</v>
      </c>
      <c r="B236" t="str">
        <f>"18:17:19.648"</f>
        <v>18:17:19.648</v>
      </c>
      <c r="C236" t="str">
        <f>"18:17:19.448"</f>
        <v>18:17:19.448</v>
      </c>
      <c r="D236" t="s">
        <v>102</v>
      </c>
      <c r="E236">
        <v>30.392668</v>
      </c>
      <c r="F236" t="s">
        <v>103</v>
      </c>
      <c r="G236">
        <v>-89.803319000000002</v>
      </c>
      <c r="H236">
        <v>1600</v>
      </c>
      <c r="I236">
        <v>40</v>
      </c>
      <c r="J236">
        <v>100</v>
      </c>
      <c r="K236">
        <v>832</v>
      </c>
      <c r="L236">
        <v>1200</v>
      </c>
      <c r="M236" t="str">
        <f t="shared" si="7"/>
        <v xml:space="preserve">N35DC   </v>
      </c>
      <c r="N236">
        <v>1</v>
      </c>
      <c r="O236">
        <v>1700</v>
      </c>
    </row>
    <row r="237" spans="1:15" x14ac:dyDescent="0.25">
      <c r="A237" t="str">
        <f>"10/21/2020 18:17:12.833"</f>
        <v>10/21/2020 18:17:12.833</v>
      </c>
      <c r="B237" t="str">
        <f>"18:17:20.758"</f>
        <v>18:17:20.758</v>
      </c>
      <c r="C237" t="str">
        <f>"18:17:20.558"</f>
        <v>18:17:20.558</v>
      </c>
      <c r="D237" t="s">
        <v>104</v>
      </c>
      <c r="E237">
        <v>30.393162</v>
      </c>
      <c r="F237" t="s">
        <v>105</v>
      </c>
      <c r="G237">
        <v>-89.803126000000006</v>
      </c>
      <c r="H237">
        <v>1600</v>
      </c>
      <c r="I237">
        <v>37</v>
      </c>
      <c r="J237">
        <v>102</v>
      </c>
      <c r="K237">
        <v>704</v>
      </c>
      <c r="L237">
        <v>1200</v>
      </c>
      <c r="M237" t="str">
        <f t="shared" si="7"/>
        <v xml:space="preserve">N35DC   </v>
      </c>
      <c r="N237">
        <v>1</v>
      </c>
      <c r="O237">
        <v>1725</v>
      </c>
    </row>
    <row r="238" spans="1:15" x14ac:dyDescent="0.25">
      <c r="A238" t="str">
        <f>"10/21/2020 18:17:12.833"</f>
        <v>10/21/2020 18:17:12.833</v>
      </c>
      <c r="B238" t="str">
        <f>"18:17:20.758"</f>
        <v>18:17:20.758</v>
      </c>
      <c r="C238" t="str">
        <f>"18:17:20.558"</f>
        <v>18:17:20.558</v>
      </c>
      <c r="D238" t="s">
        <v>104</v>
      </c>
      <c r="E238">
        <v>30.393162</v>
      </c>
      <c r="F238" t="s">
        <v>105</v>
      </c>
      <c r="G238">
        <v>-89.803126000000006</v>
      </c>
      <c r="H238">
        <v>1600</v>
      </c>
      <c r="I238">
        <v>37</v>
      </c>
      <c r="J238">
        <v>102</v>
      </c>
      <c r="K238">
        <v>704</v>
      </c>
      <c r="L238">
        <v>1200</v>
      </c>
      <c r="M238" t="str">
        <f t="shared" si="7"/>
        <v xml:space="preserve">N35DC   </v>
      </c>
      <c r="N238">
        <v>1</v>
      </c>
      <c r="O238">
        <v>1725</v>
      </c>
    </row>
    <row r="239" spans="1:15" x14ac:dyDescent="0.25">
      <c r="A239" t="str">
        <f>"10/21/2020 18:17:12.833"</f>
        <v>10/21/2020 18:17:12.833</v>
      </c>
      <c r="B239" t="str">
        <f>"18:17:20.758"</f>
        <v>18:17:20.758</v>
      </c>
      <c r="C239" t="str">
        <f>"18:17:20.558"</f>
        <v>18:17:20.558</v>
      </c>
      <c r="D239" t="s">
        <v>104</v>
      </c>
      <c r="E239">
        <v>30.393162</v>
      </c>
      <c r="F239" t="s">
        <v>105</v>
      </c>
      <c r="G239">
        <v>-89.803126000000006</v>
      </c>
      <c r="H239">
        <v>1600</v>
      </c>
      <c r="I239">
        <v>37</v>
      </c>
      <c r="J239">
        <v>102</v>
      </c>
      <c r="K239">
        <v>704</v>
      </c>
      <c r="L239">
        <v>1200</v>
      </c>
      <c r="M239" t="str">
        <f t="shared" si="7"/>
        <v xml:space="preserve">N35DC   </v>
      </c>
      <c r="N239">
        <v>1</v>
      </c>
      <c r="O239">
        <v>1725</v>
      </c>
    </row>
    <row r="240" spans="1:15" x14ac:dyDescent="0.25">
      <c r="A240" t="str">
        <f>"10/21/2020 18:17:12.833"</f>
        <v>10/21/2020 18:17:12.833</v>
      </c>
      <c r="B240" t="str">
        <f>"18:17:20.758"</f>
        <v>18:17:20.758</v>
      </c>
      <c r="C240" t="str">
        <f>"18:17:20.558"</f>
        <v>18:17:20.558</v>
      </c>
      <c r="D240" t="s">
        <v>104</v>
      </c>
      <c r="E240">
        <v>30.393162</v>
      </c>
      <c r="F240" t="s">
        <v>105</v>
      </c>
      <c r="G240">
        <v>-89.803126000000006</v>
      </c>
      <c r="H240">
        <v>1600</v>
      </c>
      <c r="I240">
        <v>37</v>
      </c>
      <c r="J240">
        <v>102</v>
      </c>
      <c r="K240">
        <v>704</v>
      </c>
      <c r="L240">
        <v>1200</v>
      </c>
      <c r="M240" t="str">
        <f t="shared" si="7"/>
        <v xml:space="preserve">N35DC   </v>
      </c>
      <c r="N240">
        <v>1</v>
      </c>
      <c r="O240">
        <v>1725</v>
      </c>
    </row>
    <row r="241" spans="1:15" x14ac:dyDescent="0.25">
      <c r="A241" t="str">
        <f>"10/21/2020 18:17:12.833"</f>
        <v>10/21/2020 18:17:12.833</v>
      </c>
      <c r="B241" t="str">
        <f>"18:17:20.758"</f>
        <v>18:17:20.758</v>
      </c>
      <c r="C241" t="str">
        <f>"18:17:20.558"</f>
        <v>18:17:20.558</v>
      </c>
      <c r="D241" t="s">
        <v>104</v>
      </c>
      <c r="E241">
        <v>30.393162</v>
      </c>
      <c r="F241" t="s">
        <v>105</v>
      </c>
      <c r="G241">
        <v>-89.803126000000006</v>
      </c>
      <c r="H241">
        <v>1600</v>
      </c>
      <c r="I241">
        <v>37</v>
      </c>
      <c r="J241">
        <v>102</v>
      </c>
      <c r="K241">
        <v>704</v>
      </c>
      <c r="L241">
        <v>1200</v>
      </c>
      <c r="M241" t="str">
        <f t="shared" si="7"/>
        <v xml:space="preserve">N35DC   </v>
      </c>
      <c r="N241">
        <v>1</v>
      </c>
      <c r="O241">
        <v>1725</v>
      </c>
    </row>
    <row r="242" spans="1:15" x14ac:dyDescent="0.25">
      <c r="A242" t="str">
        <f>"10/21/2020 18:17:14.805"</f>
        <v>10/21/2020 18:17:14.805</v>
      </c>
      <c r="B242" t="str">
        <f>"18:17:22.742"</f>
        <v>18:17:22.742</v>
      </c>
      <c r="C242" t="str">
        <f>"18:17:22.542"</f>
        <v>18:17:22.542</v>
      </c>
      <c r="D242" t="s">
        <v>106</v>
      </c>
      <c r="E242">
        <v>30.394148999999999</v>
      </c>
      <c r="F242" t="s">
        <v>107</v>
      </c>
      <c r="G242">
        <v>-89.802803999999995</v>
      </c>
      <c r="H242">
        <v>1600</v>
      </c>
      <c r="I242">
        <v>33</v>
      </c>
      <c r="J242">
        <v>104</v>
      </c>
      <c r="K242">
        <v>448</v>
      </c>
      <c r="L242">
        <v>1200</v>
      </c>
      <c r="M242" t="str">
        <f t="shared" si="7"/>
        <v xml:space="preserve">N35DC   </v>
      </c>
      <c r="N242">
        <v>1</v>
      </c>
      <c r="O242">
        <v>1725</v>
      </c>
    </row>
    <row r="243" spans="1:15" x14ac:dyDescent="0.25">
      <c r="A243" t="str">
        <f>"10/21/2020 18:17:14.805"</f>
        <v>10/21/2020 18:17:14.805</v>
      </c>
      <c r="B243" t="str">
        <f>"18:17:22.742"</f>
        <v>18:17:22.742</v>
      </c>
      <c r="C243" t="str">
        <f>"18:17:22.542"</f>
        <v>18:17:22.542</v>
      </c>
      <c r="D243" t="s">
        <v>106</v>
      </c>
      <c r="E243">
        <v>30.394148999999999</v>
      </c>
      <c r="F243" t="s">
        <v>107</v>
      </c>
      <c r="G243">
        <v>-89.802803999999995</v>
      </c>
      <c r="H243">
        <v>1600</v>
      </c>
      <c r="I243">
        <v>33</v>
      </c>
      <c r="J243">
        <v>104</v>
      </c>
      <c r="K243">
        <v>448</v>
      </c>
      <c r="L243">
        <v>1200</v>
      </c>
      <c r="M243" t="str">
        <f t="shared" si="7"/>
        <v xml:space="preserve">N35DC   </v>
      </c>
      <c r="N243">
        <v>1</v>
      </c>
      <c r="O243">
        <v>1725</v>
      </c>
    </row>
    <row r="244" spans="1:15" x14ac:dyDescent="0.25">
      <c r="A244" t="str">
        <f>"10/21/2020 18:17:14.805"</f>
        <v>10/21/2020 18:17:14.805</v>
      </c>
      <c r="B244" t="str">
        <f>"18:17:22.742"</f>
        <v>18:17:22.742</v>
      </c>
      <c r="C244" t="str">
        <f>"18:17:22.542"</f>
        <v>18:17:22.542</v>
      </c>
      <c r="D244" t="s">
        <v>106</v>
      </c>
      <c r="E244">
        <v>30.394148999999999</v>
      </c>
      <c r="F244" t="s">
        <v>107</v>
      </c>
      <c r="G244">
        <v>-89.802803999999995</v>
      </c>
      <c r="H244">
        <v>1600</v>
      </c>
      <c r="I244">
        <v>33</v>
      </c>
      <c r="J244">
        <v>104</v>
      </c>
      <c r="K244">
        <v>448</v>
      </c>
      <c r="L244">
        <v>1200</v>
      </c>
      <c r="M244" t="str">
        <f t="shared" si="7"/>
        <v xml:space="preserve">N35DC   </v>
      </c>
      <c r="N244">
        <v>1</v>
      </c>
      <c r="O244">
        <v>1725</v>
      </c>
    </row>
    <row r="245" spans="1:15" x14ac:dyDescent="0.25">
      <c r="A245" t="str">
        <f>"10/21/2020 18:17:14.805"</f>
        <v>10/21/2020 18:17:14.805</v>
      </c>
      <c r="B245" t="str">
        <f>"18:17:22.742"</f>
        <v>18:17:22.742</v>
      </c>
      <c r="C245" t="str">
        <f>"18:17:22.542"</f>
        <v>18:17:22.542</v>
      </c>
      <c r="D245" t="s">
        <v>106</v>
      </c>
      <c r="E245">
        <v>30.394148999999999</v>
      </c>
      <c r="F245" t="s">
        <v>107</v>
      </c>
      <c r="G245">
        <v>-89.802803999999995</v>
      </c>
      <c r="H245">
        <v>1600</v>
      </c>
      <c r="I245">
        <v>33</v>
      </c>
      <c r="J245">
        <v>104</v>
      </c>
      <c r="K245">
        <v>448</v>
      </c>
      <c r="L245">
        <v>1200</v>
      </c>
      <c r="M245" t="str">
        <f t="shared" si="7"/>
        <v xml:space="preserve">N35DC   </v>
      </c>
      <c r="N245">
        <v>1</v>
      </c>
      <c r="O245">
        <v>1725</v>
      </c>
    </row>
    <row r="246" spans="1:15" x14ac:dyDescent="0.25">
      <c r="A246" t="str">
        <f>"10/21/2020 18:17:14.805"</f>
        <v>10/21/2020 18:17:14.805</v>
      </c>
      <c r="B246" t="str">
        <f>"18:17:22.742"</f>
        <v>18:17:22.742</v>
      </c>
      <c r="C246" t="str">
        <f>"18:17:22.542"</f>
        <v>18:17:22.542</v>
      </c>
      <c r="D246" t="s">
        <v>106</v>
      </c>
      <c r="E246">
        <v>30.394148999999999</v>
      </c>
      <c r="F246" t="s">
        <v>107</v>
      </c>
      <c r="G246">
        <v>-89.802803999999995</v>
      </c>
      <c r="H246">
        <v>1600</v>
      </c>
      <c r="I246">
        <v>33</v>
      </c>
      <c r="J246">
        <v>104</v>
      </c>
      <c r="K246">
        <v>448</v>
      </c>
      <c r="L246">
        <v>1200</v>
      </c>
      <c r="M246" t="str">
        <f t="shared" si="7"/>
        <v xml:space="preserve">N35DC   </v>
      </c>
      <c r="N246">
        <v>1</v>
      </c>
      <c r="O246">
        <v>1725</v>
      </c>
    </row>
    <row r="247" spans="1:15" x14ac:dyDescent="0.25">
      <c r="A247" t="str">
        <f>"10/21/2020 18:17:16.886"</f>
        <v>10/21/2020 18:17:16.886</v>
      </c>
      <c r="B247" t="str">
        <f t="shared" ref="B247:C251" si="9">"18:17:24.812"</f>
        <v>18:17:24.812</v>
      </c>
      <c r="C247" t="str">
        <f t="shared" si="9"/>
        <v>18:17:24.812</v>
      </c>
      <c r="D247" t="s">
        <v>108</v>
      </c>
      <c r="E247">
        <v>30.395136000000001</v>
      </c>
      <c r="F247" t="s">
        <v>109</v>
      </c>
      <c r="G247">
        <v>-89.802418000000003</v>
      </c>
      <c r="H247">
        <v>1600</v>
      </c>
      <c r="I247">
        <v>33</v>
      </c>
      <c r="J247">
        <v>106</v>
      </c>
      <c r="K247">
        <v>-192</v>
      </c>
      <c r="L247">
        <v>1200</v>
      </c>
      <c r="M247" t="str">
        <f t="shared" si="7"/>
        <v xml:space="preserve">N35DC   </v>
      </c>
      <c r="N247">
        <v>1</v>
      </c>
      <c r="O247">
        <v>1725</v>
      </c>
    </row>
    <row r="248" spans="1:15" x14ac:dyDescent="0.25">
      <c r="A248" t="str">
        <f>"10/21/2020 18:17:16.886"</f>
        <v>10/21/2020 18:17:16.886</v>
      </c>
      <c r="B248" t="str">
        <f t="shared" si="9"/>
        <v>18:17:24.812</v>
      </c>
      <c r="C248" t="str">
        <f t="shared" si="9"/>
        <v>18:17:24.812</v>
      </c>
      <c r="D248" t="s">
        <v>108</v>
      </c>
      <c r="E248">
        <v>30.395136000000001</v>
      </c>
      <c r="F248" t="s">
        <v>109</v>
      </c>
      <c r="G248">
        <v>-89.802418000000003</v>
      </c>
      <c r="H248">
        <v>1600</v>
      </c>
      <c r="I248">
        <v>33</v>
      </c>
      <c r="J248">
        <v>106</v>
      </c>
      <c r="K248">
        <v>-192</v>
      </c>
      <c r="L248">
        <v>1200</v>
      </c>
      <c r="M248" t="str">
        <f t="shared" si="7"/>
        <v xml:space="preserve">N35DC   </v>
      </c>
      <c r="N248">
        <v>1</v>
      </c>
      <c r="O248">
        <v>1725</v>
      </c>
    </row>
    <row r="249" spans="1:15" x14ac:dyDescent="0.25">
      <c r="A249" t="str">
        <f>"10/21/2020 18:17:16.886"</f>
        <v>10/21/2020 18:17:16.886</v>
      </c>
      <c r="B249" t="str">
        <f t="shared" si="9"/>
        <v>18:17:24.812</v>
      </c>
      <c r="C249" t="str">
        <f t="shared" si="9"/>
        <v>18:17:24.812</v>
      </c>
      <c r="D249" t="s">
        <v>108</v>
      </c>
      <c r="E249">
        <v>30.395136000000001</v>
      </c>
      <c r="F249" t="s">
        <v>109</v>
      </c>
      <c r="G249">
        <v>-89.802418000000003</v>
      </c>
      <c r="H249">
        <v>1600</v>
      </c>
      <c r="I249">
        <v>33</v>
      </c>
      <c r="J249">
        <v>106</v>
      </c>
      <c r="K249">
        <v>-192</v>
      </c>
      <c r="L249">
        <v>1200</v>
      </c>
      <c r="M249" t="str">
        <f t="shared" si="7"/>
        <v xml:space="preserve">N35DC   </v>
      </c>
      <c r="N249">
        <v>1</v>
      </c>
      <c r="O249">
        <v>1725</v>
      </c>
    </row>
    <row r="250" spans="1:15" x14ac:dyDescent="0.25">
      <c r="A250" t="str">
        <f>"10/21/2020 18:17:16.886"</f>
        <v>10/21/2020 18:17:16.886</v>
      </c>
      <c r="B250" t="str">
        <f t="shared" si="9"/>
        <v>18:17:24.812</v>
      </c>
      <c r="C250" t="str">
        <f t="shared" si="9"/>
        <v>18:17:24.812</v>
      </c>
      <c r="D250" t="s">
        <v>108</v>
      </c>
      <c r="E250">
        <v>30.395136000000001</v>
      </c>
      <c r="F250" t="s">
        <v>109</v>
      </c>
      <c r="G250">
        <v>-89.802418000000003</v>
      </c>
      <c r="H250">
        <v>1600</v>
      </c>
      <c r="I250">
        <v>33</v>
      </c>
      <c r="J250">
        <v>106</v>
      </c>
      <c r="K250">
        <v>-192</v>
      </c>
      <c r="L250">
        <v>1200</v>
      </c>
      <c r="M250" t="str">
        <f t="shared" si="7"/>
        <v xml:space="preserve">N35DC   </v>
      </c>
      <c r="N250">
        <v>1</v>
      </c>
      <c r="O250">
        <v>1725</v>
      </c>
    </row>
    <row r="251" spans="1:15" x14ac:dyDescent="0.25">
      <c r="A251" t="str">
        <f>"10/21/2020 18:17:16.886"</f>
        <v>10/21/2020 18:17:16.886</v>
      </c>
      <c r="B251" t="str">
        <f t="shared" si="9"/>
        <v>18:17:24.812</v>
      </c>
      <c r="C251" t="str">
        <f t="shared" si="9"/>
        <v>18:17:24.812</v>
      </c>
      <c r="D251" t="s">
        <v>108</v>
      </c>
      <c r="E251">
        <v>30.395136000000001</v>
      </c>
      <c r="F251" t="s">
        <v>109</v>
      </c>
      <c r="G251">
        <v>-89.802418000000003</v>
      </c>
      <c r="H251">
        <v>1600</v>
      </c>
      <c r="I251">
        <v>33</v>
      </c>
      <c r="J251">
        <v>106</v>
      </c>
      <c r="K251">
        <v>-192</v>
      </c>
      <c r="L251">
        <v>1200</v>
      </c>
      <c r="M251" t="str">
        <f t="shared" si="7"/>
        <v xml:space="preserve">N35DC   </v>
      </c>
      <c r="N251">
        <v>1</v>
      </c>
      <c r="O251">
        <v>1725</v>
      </c>
    </row>
    <row r="252" spans="1:15" x14ac:dyDescent="0.25">
      <c r="A252" t="str">
        <f>"10/21/2020 18:17:17.943"</f>
        <v>10/21/2020 18:17:17.943</v>
      </c>
      <c r="B252" t="str">
        <f>"18:17:25.891"</f>
        <v>18:17:25.891</v>
      </c>
      <c r="C252" t="str">
        <f>"18:17:25.391"</f>
        <v>18:17:25.391</v>
      </c>
      <c r="D252" t="s">
        <v>110</v>
      </c>
      <c r="E252">
        <v>30.395672000000001</v>
      </c>
      <c r="F252" t="s">
        <v>111</v>
      </c>
      <c r="G252">
        <v>-89.802182000000002</v>
      </c>
      <c r="H252">
        <v>1600</v>
      </c>
      <c r="I252">
        <v>34</v>
      </c>
      <c r="J252">
        <v>106</v>
      </c>
      <c r="K252">
        <v>-256</v>
      </c>
      <c r="L252">
        <v>1200</v>
      </c>
      <c r="M252" t="str">
        <f t="shared" si="7"/>
        <v xml:space="preserve">N35DC   </v>
      </c>
      <c r="N252">
        <v>1</v>
      </c>
      <c r="O252">
        <v>1725</v>
      </c>
    </row>
    <row r="253" spans="1:15" x14ac:dyDescent="0.25">
      <c r="A253" t="str">
        <f>"10/21/2020 18:17:17.943"</f>
        <v>10/21/2020 18:17:17.943</v>
      </c>
      <c r="B253" t="str">
        <f>"18:17:25.891"</f>
        <v>18:17:25.891</v>
      </c>
      <c r="C253" t="str">
        <f>"18:17:25.391"</f>
        <v>18:17:25.391</v>
      </c>
      <c r="D253" t="s">
        <v>110</v>
      </c>
      <c r="E253">
        <v>30.395672000000001</v>
      </c>
      <c r="F253" t="s">
        <v>111</v>
      </c>
      <c r="G253">
        <v>-89.802182000000002</v>
      </c>
      <c r="H253">
        <v>1600</v>
      </c>
      <c r="I253">
        <v>34</v>
      </c>
      <c r="J253">
        <v>106</v>
      </c>
      <c r="K253">
        <v>-256</v>
      </c>
      <c r="L253">
        <v>1200</v>
      </c>
      <c r="M253" t="str">
        <f t="shared" si="7"/>
        <v xml:space="preserve">N35DC   </v>
      </c>
      <c r="N253">
        <v>1</v>
      </c>
      <c r="O253">
        <v>1725</v>
      </c>
    </row>
    <row r="254" spans="1:15" x14ac:dyDescent="0.25">
      <c r="A254" t="str">
        <f>"10/21/2020 18:17:17.943"</f>
        <v>10/21/2020 18:17:17.943</v>
      </c>
      <c r="B254" t="str">
        <f>"18:17:25.891"</f>
        <v>18:17:25.891</v>
      </c>
      <c r="C254" t="str">
        <f>"18:17:25.391"</f>
        <v>18:17:25.391</v>
      </c>
      <c r="D254" t="s">
        <v>110</v>
      </c>
      <c r="E254">
        <v>30.395672000000001</v>
      </c>
      <c r="F254" t="s">
        <v>111</v>
      </c>
      <c r="G254">
        <v>-89.802182000000002</v>
      </c>
      <c r="H254">
        <v>1600</v>
      </c>
      <c r="I254">
        <v>34</v>
      </c>
      <c r="J254">
        <v>106</v>
      </c>
      <c r="K254">
        <v>-256</v>
      </c>
      <c r="L254">
        <v>1200</v>
      </c>
      <c r="M254" t="str">
        <f t="shared" si="7"/>
        <v xml:space="preserve">N35DC   </v>
      </c>
      <c r="N254">
        <v>1</v>
      </c>
      <c r="O254">
        <v>1725</v>
      </c>
    </row>
    <row r="255" spans="1:15" x14ac:dyDescent="0.25">
      <c r="A255" t="str">
        <f>"10/21/2020 18:17:17.943"</f>
        <v>10/21/2020 18:17:17.943</v>
      </c>
      <c r="B255" t="str">
        <f>"18:17:25.891"</f>
        <v>18:17:25.891</v>
      </c>
      <c r="C255" t="str">
        <f>"18:17:25.391"</f>
        <v>18:17:25.391</v>
      </c>
      <c r="D255" t="s">
        <v>110</v>
      </c>
      <c r="E255">
        <v>30.395672000000001</v>
      </c>
      <c r="F255" t="s">
        <v>111</v>
      </c>
      <c r="G255">
        <v>-89.802182000000002</v>
      </c>
      <c r="H255">
        <v>1600</v>
      </c>
      <c r="I255">
        <v>34</v>
      </c>
      <c r="J255">
        <v>106</v>
      </c>
      <c r="K255">
        <v>-256</v>
      </c>
      <c r="L255">
        <v>1200</v>
      </c>
      <c r="M255" t="str">
        <f t="shared" si="7"/>
        <v xml:space="preserve">N35DC   </v>
      </c>
      <c r="N255">
        <v>1</v>
      </c>
      <c r="O255">
        <v>1725</v>
      </c>
    </row>
    <row r="256" spans="1:15" x14ac:dyDescent="0.25">
      <c r="A256" t="str">
        <f>"10/21/2020 18:17:17.943"</f>
        <v>10/21/2020 18:17:17.943</v>
      </c>
      <c r="B256" t="str">
        <f>"18:17:25.891"</f>
        <v>18:17:25.891</v>
      </c>
      <c r="C256" t="str">
        <f>"18:17:25.391"</f>
        <v>18:17:25.391</v>
      </c>
      <c r="D256" t="s">
        <v>110</v>
      </c>
      <c r="E256">
        <v>30.395672000000001</v>
      </c>
      <c r="F256" t="s">
        <v>111</v>
      </c>
      <c r="G256">
        <v>-89.802182000000002</v>
      </c>
      <c r="H256">
        <v>1600</v>
      </c>
      <c r="I256">
        <v>34</v>
      </c>
      <c r="J256">
        <v>106</v>
      </c>
      <c r="K256">
        <v>-256</v>
      </c>
      <c r="L256">
        <v>1200</v>
      </c>
      <c r="M256" t="str">
        <f t="shared" si="7"/>
        <v xml:space="preserve">N35DC   </v>
      </c>
      <c r="N256">
        <v>1</v>
      </c>
      <c r="O256">
        <v>1725</v>
      </c>
    </row>
    <row r="257" spans="1:15" x14ac:dyDescent="0.25">
      <c r="A257" t="str">
        <f>"10/21/2020 18:17:21.819"</f>
        <v>10/21/2020 18:17:21.819</v>
      </c>
      <c r="B257" t="str">
        <f>"18:17:29.758"</f>
        <v>18:17:29.758</v>
      </c>
      <c r="C257" t="str">
        <f>"18:17:29.558"</f>
        <v>18:17:29.558</v>
      </c>
      <c r="D257" t="s">
        <v>112</v>
      </c>
      <c r="E257">
        <v>30.397604000000001</v>
      </c>
      <c r="F257" t="s">
        <v>113</v>
      </c>
      <c r="G257">
        <v>-89.801388000000003</v>
      </c>
      <c r="H257">
        <v>1600</v>
      </c>
      <c r="I257">
        <v>43</v>
      </c>
      <c r="J257">
        <v>109</v>
      </c>
      <c r="K257">
        <v>-512</v>
      </c>
      <c r="L257">
        <v>1200</v>
      </c>
      <c r="M257" t="str">
        <f t="shared" si="7"/>
        <v xml:space="preserve">N35DC   </v>
      </c>
      <c r="N257">
        <v>1</v>
      </c>
      <c r="O257">
        <v>1700</v>
      </c>
    </row>
    <row r="258" spans="1:15" x14ac:dyDescent="0.25">
      <c r="A258" t="str">
        <f>"10/21/2020 18:17:21.819"</f>
        <v>10/21/2020 18:17:21.819</v>
      </c>
      <c r="B258" t="str">
        <f>"18:17:29.758"</f>
        <v>18:17:29.758</v>
      </c>
      <c r="C258" t="str">
        <f>"18:17:29.558"</f>
        <v>18:17:29.558</v>
      </c>
      <c r="D258" t="s">
        <v>112</v>
      </c>
      <c r="E258">
        <v>30.397604000000001</v>
      </c>
      <c r="F258" t="s">
        <v>113</v>
      </c>
      <c r="G258">
        <v>-89.801388000000003</v>
      </c>
      <c r="H258">
        <v>1600</v>
      </c>
      <c r="I258">
        <v>43</v>
      </c>
      <c r="J258">
        <v>109</v>
      </c>
      <c r="K258">
        <v>-512</v>
      </c>
      <c r="L258">
        <v>1200</v>
      </c>
      <c r="M258" t="str">
        <f t="shared" si="7"/>
        <v xml:space="preserve">N35DC   </v>
      </c>
      <c r="N258">
        <v>1</v>
      </c>
      <c r="O258">
        <v>1700</v>
      </c>
    </row>
    <row r="259" spans="1:15" x14ac:dyDescent="0.25">
      <c r="A259" t="str">
        <f>"10/21/2020 18:17:21.819"</f>
        <v>10/21/2020 18:17:21.819</v>
      </c>
      <c r="B259" t="str">
        <f>"18:17:29.758"</f>
        <v>18:17:29.758</v>
      </c>
      <c r="C259" t="str">
        <f>"18:17:29.558"</f>
        <v>18:17:29.558</v>
      </c>
      <c r="D259" t="s">
        <v>112</v>
      </c>
      <c r="E259">
        <v>30.397604000000001</v>
      </c>
      <c r="F259" t="s">
        <v>113</v>
      </c>
      <c r="G259">
        <v>-89.801388000000003</v>
      </c>
      <c r="H259">
        <v>1600</v>
      </c>
      <c r="I259">
        <v>43</v>
      </c>
      <c r="J259">
        <v>109</v>
      </c>
      <c r="K259">
        <v>-512</v>
      </c>
      <c r="L259">
        <v>1200</v>
      </c>
      <c r="M259" t="str">
        <f t="shared" si="7"/>
        <v xml:space="preserve">N35DC   </v>
      </c>
      <c r="N259">
        <v>1</v>
      </c>
      <c r="O259">
        <v>1700</v>
      </c>
    </row>
    <row r="260" spans="1:15" x14ac:dyDescent="0.25">
      <c r="A260" t="str">
        <f>"10/21/2020 18:17:21.819"</f>
        <v>10/21/2020 18:17:21.819</v>
      </c>
      <c r="B260" t="str">
        <f>"18:17:29.758"</f>
        <v>18:17:29.758</v>
      </c>
      <c r="C260" t="str">
        <f>"18:17:29.558"</f>
        <v>18:17:29.558</v>
      </c>
      <c r="D260" t="s">
        <v>112</v>
      </c>
      <c r="E260">
        <v>30.397604000000001</v>
      </c>
      <c r="F260" t="s">
        <v>113</v>
      </c>
      <c r="G260">
        <v>-89.801388000000003</v>
      </c>
      <c r="H260">
        <v>1600</v>
      </c>
      <c r="I260">
        <v>43</v>
      </c>
      <c r="J260">
        <v>109</v>
      </c>
      <c r="K260">
        <v>-512</v>
      </c>
      <c r="L260">
        <v>1200</v>
      </c>
      <c r="M260" t="str">
        <f t="shared" si="7"/>
        <v xml:space="preserve">N35DC   </v>
      </c>
      <c r="N260">
        <v>1</v>
      </c>
      <c r="O260">
        <v>1700</v>
      </c>
    </row>
    <row r="261" spans="1:15" x14ac:dyDescent="0.25">
      <c r="A261" t="str">
        <f>"10/21/2020 18:17:21.819"</f>
        <v>10/21/2020 18:17:21.819</v>
      </c>
      <c r="B261" t="str">
        <f>"18:17:29.758"</f>
        <v>18:17:29.758</v>
      </c>
      <c r="C261" t="str">
        <f>"18:17:29.558"</f>
        <v>18:17:29.558</v>
      </c>
      <c r="D261" t="s">
        <v>112</v>
      </c>
      <c r="E261">
        <v>30.397604000000001</v>
      </c>
      <c r="F261" t="s">
        <v>113</v>
      </c>
      <c r="G261">
        <v>-89.801388000000003</v>
      </c>
      <c r="H261">
        <v>1600</v>
      </c>
      <c r="I261">
        <v>43</v>
      </c>
      <c r="J261">
        <v>109</v>
      </c>
      <c r="K261">
        <v>-512</v>
      </c>
      <c r="L261">
        <v>1200</v>
      </c>
      <c r="M261" t="str">
        <f t="shared" si="7"/>
        <v xml:space="preserve">N35DC   </v>
      </c>
      <c r="N261">
        <v>1</v>
      </c>
      <c r="O261">
        <v>1700</v>
      </c>
    </row>
    <row r="262" spans="1:15" x14ac:dyDescent="0.25">
      <c r="A262" t="str">
        <f>"10/21/2020 18:17:26.893"</f>
        <v>10/21/2020 18:17:26.893</v>
      </c>
      <c r="B262" t="str">
        <f>"18:17:34.828"</f>
        <v>18:17:34.828</v>
      </c>
      <c r="C262" t="str">
        <f>"18:17:34.528"</f>
        <v>18:17:34.528</v>
      </c>
      <c r="D262" t="s">
        <v>114</v>
      </c>
      <c r="E262">
        <v>30.400220999999998</v>
      </c>
      <c r="F262" t="s">
        <v>115</v>
      </c>
      <c r="G262">
        <v>-89.800036000000006</v>
      </c>
      <c r="H262">
        <v>1600</v>
      </c>
      <c r="I262">
        <v>52</v>
      </c>
      <c r="J262">
        <v>110</v>
      </c>
      <c r="K262">
        <v>-64</v>
      </c>
      <c r="L262">
        <v>1200</v>
      </c>
      <c r="M262" t="str">
        <f t="shared" si="7"/>
        <v xml:space="preserve">N35DC   </v>
      </c>
      <c r="N262">
        <v>1</v>
      </c>
      <c r="O262">
        <v>1700</v>
      </c>
    </row>
    <row r="263" spans="1:15" x14ac:dyDescent="0.25">
      <c r="A263" t="str">
        <f>"10/21/2020 18:17:26.893"</f>
        <v>10/21/2020 18:17:26.893</v>
      </c>
      <c r="B263" t="str">
        <f>"18:17:34.828"</f>
        <v>18:17:34.828</v>
      </c>
      <c r="C263" t="str">
        <f>"18:17:34.528"</f>
        <v>18:17:34.528</v>
      </c>
      <c r="D263" t="s">
        <v>114</v>
      </c>
      <c r="E263">
        <v>30.400220999999998</v>
      </c>
      <c r="F263" t="s">
        <v>115</v>
      </c>
      <c r="G263">
        <v>-89.800036000000006</v>
      </c>
      <c r="H263">
        <v>1600</v>
      </c>
      <c r="I263">
        <v>52</v>
      </c>
      <c r="J263">
        <v>110</v>
      </c>
      <c r="K263">
        <v>-64</v>
      </c>
      <c r="L263">
        <v>1200</v>
      </c>
      <c r="M263" t="str">
        <f t="shared" ref="M263:M326" si="10">"N35DC   "</f>
        <v xml:space="preserve">N35DC   </v>
      </c>
      <c r="N263">
        <v>1</v>
      </c>
      <c r="O263">
        <v>1700</v>
      </c>
    </row>
    <row r="264" spans="1:15" x14ac:dyDescent="0.25">
      <c r="A264" t="str">
        <f>"10/21/2020 18:17:26.893"</f>
        <v>10/21/2020 18:17:26.893</v>
      </c>
      <c r="B264" t="str">
        <f>"18:17:34.828"</f>
        <v>18:17:34.828</v>
      </c>
      <c r="C264" t="str">
        <f>"18:17:34.528"</f>
        <v>18:17:34.528</v>
      </c>
      <c r="D264" t="s">
        <v>114</v>
      </c>
      <c r="E264">
        <v>30.400220999999998</v>
      </c>
      <c r="F264" t="s">
        <v>115</v>
      </c>
      <c r="G264">
        <v>-89.800036000000006</v>
      </c>
      <c r="H264">
        <v>1600</v>
      </c>
      <c r="I264">
        <v>52</v>
      </c>
      <c r="J264">
        <v>110</v>
      </c>
      <c r="K264">
        <v>-64</v>
      </c>
      <c r="L264">
        <v>1200</v>
      </c>
      <c r="M264" t="str">
        <f t="shared" si="10"/>
        <v xml:space="preserve">N35DC   </v>
      </c>
      <c r="N264">
        <v>1</v>
      </c>
      <c r="O264">
        <v>1700</v>
      </c>
    </row>
    <row r="265" spans="1:15" x14ac:dyDescent="0.25">
      <c r="A265" t="str">
        <f>"10/21/2020 18:17:26.893"</f>
        <v>10/21/2020 18:17:26.893</v>
      </c>
      <c r="B265" t="str">
        <f>"18:17:34.828"</f>
        <v>18:17:34.828</v>
      </c>
      <c r="C265" t="str">
        <f>"18:17:34.528"</f>
        <v>18:17:34.528</v>
      </c>
      <c r="D265" t="s">
        <v>114</v>
      </c>
      <c r="E265">
        <v>30.400220999999998</v>
      </c>
      <c r="F265" t="s">
        <v>115</v>
      </c>
      <c r="G265">
        <v>-89.800036000000006</v>
      </c>
      <c r="H265">
        <v>1600</v>
      </c>
      <c r="I265">
        <v>52</v>
      </c>
      <c r="J265">
        <v>110</v>
      </c>
      <c r="K265">
        <v>-64</v>
      </c>
      <c r="L265">
        <v>1200</v>
      </c>
      <c r="M265" t="str">
        <f t="shared" si="10"/>
        <v xml:space="preserve">N35DC   </v>
      </c>
      <c r="N265">
        <v>1</v>
      </c>
      <c r="O265">
        <v>1700</v>
      </c>
    </row>
    <row r="266" spans="1:15" x14ac:dyDescent="0.25">
      <c r="A266" t="str">
        <f>"10/21/2020 18:17:26.893"</f>
        <v>10/21/2020 18:17:26.893</v>
      </c>
      <c r="B266" t="str">
        <f>"18:17:34.828"</f>
        <v>18:17:34.828</v>
      </c>
      <c r="C266" t="str">
        <f>"18:17:34.528"</f>
        <v>18:17:34.528</v>
      </c>
      <c r="D266" t="s">
        <v>114</v>
      </c>
      <c r="E266">
        <v>30.400220999999998</v>
      </c>
      <c r="F266" t="s">
        <v>115</v>
      </c>
      <c r="G266">
        <v>-89.800036000000006</v>
      </c>
      <c r="H266">
        <v>1600</v>
      </c>
      <c r="I266">
        <v>52</v>
      </c>
      <c r="J266">
        <v>110</v>
      </c>
      <c r="K266">
        <v>-64</v>
      </c>
      <c r="L266">
        <v>1200</v>
      </c>
      <c r="M266" t="str">
        <f t="shared" si="10"/>
        <v xml:space="preserve">N35DC   </v>
      </c>
      <c r="N266">
        <v>1</v>
      </c>
      <c r="O266">
        <v>1700</v>
      </c>
    </row>
    <row r="267" spans="1:15" x14ac:dyDescent="0.25">
      <c r="A267" t="str">
        <f>"10/21/2020 18:17:28.044"</f>
        <v>10/21/2020 18:17:28.044</v>
      </c>
      <c r="B267" t="str">
        <f>"18:17:35.937"</f>
        <v>18:17:35.937</v>
      </c>
      <c r="C267" t="str">
        <f>"18:17:35.538"</f>
        <v>18:17:35.538</v>
      </c>
      <c r="D267" t="s">
        <v>116</v>
      </c>
      <c r="E267">
        <v>30.400801000000001</v>
      </c>
      <c r="F267" t="s">
        <v>117</v>
      </c>
      <c r="G267">
        <v>-89.799713999999994</v>
      </c>
      <c r="H267">
        <v>1600</v>
      </c>
      <c r="I267">
        <v>52</v>
      </c>
      <c r="J267">
        <v>111</v>
      </c>
      <c r="K267">
        <v>64</v>
      </c>
      <c r="L267">
        <v>1200</v>
      </c>
      <c r="M267" t="str">
        <f t="shared" si="10"/>
        <v xml:space="preserve">N35DC   </v>
      </c>
      <c r="N267">
        <v>1</v>
      </c>
      <c r="O267">
        <v>1700</v>
      </c>
    </row>
    <row r="268" spans="1:15" x14ac:dyDescent="0.25">
      <c r="A268" t="str">
        <f>"10/21/2020 18:17:28.044"</f>
        <v>10/21/2020 18:17:28.044</v>
      </c>
      <c r="B268" t="str">
        <f>"18:17:35.937"</f>
        <v>18:17:35.937</v>
      </c>
      <c r="C268" t="str">
        <f>"18:17:35.538"</f>
        <v>18:17:35.538</v>
      </c>
      <c r="D268" t="s">
        <v>116</v>
      </c>
      <c r="E268">
        <v>30.400801000000001</v>
      </c>
      <c r="F268" t="s">
        <v>117</v>
      </c>
      <c r="G268">
        <v>-89.799713999999994</v>
      </c>
      <c r="H268">
        <v>1600</v>
      </c>
      <c r="I268">
        <v>52</v>
      </c>
      <c r="J268">
        <v>111</v>
      </c>
      <c r="K268">
        <v>64</v>
      </c>
      <c r="L268">
        <v>1200</v>
      </c>
      <c r="M268" t="str">
        <f t="shared" si="10"/>
        <v xml:space="preserve">N35DC   </v>
      </c>
      <c r="N268">
        <v>1</v>
      </c>
      <c r="O268">
        <v>1700</v>
      </c>
    </row>
    <row r="269" spans="1:15" x14ac:dyDescent="0.25">
      <c r="A269" t="str">
        <f>"10/21/2020 18:17:28.044"</f>
        <v>10/21/2020 18:17:28.044</v>
      </c>
      <c r="B269" t="str">
        <f>"18:17:35.937"</f>
        <v>18:17:35.937</v>
      </c>
      <c r="C269" t="str">
        <f>"18:17:35.538"</f>
        <v>18:17:35.538</v>
      </c>
      <c r="D269" t="s">
        <v>116</v>
      </c>
      <c r="E269">
        <v>30.400801000000001</v>
      </c>
      <c r="F269" t="s">
        <v>117</v>
      </c>
      <c r="G269">
        <v>-89.799713999999994</v>
      </c>
      <c r="H269">
        <v>1600</v>
      </c>
      <c r="I269">
        <v>52</v>
      </c>
      <c r="J269">
        <v>111</v>
      </c>
      <c r="K269">
        <v>64</v>
      </c>
      <c r="L269">
        <v>1200</v>
      </c>
      <c r="M269" t="str">
        <f t="shared" si="10"/>
        <v xml:space="preserve">N35DC   </v>
      </c>
      <c r="N269">
        <v>1</v>
      </c>
      <c r="O269">
        <v>1700</v>
      </c>
    </row>
    <row r="270" spans="1:15" x14ac:dyDescent="0.25">
      <c r="A270" t="str">
        <f>"10/21/2020 18:17:28.044"</f>
        <v>10/21/2020 18:17:28.044</v>
      </c>
      <c r="B270" t="str">
        <f>"18:17:35.937"</f>
        <v>18:17:35.937</v>
      </c>
      <c r="C270" t="str">
        <f>"18:17:35.538"</f>
        <v>18:17:35.538</v>
      </c>
      <c r="D270" t="s">
        <v>116</v>
      </c>
      <c r="E270">
        <v>30.400801000000001</v>
      </c>
      <c r="F270" t="s">
        <v>117</v>
      </c>
      <c r="G270">
        <v>-89.799713999999994</v>
      </c>
      <c r="H270">
        <v>1600</v>
      </c>
      <c r="I270">
        <v>52</v>
      </c>
      <c r="J270">
        <v>111</v>
      </c>
      <c r="K270">
        <v>64</v>
      </c>
      <c r="L270">
        <v>1200</v>
      </c>
      <c r="M270" t="str">
        <f t="shared" si="10"/>
        <v xml:space="preserve">N35DC   </v>
      </c>
      <c r="N270">
        <v>1</v>
      </c>
      <c r="O270">
        <v>1700</v>
      </c>
    </row>
    <row r="271" spans="1:15" x14ac:dyDescent="0.25">
      <c r="A271" t="str">
        <f>"10/21/2020 18:17:28.044"</f>
        <v>10/21/2020 18:17:28.044</v>
      </c>
      <c r="B271" t="str">
        <f>"18:17:35.937"</f>
        <v>18:17:35.937</v>
      </c>
      <c r="C271" t="str">
        <f>"18:17:35.538"</f>
        <v>18:17:35.538</v>
      </c>
      <c r="D271" t="s">
        <v>116</v>
      </c>
      <c r="E271">
        <v>30.400801000000001</v>
      </c>
      <c r="F271" t="s">
        <v>117</v>
      </c>
      <c r="G271">
        <v>-89.799713999999994</v>
      </c>
      <c r="H271">
        <v>1600</v>
      </c>
      <c r="I271">
        <v>52</v>
      </c>
      <c r="J271">
        <v>111</v>
      </c>
      <c r="K271">
        <v>64</v>
      </c>
      <c r="L271">
        <v>1200</v>
      </c>
      <c r="M271" t="str">
        <f t="shared" si="10"/>
        <v xml:space="preserve">N35DC   </v>
      </c>
      <c r="N271">
        <v>1</v>
      </c>
      <c r="O271">
        <v>1700</v>
      </c>
    </row>
    <row r="272" spans="1:15" x14ac:dyDescent="0.25">
      <c r="A272" t="str">
        <f>"10/21/2020 18:17:29.923"</f>
        <v>10/21/2020 18:17:29.923</v>
      </c>
      <c r="B272" t="str">
        <f>"18:17:37.859"</f>
        <v>18:17:37.859</v>
      </c>
      <c r="C272" t="str">
        <f>"18:17:37.759"</f>
        <v>18:17:37.759</v>
      </c>
      <c r="D272" t="s">
        <v>118</v>
      </c>
      <c r="E272">
        <v>30.401765999999999</v>
      </c>
      <c r="F272" t="s">
        <v>119</v>
      </c>
      <c r="G272">
        <v>-89.799221000000003</v>
      </c>
      <c r="H272">
        <v>1600</v>
      </c>
      <c r="I272">
        <v>53</v>
      </c>
      <c r="J272">
        <v>111</v>
      </c>
      <c r="K272">
        <v>256</v>
      </c>
      <c r="L272">
        <v>1200</v>
      </c>
      <c r="M272" t="str">
        <f t="shared" si="10"/>
        <v xml:space="preserve">N35DC   </v>
      </c>
      <c r="N272">
        <v>1</v>
      </c>
      <c r="O272">
        <v>1700</v>
      </c>
    </row>
    <row r="273" spans="1:15" x14ac:dyDescent="0.25">
      <c r="A273" t="str">
        <f>"10/21/2020 18:17:29.923"</f>
        <v>10/21/2020 18:17:29.923</v>
      </c>
      <c r="B273" t="str">
        <f>"18:17:37.859"</f>
        <v>18:17:37.859</v>
      </c>
      <c r="C273" t="str">
        <f>"18:17:37.759"</f>
        <v>18:17:37.759</v>
      </c>
      <c r="D273" t="s">
        <v>118</v>
      </c>
      <c r="E273">
        <v>30.401765999999999</v>
      </c>
      <c r="F273" t="s">
        <v>119</v>
      </c>
      <c r="G273">
        <v>-89.799221000000003</v>
      </c>
      <c r="H273">
        <v>1600</v>
      </c>
      <c r="I273">
        <v>53</v>
      </c>
      <c r="J273">
        <v>111</v>
      </c>
      <c r="K273">
        <v>256</v>
      </c>
      <c r="L273">
        <v>1200</v>
      </c>
      <c r="M273" t="str">
        <f t="shared" si="10"/>
        <v xml:space="preserve">N35DC   </v>
      </c>
      <c r="N273">
        <v>1</v>
      </c>
      <c r="O273">
        <v>1700</v>
      </c>
    </row>
    <row r="274" spans="1:15" x14ac:dyDescent="0.25">
      <c r="A274" t="str">
        <f>"10/21/2020 18:17:29.923"</f>
        <v>10/21/2020 18:17:29.923</v>
      </c>
      <c r="B274" t="str">
        <f>"18:17:37.859"</f>
        <v>18:17:37.859</v>
      </c>
      <c r="C274" t="str">
        <f>"18:17:37.759"</f>
        <v>18:17:37.759</v>
      </c>
      <c r="D274" t="s">
        <v>118</v>
      </c>
      <c r="E274">
        <v>30.401765999999999</v>
      </c>
      <c r="F274" t="s">
        <v>119</v>
      </c>
      <c r="G274">
        <v>-89.799221000000003</v>
      </c>
      <c r="H274">
        <v>1600</v>
      </c>
      <c r="I274">
        <v>53</v>
      </c>
      <c r="J274">
        <v>111</v>
      </c>
      <c r="K274">
        <v>256</v>
      </c>
      <c r="L274">
        <v>1200</v>
      </c>
      <c r="M274" t="str">
        <f t="shared" si="10"/>
        <v xml:space="preserve">N35DC   </v>
      </c>
      <c r="N274">
        <v>1</v>
      </c>
      <c r="O274">
        <v>1700</v>
      </c>
    </row>
    <row r="275" spans="1:15" x14ac:dyDescent="0.25">
      <c r="A275" t="str">
        <f>"10/21/2020 18:17:29.923"</f>
        <v>10/21/2020 18:17:29.923</v>
      </c>
      <c r="B275" t="str">
        <f>"18:17:37.859"</f>
        <v>18:17:37.859</v>
      </c>
      <c r="C275" t="str">
        <f>"18:17:37.759"</f>
        <v>18:17:37.759</v>
      </c>
      <c r="D275" t="s">
        <v>118</v>
      </c>
      <c r="E275">
        <v>30.401765999999999</v>
      </c>
      <c r="F275" t="s">
        <v>119</v>
      </c>
      <c r="G275">
        <v>-89.799221000000003</v>
      </c>
      <c r="H275">
        <v>1600</v>
      </c>
      <c r="I275">
        <v>53</v>
      </c>
      <c r="J275">
        <v>111</v>
      </c>
      <c r="K275">
        <v>256</v>
      </c>
      <c r="L275">
        <v>1200</v>
      </c>
      <c r="M275" t="str">
        <f t="shared" si="10"/>
        <v xml:space="preserve">N35DC   </v>
      </c>
      <c r="N275">
        <v>1</v>
      </c>
      <c r="O275">
        <v>1700</v>
      </c>
    </row>
    <row r="276" spans="1:15" x14ac:dyDescent="0.25">
      <c r="A276" t="str">
        <f>"10/21/2020 18:17:29.923"</f>
        <v>10/21/2020 18:17:29.923</v>
      </c>
      <c r="B276" t="str">
        <f>"18:17:37.859"</f>
        <v>18:17:37.859</v>
      </c>
      <c r="C276" t="str">
        <f>"18:17:37.759"</f>
        <v>18:17:37.759</v>
      </c>
      <c r="D276" t="s">
        <v>118</v>
      </c>
      <c r="E276">
        <v>30.401765999999999</v>
      </c>
      <c r="F276" t="s">
        <v>119</v>
      </c>
      <c r="G276">
        <v>-89.799221000000003</v>
      </c>
      <c r="H276">
        <v>1600</v>
      </c>
      <c r="I276">
        <v>53</v>
      </c>
      <c r="J276">
        <v>111</v>
      </c>
      <c r="K276">
        <v>256</v>
      </c>
      <c r="L276">
        <v>1200</v>
      </c>
      <c r="M276" t="str">
        <f t="shared" si="10"/>
        <v xml:space="preserve">N35DC   </v>
      </c>
      <c r="N276">
        <v>1</v>
      </c>
      <c r="O276">
        <v>1700</v>
      </c>
    </row>
    <row r="277" spans="1:15" x14ac:dyDescent="0.25">
      <c r="A277" t="str">
        <f>"10/21/2020 18:17:32.957"</f>
        <v>10/21/2020 18:17:32.957</v>
      </c>
      <c r="B277" t="str">
        <f>"18:17:40.906"</f>
        <v>18:17:40.906</v>
      </c>
      <c r="C277" t="str">
        <f>"18:17:40.606"</f>
        <v>18:17:40.606</v>
      </c>
      <c r="D277" t="s">
        <v>120</v>
      </c>
      <c r="E277">
        <v>30.403333</v>
      </c>
      <c r="F277" t="s">
        <v>121</v>
      </c>
      <c r="G277">
        <v>-89.798319000000006</v>
      </c>
      <c r="H277">
        <v>1600</v>
      </c>
      <c r="I277">
        <v>54</v>
      </c>
      <c r="J277">
        <v>111</v>
      </c>
      <c r="K277">
        <v>192</v>
      </c>
      <c r="L277">
        <v>1200</v>
      </c>
      <c r="M277" t="str">
        <f t="shared" si="10"/>
        <v xml:space="preserve">N35DC   </v>
      </c>
      <c r="N277">
        <v>1</v>
      </c>
      <c r="O277">
        <v>1700</v>
      </c>
    </row>
    <row r="278" spans="1:15" x14ac:dyDescent="0.25">
      <c r="A278" t="str">
        <f>"10/21/2020 18:17:32.957"</f>
        <v>10/21/2020 18:17:32.957</v>
      </c>
      <c r="B278" t="str">
        <f>"18:17:40.906"</f>
        <v>18:17:40.906</v>
      </c>
      <c r="C278" t="str">
        <f>"18:17:40.606"</f>
        <v>18:17:40.606</v>
      </c>
      <c r="D278" t="s">
        <v>120</v>
      </c>
      <c r="E278">
        <v>30.403333</v>
      </c>
      <c r="F278" t="s">
        <v>121</v>
      </c>
      <c r="G278">
        <v>-89.798319000000006</v>
      </c>
      <c r="H278">
        <v>1600</v>
      </c>
      <c r="I278">
        <v>54</v>
      </c>
      <c r="J278">
        <v>111</v>
      </c>
      <c r="K278">
        <v>192</v>
      </c>
      <c r="L278">
        <v>1200</v>
      </c>
      <c r="M278" t="str">
        <f t="shared" si="10"/>
        <v xml:space="preserve">N35DC   </v>
      </c>
      <c r="N278">
        <v>1</v>
      </c>
      <c r="O278">
        <v>1700</v>
      </c>
    </row>
    <row r="279" spans="1:15" x14ac:dyDescent="0.25">
      <c r="A279" t="str">
        <f>"10/21/2020 18:17:32.957"</f>
        <v>10/21/2020 18:17:32.957</v>
      </c>
      <c r="B279" t="str">
        <f>"18:17:40.906"</f>
        <v>18:17:40.906</v>
      </c>
      <c r="C279" t="str">
        <f>"18:17:40.606"</f>
        <v>18:17:40.606</v>
      </c>
      <c r="D279" t="s">
        <v>120</v>
      </c>
      <c r="E279">
        <v>30.403333</v>
      </c>
      <c r="F279" t="s">
        <v>121</v>
      </c>
      <c r="G279">
        <v>-89.798319000000006</v>
      </c>
      <c r="H279">
        <v>1600</v>
      </c>
      <c r="I279">
        <v>54</v>
      </c>
      <c r="J279">
        <v>111</v>
      </c>
      <c r="K279">
        <v>192</v>
      </c>
      <c r="L279">
        <v>1200</v>
      </c>
      <c r="M279" t="str">
        <f t="shared" si="10"/>
        <v xml:space="preserve">N35DC   </v>
      </c>
      <c r="N279">
        <v>1</v>
      </c>
      <c r="O279">
        <v>1700</v>
      </c>
    </row>
    <row r="280" spans="1:15" x14ac:dyDescent="0.25">
      <c r="A280" t="str">
        <f>"10/21/2020 18:17:32.957"</f>
        <v>10/21/2020 18:17:32.957</v>
      </c>
      <c r="B280" t="str">
        <f>"18:17:40.906"</f>
        <v>18:17:40.906</v>
      </c>
      <c r="C280" t="str">
        <f>"18:17:40.606"</f>
        <v>18:17:40.606</v>
      </c>
      <c r="D280" t="s">
        <v>120</v>
      </c>
      <c r="E280">
        <v>30.403333</v>
      </c>
      <c r="F280" t="s">
        <v>121</v>
      </c>
      <c r="G280">
        <v>-89.798319000000006</v>
      </c>
      <c r="H280">
        <v>1600</v>
      </c>
      <c r="I280">
        <v>54</v>
      </c>
      <c r="J280">
        <v>111</v>
      </c>
      <c r="K280">
        <v>192</v>
      </c>
      <c r="L280">
        <v>1200</v>
      </c>
      <c r="M280" t="str">
        <f t="shared" si="10"/>
        <v xml:space="preserve">N35DC   </v>
      </c>
      <c r="N280">
        <v>1</v>
      </c>
      <c r="O280">
        <v>1700</v>
      </c>
    </row>
    <row r="281" spans="1:15" x14ac:dyDescent="0.25">
      <c r="A281" t="str">
        <f>"10/21/2020 18:17:32.957"</f>
        <v>10/21/2020 18:17:32.957</v>
      </c>
      <c r="B281" t="str">
        <f>"18:17:40.906"</f>
        <v>18:17:40.906</v>
      </c>
      <c r="C281" t="str">
        <f>"18:17:40.606"</f>
        <v>18:17:40.606</v>
      </c>
      <c r="D281" t="s">
        <v>120</v>
      </c>
      <c r="E281">
        <v>30.403333</v>
      </c>
      <c r="F281" t="s">
        <v>121</v>
      </c>
      <c r="G281">
        <v>-89.798319000000006</v>
      </c>
      <c r="H281">
        <v>1600</v>
      </c>
      <c r="I281">
        <v>54</v>
      </c>
      <c r="J281">
        <v>111</v>
      </c>
      <c r="K281">
        <v>192</v>
      </c>
      <c r="L281">
        <v>1200</v>
      </c>
      <c r="M281" t="str">
        <f t="shared" si="10"/>
        <v xml:space="preserve">N35DC   </v>
      </c>
      <c r="N281">
        <v>1</v>
      </c>
      <c r="O281">
        <v>1700</v>
      </c>
    </row>
    <row r="282" spans="1:15" x14ac:dyDescent="0.25">
      <c r="A282" t="str">
        <f>"10/21/2020 18:17:33.874"</f>
        <v>10/21/2020 18:17:33.874</v>
      </c>
      <c r="B282" t="str">
        <f>"18:17:41.820"</f>
        <v>18:17:41.820</v>
      </c>
      <c r="C282" t="str">
        <f>"18:17:41.620"</f>
        <v>18:17:41.620</v>
      </c>
      <c r="D282" t="s">
        <v>122</v>
      </c>
      <c r="E282">
        <v>30.403825999999999</v>
      </c>
      <c r="F282" t="s">
        <v>123</v>
      </c>
      <c r="G282">
        <v>-89.798062000000002</v>
      </c>
      <c r="H282">
        <v>1600</v>
      </c>
      <c r="I282">
        <v>55</v>
      </c>
      <c r="J282">
        <v>112</v>
      </c>
      <c r="K282">
        <v>128</v>
      </c>
      <c r="L282">
        <v>1200</v>
      </c>
      <c r="M282" t="str">
        <f t="shared" si="10"/>
        <v xml:space="preserve">N35DC   </v>
      </c>
      <c r="N282">
        <v>1</v>
      </c>
      <c r="O282">
        <v>1700</v>
      </c>
    </row>
    <row r="283" spans="1:15" x14ac:dyDescent="0.25">
      <c r="A283" t="str">
        <f>"10/21/2020 18:17:33.874"</f>
        <v>10/21/2020 18:17:33.874</v>
      </c>
      <c r="B283" t="str">
        <f>"18:17:41.820"</f>
        <v>18:17:41.820</v>
      </c>
      <c r="C283" t="str">
        <f>"18:17:41.620"</f>
        <v>18:17:41.620</v>
      </c>
      <c r="D283" t="s">
        <v>122</v>
      </c>
      <c r="E283">
        <v>30.403825999999999</v>
      </c>
      <c r="F283" t="s">
        <v>123</v>
      </c>
      <c r="G283">
        <v>-89.798062000000002</v>
      </c>
      <c r="H283">
        <v>1600</v>
      </c>
      <c r="I283">
        <v>55</v>
      </c>
      <c r="J283">
        <v>112</v>
      </c>
      <c r="K283">
        <v>128</v>
      </c>
      <c r="L283">
        <v>1200</v>
      </c>
      <c r="M283" t="str">
        <f t="shared" si="10"/>
        <v xml:space="preserve">N35DC   </v>
      </c>
      <c r="N283">
        <v>1</v>
      </c>
      <c r="O283">
        <v>1700</v>
      </c>
    </row>
    <row r="284" spans="1:15" x14ac:dyDescent="0.25">
      <c r="A284" t="str">
        <f>"10/21/2020 18:17:33.874"</f>
        <v>10/21/2020 18:17:33.874</v>
      </c>
      <c r="B284" t="str">
        <f>"18:17:41.820"</f>
        <v>18:17:41.820</v>
      </c>
      <c r="C284" t="str">
        <f>"18:17:41.620"</f>
        <v>18:17:41.620</v>
      </c>
      <c r="D284" t="s">
        <v>122</v>
      </c>
      <c r="E284">
        <v>30.403825999999999</v>
      </c>
      <c r="F284" t="s">
        <v>123</v>
      </c>
      <c r="G284">
        <v>-89.798062000000002</v>
      </c>
      <c r="H284">
        <v>1600</v>
      </c>
      <c r="I284">
        <v>55</v>
      </c>
      <c r="J284">
        <v>112</v>
      </c>
      <c r="K284">
        <v>128</v>
      </c>
      <c r="L284">
        <v>1200</v>
      </c>
      <c r="M284" t="str">
        <f t="shared" si="10"/>
        <v xml:space="preserve">N35DC   </v>
      </c>
      <c r="N284">
        <v>1</v>
      </c>
      <c r="O284">
        <v>1700</v>
      </c>
    </row>
    <row r="285" spans="1:15" x14ac:dyDescent="0.25">
      <c r="A285" t="str">
        <f>"10/21/2020 18:17:33.874"</f>
        <v>10/21/2020 18:17:33.874</v>
      </c>
      <c r="B285" t="str">
        <f>"18:17:41.820"</f>
        <v>18:17:41.820</v>
      </c>
      <c r="C285" t="str">
        <f>"18:17:41.620"</f>
        <v>18:17:41.620</v>
      </c>
      <c r="D285" t="s">
        <v>122</v>
      </c>
      <c r="E285">
        <v>30.403825999999999</v>
      </c>
      <c r="F285" t="s">
        <v>123</v>
      </c>
      <c r="G285">
        <v>-89.798062000000002</v>
      </c>
      <c r="H285">
        <v>1600</v>
      </c>
      <c r="I285">
        <v>55</v>
      </c>
      <c r="J285">
        <v>112</v>
      </c>
      <c r="K285">
        <v>128</v>
      </c>
      <c r="L285">
        <v>1200</v>
      </c>
      <c r="M285" t="str">
        <f t="shared" si="10"/>
        <v xml:space="preserve">N35DC   </v>
      </c>
      <c r="N285">
        <v>1</v>
      </c>
      <c r="O285">
        <v>1700</v>
      </c>
    </row>
    <row r="286" spans="1:15" x14ac:dyDescent="0.25">
      <c r="A286" t="str">
        <f>"10/21/2020 18:17:33.874"</f>
        <v>10/21/2020 18:17:33.874</v>
      </c>
      <c r="B286" t="str">
        <f>"18:17:41.820"</f>
        <v>18:17:41.820</v>
      </c>
      <c r="C286" t="str">
        <f>"18:17:41.620"</f>
        <v>18:17:41.620</v>
      </c>
      <c r="D286" t="s">
        <v>122</v>
      </c>
      <c r="E286">
        <v>30.403825999999999</v>
      </c>
      <c r="F286" t="s">
        <v>123</v>
      </c>
      <c r="G286">
        <v>-89.798062000000002</v>
      </c>
      <c r="H286">
        <v>1600</v>
      </c>
      <c r="I286">
        <v>55</v>
      </c>
      <c r="J286">
        <v>112</v>
      </c>
      <c r="K286">
        <v>128</v>
      </c>
      <c r="L286">
        <v>1200</v>
      </c>
      <c r="M286" t="str">
        <f t="shared" si="10"/>
        <v xml:space="preserve">N35DC   </v>
      </c>
      <c r="N286">
        <v>1</v>
      </c>
      <c r="O286">
        <v>1700</v>
      </c>
    </row>
    <row r="287" spans="1:15" x14ac:dyDescent="0.25">
      <c r="A287" t="str">
        <f>"10/21/2020 18:17:36.979"</f>
        <v>10/21/2020 18:17:36.979</v>
      </c>
      <c r="B287" t="str">
        <f>"18:17:44.937"</f>
        <v>18:17:44.937</v>
      </c>
      <c r="C287" t="str">
        <f>"18:17:44.837"</f>
        <v>18:17:44.837</v>
      </c>
      <c r="D287" t="s">
        <v>124</v>
      </c>
      <c r="E287">
        <v>30.405436000000002</v>
      </c>
      <c r="F287" t="s">
        <v>125</v>
      </c>
      <c r="G287">
        <v>-89.797139000000001</v>
      </c>
      <c r="H287">
        <v>1600</v>
      </c>
      <c r="I287">
        <v>56</v>
      </c>
      <c r="J287">
        <v>114</v>
      </c>
      <c r="K287">
        <v>-128</v>
      </c>
      <c r="L287">
        <v>1200</v>
      </c>
      <c r="M287" t="str">
        <f t="shared" si="10"/>
        <v xml:space="preserve">N35DC   </v>
      </c>
      <c r="N287">
        <v>1</v>
      </c>
      <c r="O287">
        <v>1700</v>
      </c>
    </row>
    <row r="288" spans="1:15" x14ac:dyDescent="0.25">
      <c r="A288" t="str">
        <f>"10/21/2020 18:17:36.979"</f>
        <v>10/21/2020 18:17:36.979</v>
      </c>
      <c r="B288" t="str">
        <f>"18:17:44.937"</f>
        <v>18:17:44.937</v>
      </c>
      <c r="C288" t="str">
        <f>"18:17:44.837"</f>
        <v>18:17:44.837</v>
      </c>
      <c r="D288" t="s">
        <v>124</v>
      </c>
      <c r="E288">
        <v>30.405436000000002</v>
      </c>
      <c r="F288" t="s">
        <v>125</v>
      </c>
      <c r="G288">
        <v>-89.797139000000001</v>
      </c>
      <c r="H288">
        <v>1600</v>
      </c>
      <c r="I288">
        <v>56</v>
      </c>
      <c r="J288">
        <v>114</v>
      </c>
      <c r="K288">
        <v>-128</v>
      </c>
      <c r="L288">
        <v>1200</v>
      </c>
      <c r="M288" t="str">
        <f t="shared" si="10"/>
        <v xml:space="preserve">N35DC   </v>
      </c>
      <c r="N288">
        <v>1</v>
      </c>
      <c r="O288">
        <v>1700</v>
      </c>
    </row>
    <row r="289" spans="1:15" x14ac:dyDescent="0.25">
      <c r="A289" t="str">
        <f>"10/21/2020 18:17:36.979"</f>
        <v>10/21/2020 18:17:36.979</v>
      </c>
      <c r="B289" t="str">
        <f>"18:17:44.937"</f>
        <v>18:17:44.937</v>
      </c>
      <c r="C289" t="str">
        <f>"18:17:44.837"</f>
        <v>18:17:44.837</v>
      </c>
      <c r="D289" t="s">
        <v>124</v>
      </c>
      <c r="E289">
        <v>30.405436000000002</v>
      </c>
      <c r="F289" t="s">
        <v>125</v>
      </c>
      <c r="G289">
        <v>-89.797139000000001</v>
      </c>
      <c r="H289">
        <v>1600</v>
      </c>
      <c r="I289">
        <v>56</v>
      </c>
      <c r="J289">
        <v>114</v>
      </c>
      <c r="K289">
        <v>-128</v>
      </c>
      <c r="L289">
        <v>1200</v>
      </c>
      <c r="M289" t="str">
        <f t="shared" si="10"/>
        <v xml:space="preserve">N35DC   </v>
      </c>
      <c r="N289">
        <v>1</v>
      </c>
      <c r="O289">
        <v>1700</v>
      </c>
    </row>
    <row r="290" spans="1:15" x14ac:dyDescent="0.25">
      <c r="A290" t="str">
        <f>"10/21/2020 18:17:36.979"</f>
        <v>10/21/2020 18:17:36.979</v>
      </c>
      <c r="B290" t="str">
        <f>"18:17:44.937"</f>
        <v>18:17:44.937</v>
      </c>
      <c r="C290" t="str">
        <f>"18:17:44.837"</f>
        <v>18:17:44.837</v>
      </c>
      <c r="D290" t="s">
        <v>124</v>
      </c>
      <c r="E290">
        <v>30.405436000000002</v>
      </c>
      <c r="F290" t="s">
        <v>125</v>
      </c>
      <c r="G290">
        <v>-89.797139000000001</v>
      </c>
      <c r="H290">
        <v>1600</v>
      </c>
      <c r="I290">
        <v>56</v>
      </c>
      <c r="J290">
        <v>114</v>
      </c>
      <c r="K290">
        <v>-128</v>
      </c>
      <c r="L290">
        <v>1200</v>
      </c>
      <c r="M290" t="str">
        <f t="shared" si="10"/>
        <v xml:space="preserve">N35DC   </v>
      </c>
      <c r="N290">
        <v>1</v>
      </c>
      <c r="O290">
        <v>1700</v>
      </c>
    </row>
    <row r="291" spans="1:15" x14ac:dyDescent="0.25">
      <c r="A291" t="str">
        <f>"10/21/2020 18:17:36.979"</f>
        <v>10/21/2020 18:17:36.979</v>
      </c>
      <c r="B291" t="str">
        <f>"18:17:44.937"</f>
        <v>18:17:44.937</v>
      </c>
      <c r="C291" t="str">
        <f>"18:17:44.837"</f>
        <v>18:17:44.837</v>
      </c>
      <c r="D291" t="s">
        <v>124</v>
      </c>
      <c r="E291">
        <v>30.405436000000002</v>
      </c>
      <c r="F291" t="s">
        <v>125</v>
      </c>
      <c r="G291">
        <v>-89.797139000000001</v>
      </c>
      <c r="H291">
        <v>1600</v>
      </c>
      <c r="I291">
        <v>56</v>
      </c>
      <c r="J291">
        <v>114</v>
      </c>
      <c r="K291">
        <v>-128</v>
      </c>
      <c r="L291">
        <v>1200</v>
      </c>
      <c r="M291" t="str">
        <f t="shared" si="10"/>
        <v xml:space="preserve">N35DC   </v>
      </c>
      <c r="N291">
        <v>1</v>
      </c>
      <c r="O291">
        <v>1700</v>
      </c>
    </row>
    <row r="292" spans="1:15" x14ac:dyDescent="0.25">
      <c r="A292" t="str">
        <f>"10/21/2020 18:17:37.975"</f>
        <v>10/21/2020 18:17:37.975</v>
      </c>
      <c r="B292" t="str">
        <f t="shared" ref="B292:C296" si="11">"18:17:45.914"</f>
        <v>18:17:45.914</v>
      </c>
      <c r="C292" t="str">
        <f t="shared" si="11"/>
        <v>18:17:45.914</v>
      </c>
      <c r="D292" t="s">
        <v>126</v>
      </c>
      <c r="E292">
        <v>30.405971999999998</v>
      </c>
      <c r="F292" t="s">
        <v>127</v>
      </c>
      <c r="G292">
        <v>-89.796859999999995</v>
      </c>
      <c r="H292">
        <v>1600</v>
      </c>
      <c r="I292">
        <v>56</v>
      </c>
      <c r="J292">
        <v>114</v>
      </c>
      <c r="K292">
        <v>-64</v>
      </c>
      <c r="L292">
        <v>1200</v>
      </c>
      <c r="M292" t="str">
        <f t="shared" si="10"/>
        <v xml:space="preserve">N35DC   </v>
      </c>
      <c r="N292">
        <v>1</v>
      </c>
      <c r="O292">
        <v>1700</v>
      </c>
    </row>
    <row r="293" spans="1:15" x14ac:dyDescent="0.25">
      <c r="A293" t="str">
        <f>"10/21/2020 18:17:37.975"</f>
        <v>10/21/2020 18:17:37.975</v>
      </c>
      <c r="B293" t="str">
        <f t="shared" si="11"/>
        <v>18:17:45.914</v>
      </c>
      <c r="C293" t="str">
        <f t="shared" si="11"/>
        <v>18:17:45.914</v>
      </c>
      <c r="D293" t="s">
        <v>126</v>
      </c>
      <c r="E293">
        <v>30.405971999999998</v>
      </c>
      <c r="F293" t="s">
        <v>127</v>
      </c>
      <c r="G293">
        <v>-89.796859999999995</v>
      </c>
      <c r="H293">
        <v>1600</v>
      </c>
      <c r="I293">
        <v>56</v>
      </c>
      <c r="J293">
        <v>114</v>
      </c>
      <c r="K293">
        <v>-64</v>
      </c>
      <c r="L293">
        <v>1200</v>
      </c>
      <c r="M293" t="str">
        <f t="shared" si="10"/>
        <v xml:space="preserve">N35DC   </v>
      </c>
      <c r="N293">
        <v>1</v>
      </c>
      <c r="O293">
        <v>1700</v>
      </c>
    </row>
    <row r="294" spans="1:15" x14ac:dyDescent="0.25">
      <c r="A294" t="str">
        <f>"10/21/2020 18:17:37.975"</f>
        <v>10/21/2020 18:17:37.975</v>
      </c>
      <c r="B294" t="str">
        <f t="shared" si="11"/>
        <v>18:17:45.914</v>
      </c>
      <c r="C294" t="str">
        <f t="shared" si="11"/>
        <v>18:17:45.914</v>
      </c>
      <c r="D294" t="s">
        <v>126</v>
      </c>
      <c r="E294">
        <v>30.405971999999998</v>
      </c>
      <c r="F294" t="s">
        <v>127</v>
      </c>
      <c r="G294">
        <v>-89.796859999999995</v>
      </c>
      <c r="H294">
        <v>1600</v>
      </c>
      <c r="I294">
        <v>56</v>
      </c>
      <c r="J294">
        <v>114</v>
      </c>
      <c r="K294">
        <v>-64</v>
      </c>
      <c r="L294">
        <v>1200</v>
      </c>
      <c r="M294" t="str">
        <f t="shared" si="10"/>
        <v xml:space="preserve">N35DC   </v>
      </c>
      <c r="N294">
        <v>1</v>
      </c>
      <c r="O294">
        <v>1700</v>
      </c>
    </row>
    <row r="295" spans="1:15" x14ac:dyDescent="0.25">
      <c r="A295" t="str">
        <f>"10/21/2020 18:17:37.975"</f>
        <v>10/21/2020 18:17:37.975</v>
      </c>
      <c r="B295" t="str">
        <f t="shared" si="11"/>
        <v>18:17:45.914</v>
      </c>
      <c r="C295" t="str">
        <f t="shared" si="11"/>
        <v>18:17:45.914</v>
      </c>
      <c r="D295" t="s">
        <v>126</v>
      </c>
      <c r="E295">
        <v>30.405971999999998</v>
      </c>
      <c r="F295" t="s">
        <v>127</v>
      </c>
      <c r="G295">
        <v>-89.796859999999995</v>
      </c>
      <c r="H295">
        <v>1600</v>
      </c>
      <c r="I295">
        <v>56</v>
      </c>
      <c r="J295">
        <v>114</v>
      </c>
      <c r="K295">
        <v>-64</v>
      </c>
      <c r="L295">
        <v>1200</v>
      </c>
      <c r="M295" t="str">
        <f t="shared" si="10"/>
        <v xml:space="preserve">N35DC   </v>
      </c>
      <c r="N295">
        <v>1</v>
      </c>
      <c r="O295">
        <v>1700</v>
      </c>
    </row>
    <row r="296" spans="1:15" x14ac:dyDescent="0.25">
      <c r="A296" t="str">
        <f>"10/21/2020 18:17:37.975"</f>
        <v>10/21/2020 18:17:37.975</v>
      </c>
      <c r="B296" t="str">
        <f t="shared" si="11"/>
        <v>18:17:45.914</v>
      </c>
      <c r="C296" t="str">
        <f t="shared" si="11"/>
        <v>18:17:45.914</v>
      </c>
      <c r="D296" t="s">
        <v>126</v>
      </c>
      <c r="E296">
        <v>30.405971999999998</v>
      </c>
      <c r="F296" t="s">
        <v>127</v>
      </c>
      <c r="G296">
        <v>-89.796859999999995</v>
      </c>
      <c r="H296">
        <v>1600</v>
      </c>
      <c r="I296">
        <v>56</v>
      </c>
      <c r="J296">
        <v>114</v>
      </c>
      <c r="K296">
        <v>-64</v>
      </c>
      <c r="L296">
        <v>1200</v>
      </c>
      <c r="M296" t="str">
        <f t="shared" si="10"/>
        <v xml:space="preserve">N35DC   </v>
      </c>
      <c r="N296">
        <v>1</v>
      </c>
      <c r="O296">
        <v>1700</v>
      </c>
    </row>
    <row r="297" spans="1:15" x14ac:dyDescent="0.25">
      <c r="A297" t="str">
        <f>"10/21/2020 18:17:41.042"</f>
        <v>10/21/2020 18:17:41.042</v>
      </c>
      <c r="B297" t="str">
        <f>"18:17:48.977"</f>
        <v>18:17:48.977</v>
      </c>
      <c r="C297" t="str">
        <f>"18:17:48.477"</f>
        <v>18:17:48.477</v>
      </c>
      <c r="D297" t="s">
        <v>128</v>
      </c>
      <c r="E297">
        <v>30.407603000000002</v>
      </c>
      <c r="F297" t="s">
        <v>129</v>
      </c>
      <c r="G297">
        <v>-89.795895000000002</v>
      </c>
      <c r="H297">
        <v>1600</v>
      </c>
      <c r="I297">
        <v>58</v>
      </c>
      <c r="J297">
        <v>115</v>
      </c>
      <c r="K297">
        <v>0</v>
      </c>
      <c r="L297">
        <v>1200</v>
      </c>
      <c r="M297" t="str">
        <f t="shared" si="10"/>
        <v xml:space="preserve">N35DC   </v>
      </c>
      <c r="N297">
        <v>1</v>
      </c>
      <c r="O297">
        <v>1700</v>
      </c>
    </row>
    <row r="298" spans="1:15" x14ac:dyDescent="0.25">
      <c r="A298" t="str">
        <f>"10/21/2020 18:17:41.042"</f>
        <v>10/21/2020 18:17:41.042</v>
      </c>
      <c r="B298" t="str">
        <f>"18:17:48.977"</f>
        <v>18:17:48.977</v>
      </c>
      <c r="C298" t="str">
        <f>"18:17:48.477"</f>
        <v>18:17:48.477</v>
      </c>
      <c r="D298" t="s">
        <v>128</v>
      </c>
      <c r="E298">
        <v>30.407603000000002</v>
      </c>
      <c r="F298" t="s">
        <v>129</v>
      </c>
      <c r="G298">
        <v>-89.795895000000002</v>
      </c>
      <c r="H298">
        <v>1600</v>
      </c>
      <c r="I298">
        <v>58</v>
      </c>
      <c r="J298">
        <v>115</v>
      </c>
      <c r="K298">
        <v>0</v>
      </c>
      <c r="L298">
        <v>1200</v>
      </c>
      <c r="M298" t="str">
        <f t="shared" si="10"/>
        <v xml:space="preserve">N35DC   </v>
      </c>
      <c r="N298">
        <v>1</v>
      </c>
      <c r="O298">
        <v>1700</v>
      </c>
    </row>
    <row r="299" spans="1:15" x14ac:dyDescent="0.25">
      <c r="A299" t="str">
        <f>"10/21/2020 18:17:41.042"</f>
        <v>10/21/2020 18:17:41.042</v>
      </c>
      <c r="B299" t="str">
        <f>"18:17:48.977"</f>
        <v>18:17:48.977</v>
      </c>
      <c r="C299" t="str">
        <f>"18:17:48.477"</f>
        <v>18:17:48.477</v>
      </c>
      <c r="D299" t="s">
        <v>128</v>
      </c>
      <c r="E299">
        <v>30.407603000000002</v>
      </c>
      <c r="F299" t="s">
        <v>129</v>
      </c>
      <c r="G299">
        <v>-89.795895000000002</v>
      </c>
      <c r="H299">
        <v>1600</v>
      </c>
      <c r="I299">
        <v>58</v>
      </c>
      <c r="J299">
        <v>115</v>
      </c>
      <c r="K299">
        <v>0</v>
      </c>
      <c r="L299">
        <v>1200</v>
      </c>
      <c r="M299" t="str">
        <f t="shared" si="10"/>
        <v xml:space="preserve">N35DC   </v>
      </c>
      <c r="N299">
        <v>1</v>
      </c>
      <c r="O299">
        <v>1700</v>
      </c>
    </row>
    <row r="300" spans="1:15" x14ac:dyDescent="0.25">
      <c r="A300" t="str">
        <f>"10/21/2020 18:17:41.042"</f>
        <v>10/21/2020 18:17:41.042</v>
      </c>
      <c r="B300" t="str">
        <f>"18:17:48.977"</f>
        <v>18:17:48.977</v>
      </c>
      <c r="C300" t="str">
        <f>"18:17:48.477"</f>
        <v>18:17:48.477</v>
      </c>
      <c r="D300" t="s">
        <v>128</v>
      </c>
      <c r="E300">
        <v>30.407603000000002</v>
      </c>
      <c r="F300" t="s">
        <v>129</v>
      </c>
      <c r="G300">
        <v>-89.795895000000002</v>
      </c>
      <c r="H300">
        <v>1600</v>
      </c>
      <c r="I300">
        <v>58</v>
      </c>
      <c r="J300">
        <v>115</v>
      </c>
      <c r="K300">
        <v>0</v>
      </c>
      <c r="L300">
        <v>1200</v>
      </c>
      <c r="M300" t="str">
        <f t="shared" si="10"/>
        <v xml:space="preserve">N35DC   </v>
      </c>
      <c r="N300">
        <v>1</v>
      </c>
      <c r="O300">
        <v>1700</v>
      </c>
    </row>
    <row r="301" spans="1:15" x14ac:dyDescent="0.25">
      <c r="A301" t="str">
        <f>"10/21/2020 18:17:41.042"</f>
        <v>10/21/2020 18:17:41.042</v>
      </c>
      <c r="B301" t="str">
        <f>"18:17:48.977"</f>
        <v>18:17:48.977</v>
      </c>
      <c r="C301" t="str">
        <f>"18:17:48.477"</f>
        <v>18:17:48.477</v>
      </c>
      <c r="D301" t="s">
        <v>128</v>
      </c>
      <c r="E301">
        <v>30.407603000000002</v>
      </c>
      <c r="F301" t="s">
        <v>129</v>
      </c>
      <c r="G301">
        <v>-89.795895000000002</v>
      </c>
      <c r="H301">
        <v>1600</v>
      </c>
      <c r="I301">
        <v>58</v>
      </c>
      <c r="J301">
        <v>115</v>
      </c>
      <c r="K301">
        <v>0</v>
      </c>
      <c r="L301">
        <v>1200</v>
      </c>
      <c r="M301" t="str">
        <f t="shared" si="10"/>
        <v xml:space="preserve">N35DC   </v>
      </c>
      <c r="N301">
        <v>1</v>
      </c>
      <c r="O301">
        <v>1700</v>
      </c>
    </row>
    <row r="302" spans="1:15" x14ac:dyDescent="0.25">
      <c r="A302" t="str">
        <f>"10/21/2020 18:17:42.066"</f>
        <v>10/21/2020 18:17:42.066</v>
      </c>
      <c r="B302" t="str">
        <f>"18:17:50.008"</f>
        <v>18:17:50.008</v>
      </c>
      <c r="C302" t="str">
        <f>"18:17:49.708"</f>
        <v>18:17:49.708</v>
      </c>
      <c r="D302" t="s">
        <v>130</v>
      </c>
      <c r="E302">
        <v>30.408138999999998</v>
      </c>
      <c r="F302" t="s">
        <v>131</v>
      </c>
      <c r="G302">
        <v>-89.795573000000005</v>
      </c>
      <c r="H302">
        <v>1600</v>
      </c>
      <c r="I302">
        <v>59</v>
      </c>
      <c r="J302">
        <v>116</v>
      </c>
      <c r="K302">
        <v>-128</v>
      </c>
      <c r="L302">
        <v>1200</v>
      </c>
      <c r="M302" t="str">
        <f t="shared" si="10"/>
        <v xml:space="preserve">N35DC   </v>
      </c>
      <c r="N302">
        <v>1</v>
      </c>
      <c r="O302">
        <v>1700</v>
      </c>
    </row>
    <row r="303" spans="1:15" x14ac:dyDescent="0.25">
      <c r="A303" t="str">
        <f>"10/21/2020 18:17:42.066"</f>
        <v>10/21/2020 18:17:42.066</v>
      </c>
      <c r="B303" t="str">
        <f>"18:17:50.008"</f>
        <v>18:17:50.008</v>
      </c>
      <c r="C303" t="str">
        <f>"18:17:49.708"</f>
        <v>18:17:49.708</v>
      </c>
      <c r="D303" t="s">
        <v>130</v>
      </c>
      <c r="E303">
        <v>30.408138999999998</v>
      </c>
      <c r="F303" t="s">
        <v>131</v>
      </c>
      <c r="G303">
        <v>-89.795573000000005</v>
      </c>
      <c r="H303">
        <v>1600</v>
      </c>
      <c r="I303">
        <v>59</v>
      </c>
      <c r="J303">
        <v>116</v>
      </c>
      <c r="K303">
        <v>-128</v>
      </c>
      <c r="L303">
        <v>1200</v>
      </c>
      <c r="M303" t="str">
        <f t="shared" si="10"/>
        <v xml:space="preserve">N35DC   </v>
      </c>
      <c r="N303">
        <v>1</v>
      </c>
      <c r="O303">
        <v>1700</v>
      </c>
    </row>
    <row r="304" spans="1:15" x14ac:dyDescent="0.25">
      <c r="A304" t="str">
        <f>"10/21/2020 18:17:42.066"</f>
        <v>10/21/2020 18:17:42.066</v>
      </c>
      <c r="B304" t="str">
        <f>"18:17:50.008"</f>
        <v>18:17:50.008</v>
      </c>
      <c r="C304" t="str">
        <f>"18:17:49.708"</f>
        <v>18:17:49.708</v>
      </c>
      <c r="D304" t="s">
        <v>130</v>
      </c>
      <c r="E304">
        <v>30.408138999999998</v>
      </c>
      <c r="F304" t="s">
        <v>131</v>
      </c>
      <c r="G304">
        <v>-89.795573000000005</v>
      </c>
      <c r="H304">
        <v>1600</v>
      </c>
      <c r="I304">
        <v>59</v>
      </c>
      <c r="J304">
        <v>116</v>
      </c>
      <c r="K304">
        <v>-128</v>
      </c>
      <c r="L304">
        <v>1200</v>
      </c>
      <c r="M304" t="str">
        <f t="shared" si="10"/>
        <v xml:space="preserve">N35DC   </v>
      </c>
      <c r="N304">
        <v>1</v>
      </c>
      <c r="O304">
        <v>1700</v>
      </c>
    </row>
    <row r="305" spans="1:15" x14ac:dyDescent="0.25">
      <c r="A305" t="str">
        <f>"10/21/2020 18:17:42.066"</f>
        <v>10/21/2020 18:17:42.066</v>
      </c>
      <c r="B305" t="str">
        <f>"18:17:50.008"</f>
        <v>18:17:50.008</v>
      </c>
      <c r="C305" t="str">
        <f>"18:17:49.708"</f>
        <v>18:17:49.708</v>
      </c>
      <c r="D305" t="s">
        <v>130</v>
      </c>
      <c r="E305">
        <v>30.408138999999998</v>
      </c>
      <c r="F305" t="s">
        <v>131</v>
      </c>
      <c r="G305">
        <v>-89.795573000000005</v>
      </c>
      <c r="H305">
        <v>1600</v>
      </c>
      <c r="I305">
        <v>59</v>
      </c>
      <c r="J305">
        <v>116</v>
      </c>
      <c r="K305">
        <v>-128</v>
      </c>
      <c r="L305">
        <v>1200</v>
      </c>
      <c r="M305" t="str">
        <f t="shared" si="10"/>
        <v xml:space="preserve">N35DC   </v>
      </c>
      <c r="N305">
        <v>1</v>
      </c>
      <c r="O305">
        <v>1700</v>
      </c>
    </row>
    <row r="306" spans="1:15" x14ac:dyDescent="0.25">
      <c r="A306" t="str">
        <f>"10/21/2020 18:17:42.066"</f>
        <v>10/21/2020 18:17:42.066</v>
      </c>
      <c r="B306" t="str">
        <f>"18:17:50.008"</f>
        <v>18:17:50.008</v>
      </c>
      <c r="C306" t="str">
        <f>"18:17:49.708"</f>
        <v>18:17:49.708</v>
      </c>
      <c r="D306" t="s">
        <v>130</v>
      </c>
      <c r="E306">
        <v>30.408138999999998</v>
      </c>
      <c r="F306" t="s">
        <v>131</v>
      </c>
      <c r="G306">
        <v>-89.795573000000005</v>
      </c>
      <c r="H306">
        <v>1600</v>
      </c>
      <c r="I306">
        <v>59</v>
      </c>
      <c r="J306">
        <v>116</v>
      </c>
      <c r="K306">
        <v>-128</v>
      </c>
      <c r="L306">
        <v>1200</v>
      </c>
      <c r="M306" t="str">
        <f t="shared" si="10"/>
        <v xml:space="preserve">N35DC   </v>
      </c>
      <c r="N306">
        <v>1</v>
      </c>
      <c r="O306">
        <v>1700</v>
      </c>
    </row>
    <row r="307" spans="1:15" x14ac:dyDescent="0.25">
      <c r="A307" t="str">
        <f>"10/21/2020 18:17:44.174"</f>
        <v>10/21/2020 18:17:44.174</v>
      </c>
      <c r="B307" t="str">
        <f>"18:17:52.094"</f>
        <v>18:17:52.094</v>
      </c>
      <c r="C307" t="str">
        <f>"18:17:51.694"</f>
        <v>18:17:51.694</v>
      </c>
      <c r="D307" t="s">
        <v>132</v>
      </c>
      <c r="E307">
        <v>30.409275999999998</v>
      </c>
      <c r="F307" t="s">
        <v>133</v>
      </c>
      <c r="G307">
        <v>-89.794928999999996</v>
      </c>
      <c r="H307">
        <v>1600</v>
      </c>
      <c r="I307">
        <v>61</v>
      </c>
      <c r="J307">
        <v>117</v>
      </c>
      <c r="K307">
        <v>0</v>
      </c>
      <c r="L307">
        <v>1200</v>
      </c>
      <c r="M307" t="str">
        <f t="shared" si="10"/>
        <v xml:space="preserve">N35DC   </v>
      </c>
      <c r="N307">
        <v>1</v>
      </c>
      <c r="O307">
        <v>1700</v>
      </c>
    </row>
    <row r="308" spans="1:15" x14ac:dyDescent="0.25">
      <c r="A308" t="str">
        <f>"10/21/2020 18:17:44.174"</f>
        <v>10/21/2020 18:17:44.174</v>
      </c>
      <c r="B308" t="str">
        <f>"18:17:52.094"</f>
        <v>18:17:52.094</v>
      </c>
      <c r="C308" t="str">
        <f>"18:17:51.694"</f>
        <v>18:17:51.694</v>
      </c>
      <c r="D308" t="s">
        <v>132</v>
      </c>
      <c r="E308">
        <v>30.409275999999998</v>
      </c>
      <c r="F308" t="s">
        <v>133</v>
      </c>
      <c r="G308">
        <v>-89.794928999999996</v>
      </c>
      <c r="H308">
        <v>1600</v>
      </c>
      <c r="I308">
        <v>61</v>
      </c>
      <c r="J308">
        <v>117</v>
      </c>
      <c r="K308">
        <v>0</v>
      </c>
      <c r="L308">
        <v>1200</v>
      </c>
      <c r="M308" t="str">
        <f t="shared" si="10"/>
        <v xml:space="preserve">N35DC   </v>
      </c>
      <c r="N308">
        <v>1</v>
      </c>
      <c r="O308">
        <v>1700</v>
      </c>
    </row>
    <row r="309" spans="1:15" x14ac:dyDescent="0.25">
      <c r="A309" t="str">
        <f>"10/21/2020 18:17:44.174"</f>
        <v>10/21/2020 18:17:44.174</v>
      </c>
      <c r="B309" t="str">
        <f>"18:17:52.094"</f>
        <v>18:17:52.094</v>
      </c>
      <c r="C309" t="str">
        <f>"18:17:51.694"</f>
        <v>18:17:51.694</v>
      </c>
      <c r="D309" t="s">
        <v>132</v>
      </c>
      <c r="E309">
        <v>30.409275999999998</v>
      </c>
      <c r="F309" t="s">
        <v>133</v>
      </c>
      <c r="G309">
        <v>-89.794928999999996</v>
      </c>
      <c r="H309">
        <v>1600</v>
      </c>
      <c r="I309">
        <v>61</v>
      </c>
      <c r="J309">
        <v>117</v>
      </c>
      <c r="K309">
        <v>0</v>
      </c>
      <c r="L309">
        <v>1200</v>
      </c>
      <c r="M309" t="str">
        <f t="shared" si="10"/>
        <v xml:space="preserve">N35DC   </v>
      </c>
      <c r="N309">
        <v>1</v>
      </c>
      <c r="O309">
        <v>1700</v>
      </c>
    </row>
    <row r="310" spans="1:15" x14ac:dyDescent="0.25">
      <c r="A310" t="str">
        <f>"10/21/2020 18:17:44.174"</f>
        <v>10/21/2020 18:17:44.174</v>
      </c>
      <c r="B310" t="str">
        <f>"18:17:52.094"</f>
        <v>18:17:52.094</v>
      </c>
      <c r="C310" t="str">
        <f>"18:17:51.694"</f>
        <v>18:17:51.694</v>
      </c>
      <c r="D310" t="s">
        <v>132</v>
      </c>
      <c r="E310">
        <v>30.409275999999998</v>
      </c>
      <c r="F310" t="s">
        <v>133</v>
      </c>
      <c r="G310">
        <v>-89.794928999999996</v>
      </c>
      <c r="H310">
        <v>1600</v>
      </c>
      <c r="I310">
        <v>61</v>
      </c>
      <c r="J310">
        <v>117</v>
      </c>
      <c r="K310">
        <v>0</v>
      </c>
      <c r="L310">
        <v>1200</v>
      </c>
      <c r="M310" t="str">
        <f t="shared" si="10"/>
        <v xml:space="preserve">N35DC   </v>
      </c>
      <c r="N310">
        <v>1</v>
      </c>
      <c r="O310">
        <v>1700</v>
      </c>
    </row>
    <row r="311" spans="1:15" x14ac:dyDescent="0.25">
      <c r="A311" t="str">
        <f>"10/21/2020 18:17:44.174"</f>
        <v>10/21/2020 18:17:44.174</v>
      </c>
      <c r="B311" t="str">
        <f>"18:17:52.094"</f>
        <v>18:17:52.094</v>
      </c>
      <c r="C311" t="str">
        <f>"18:17:51.694"</f>
        <v>18:17:51.694</v>
      </c>
      <c r="D311" t="s">
        <v>132</v>
      </c>
      <c r="E311">
        <v>30.409275999999998</v>
      </c>
      <c r="F311" t="s">
        <v>133</v>
      </c>
      <c r="G311">
        <v>-89.794928999999996</v>
      </c>
      <c r="H311">
        <v>1600</v>
      </c>
      <c r="I311">
        <v>61</v>
      </c>
      <c r="J311">
        <v>117</v>
      </c>
      <c r="K311">
        <v>0</v>
      </c>
      <c r="L311">
        <v>1200</v>
      </c>
      <c r="M311" t="str">
        <f t="shared" si="10"/>
        <v xml:space="preserve">N35DC   </v>
      </c>
      <c r="N311">
        <v>1</v>
      </c>
      <c r="O311">
        <v>1700</v>
      </c>
    </row>
    <row r="312" spans="1:15" x14ac:dyDescent="0.25">
      <c r="A312" t="str">
        <f>"10/21/2020 18:17:45.171"</f>
        <v>10/21/2020 18:17:45.171</v>
      </c>
      <c r="B312" t="str">
        <f t="shared" ref="B312:C316" si="12">"18:17:53.117"</f>
        <v>18:17:53.117</v>
      </c>
      <c r="C312" t="str">
        <f t="shared" si="12"/>
        <v>18:17:53.117</v>
      </c>
      <c r="D312" t="s">
        <v>134</v>
      </c>
      <c r="E312">
        <v>30.409834</v>
      </c>
      <c r="F312" t="s">
        <v>135</v>
      </c>
      <c r="G312">
        <v>-89.794563999999994</v>
      </c>
      <c r="H312">
        <v>1600</v>
      </c>
      <c r="I312">
        <v>62</v>
      </c>
      <c r="J312">
        <v>116</v>
      </c>
      <c r="K312">
        <v>0</v>
      </c>
      <c r="L312">
        <v>1200</v>
      </c>
      <c r="M312" t="str">
        <f t="shared" si="10"/>
        <v xml:space="preserve">N35DC   </v>
      </c>
      <c r="N312">
        <v>1</v>
      </c>
      <c r="O312">
        <v>1700</v>
      </c>
    </row>
    <row r="313" spans="1:15" x14ac:dyDescent="0.25">
      <c r="A313" t="str">
        <f>"10/21/2020 18:17:45.171"</f>
        <v>10/21/2020 18:17:45.171</v>
      </c>
      <c r="B313" t="str">
        <f t="shared" si="12"/>
        <v>18:17:53.117</v>
      </c>
      <c r="C313" t="str">
        <f t="shared" si="12"/>
        <v>18:17:53.117</v>
      </c>
      <c r="D313" t="s">
        <v>134</v>
      </c>
      <c r="E313">
        <v>30.409834</v>
      </c>
      <c r="F313" t="s">
        <v>135</v>
      </c>
      <c r="G313">
        <v>-89.794563999999994</v>
      </c>
      <c r="H313">
        <v>1600</v>
      </c>
      <c r="I313">
        <v>62</v>
      </c>
      <c r="J313">
        <v>116</v>
      </c>
      <c r="K313">
        <v>0</v>
      </c>
      <c r="L313">
        <v>1200</v>
      </c>
      <c r="M313" t="str">
        <f t="shared" si="10"/>
        <v xml:space="preserve">N35DC   </v>
      </c>
      <c r="N313">
        <v>1</v>
      </c>
      <c r="O313">
        <v>1700</v>
      </c>
    </row>
    <row r="314" spans="1:15" x14ac:dyDescent="0.25">
      <c r="A314" t="str">
        <f>"10/21/2020 18:17:45.171"</f>
        <v>10/21/2020 18:17:45.171</v>
      </c>
      <c r="B314" t="str">
        <f t="shared" si="12"/>
        <v>18:17:53.117</v>
      </c>
      <c r="C314" t="str">
        <f t="shared" si="12"/>
        <v>18:17:53.117</v>
      </c>
      <c r="D314" t="s">
        <v>134</v>
      </c>
      <c r="E314">
        <v>30.409834</v>
      </c>
      <c r="F314" t="s">
        <v>135</v>
      </c>
      <c r="G314">
        <v>-89.794563999999994</v>
      </c>
      <c r="H314">
        <v>1600</v>
      </c>
      <c r="I314">
        <v>62</v>
      </c>
      <c r="J314">
        <v>116</v>
      </c>
      <c r="K314">
        <v>0</v>
      </c>
      <c r="L314">
        <v>1200</v>
      </c>
      <c r="M314" t="str">
        <f t="shared" si="10"/>
        <v xml:space="preserve">N35DC   </v>
      </c>
      <c r="N314">
        <v>1</v>
      </c>
      <c r="O314">
        <v>1700</v>
      </c>
    </row>
    <row r="315" spans="1:15" x14ac:dyDescent="0.25">
      <c r="A315" t="str">
        <f>"10/21/2020 18:17:45.171"</f>
        <v>10/21/2020 18:17:45.171</v>
      </c>
      <c r="B315" t="str">
        <f t="shared" si="12"/>
        <v>18:17:53.117</v>
      </c>
      <c r="C315" t="str">
        <f t="shared" si="12"/>
        <v>18:17:53.117</v>
      </c>
      <c r="D315" t="s">
        <v>134</v>
      </c>
      <c r="E315">
        <v>30.409834</v>
      </c>
      <c r="F315" t="s">
        <v>135</v>
      </c>
      <c r="G315">
        <v>-89.794563999999994</v>
      </c>
      <c r="H315">
        <v>1600</v>
      </c>
      <c r="I315">
        <v>62</v>
      </c>
      <c r="J315">
        <v>116</v>
      </c>
      <c r="K315">
        <v>0</v>
      </c>
      <c r="L315">
        <v>1200</v>
      </c>
      <c r="M315" t="str">
        <f t="shared" si="10"/>
        <v xml:space="preserve">N35DC   </v>
      </c>
      <c r="N315">
        <v>1</v>
      </c>
      <c r="O315">
        <v>1700</v>
      </c>
    </row>
    <row r="316" spans="1:15" x14ac:dyDescent="0.25">
      <c r="A316" t="str">
        <f>"10/21/2020 18:17:45.171"</f>
        <v>10/21/2020 18:17:45.171</v>
      </c>
      <c r="B316" t="str">
        <f t="shared" si="12"/>
        <v>18:17:53.117</v>
      </c>
      <c r="C316" t="str">
        <f t="shared" si="12"/>
        <v>18:17:53.117</v>
      </c>
      <c r="D316" t="s">
        <v>134</v>
      </c>
      <c r="E316">
        <v>30.409834</v>
      </c>
      <c r="F316" t="s">
        <v>135</v>
      </c>
      <c r="G316">
        <v>-89.794563999999994</v>
      </c>
      <c r="H316">
        <v>1600</v>
      </c>
      <c r="I316">
        <v>62</v>
      </c>
      <c r="J316">
        <v>116</v>
      </c>
      <c r="K316">
        <v>0</v>
      </c>
      <c r="L316">
        <v>1200</v>
      </c>
      <c r="M316" t="str">
        <f t="shared" si="10"/>
        <v xml:space="preserve">N35DC   </v>
      </c>
      <c r="N316">
        <v>1</v>
      </c>
      <c r="O316">
        <v>1700</v>
      </c>
    </row>
    <row r="317" spans="1:15" x14ac:dyDescent="0.25">
      <c r="A317" t="str">
        <f>"10/21/2020 18:17:47.175"</f>
        <v>10/21/2020 18:17:47.175</v>
      </c>
      <c r="B317" t="str">
        <f>"18:17:55.109"</f>
        <v>18:17:55.109</v>
      </c>
      <c r="C317" t="str">
        <f>"18:17:54.609"</f>
        <v>18:17:54.609</v>
      </c>
      <c r="D317" t="s">
        <v>136</v>
      </c>
      <c r="E317">
        <v>30.410907000000002</v>
      </c>
      <c r="F317" t="s">
        <v>137</v>
      </c>
      <c r="G317">
        <v>-89.793898999999996</v>
      </c>
      <c r="H317">
        <v>1600</v>
      </c>
      <c r="I317">
        <v>64</v>
      </c>
      <c r="J317">
        <v>117</v>
      </c>
      <c r="K317">
        <v>64</v>
      </c>
      <c r="L317">
        <v>1200</v>
      </c>
      <c r="M317" t="str">
        <f t="shared" si="10"/>
        <v xml:space="preserve">N35DC   </v>
      </c>
      <c r="N317">
        <v>1</v>
      </c>
      <c r="O317">
        <v>1700</v>
      </c>
    </row>
    <row r="318" spans="1:15" x14ac:dyDescent="0.25">
      <c r="A318" t="str">
        <f>"10/21/2020 18:17:47.175"</f>
        <v>10/21/2020 18:17:47.175</v>
      </c>
      <c r="B318" t="str">
        <f>"18:17:55.109"</f>
        <v>18:17:55.109</v>
      </c>
      <c r="C318" t="str">
        <f>"18:17:54.609"</f>
        <v>18:17:54.609</v>
      </c>
      <c r="D318" t="s">
        <v>136</v>
      </c>
      <c r="E318">
        <v>30.410907000000002</v>
      </c>
      <c r="F318" t="s">
        <v>137</v>
      </c>
      <c r="G318">
        <v>-89.793898999999996</v>
      </c>
      <c r="H318">
        <v>1600</v>
      </c>
      <c r="I318">
        <v>64</v>
      </c>
      <c r="J318">
        <v>117</v>
      </c>
      <c r="K318">
        <v>64</v>
      </c>
      <c r="L318">
        <v>1200</v>
      </c>
      <c r="M318" t="str">
        <f t="shared" si="10"/>
        <v xml:space="preserve">N35DC   </v>
      </c>
      <c r="N318">
        <v>1</v>
      </c>
      <c r="O318">
        <v>1700</v>
      </c>
    </row>
    <row r="319" spans="1:15" x14ac:dyDescent="0.25">
      <c r="A319" t="str">
        <f>"10/21/2020 18:17:47.175"</f>
        <v>10/21/2020 18:17:47.175</v>
      </c>
      <c r="B319" t="str">
        <f>"18:17:55.109"</f>
        <v>18:17:55.109</v>
      </c>
      <c r="C319" t="str">
        <f>"18:17:54.609"</f>
        <v>18:17:54.609</v>
      </c>
      <c r="D319" t="s">
        <v>136</v>
      </c>
      <c r="E319">
        <v>30.410907000000002</v>
      </c>
      <c r="F319" t="s">
        <v>137</v>
      </c>
      <c r="G319">
        <v>-89.793898999999996</v>
      </c>
      <c r="H319">
        <v>1600</v>
      </c>
      <c r="I319">
        <v>64</v>
      </c>
      <c r="J319">
        <v>117</v>
      </c>
      <c r="K319">
        <v>64</v>
      </c>
      <c r="L319">
        <v>1200</v>
      </c>
      <c r="M319" t="str">
        <f t="shared" si="10"/>
        <v xml:space="preserve">N35DC   </v>
      </c>
      <c r="N319">
        <v>1</v>
      </c>
      <c r="O319">
        <v>1700</v>
      </c>
    </row>
    <row r="320" spans="1:15" x14ac:dyDescent="0.25">
      <c r="A320" t="str">
        <f>"10/21/2020 18:17:47.175"</f>
        <v>10/21/2020 18:17:47.175</v>
      </c>
      <c r="B320" t="str">
        <f>"18:17:55.109"</f>
        <v>18:17:55.109</v>
      </c>
      <c r="C320" t="str">
        <f>"18:17:54.609"</f>
        <v>18:17:54.609</v>
      </c>
      <c r="D320" t="s">
        <v>136</v>
      </c>
      <c r="E320">
        <v>30.410907000000002</v>
      </c>
      <c r="F320" t="s">
        <v>137</v>
      </c>
      <c r="G320">
        <v>-89.793898999999996</v>
      </c>
      <c r="H320">
        <v>1600</v>
      </c>
      <c r="I320">
        <v>64</v>
      </c>
      <c r="J320">
        <v>117</v>
      </c>
      <c r="K320">
        <v>64</v>
      </c>
      <c r="L320">
        <v>1200</v>
      </c>
      <c r="M320" t="str">
        <f t="shared" si="10"/>
        <v xml:space="preserve">N35DC   </v>
      </c>
      <c r="N320">
        <v>1</v>
      </c>
      <c r="O320">
        <v>1700</v>
      </c>
    </row>
    <row r="321" spans="1:15" x14ac:dyDescent="0.25">
      <c r="A321" t="str">
        <f>"10/21/2020 18:17:47.175"</f>
        <v>10/21/2020 18:17:47.175</v>
      </c>
      <c r="B321" t="str">
        <f>"18:17:55.109"</f>
        <v>18:17:55.109</v>
      </c>
      <c r="C321" t="str">
        <f>"18:17:54.609"</f>
        <v>18:17:54.609</v>
      </c>
      <c r="D321" t="s">
        <v>136</v>
      </c>
      <c r="E321">
        <v>30.410907000000002</v>
      </c>
      <c r="F321" t="s">
        <v>137</v>
      </c>
      <c r="G321">
        <v>-89.793898999999996</v>
      </c>
      <c r="H321">
        <v>1600</v>
      </c>
      <c r="I321">
        <v>64</v>
      </c>
      <c r="J321">
        <v>117</v>
      </c>
      <c r="K321">
        <v>64</v>
      </c>
      <c r="L321">
        <v>1200</v>
      </c>
      <c r="M321" t="str">
        <f t="shared" si="10"/>
        <v xml:space="preserve">N35DC   </v>
      </c>
      <c r="N321">
        <v>1</v>
      </c>
      <c r="O321">
        <v>1700</v>
      </c>
    </row>
    <row r="322" spans="1:15" x14ac:dyDescent="0.25">
      <c r="A322" t="str">
        <f>"10/21/2020 18:17:48.154"</f>
        <v>10/21/2020 18:17:48.154</v>
      </c>
      <c r="B322" t="str">
        <f t="shared" ref="B322:C326" si="13">"18:17:56.102"</f>
        <v>18:17:56.102</v>
      </c>
      <c r="C322" t="str">
        <f t="shared" si="13"/>
        <v>18:17:56.102</v>
      </c>
      <c r="D322" t="s">
        <v>138</v>
      </c>
      <c r="E322">
        <v>30.411443999999999</v>
      </c>
      <c r="F322" t="s">
        <v>139</v>
      </c>
      <c r="G322">
        <v>-89.793513000000004</v>
      </c>
      <c r="H322">
        <v>1600</v>
      </c>
      <c r="I322">
        <v>63</v>
      </c>
      <c r="J322">
        <v>118</v>
      </c>
      <c r="K322">
        <v>64</v>
      </c>
      <c r="L322">
        <v>1200</v>
      </c>
      <c r="M322" t="str">
        <f t="shared" si="10"/>
        <v xml:space="preserve">N35DC   </v>
      </c>
      <c r="N322">
        <v>1</v>
      </c>
      <c r="O322">
        <v>1700</v>
      </c>
    </row>
    <row r="323" spans="1:15" x14ac:dyDescent="0.25">
      <c r="A323" t="str">
        <f>"10/21/2020 18:17:48.154"</f>
        <v>10/21/2020 18:17:48.154</v>
      </c>
      <c r="B323" t="str">
        <f t="shared" si="13"/>
        <v>18:17:56.102</v>
      </c>
      <c r="C323" t="str">
        <f t="shared" si="13"/>
        <v>18:17:56.102</v>
      </c>
      <c r="D323" t="s">
        <v>138</v>
      </c>
      <c r="E323">
        <v>30.411443999999999</v>
      </c>
      <c r="F323" t="s">
        <v>139</v>
      </c>
      <c r="G323">
        <v>-89.793513000000004</v>
      </c>
      <c r="H323">
        <v>1600</v>
      </c>
      <c r="I323">
        <v>63</v>
      </c>
      <c r="J323">
        <v>118</v>
      </c>
      <c r="K323">
        <v>64</v>
      </c>
      <c r="L323">
        <v>1200</v>
      </c>
      <c r="M323" t="str">
        <f t="shared" si="10"/>
        <v xml:space="preserve">N35DC   </v>
      </c>
      <c r="N323">
        <v>1</v>
      </c>
      <c r="O323">
        <v>1700</v>
      </c>
    </row>
    <row r="324" spans="1:15" x14ac:dyDescent="0.25">
      <c r="A324" t="str">
        <f>"10/21/2020 18:17:48.154"</f>
        <v>10/21/2020 18:17:48.154</v>
      </c>
      <c r="B324" t="str">
        <f t="shared" si="13"/>
        <v>18:17:56.102</v>
      </c>
      <c r="C324" t="str">
        <f t="shared" si="13"/>
        <v>18:17:56.102</v>
      </c>
      <c r="D324" t="s">
        <v>138</v>
      </c>
      <c r="E324">
        <v>30.411443999999999</v>
      </c>
      <c r="F324" t="s">
        <v>139</v>
      </c>
      <c r="G324">
        <v>-89.793513000000004</v>
      </c>
      <c r="H324">
        <v>1600</v>
      </c>
      <c r="I324">
        <v>63</v>
      </c>
      <c r="J324">
        <v>118</v>
      </c>
      <c r="K324">
        <v>64</v>
      </c>
      <c r="L324">
        <v>1200</v>
      </c>
      <c r="M324" t="str">
        <f t="shared" si="10"/>
        <v xml:space="preserve">N35DC   </v>
      </c>
      <c r="N324">
        <v>1</v>
      </c>
      <c r="O324">
        <v>1700</v>
      </c>
    </row>
    <row r="325" spans="1:15" x14ac:dyDescent="0.25">
      <c r="A325" t="str">
        <f>"10/21/2020 18:17:48.154"</f>
        <v>10/21/2020 18:17:48.154</v>
      </c>
      <c r="B325" t="str">
        <f t="shared" si="13"/>
        <v>18:17:56.102</v>
      </c>
      <c r="C325" t="str">
        <f t="shared" si="13"/>
        <v>18:17:56.102</v>
      </c>
      <c r="D325" t="s">
        <v>138</v>
      </c>
      <c r="E325">
        <v>30.411443999999999</v>
      </c>
      <c r="F325" t="s">
        <v>139</v>
      </c>
      <c r="G325">
        <v>-89.793513000000004</v>
      </c>
      <c r="H325">
        <v>1600</v>
      </c>
      <c r="I325">
        <v>63</v>
      </c>
      <c r="J325">
        <v>118</v>
      </c>
      <c r="K325">
        <v>64</v>
      </c>
      <c r="L325">
        <v>1200</v>
      </c>
      <c r="M325" t="str">
        <f t="shared" si="10"/>
        <v xml:space="preserve">N35DC   </v>
      </c>
      <c r="N325">
        <v>1</v>
      </c>
      <c r="O325">
        <v>1700</v>
      </c>
    </row>
    <row r="326" spans="1:15" x14ac:dyDescent="0.25">
      <c r="A326" t="str">
        <f>"10/21/2020 18:17:48.154"</f>
        <v>10/21/2020 18:17:48.154</v>
      </c>
      <c r="B326" t="str">
        <f t="shared" si="13"/>
        <v>18:17:56.102</v>
      </c>
      <c r="C326" t="str">
        <f t="shared" si="13"/>
        <v>18:17:56.102</v>
      </c>
      <c r="D326" t="s">
        <v>138</v>
      </c>
      <c r="E326">
        <v>30.411443999999999</v>
      </c>
      <c r="F326" t="s">
        <v>139</v>
      </c>
      <c r="G326">
        <v>-89.793513000000004</v>
      </c>
      <c r="H326">
        <v>1600</v>
      </c>
      <c r="I326">
        <v>63</v>
      </c>
      <c r="J326">
        <v>118</v>
      </c>
      <c r="K326">
        <v>64</v>
      </c>
      <c r="L326">
        <v>1200</v>
      </c>
      <c r="M326" t="str">
        <f t="shared" si="10"/>
        <v xml:space="preserve">N35DC   </v>
      </c>
      <c r="N326">
        <v>1</v>
      </c>
      <c r="O326">
        <v>1700</v>
      </c>
    </row>
    <row r="327" spans="1:15" x14ac:dyDescent="0.25">
      <c r="A327" t="str">
        <f>"10/21/2020 18:17:51.109"</f>
        <v>10/21/2020 18:17:51.109</v>
      </c>
      <c r="B327" t="str">
        <f>"18:17:59.070"</f>
        <v>18:17:59.070</v>
      </c>
      <c r="C327" t="str">
        <f>"18:17:58.670"</f>
        <v>18:17:58.670</v>
      </c>
      <c r="D327" t="s">
        <v>140</v>
      </c>
      <c r="E327">
        <v>30.413095999999999</v>
      </c>
      <c r="F327" t="s">
        <v>141</v>
      </c>
      <c r="G327">
        <v>-89.792525999999995</v>
      </c>
      <c r="H327">
        <v>1600</v>
      </c>
      <c r="I327">
        <v>63</v>
      </c>
      <c r="J327">
        <v>120</v>
      </c>
      <c r="K327">
        <v>0</v>
      </c>
      <c r="L327">
        <v>1200</v>
      </c>
      <c r="M327" t="str">
        <f t="shared" ref="M327:M390" si="14">"N35DC   "</f>
        <v xml:space="preserve">N35DC   </v>
      </c>
      <c r="N327">
        <v>1</v>
      </c>
      <c r="O327">
        <v>1700</v>
      </c>
    </row>
    <row r="328" spans="1:15" x14ac:dyDescent="0.25">
      <c r="A328" t="str">
        <f>"10/21/2020 18:17:51.109"</f>
        <v>10/21/2020 18:17:51.109</v>
      </c>
      <c r="B328" t="str">
        <f>"18:17:59.070"</f>
        <v>18:17:59.070</v>
      </c>
      <c r="C328" t="str">
        <f>"18:17:58.670"</f>
        <v>18:17:58.670</v>
      </c>
      <c r="D328" t="s">
        <v>140</v>
      </c>
      <c r="E328">
        <v>30.413095999999999</v>
      </c>
      <c r="F328" t="s">
        <v>141</v>
      </c>
      <c r="G328">
        <v>-89.792525999999995</v>
      </c>
      <c r="H328">
        <v>1600</v>
      </c>
      <c r="I328">
        <v>63</v>
      </c>
      <c r="J328">
        <v>120</v>
      </c>
      <c r="K328">
        <v>0</v>
      </c>
      <c r="L328">
        <v>1200</v>
      </c>
      <c r="M328" t="str">
        <f t="shared" si="14"/>
        <v xml:space="preserve">N35DC   </v>
      </c>
      <c r="N328">
        <v>1</v>
      </c>
      <c r="O328">
        <v>1700</v>
      </c>
    </row>
    <row r="329" spans="1:15" x14ac:dyDescent="0.25">
      <c r="A329" t="str">
        <f>"10/21/2020 18:17:51.109"</f>
        <v>10/21/2020 18:17:51.109</v>
      </c>
      <c r="B329" t="str">
        <f>"18:17:59.070"</f>
        <v>18:17:59.070</v>
      </c>
      <c r="C329" t="str">
        <f>"18:17:58.670"</f>
        <v>18:17:58.670</v>
      </c>
      <c r="D329" t="s">
        <v>140</v>
      </c>
      <c r="E329">
        <v>30.413095999999999</v>
      </c>
      <c r="F329" t="s">
        <v>141</v>
      </c>
      <c r="G329">
        <v>-89.792525999999995</v>
      </c>
      <c r="H329">
        <v>1600</v>
      </c>
      <c r="I329">
        <v>63</v>
      </c>
      <c r="J329">
        <v>120</v>
      </c>
      <c r="K329">
        <v>0</v>
      </c>
      <c r="L329">
        <v>1200</v>
      </c>
      <c r="M329" t="str">
        <f t="shared" si="14"/>
        <v xml:space="preserve">N35DC   </v>
      </c>
      <c r="N329">
        <v>1</v>
      </c>
      <c r="O329">
        <v>1700</v>
      </c>
    </row>
    <row r="330" spans="1:15" x14ac:dyDescent="0.25">
      <c r="A330" t="str">
        <f>"10/21/2020 18:17:51.109"</f>
        <v>10/21/2020 18:17:51.109</v>
      </c>
      <c r="B330" t="str">
        <f>"18:17:59.070"</f>
        <v>18:17:59.070</v>
      </c>
      <c r="C330" t="str">
        <f>"18:17:58.670"</f>
        <v>18:17:58.670</v>
      </c>
      <c r="D330" t="s">
        <v>140</v>
      </c>
      <c r="E330">
        <v>30.413095999999999</v>
      </c>
      <c r="F330" t="s">
        <v>141</v>
      </c>
      <c r="G330">
        <v>-89.792525999999995</v>
      </c>
      <c r="H330">
        <v>1600</v>
      </c>
      <c r="I330">
        <v>63</v>
      </c>
      <c r="J330">
        <v>120</v>
      </c>
      <c r="K330">
        <v>0</v>
      </c>
      <c r="L330">
        <v>1200</v>
      </c>
      <c r="M330" t="str">
        <f t="shared" si="14"/>
        <v xml:space="preserve">N35DC   </v>
      </c>
      <c r="N330">
        <v>1</v>
      </c>
      <c r="O330">
        <v>1700</v>
      </c>
    </row>
    <row r="331" spans="1:15" x14ac:dyDescent="0.25">
      <c r="A331" t="str">
        <f>"10/21/2020 18:17:51.109"</f>
        <v>10/21/2020 18:17:51.109</v>
      </c>
      <c r="B331" t="str">
        <f>"18:17:59.070"</f>
        <v>18:17:59.070</v>
      </c>
      <c r="C331" t="str">
        <f>"18:17:58.670"</f>
        <v>18:17:58.670</v>
      </c>
      <c r="D331" t="s">
        <v>140</v>
      </c>
      <c r="E331">
        <v>30.413095999999999</v>
      </c>
      <c r="F331" t="s">
        <v>141</v>
      </c>
      <c r="G331">
        <v>-89.792525999999995</v>
      </c>
      <c r="H331">
        <v>1600</v>
      </c>
      <c r="I331">
        <v>63</v>
      </c>
      <c r="J331">
        <v>120</v>
      </c>
      <c r="K331">
        <v>0</v>
      </c>
      <c r="L331">
        <v>1200</v>
      </c>
      <c r="M331" t="str">
        <f t="shared" si="14"/>
        <v xml:space="preserve">N35DC   </v>
      </c>
      <c r="N331">
        <v>1</v>
      </c>
      <c r="O331">
        <v>1700</v>
      </c>
    </row>
    <row r="332" spans="1:15" x14ac:dyDescent="0.25">
      <c r="A332" t="str">
        <f>"10/21/2020 18:17:52.069"</f>
        <v>10/21/2020 18:17:52.069</v>
      </c>
      <c r="B332" t="str">
        <f>"18:18:00.016"</f>
        <v>18:18:00.016</v>
      </c>
      <c r="C332" t="str">
        <f>"18:17:59.716"</f>
        <v>18:17:59.716</v>
      </c>
      <c r="D332" t="s">
        <v>142</v>
      </c>
      <c r="E332">
        <v>30.413632</v>
      </c>
      <c r="F332" t="s">
        <v>143</v>
      </c>
      <c r="G332">
        <v>-89.792225000000002</v>
      </c>
      <c r="H332">
        <v>1600</v>
      </c>
      <c r="I332">
        <v>63</v>
      </c>
      <c r="J332">
        <v>121</v>
      </c>
      <c r="K332">
        <v>128</v>
      </c>
      <c r="L332">
        <v>1200</v>
      </c>
      <c r="M332" t="str">
        <f t="shared" si="14"/>
        <v xml:space="preserve">N35DC   </v>
      </c>
      <c r="N332">
        <v>1</v>
      </c>
      <c r="O332">
        <v>1700</v>
      </c>
    </row>
    <row r="333" spans="1:15" x14ac:dyDescent="0.25">
      <c r="A333" t="str">
        <f>"10/21/2020 18:17:52.069"</f>
        <v>10/21/2020 18:17:52.069</v>
      </c>
      <c r="B333" t="str">
        <f>"18:18:00.016"</f>
        <v>18:18:00.016</v>
      </c>
      <c r="C333" t="str">
        <f>"18:17:59.716"</f>
        <v>18:17:59.716</v>
      </c>
      <c r="D333" t="s">
        <v>142</v>
      </c>
      <c r="E333">
        <v>30.413632</v>
      </c>
      <c r="F333" t="s">
        <v>143</v>
      </c>
      <c r="G333">
        <v>-89.792225000000002</v>
      </c>
      <c r="H333">
        <v>1600</v>
      </c>
      <c r="I333">
        <v>63</v>
      </c>
      <c r="J333">
        <v>121</v>
      </c>
      <c r="K333">
        <v>128</v>
      </c>
      <c r="L333">
        <v>1200</v>
      </c>
      <c r="M333" t="str">
        <f t="shared" si="14"/>
        <v xml:space="preserve">N35DC   </v>
      </c>
      <c r="N333">
        <v>1</v>
      </c>
      <c r="O333">
        <v>1700</v>
      </c>
    </row>
    <row r="334" spans="1:15" x14ac:dyDescent="0.25">
      <c r="A334" t="str">
        <f>"10/21/2020 18:17:52.069"</f>
        <v>10/21/2020 18:17:52.069</v>
      </c>
      <c r="B334" t="str">
        <f>"18:18:00.016"</f>
        <v>18:18:00.016</v>
      </c>
      <c r="C334" t="str">
        <f>"18:17:59.716"</f>
        <v>18:17:59.716</v>
      </c>
      <c r="D334" t="s">
        <v>142</v>
      </c>
      <c r="E334">
        <v>30.413632</v>
      </c>
      <c r="F334" t="s">
        <v>143</v>
      </c>
      <c r="G334">
        <v>-89.792225000000002</v>
      </c>
      <c r="H334">
        <v>1600</v>
      </c>
      <c r="I334">
        <v>63</v>
      </c>
      <c r="J334">
        <v>121</v>
      </c>
      <c r="K334">
        <v>128</v>
      </c>
      <c r="L334">
        <v>1200</v>
      </c>
      <c r="M334" t="str">
        <f t="shared" si="14"/>
        <v xml:space="preserve">N35DC   </v>
      </c>
      <c r="N334">
        <v>1</v>
      </c>
      <c r="O334">
        <v>1700</v>
      </c>
    </row>
    <row r="335" spans="1:15" x14ac:dyDescent="0.25">
      <c r="A335" t="str">
        <f>"10/21/2020 18:17:52.069"</f>
        <v>10/21/2020 18:17:52.069</v>
      </c>
      <c r="B335" t="str">
        <f>"18:18:00.016"</f>
        <v>18:18:00.016</v>
      </c>
      <c r="C335" t="str">
        <f>"18:17:59.716"</f>
        <v>18:17:59.716</v>
      </c>
      <c r="D335" t="s">
        <v>142</v>
      </c>
      <c r="E335">
        <v>30.413632</v>
      </c>
      <c r="F335" t="s">
        <v>143</v>
      </c>
      <c r="G335">
        <v>-89.792225000000002</v>
      </c>
      <c r="H335">
        <v>1600</v>
      </c>
      <c r="I335">
        <v>63</v>
      </c>
      <c r="J335">
        <v>121</v>
      </c>
      <c r="K335">
        <v>128</v>
      </c>
      <c r="L335">
        <v>1200</v>
      </c>
      <c r="M335" t="str">
        <f t="shared" si="14"/>
        <v xml:space="preserve">N35DC   </v>
      </c>
      <c r="N335">
        <v>1</v>
      </c>
      <c r="O335">
        <v>1700</v>
      </c>
    </row>
    <row r="336" spans="1:15" x14ac:dyDescent="0.25">
      <c r="A336" t="str">
        <f>"10/21/2020 18:17:52.069"</f>
        <v>10/21/2020 18:17:52.069</v>
      </c>
      <c r="B336" t="str">
        <f>"18:18:00.016"</f>
        <v>18:18:00.016</v>
      </c>
      <c r="C336" t="str">
        <f>"18:17:59.716"</f>
        <v>18:17:59.716</v>
      </c>
      <c r="D336" t="s">
        <v>142</v>
      </c>
      <c r="E336">
        <v>30.413632</v>
      </c>
      <c r="F336" t="s">
        <v>143</v>
      </c>
      <c r="G336">
        <v>-89.792225000000002</v>
      </c>
      <c r="H336">
        <v>1600</v>
      </c>
      <c r="I336">
        <v>63</v>
      </c>
      <c r="J336">
        <v>121</v>
      </c>
      <c r="K336">
        <v>128</v>
      </c>
      <c r="L336">
        <v>1200</v>
      </c>
      <c r="M336" t="str">
        <f t="shared" si="14"/>
        <v xml:space="preserve">N35DC   </v>
      </c>
      <c r="N336">
        <v>1</v>
      </c>
      <c r="O336">
        <v>1700</v>
      </c>
    </row>
    <row r="337" spans="1:15" x14ac:dyDescent="0.25">
      <c r="A337" t="str">
        <f>"10/21/2020 18:17:55.112"</f>
        <v>10/21/2020 18:17:55.112</v>
      </c>
      <c r="B337" t="str">
        <f>"18:18:03.039"</f>
        <v>18:18:03.039</v>
      </c>
      <c r="C337" t="str">
        <f>"18:18:02.739"</f>
        <v>18:18:02.739</v>
      </c>
      <c r="D337" t="s">
        <v>144</v>
      </c>
      <c r="E337">
        <v>30.415369999999999</v>
      </c>
      <c r="F337" t="s">
        <v>145</v>
      </c>
      <c r="G337">
        <v>-89.791195000000002</v>
      </c>
      <c r="H337">
        <v>1600</v>
      </c>
      <c r="I337">
        <v>65</v>
      </c>
      <c r="J337">
        <v>124</v>
      </c>
      <c r="K337">
        <v>-128</v>
      </c>
      <c r="L337">
        <v>1200</v>
      </c>
      <c r="M337" t="str">
        <f t="shared" si="14"/>
        <v xml:space="preserve">N35DC   </v>
      </c>
      <c r="N337">
        <v>1</v>
      </c>
      <c r="O337">
        <v>1700</v>
      </c>
    </row>
    <row r="338" spans="1:15" x14ac:dyDescent="0.25">
      <c r="A338" t="str">
        <f>"10/21/2020 18:17:55.112"</f>
        <v>10/21/2020 18:17:55.112</v>
      </c>
      <c r="B338" t="str">
        <f>"18:18:03.039"</f>
        <v>18:18:03.039</v>
      </c>
      <c r="C338" t="str">
        <f>"18:18:02.739"</f>
        <v>18:18:02.739</v>
      </c>
      <c r="D338" t="s">
        <v>144</v>
      </c>
      <c r="E338">
        <v>30.415369999999999</v>
      </c>
      <c r="F338" t="s">
        <v>145</v>
      </c>
      <c r="G338">
        <v>-89.791195000000002</v>
      </c>
      <c r="H338">
        <v>1600</v>
      </c>
      <c r="I338">
        <v>65</v>
      </c>
      <c r="J338">
        <v>124</v>
      </c>
      <c r="K338">
        <v>-128</v>
      </c>
      <c r="L338">
        <v>1200</v>
      </c>
      <c r="M338" t="str">
        <f t="shared" si="14"/>
        <v xml:space="preserve">N35DC   </v>
      </c>
      <c r="N338">
        <v>1</v>
      </c>
      <c r="O338">
        <v>1700</v>
      </c>
    </row>
    <row r="339" spans="1:15" x14ac:dyDescent="0.25">
      <c r="A339" t="str">
        <f>"10/21/2020 18:17:55.112"</f>
        <v>10/21/2020 18:17:55.112</v>
      </c>
      <c r="B339" t="str">
        <f>"18:18:03.039"</f>
        <v>18:18:03.039</v>
      </c>
      <c r="C339" t="str">
        <f>"18:18:02.739"</f>
        <v>18:18:02.739</v>
      </c>
      <c r="D339" t="s">
        <v>144</v>
      </c>
      <c r="E339">
        <v>30.415369999999999</v>
      </c>
      <c r="F339" t="s">
        <v>145</v>
      </c>
      <c r="G339">
        <v>-89.791195000000002</v>
      </c>
      <c r="H339">
        <v>1600</v>
      </c>
      <c r="I339">
        <v>65</v>
      </c>
      <c r="J339">
        <v>124</v>
      </c>
      <c r="K339">
        <v>-128</v>
      </c>
      <c r="L339">
        <v>1200</v>
      </c>
      <c r="M339" t="str">
        <f t="shared" si="14"/>
        <v xml:space="preserve">N35DC   </v>
      </c>
      <c r="N339">
        <v>1</v>
      </c>
      <c r="O339">
        <v>1700</v>
      </c>
    </row>
    <row r="340" spans="1:15" x14ac:dyDescent="0.25">
      <c r="A340" t="str">
        <f>"10/21/2020 18:17:55.112"</f>
        <v>10/21/2020 18:17:55.112</v>
      </c>
      <c r="B340" t="str">
        <f>"18:18:03.039"</f>
        <v>18:18:03.039</v>
      </c>
      <c r="C340" t="str">
        <f>"18:18:02.739"</f>
        <v>18:18:02.739</v>
      </c>
      <c r="D340" t="s">
        <v>144</v>
      </c>
      <c r="E340">
        <v>30.415369999999999</v>
      </c>
      <c r="F340" t="s">
        <v>145</v>
      </c>
      <c r="G340">
        <v>-89.791195000000002</v>
      </c>
      <c r="H340">
        <v>1600</v>
      </c>
      <c r="I340">
        <v>65</v>
      </c>
      <c r="J340">
        <v>124</v>
      </c>
      <c r="K340">
        <v>-128</v>
      </c>
      <c r="L340">
        <v>1200</v>
      </c>
      <c r="M340" t="str">
        <f t="shared" si="14"/>
        <v xml:space="preserve">N35DC   </v>
      </c>
      <c r="N340">
        <v>1</v>
      </c>
      <c r="O340">
        <v>1700</v>
      </c>
    </row>
    <row r="341" spans="1:15" x14ac:dyDescent="0.25">
      <c r="A341" t="str">
        <f>"10/21/2020 18:17:55.112"</f>
        <v>10/21/2020 18:17:55.112</v>
      </c>
      <c r="B341" t="str">
        <f>"18:18:03.039"</f>
        <v>18:18:03.039</v>
      </c>
      <c r="C341" t="str">
        <f>"18:18:02.739"</f>
        <v>18:18:02.739</v>
      </c>
      <c r="D341" t="s">
        <v>144</v>
      </c>
      <c r="E341">
        <v>30.415369999999999</v>
      </c>
      <c r="F341" t="s">
        <v>145</v>
      </c>
      <c r="G341">
        <v>-89.791195000000002</v>
      </c>
      <c r="H341">
        <v>1600</v>
      </c>
      <c r="I341">
        <v>65</v>
      </c>
      <c r="J341">
        <v>124</v>
      </c>
      <c r="K341">
        <v>-128</v>
      </c>
      <c r="L341">
        <v>1200</v>
      </c>
      <c r="M341" t="str">
        <f t="shared" si="14"/>
        <v xml:space="preserve">N35DC   </v>
      </c>
      <c r="N341">
        <v>1</v>
      </c>
      <c r="O341">
        <v>1700</v>
      </c>
    </row>
    <row r="342" spans="1:15" x14ac:dyDescent="0.25">
      <c r="A342" t="str">
        <f>"10/21/2020 18:17:56.138"</f>
        <v>10/21/2020 18:17:56.138</v>
      </c>
      <c r="B342" t="str">
        <f>"18:18:04.078"</f>
        <v>18:18:04.078</v>
      </c>
      <c r="C342" t="str">
        <f>"18:18:03.778"</f>
        <v>18:18:03.778</v>
      </c>
      <c r="D342" t="s">
        <v>146</v>
      </c>
      <c r="E342">
        <v>30.415970999999999</v>
      </c>
      <c r="F342" t="s">
        <v>147</v>
      </c>
      <c r="G342">
        <v>-89.790830999999997</v>
      </c>
      <c r="H342">
        <v>1600</v>
      </c>
      <c r="I342">
        <v>65</v>
      </c>
      <c r="J342">
        <v>124</v>
      </c>
      <c r="K342">
        <v>-64</v>
      </c>
      <c r="L342">
        <v>1200</v>
      </c>
      <c r="M342" t="str">
        <f t="shared" si="14"/>
        <v xml:space="preserve">N35DC   </v>
      </c>
      <c r="N342">
        <v>1</v>
      </c>
      <c r="O342">
        <v>1700</v>
      </c>
    </row>
    <row r="343" spans="1:15" x14ac:dyDescent="0.25">
      <c r="A343" t="str">
        <f>"10/21/2020 18:17:56.138"</f>
        <v>10/21/2020 18:17:56.138</v>
      </c>
      <c r="B343" t="str">
        <f>"18:18:04.078"</f>
        <v>18:18:04.078</v>
      </c>
      <c r="C343" t="str">
        <f>"18:18:03.778"</f>
        <v>18:18:03.778</v>
      </c>
      <c r="D343" t="s">
        <v>146</v>
      </c>
      <c r="E343">
        <v>30.415970999999999</v>
      </c>
      <c r="F343" t="s">
        <v>147</v>
      </c>
      <c r="G343">
        <v>-89.790830999999997</v>
      </c>
      <c r="H343">
        <v>1600</v>
      </c>
      <c r="I343">
        <v>65</v>
      </c>
      <c r="J343">
        <v>124</v>
      </c>
      <c r="K343">
        <v>-64</v>
      </c>
      <c r="L343">
        <v>1200</v>
      </c>
      <c r="M343" t="str">
        <f t="shared" si="14"/>
        <v xml:space="preserve">N35DC   </v>
      </c>
      <c r="N343">
        <v>1</v>
      </c>
      <c r="O343">
        <v>1700</v>
      </c>
    </row>
    <row r="344" spans="1:15" x14ac:dyDescent="0.25">
      <c r="A344" t="str">
        <f>"10/21/2020 18:17:56.138"</f>
        <v>10/21/2020 18:17:56.138</v>
      </c>
      <c r="B344" t="str">
        <f>"18:18:04.078"</f>
        <v>18:18:04.078</v>
      </c>
      <c r="C344" t="str">
        <f>"18:18:03.778"</f>
        <v>18:18:03.778</v>
      </c>
      <c r="D344" t="s">
        <v>146</v>
      </c>
      <c r="E344">
        <v>30.415970999999999</v>
      </c>
      <c r="F344" t="s">
        <v>147</v>
      </c>
      <c r="G344">
        <v>-89.790830999999997</v>
      </c>
      <c r="H344">
        <v>1600</v>
      </c>
      <c r="I344">
        <v>65</v>
      </c>
      <c r="J344">
        <v>124</v>
      </c>
      <c r="K344">
        <v>-64</v>
      </c>
      <c r="L344">
        <v>1200</v>
      </c>
      <c r="M344" t="str">
        <f t="shared" si="14"/>
        <v xml:space="preserve">N35DC   </v>
      </c>
      <c r="N344">
        <v>1</v>
      </c>
      <c r="O344">
        <v>1700</v>
      </c>
    </row>
    <row r="345" spans="1:15" x14ac:dyDescent="0.25">
      <c r="A345" t="str">
        <f>"10/21/2020 18:17:56.138"</f>
        <v>10/21/2020 18:17:56.138</v>
      </c>
      <c r="B345" t="str">
        <f>"18:18:04.078"</f>
        <v>18:18:04.078</v>
      </c>
      <c r="C345" t="str">
        <f>"18:18:03.778"</f>
        <v>18:18:03.778</v>
      </c>
      <c r="D345" t="s">
        <v>146</v>
      </c>
      <c r="E345">
        <v>30.415970999999999</v>
      </c>
      <c r="F345" t="s">
        <v>147</v>
      </c>
      <c r="G345">
        <v>-89.790830999999997</v>
      </c>
      <c r="H345">
        <v>1600</v>
      </c>
      <c r="I345">
        <v>65</v>
      </c>
      <c r="J345">
        <v>124</v>
      </c>
      <c r="K345">
        <v>-64</v>
      </c>
      <c r="L345">
        <v>1200</v>
      </c>
      <c r="M345" t="str">
        <f t="shared" si="14"/>
        <v xml:space="preserve">N35DC   </v>
      </c>
      <c r="N345">
        <v>1</v>
      </c>
      <c r="O345">
        <v>1700</v>
      </c>
    </row>
    <row r="346" spans="1:15" x14ac:dyDescent="0.25">
      <c r="A346" t="str">
        <f>"10/21/2020 18:17:56.138"</f>
        <v>10/21/2020 18:17:56.138</v>
      </c>
      <c r="B346" t="str">
        <f>"18:18:04.078"</f>
        <v>18:18:04.078</v>
      </c>
      <c r="C346" t="str">
        <f>"18:18:03.778"</f>
        <v>18:18:03.778</v>
      </c>
      <c r="D346" t="s">
        <v>146</v>
      </c>
      <c r="E346">
        <v>30.415970999999999</v>
      </c>
      <c r="F346" t="s">
        <v>147</v>
      </c>
      <c r="G346">
        <v>-89.790830999999997</v>
      </c>
      <c r="H346">
        <v>1600</v>
      </c>
      <c r="I346">
        <v>65</v>
      </c>
      <c r="J346">
        <v>124</v>
      </c>
      <c r="K346">
        <v>-64</v>
      </c>
      <c r="L346">
        <v>1200</v>
      </c>
      <c r="M346" t="str">
        <f t="shared" si="14"/>
        <v xml:space="preserve">N35DC   </v>
      </c>
      <c r="N346">
        <v>1</v>
      </c>
      <c r="O346">
        <v>1700</v>
      </c>
    </row>
    <row r="347" spans="1:15" x14ac:dyDescent="0.25">
      <c r="A347" t="str">
        <f>"10/21/2020 18:17:59.097"</f>
        <v>10/21/2020 18:17:59.097</v>
      </c>
      <c r="B347" t="str">
        <f>"18:18:07.047"</f>
        <v>18:18:07.047</v>
      </c>
      <c r="C347" t="str">
        <f>"18:18:06.747"</f>
        <v>18:18:06.747</v>
      </c>
      <c r="D347" t="s">
        <v>148</v>
      </c>
      <c r="E347">
        <v>30.417645</v>
      </c>
      <c r="F347" t="s">
        <v>149</v>
      </c>
      <c r="G347">
        <v>-89.789778999999996</v>
      </c>
      <c r="H347">
        <v>1600</v>
      </c>
      <c r="I347">
        <v>65</v>
      </c>
      <c r="J347">
        <v>125</v>
      </c>
      <c r="K347">
        <v>0</v>
      </c>
      <c r="L347">
        <v>1200</v>
      </c>
      <c r="M347" t="str">
        <f t="shared" si="14"/>
        <v xml:space="preserve">N35DC   </v>
      </c>
      <c r="N347">
        <v>1</v>
      </c>
      <c r="O347">
        <v>1700</v>
      </c>
    </row>
    <row r="348" spans="1:15" x14ac:dyDescent="0.25">
      <c r="A348" t="str">
        <f>"10/21/2020 18:17:59.097"</f>
        <v>10/21/2020 18:17:59.097</v>
      </c>
      <c r="B348" t="str">
        <f>"18:18:07.047"</f>
        <v>18:18:07.047</v>
      </c>
      <c r="C348" t="str">
        <f>"18:18:06.747"</f>
        <v>18:18:06.747</v>
      </c>
      <c r="D348" t="s">
        <v>148</v>
      </c>
      <c r="E348">
        <v>30.417645</v>
      </c>
      <c r="F348" t="s">
        <v>149</v>
      </c>
      <c r="G348">
        <v>-89.789778999999996</v>
      </c>
      <c r="H348">
        <v>1600</v>
      </c>
      <c r="I348">
        <v>65</v>
      </c>
      <c r="J348">
        <v>125</v>
      </c>
      <c r="K348">
        <v>0</v>
      </c>
      <c r="L348">
        <v>1200</v>
      </c>
      <c r="M348" t="str">
        <f t="shared" si="14"/>
        <v xml:space="preserve">N35DC   </v>
      </c>
      <c r="N348">
        <v>1</v>
      </c>
      <c r="O348">
        <v>1700</v>
      </c>
    </row>
    <row r="349" spans="1:15" x14ac:dyDescent="0.25">
      <c r="A349" t="str">
        <f>"10/21/2020 18:17:59.097"</f>
        <v>10/21/2020 18:17:59.097</v>
      </c>
      <c r="B349" t="str">
        <f>"18:18:07.047"</f>
        <v>18:18:07.047</v>
      </c>
      <c r="C349" t="str">
        <f>"18:18:06.747"</f>
        <v>18:18:06.747</v>
      </c>
      <c r="D349" t="s">
        <v>148</v>
      </c>
      <c r="E349">
        <v>30.417645</v>
      </c>
      <c r="F349" t="s">
        <v>149</v>
      </c>
      <c r="G349">
        <v>-89.789778999999996</v>
      </c>
      <c r="H349">
        <v>1600</v>
      </c>
      <c r="I349">
        <v>65</v>
      </c>
      <c r="J349">
        <v>125</v>
      </c>
      <c r="K349">
        <v>0</v>
      </c>
      <c r="L349">
        <v>1200</v>
      </c>
      <c r="M349" t="str">
        <f t="shared" si="14"/>
        <v xml:space="preserve">N35DC   </v>
      </c>
      <c r="N349">
        <v>1</v>
      </c>
      <c r="O349">
        <v>1700</v>
      </c>
    </row>
    <row r="350" spans="1:15" x14ac:dyDescent="0.25">
      <c r="A350" t="str">
        <f>"10/21/2020 18:17:59.097"</f>
        <v>10/21/2020 18:17:59.097</v>
      </c>
      <c r="B350" t="str">
        <f>"18:18:07.047"</f>
        <v>18:18:07.047</v>
      </c>
      <c r="C350" t="str">
        <f>"18:18:06.747"</f>
        <v>18:18:06.747</v>
      </c>
      <c r="D350" t="s">
        <v>148</v>
      </c>
      <c r="E350">
        <v>30.417645</v>
      </c>
      <c r="F350" t="s">
        <v>149</v>
      </c>
      <c r="G350">
        <v>-89.789778999999996</v>
      </c>
      <c r="H350">
        <v>1600</v>
      </c>
      <c r="I350">
        <v>65</v>
      </c>
      <c r="J350">
        <v>125</v>
      </c>
      <c r="K350">
        <v>0</v>
      </c>
      <c r="L350">
        <v>1200</v>
      </c>
      <c r="M350" t="str">
        <f t="shared" si="14"/>
        <v xml:space="preserve">N35DC   </v>
      </c>
      <c r="N350">
        <v>1</v>
      </c>
      <c r="O350">
        <v>1700</v>
      </c>
    </row>
    <row r="351" spans="1:15" x14ac:dyDescent="0.25">
      <c r="A351" t="str">
        <f>"10/21/2020 18:17:59.097"</f>
        <v>10/21/2020 18:17:59.097</v>
      </c>
      <c r="B351" t="str">
        <f>"18:18:07.047"</f>
        <v>18:18:07.047</v>
      </c>
      <c r="C351" t="str">
        <f>"18:18:06.747"</f>
        <v>18:18:06.747</v>
      </c>
      <c r="D351" t="s">
        <v>148</v>
      </c>
      <c r="E351">
        <v>30.417645</v>
      </c>
      <c r="F351" t="s">
        <v>149</v>
      </c>
      <c r="G351">
        <v>-89.789778999999996</v>
      </c>
      <c r="H351">
        <v>1600</v>
      </c>
      <c r="I351">
        <v>65</v>
      </c>
      <c r="J351">
        <v>125</v>
      </c>
      <c r="K351">
        <v>0</v>
      </c>
      <c r="L351">
        <v>1200</v>
      </c>
      <c r="M351" t="str">
        <f t="shared" si="14"/>
        <v xml:space="preserve">N35DC   </v>
      </c>
      <c r="N351">
        <v>1</v>
      </c>
      <c r="O351">
        <v>1700</v>
      </c>
    </row>
    <row r="352" spans="1:15" x14ac:dyDescent="0.25">
      <c r="A352" t="str">
        <f>"10/21/2020 18:18:02.228"</f>
        <v>10/21/2020 18:18:02.228</v>
      </c>
      <c r="B352" t="str">
        <f>"18:18:10.164"</f>
        <v>18:18:10.164</v>
      </c>
      <c r="C352" t="str">
        <f>"18:18:09.664"</f>
        <v>18:18:09.664</v>
      </c>
      <c r="D352" t="s">
        <v>150</v>
      </c>
      <c r="E352">
        <v>30.41949</v>
      </c>
      <c r="F352" t="s">
        <v>151</v>
      </c>
      <c r="G352">
        <v>-89.788728000000006</v>
      </c>
      <c r="H352">
        <v>1600</v>
      </c>
      <c r="I352">
        <v>64</v>
      </c>
      <c r="J352">
        <v>125</v>
      </c>
      <c r="K352">
        <v>-64</v>
      </c>
      <c r="L352">
        <v>1200</v>
      </c>
      <c r="M352" t="str">
        <f t="shared" si="14"/>
        <v xml:space="preserve">N35DC   </v>
      </c>
      <c r="N352">
        <v>1</v>
      </c>
      <c r="O352">
        <v>1700</v>
      </c>
    </row>
    <row r="353" spans="1:15" x14ac:dyDescent="0.25">
      <c r="A353" t="str">
        <f>"10/21/2020 18:18:02.228"</f>
        <v>10/21/2020 18:18:02.228</v>
      </c>
      <c r="B353" t="str">
        <f>"18:18:10.164"</f>
        <v>18:18:10.164</v>
      </c>
      <c r="C353" t="str">
        <f>"18:18:09.664"</f>
        <v>18:18:09.664</v>
      </c>
      <c r="D353" t="s">
        <v>150</v>
      </c>
      <c r="E353">
        <v>30.41949</v>
      </c>
      <c r="F353" t="s">
        <v>151</v>
      </c>
      <c r="G353">
        <v>-89.788728000000006</v>
      </c>
      <c r="H353">
        <v>1600</v>
      </c>
      <c r="I353">
        <v>64</v>
      </c>
      <c r="J353">
        <v>125</v>
      </c>
      <c r="K353">
        <v>-64</v>
      </c>
      <c r="L353">
        <v>1200</v>
      </c>
      <c r="M353" t="str">
        <f t="shared" si="14"/>
        <v xml:space="preserve">N35DC   </v>
      </c>
      <c r="N353">
        <v>1</v>
      </c>
      <c r="O353">
        <v>1700</v>
      </c>
    </row>
    <row r="354" spans="1:15" x14ac:dyDescent="0.25">
      <c r="A354" t="str">
        <f>"10/21/2020 18:18:02.228"</f>
        <v>10/21/2020 18:18:02.228</v>
      </c>
      <c r="B354" t="str">
        <f>"18:18:10.164"</f>
        <v>18:18:10.164</v>
      </c>
      <c r="C354" t="str">
        <f>"18:18:09.664"</f>
        <v>18:18:09.664</v>
      </c>
      <c r="D354" t="s">
        <v>150</v>
      </c>
      <c r="E354">
        <v>30.41949</v>
      </c>
      <c r="F354" t="s">
        <v>151</v>
      </c>
      <c r="G354">
        <v>-89.788728000000006</v>
      </c>
      <c r="H354">
        <v>1600</v>
      </c>
      <c r="I354">
        <v>64</v>
      </c>
      <c r="J354">
        <v>125</v>
      </c>
      <c r="K354">
        <v>-64</v>
      </c>
      <c r="L354">
        <v>1200</v>
      </c>
      <c r="M354" t="str">
        <f t="shared" si="14"/>
        <v xml:space="preserve">N35DC   </v>
      </c>
      <c r="N354">
        <v>1</v>
      </c>
      <c r="O354">
        <v>1700</v>
      </c>
    </row>
    <row r="355" spans="1:15" x14ac:dyDescent="0.25">
      <c r="A355" t="str">
        <f>"10/21/2020 18:18:02.228"</f>
        <v>10/21/2020 18:18:02.228</v>
      </c>
      <c r="B355" t="str">
        <f>"18:18:10.164"</f>
        <v>18:18:10.164</v>
      </c>
      <c r="C355" t="str">
        <f>"18:18:09.664"</f>
        <v>18:18:09.664</v>
      </c>
      <c r="D355" t="s">
        <v>150</v>
      </c>
      <c r="E355">
        <v>30.41949</v>
      </c>
      <c r="F355" t="s">
        <v>151</v>
      </c>
      <c r="G355">
        <v>-89.788728000000006</v>
      </c>
      <c r="H355">
        <v>1600</v>
      </c>
      <c r="I355">
        <v>64</v>
      </c>
      <c r="J355">
        <v>125</v>
      </c>
      <c r="K355">
        <v>-64</v>
      </c>
      <c r="L355">
        <v>1200</v>
      </c>
      <c r="M355" t="str">
        <f t="shared" si="14"/>
        <v xml:space="preserve">N35DC   </v>
      </c>
      <c r="N355">
        <v>1</v>
      </c>
      <c r="O355">
        <v>1700</v>
      </c>
    </row>
    <row r="356" spans="1:15" x14ac:dyDescent="0.25">
      <c r="A356" t="str">
        <f>"10/21/2020 18:18:02.228"</f>
        <v>10/21/2020 18:18:02.228</v>
      </c>
      <c r="B356" t="str">
        <f>"18:18:10.164"</f>
        <v>18:18:10.164</v>
      </c>
      <c r="C356" t="str">
        <f>"18:18:09.664"</f>
        <v>18:18:09.664</v>
      </c>
      <c r="D356" t="s">
        <v>150</v>
      </c>
      <c r="E356">
        <v>30.41949</v>
      </c>
      <c r="F356" t="s">
        <v>151</v>
      </c>
      <c r="G356">
        <v>-89.788728000000006</v>
      </c>
      <c r="H356">
        <v>1600</v>
      </c>
      <c r="I356">
        <v>64</v>
      </c>
      <c r="J356">
        <v>125</v>
      </c>
      <c r="K356">
        <v>-64</v>
      </c>
      <c r="L356">
        <v>1200</v>
      </c>
      <c r="M356" t="str">
        <f t="shared" si="14"/>
        <v xml:space="preserve">N35DC   </v>
      </c>
      <c r="N356">
        <v>1</v>
      </c>
      <c r="O356">
        <v>1700</v>
      </c>
    </row>
    <row r="357" spans="1:15" x14ac:dyDescent="0.25">
      <c r="A357" t="str">
        <f>"10/21/2020 18:18:03.185"</f>
        <v>10/21/2020 18:18:03.185</v>
      </c>
      <c r="B357" t="str">
        <f>"18:18:11.109"</f>
        <v>18:18:11.109</v>
      </c>
      <c r="C357" t="str">
        <f>"18:18:10.709"</f>
        <v>18:18:10.709</v>
      </c>
      <c r="D357" t="s">
        <v>152</v>
      </c>
      <c r="E357">
        <v>30.420027000000001</v>
      </c>
      <c r="F357" t="s">
        <v>153</v>
      </c>
      <c r="G357">
        <v>-89.788405999999995</v>
      </c>
      <c r="H357">
        <v>1600</v>
      </c>
      <c r="I357">
        <v>64</v>
      </c>
      <c r="J357">
        <v>125</v>
      </c>
      <c r="K357">
        <v>-192</v>
      </c>
      <c r="L357">
        <v>1200</v>
      </c>
      <c r="M357" t="str">
        <f t="shared" si="14"/>
        <v xml:space="preserve">N35DC   </v>
      </c>
      <c r="N357">
        <v>1</v>
      </c>
      <c r="O357">
        <v>1700</v>
      </c>
    </row>
    <row r="358" spans="1:15" x14ac:dyDescent="0.25">
      <c r="A358" t="str">
        <f>"10/21/2020 18:18:03.185"</f>
        <v>10/21/2020 18:18:03.185</v>
      </c>
      <c r="B358" t="str">
        <f>"18:18:11.109"</f>
        <v>18:18:11.109</v>
      </c>
      <c r="C358" t="str">
        <f>"18:18:10.709"</f>
        <v>18:18:10.709</v>
      </c>
      <c r="D358" t="s">
        <v>152</v>
      </c>
      <c r="E358">
        <v>30.420027000000001</v>
      </c>
      <c r="F358" t="s">
        <v>153</v>
      </c>
      <c r="G358">
        <v>-89.788405999999995</v>
      </c>
      <c r="H358">
        <v>1600</v>
      </c>
      <c r="I358">
        <v>64</v>
      </c>
      <c r="J358">
        <v>125</v>
      </c>
      <c r="K358">
        <v>-192</v>
      </c>
      <c r="L358">
        <v>1200</v>
      </c>
      <c r="M358" t="str">
        <f t="shared" si="14"/>
        <v xml:space="preserve">N35DC   </v>
      </c>
      <c r="N358">
        <v>1</v>
      </c>
      <c r="O358">
        <v>1700</v>
      </c>
    </row>
    <row r="359" spans="1:15" x14ac:dyDescent="0.25">
      <c r="A359" t="str">
        <f>"10/21/2020 18:18:03.185"</f>
        <v>10/21/2020 18:18:03.185</v>
      </c>
      <c r="B359" t="str">
        <f>"18:18:11.109"</f>
        <v>18:18:11.109</v>
      </c>
      <c r="C359" t="str">
        <f>"18:18:10.709"</f>
        <v>18:18:10.709</v>
      </c>
      <c r="D359" t="s">
        <v>152</v>
      </c>
      <c r="E359">
        <v>30.420027000000001</v>
      </c>
      <c r="F359" t="s">
        <v>153</v>
      </c>
      <c r="G359">
        <v>-89.788405999999995</v>
      </c>
      <c r="H359">
        <v>1600</v>
      </c>
      <c r="I359">
        <v>64</v>
      </c>
      <c r="J359">
        <v>125</v>
      </c>
      <c r="K359">
        <v>-192</v>
      </c>
      <c r="L359">
        <v>1200</v>
      </c>
      <c r="M359" t="str">
        <f t="shared" si="14"/>
        <v xml:space="preserve">N35DC   </v>
      </c>
      <c r="N359">
        <v>1</v>
      </c>
      <c r="O359">
        <v>1700</v>
      </c>
    </row>
    <row r="360" spans="1:15" x14ac:dyDescent="0.25">
      <c r="A360" t="str">
        <f>"10/21/2020 18:18:03.185"</f>
        <v>10/21/2020 18:18:03.185</v>
      </c>
      <c r="B360" t="str">
        <f>"18:18:11.109"</f>
        <v>18:18:11.109</v>
      </c>
      <c r="C360" t="str">
        <f>"18:18:10.709"</f>
        <v>18:18:10.709</v>
      </c>
      <c r="D360" t="s">
        <v>152</v>
      </c>
      <c r="E360">
        <v>30.420027000000001</v>
      </c>
      <c r="F360" t="s">
        <v>153</v>
      </c>
      <c r="G360">
        <v>-89.788405999999995</v>
      </c>
      <c r="H360">
        <v>1600</v>
      </c>
      <c r="I360">
        <v>64</v>
      </c>
      <c r="J360">
        <v>125</v>
      </c>
      <c r="K360">
        <v>-192</v>
      </c>
      <c r="L360">
        <v>1200</v>
      </c>
      <c r="M360" t="str">
        <f t="shared" si="14"/>
        <v xml:space="preserve">N35DC   </v>
      </c>
      <c r="N360">
        <v>1</v>
      </c>
      <c r="O360">
        <v>1700</v>
      </c>
    </row>
    <row r="361" spans="1:15" x14ac:dyDescent="0.25">
      <c r="A361" t="str">
        <f>"10/21/2020 18:18:03.185"</f>
        <v>10/21/2020 18:18:03.185</v>
      </c>
      <c r="B361" t="str">
        <f>"18:18:11.109"</f>
        <v>18:18:11.109</v>
      </c>
      <c r="C361" t="str">
        <f>"18:18:10.709"</f>
        <v>18:18:10.709</v>
      </c>
      <c r="D361" t="s">
        <v>152</v>
      </c>
      <c r="E361">
        <v>30.420027000000001</v>
      </c>
      <c r="F361" t="s">
        <v>153</v>
      </c>
      <c r="G361">
        <v>-89.788405999999995</v>
      </c>
      <c r="H361">
        <v>1600</v>
      </c>
      <c r="I361">
        <v>64</v>
      </c>
      <c r="J361">
        <v>125</v>
      </c>
      <c r="K361">
        <v>-192</v>
      </c>
      <c r="L361">
        <v>1200</v>
      </c>
      <c r="M361" t="str">
        <f t="shared" si="14"/>
        <v xml:space="preserve">N35DC   </v>
      </c>
      <c r="N361">
        <v>1</v>
      </c>
      <c r="O361">
        <v>1700</v>
      </c>
    </row>
    <row r="362" spans="1:15" x14ac:dyDescent="0.25">
      <c r="A362" t="str">
        <f>"10/21/2020 18:18:06.393"</f>
        <v>10/21/2020 18:18:06.393</v>
      </c>
      <c r="B362" t="str">
        <f>"18:18:14.336"</f>
        <v>18:18:14.336</v>
      </c>
      <c r="C362" t="str">
        <f>"18:18:14.236"</f>
        <v>18:18:14.236</v>
      </c>
      <c r="D362" t="s">
        <v>154</v>
      </c>
      <c r="E362">
        <v>30.421894000000002</v>
      </c>
      <c r="F362" t="s">
        <v>155</v>
      </c>
      <c r="G362">
        <v>-89.787246999999994</v>
      </c>
      <c r="H362">
        <v>1600</v>
      </c>
      <c r="I362">
        <v>66</v>
      </c>
      <c r="J362">
        <v>124</v>
      </c>
      <c r="K362">
        <v>-64</v>
      </c>
      <c r="L362">
        <v>1200</v>
      </c>
      <c r="M362" t="str">
        <f t="shared" si="14"/>
        <v xml:space="preserve">N35DC   </v>
      </c>
      <c r="N362">
        <v>1</v>
      </c>
      <c r="O362">
        <v>1700</v>
      </c>
    </row>
    <row r="363" spans="1:15" x14ac:dyDescent="0.25">
      <c r="A363" t="str">
        <f>"10/21/2020 18:18:06.393"</f>
        <v>10/21/2020 18:18:06.393</v>
      </c>
      <c r="B363" t="str">
        <f>"18:18:14.336"</f>
        <v>18:18:14.336</v>
      </c>
      <c r="C363" t="str">
        <f>"18:18:14.236"</f>
        <v>18:18:14.236</v>
      </c>
      <c r="D363" t="s">
        <v>154</v>
      </c>
      <c r="E363">
        <v>30.421894000000002</v>
      </c>
      <c r="F363" t="s">
        <v>155</v>
      </c>
      <c r="G363">
        <v>-89.787246999999994</v>
      </c>
      <c r="H363">
        <v>1600</v>
      </c>
      <c r="I363">
        <v>66</v>
      </c>
      <c r="J363">
        <v>124</v>
      </c>
      <c r="K363">
        <v>-64</v>
      </c>
      <c r="L363">
        <v>1200</v>
      </c>
      <c r="M363" t="str">
        <f t="shared" si="14"/>
        <v xml:space="preserve">N35DC   </v>
      </c>
      <c r="N363">
        <v>1</v>
      </c>
      <c r="O363">
        <v>1700</v>
      </c>
    </row>
    <row r="364" spans="1:15" x14ac:dyDescent="0.25">
      <c r="A364" t="str">
        <f>"10/21/2020 18:18:06.393"</f>
        <v>10/21/2020 18:18:06.393</v>
      </c>
      <c r="B364" t="str">
        <f>"18:18:14.336"</f>
        <v>18:18:14.336</v>
      </c>
      <c r="C364" t="str">
        <f>"18:18:14.236"</f>
        <v>18:18:14.236</v>
      </c>
      <c r="D364" t="s">
        <v>154</v>
      </c>
      <c r="E364">
        <v>30.421894000000002</v>
      </c>
      <c r="F364" t="s">
        <v>155</v>
      </c>
      <c r="G364">
        <v>-89.787246999999994</v>
      </c>
      <c r="H364">
        <v>1600</v>
      </c>
      <c r="I364">
        <v>66</v>
      </c>
      <c r="J364">
        <v>124</v>
      </c>
      <c r="K364">
        <v>-64</v>
      </c>
      <c r="L364">
        <v>1200</v>
      </c>
      <c r="M364" t="str">
        <f t="shared" si="14"/>
        <v xml:space="preserve">N35DC   </v>
      </c>
      <c r="N364">
        <v>1</v>
      </c>
      <c r="O364">
        <v>1700</v>
      </c>
    </row>
    <row r="365" spans="1:15" x14ac:dyDescent="0.25">
      <c r="A365" t="str">
        <f>"10/21/2020 18:18:06.393"</f>
        <v>10/21/2020 18:18:06.393</v>
      </c>
      <c r="B365" t="str">
        <f>"18:18:14.336"</f>
        <v>18:18:14.336</v>
      </c>
      <c r="C365" t="str">
        <f>"18:18:14.236"</f>
        <v>18:18:14.236</v>
      </c>
      <c r="D365" t="s">
        <v>154</v>
      </c>
      <c r="E365">
        <v>30.421894000000002</v>
      </c>
      <c r="F365" t="s">
        <v>155</v>
      </c>
      <c r="G365">
        <v>-89.787246999999994</v>
      </c>
      <c r="H365">
        <v>1600</v>
      </c>
      <c r="I365">
        <v>66</v>
      </c>
      <c r="J365">
        <v>124</v>
      </c>
      <c r="K365">
        <v>-64</v>
      </c>
      <c r="L365">
        <v>1200</v>
      </c>
      <c r="M365" t="str">
        <f t="shared" si="14"/>
        <v xml:space="preserve">N35DC   </v>
      </c>
      <c r="N365">
        <v>1</v>
      </c>
      <c r="O365">
        <v>1700</v>
      </c>
    </row>
    <row r="366" spans="1:15" x14ac:dyDescent="0.25">
      <c r="A366" t="str">
        <f>"10/21/2020 18:18:06.393"</f>
        <v>10/21/2020 18:18:06.393</v>
      </c>
      <c r="B366" t="str">
        <f>"18:18:14.336"</f>
        <v>18:18:14.336</v>
      </c>
      <c r="C366" t="str">
        <f>"18:18:14.236"</f>
        <v>18:18:14.236</v>
      </c>
      <c r="D366" t="s">
        <v>154</v>
      </c>
      <c r="E366">
        <v>30.421894000000002</v>
      </c>
      <c r="F366" t="s">
        <v>155</v>
      </c>
      <c r="G366">
        <v>-89.787246999999994</v>
      </c>
      <c r="H366">
        <v>1600</v>
      </c>
      <c r="I366">
        <v>66</v>
      </c>
      <c r="J366">
        <v>124</v>
      </c>
      <c r="K366">
        <v>-64</v>
      </c>
      <c r="L366">
        <v>1200</v>
      </c>
      <c r="M366" t="str">
        <f t="shared" si="14"/>
        <v xml:space="preserve">N35DC   </v>
      </c>
      <c r="N366">
        <v>1</v>
      </c>
      <c r="O366">
        <v>1700</v>
      </c>
    </row>
    <row r="367" spans="1:15" x14ac:dyDescent="0.25">
      <c r="A367" t="str">
        <f>"10/21/2020 18:18:07.288"</f>
        <v>10/21/2020 18:18:07.288</v>
      </c>
      <c r="B367" t="str">
        <f>"18:18:15.234"</f>
        <v>18:18:15.234</v>
      </c>
      <c r="C367" t="str">
        <f>"18:18:14.834"</f>
        <v>18:18:14.834</v>
      </c>
      <c r="D367" t="s">
        <v>156</v>
      </c>
      <c r="E367">
        <v>30.422429999999999</v>
      </c>
      <c r="F367" t="s">
        <v>157</v>
      </c>
      <c r="G367">
        <v>-89.786904000000007</v>
      </c>
      <c r="H367">
        <v>1600</v>
      </c>
      <c r="I367">
        <v>67</v>
      </c>
      <c r="J367">
        <v>124</v>
      </c>
      <c r="K367">
        <v>-128</v>
      </c>
      <c r="L367">
        <v>1200</v>
      </c>
      <c r="M367" t="str">
        <f t="shared" si="14"/>
        <v xml:space="preserve">N35DC   </v>
      </c>
      <c r="N367">
        <v>1</v>
      </c>
      <c r="O367">
        <v>1700</v>
      </c>
    </row>
    <row r="368" spans="1:15" x14ac:dyDescent="0.25">
      <c r="A368" t="str">
        <f>"10/21/2020 18:18:07.288"</f>
        <v>10/21/2020 18:18:07.288</v>
      </c>
      <c r="B368" t="str">
        <f>"18:18:15.234"</f>
        <v>18:18:15.234</v>
      </c>
      <c r="C368" t="str">
        <f>"18:18:14.834"</f>
        <v>18:18:14.834</v>
      </c>
      <c r="D368" t="s">
        <v>156</v>
      </c>
      <c r="E368">
        <v>30.422429999999999</v>
      </c>
      <c r="F368" t="s">
        <v>157</v>
      </c>
      <c r="G368">
        <v>-89.786904000000007</v>
      </c>
      <c r="H368">
        <v>1600</v>
      </c>
      <c r="I368">
        <v>67</v>
      </c>
      <c r="J368">
        <v>124</v>
      </c>
      <c r="K368">
        <v>-128</v>
      </c>
      <c r="L368">
        <v>1200</v>
      </c>
      <c r="M368" t="str">
        <f t="shared" si="14"/>
        <v xml:space="preserve">N35DC   </v>
      </c>
      <c r="N368">
        <v>1</v>
      </c>
      <c r="O368">
        <v>1700</v>
      </c>
    </row>
    <row r="369" spans="1:15" x14ac:dyDescent="0.25">
      <c r="A369" t="str">
        <f>"10/21/2020 18:18:07.288"</f>
        <v>10/21/2020 18:18:07.288</v>
      </c>
      <c r="B369" t="str">
        <f>"18:18:15.234"</f>
        <v>18:18:15.234</v>
      </c>
      <c r="C369" t="str">
        <f>"18:18:14.834"</f>
        <v>18:18:14.834</v>
      </c>
      <c r="D369" t="s">
        <v>156</v>
      </c>
      <c r="E369">
        <v>30.422429999999999</v>
      </c>
      <c r="F369" t="s">
        <v>157</v>
      </c>
      <c r="G369">
        <v>-89.786904000000007</v>
      </c>
      <c r="H369">
        <v>1600</v>
      </c>
      <c r="I369">
        <v>67</v>
      </c>
      <c r="J369">
        <v>124</v>
      </c>
      <c r="K369">
        <v>-128</v>
      </c>
      <c r="L369">
        <v>1200</v>
      </c>
      <c r="M369" t="str">
        <f t="shared" si="14"/>
        <v xml:space="preserve">N35DC   </v>
      </c>
      <c r="N369">
        <v>1</v>
      </c>
      <c r="O369">
        <v>1700</v>
      </c>
    </row>
    <row r="370" spans="1:15" x14ac:dyDescent="0.25">
      <c r="A370" t="str">
        <f>"10/21/2020 18:18:07.288"</f>
        <v>10/21/2020 18:18:07.288</v>
      </c>
      <c r="B370" t="str">
        <f>"18:18:15.234"</f>
        <v>18:18:15.234</v>
      </c>
      <c r="C370" t="str">
        <f>"18:18:14.834"</f>
        <v>18:18:14.834</v>
      </c>
      <c r="D370" t="s">
        <v>156</v>
      </c>
      <c r="E370">
        <v>30.422429999999999</v>
      </c>
      <c r="F370" t="s">
        <v>157</v>
      </c>
      <c r="G370">
        <v>-89.786904000000007</v>
      </c>
      <c r="H370">
        <v>1600</v>
      </c>
      <c r="I370">
        <v>67</v>
      </c>
      <c r="J370">
        <v>124</v>
      </c>
      <c r="K370">
        <v>-128</v>
      </c>
      <c r="L370">
        <v>1200</v>
      </c>
      <c r="M370" t="str">
        <f t="shared" si="14"/>
        <v xml:space="preserve">N35DC   </v>
      </c>
      <c r="N370">
        <v>1</v>
      </c>
      <c r="O370">
        <v>1700</v>
      </c>
    </row>
    <row r="371" spans="1:15" x14ac:dyDescent="0.25">
      <c r="A371" t="str">
        <f>"10/21/2020 18:18:07.288"</f>
        <v>10/21/2020 18:18:07.288</v>
      </c>
      <c r="B371" t="str">
        <f>"18:18:15.234"</f>
        <v>18:18:15.234</v>
      </c>
      <c r="C371" t="str">
        <f>"18:18:14.834"</f>
        <v>18:18:14.834</v>
      </c>
      <c r="D371" t="s">
        <v>156</v>
      </c>
      <c r="E371">
        <v>30.422429999999999</v>
      </c>
      <c r="F371" t="s">
        <v>157</v>
      </c>
      <c r="G371">
        <v>-89.786904000000007</v>
      </c>
      <c r="H371">
        <v>1600</v>
      </c>
      <c r="I371">
        <v>67</v>
      </c>
      <c r="J371">
        <v>124</v>
      </c>
      <c r="K371">
        <v>-128</v>
      </c>
      <c r="L371">
        <v>1200</v>
      </c>
      <c r="M371" t="str">
        <f t="shared" si="14"/>
        <v xml:space="preserve">N35DC   </v>
      </c>
      <c r="N371">
        <v>1</v>
      </c>
      <c r="O371">
        <v>1700</v>
      </c>
    </row>
    <row r="372" spans="1:15" x14ac:dyDescent="0.25">
      <c r="A372" t="str">
        <f>"10/21/2020 18:18:10.198"</f>
        <v>10/21/2020 18:18:10.198</v>
      </c>
      <c r="B372" t="str">
        <f>"18:18:18.148"</f>
        <v>18:18:18.148</v>
      </c>
      <c r="C372" t="str">
        <f>"18:18:17.748"</f>
        <v>18:18:17.748</v>
      </c>
      <c r="D372" t="s">
        <v>158</v>
      </c>
      <c r="E372">
        <v>30.424081999999999</v>
      </c>
      <c r="F372" t="s">
        <v>159</v>
      </c>
      <c r="G372">
        <v>-89.785874000000007</v>
      </c>
      <c r="H372">
        <v>1600</v>
      </c>
      <c r="I372">
        <v>68</v>
      </c>
      <c r="J372">
        <v>124</v>
      </c>
      <c r="K372">
        <v>-64</v>
      </c>
      <c r="L372">
        <v>1200</v>
      </c>
      <c r="M372" t="str">
        <f t="shared" si="14"/>
        <v xml:space="preserve">N35DC   </v>
      </c>
      <c r="N372">
        <v>1</v>
      </c>
      <c r="O372">
        <v>1700</v>
      </c>
    </row>
    <row r="373" spans="1:15" x14ac:dyDescent="0.25">
      <c r="A373" t="str">
        <f>"10/21/2020 18:18:10.198"</f>
        <v>10/21/2020 18:18:10.198</v>
      </c>
      <c r="B373" t="str">
        <f>"18:18:18.148"</f>
        <v>18:18:18.148</v>
      </c>
      <c r="C373" t="str">
        <f>"18:18:17.748"</f>
        <v>18:18:17.748</v>
      </c>
      <c r="D373" t="s">
        <v>158</v>
      </c>
      <c r="E373">
        <v>30.424081999999999</v>
      </c>
      <c r="F373" t="s">
        <v>159</v>
      </c>
      <c r="G373">
        <v>-89.785874000000007</v>
      </c>
      <c r="H373">
        <v>1600</v>
      </c>
      <c r="I373">
        <v>68</v>
      </c>
      <c r="J373">
        <v>124</v>
      </c>
      <c r="K373">
        <v>-64</v>
      </c>
      <c r="L373">
        <v>1200</v>
      </c>
      <c r="M373" t="str">
        <f t="shared" si="14"/>
        <v xml:space="preserve">N35DC   </v>
      </c>
      <c r="N373">
        <v>1</v>
      </c>
      <c r="O373">
        <v>1700</v>
      </c>
    </row>
    <row r="374" spans="1:15" x14ac:dyDescent="0.25">
      <c r="A374" t="str">
        <f>"10/21/2020 18:18:10.198"</f>
        <v>10/21/2020 18:18:10.198</v>
      </c>
      <c r="B374" t="str">
        <f>"18:18:18.148"</f>
        <v>18:18:18.148</v>
      </c>
      <c r="C374" t="str">
        <f>"18:18:17.748"</f>
        <v>18:18:17.748</v>
      </c>
      <c r="D374" t="s">
        <v>158</v>
      </c>
      <c r="E374">
        <v>30.424081999999999</v>
      </c>
      <c r="F374" t="s">
        <v>159</v>
      </c>
      <c r="G374">
        <v>-89.785874000000007</v>
      </c>
      <c r="H374">
        <v>1600</v>
      </c>
      <c r="I374">
        <v>68</v>
      </c>
      <c r="J374">
        <v>124</v>
      </c>
      <c r="K374">
        <v>-64</v>
      </c>
      <c r="L374">
        <v>1200</v>
      </c>
      <c r="M374" t="str">
        <f t="shared" si="14"/>
        <v xml:space="preserve">N35DC   </v>
      </c>
      <c r="N374">
        <v>1</v>
      </c>
      <c r="O374">
        <v>1700</v>
      </c>
    </row>
    <row r="375" spans="1:15" x14ac:dyDescent="0.25">
      <c r="A375" t="str">
        <f>"10/21/2020 18:18:10.198"</f>
        <v>10/21/2020 18:18:10.198</v>
      </c>
      <c r="B375" t="str">
        <f>"18:18:18.148"</f>
        <v>18:18:18.148</v>
      </c>
      <c r="C375" t="str">
        <f>"18:18:17.748"</f>
        <v>18:18:17.748</v>
      </c>
      <c r="D375" t="s">
        <v>158</v>
      </c>
      <c r="E375">
        <v>30.424081999999999</v>
      </c>
      <c r="F375" t="s">
        <v>159</v>
      </c>
      <c r="G375">
        <v>-89.785874000000007</v>
      </c>
      <c r="H375">
        <v>1600</v>
      </c>
      <c r="I375">
        <v>68</v>
      </c>
      <c r="J375">
        <v>124</v>
      </c>
      <c r="K375">
        <v>-64</v>
      </c>
      <c r="L375">
        <v>1200</v>
      </c>
      <c r="M375" t="str">
        <f t="shared" si="14"/>
        <v xml:space="preserve">N35DC   </v>
      </c>
      <c r="N375">
        <v>1</v>
      </c>
      <c r="O375">
        <v>1700</v>
      </c>
    </row>
    <row r="376" spans="1:15" x14ac:dyDescent="0.25">
      <c r="A376" t="str">
        <f>"10/21/2020 18:18:10.198"</f>
        <v>10/21/2020 18:18:10.198</v>
      </c>
      <c r="B376" t="str">
        <f>"18:18:18.148"</f>
        <v>18:18:18.148</v>
      </c>
      <c r="C376" t="str">
        <f>"18:18:17.748"</f>
        <v>18:18:17.748</v>
      </c>
      <c r="D376" t="s">
        <v>158</v>
      </c>
      <c r="E376">
        <v>30.424081999999999</v>
      </c>
      <c r="F376" t="s">
        <v>159</v>
      </c>
      <c r="G376">
        <v>-89.785874000000007</v>
      </c>
      <c r="H376">
        <v>1600</v>
      </c>
      <c r="I376">
        <v>68</v>
      </c>
      <c r="J376">
        <v>124</v>
      </c>
      <c r="K376">
        <v>-64</v>
      </c>
      <c r="L376">
        <v>1200</v>
      </c>
      <c r="M376" t="str">
        <f t="shared" si="14"/>
        <v xml:space="preserve">N35DC   </v>
      </c>
      <c r="N376">
        <v>1</v>
      </c>
      <c r="O376">
        <v>1700</v>
      </c>
    </row>
    <row r="377" spans="1:15" x14ac:dyDescent="0.25">
      <c r="A377" t="str">
        <f>"10/21/2020 18:18:11.056"</f>
        <v>10/21/2020 18:18:11.056</v>
      </c>
      <c r="B377" t="str">
        <f>"18:18:19.000"</f>
        <v>18:18:19.000</v>
      </c>
      <c r="C377" t="str">
        <f>"18:18:18.900"</f>
        <v>18:18:18.900</v>
      </c>
      <c r="D377" t="s">
        <v>160</v>
      </c>
      <c r="E377">
        <v>30.424596999999999</v>
      </c>
      <c r="F377" t="s">
        <v>161</v>
      </c>
      <c r="G377">
        <v>-89.785595000000001</v>
      </c>
      <c r="H377">
        <v>1600</v>
      </c>
      <c r="I377">
        <v>68</v>
      </c>
      <c r="J377">
        <v>125</v>
      </c>
      <c r="K377">
        <v>-128</v>
      </c>
      <c r="L377">
        <v>1200</v>
      </c>
      <c r="M377" t="str">
        <f t="shared" si="14"/>
        <v xml:space="preserve">N35DC   </v>
      </c>
      <c r="N377">
        <v>1</v>
      </c>
      <c r="O377">
        <v>1700</v>
      </c>
    </row>
    <row r="378" spans="1:15" x14ac:dyDescent="0.25">
      <c r="A378" t="str">
        <f>"10/21/2020 18:18:11.056"</f>
        <v>10/21/2020 18:18:11.056</v>
      </c>
      <c r="B378" t="str">
        <f>"18:18:19.000"</f>
        <v>18:18:19.000</v>
      </c>
      <c r="C378" t="str">
        <f>"18:18:18.900"</f>
        <v>18:18:18.900</v>
      </c>
      <c r="D378" t="s">
        <v>160</v>
      </c>
      <c r="E378">
        <v>30.424596999999999</v>
      </c>
      <c r="F378" t="s">
        <v>161</v>
      </c>
      <c r="G378">
        <v>-89.785595000000001</v>
      </c>
      <c r="H378">
        <v>1600</v>
      </c>
      <c r="I378">
        <v>68</v>
      </c>
      <c r="J378">
        <v>125</v>
      </c>
      <c r="K378">
        <v>-128</v>
      </c>
      <c r="L378">
        <v>1200</v>
      </c>
      <c r="M378" t="str">
        <f t="shared" si="14"/>
        <v xml:space="preserve">N35DC   </v>
      </c>
      <c r="N378">
        <v>1</v>
      </c>
      <c r="O378">
        <v>1700</v>
      </c>
    </row>
    <row r="379" spans="1:15" x14ac:dyDescent="0.25">
      <c r="A379" t="str">
        <f>"10/21/2020 18:18:11.056"</f>
        <v>10/21/2020 18:18:11.056</v>
      </c>
      <c r="B379" t="str">
        <f>"18:18:19.000"</f>
        <v>18:18:19.000</v>
      </c>
      <c r="C379" t="str">
        <f>"18:18:18.900"</f>
        <v>18:18:18.900</v>
      </c>
      <c r="D379" t="s">
        <v>160</v>
      </c>
      <c r="E379">
        <v>30.424596999999999</v>
      </c>
      <c r="F379" t="s">
        <v>161</v>
      </c>
      <c r="G379">
        <v>-89.785595000000001</v>
      </c>
      <c r="H379">
        <v>1600</v>
      </c>
      <c r="I379">
        <v>68</v>
      </c>
      <c r="J379">
        <v>125</v>
      </c>
      <c r="K379">
        <v>-128</v>
      </c>
      <c r="L379">
        <v>1200</v>
      </c>
      <c r="M379" t="str">
        <f t="shared" si="14"/>
        <v xml:space="preserve">N35DC   </v>
      </c>
      <c r="N379">
        <v>1</v>
      </c>
      <c r="O379">
        <v>1700</v>
      </c>
    </row>
    <row r="380" spans="1:15" x14ac:dyDescent="0.25">
      <c r="A380" t="str">
        <f>"10/21/2020 18:18:11.056"</f>
        <v>10/21/2020 18:18:11.056</v>
      </c>
      <c r="B380" t="str">
        <f>"18:18:19.000"</f>
        <v>18:18:19.000</v>
      </c>
      <c r="C380" t="str">
        <f>"18:18:18.900"</f>
        <v>18:18:18.900</v>
      </c>
      <c r="D380" t="s">
        <v>160</v>
      </c>
      <c r="E380">
        <v>30.424596999999999</v>
      </c>
      <c r="F380" t="s">
        <v>161</v>
      </c>
      <c r="G380">
        <v>-89.785595000000001</v>
      </c>
      <c r="H380">
        <v>1600</v>
      </c>
      <c r="I380">
        <v>68</v>
      </c>
      <c r="J380">
        <v>125</v>
      </c>
      <c r="K380">
        <v>-128</v>
      </c>
      <c r="L380">
        <v>1200</v>
      </c>
      <c r="M380" t="str">
        <f t="shared" si="14"/>
        <v xml:space="preserve">N35DC   </v>
      </c>
      <c r="N380">
        <v>1</v>
      </c>
      <c r="O380">
        <v>1700</v>
      </c>
    </row>
    <row r="381" spans="1:15" x14ac:dyDescent="0.25">
      <c r="A381" t="str">
        <f>"10/21/2020 18:18:11.056"</f>
        <v>10/21/2020 18:18:11.056</v>
      </c>
      <c r="B381" t="str">
        <f>"18:18:19.000"</f>
        <v>18:18:19.000</v>
      </c>
      <c r="C381" t="str">
        <f>"18:18:18.900"</f>
        <v>18:18:18.900</v>
      </c>
      <c r="D381" t="s">
        <v>160</v>
      </c>
      <c r="E381">
        <v>30.424596999999999</v>
      </c>
      <c r="F381" t="s">
        <v>161</v>
      </c>
      <c r="G381">
        <v>-89.785595000000001</v>
      </c>
      <c r="H381">
        <v>1600</v>
      </c>
      <c r="I381">
        <v>68</v>
      </c>
      <c r="J381">
        <v>125</v>
      </c>
      <c r="K381">
        <v>-128</v>
      </c>
      <c r="L381">
        <v>1200</v>
      </c>
      <c r="M381" t="str">
        <f t="shared" si="14"/>
        <v xml:space="preserve">N35DC   </v>
      </c>
      <c r="N381">
        <v>1</v>
      </c>
      <c r="O381">
        <v>1700</v>
      </c>
    </row>
    <row r="382" spans="1:15" x14ac:dyDescent="0.25">
      <c r="A382" t="str">
        <f>"10/21/2020 18:18:13.216"</f>
        <v>10/21/2020 18:18:13.216</v>
      </c>
      <c r="B382" t="str">
        <f>"18:18:21.148"</f>
        <v>18:18:21.148</v>
      </c>
      <c r="C382" t="str">
        <f>"18:18:20.948"</f>
        <v>18:18:20.948</v>
      </c>
      <c r="D382" t="s">
        <v>162</v>
      </c>
      <c r="E382">
        <v>30.425841999999999</v>
      </c>
      <c r="F382" t="s">
        <v>163</v>
      </c>
      <c r="G382">
        <v>-89.784779999999998</v>
      </c>
      <c r="H382">
        <v>1600</v>
      </c>
      <c r="I382">
        <v>67</v>
      </c>
      <c r="J382">
        <v>126</v>
      </c>
      <c r="K382">
        <v>-64</v>
      </c>
      <c r="L382">
        <v>1200</v>
      </c>
      <c r="M382" t="str">
        <f t="shared" si="14"/>
        <v xml:space="preserve">N35DC   </v>
      </c>
      <c r="N382">
        <v>1</v>
      </c>
      <c r="O382">
        <v>1700</v>
      </c>
    </row>
    <row r="383" spans="1:15" x14ac:dyDescent="0.25">
      <c r="A383" t="str">
        <f>"10/21/2020 18:18:13.216"</f>
        <v>10/21/2020 18:18:13.216</v>
      </c>
      <c r="B383" t="str">
        <f>"18:18:21.148"</f>
        <v>18:18:21.148</v>
      </c>
      <c r="C383" t="str">
        <f>"18:18:20.948"</f>
        <v>18:18:20.948</v>
      </c>
      <c r="D383" t="s">
        <v>162</v>
      </c>
      <c r="E383">
        <v>30.425841999999999</v>
      </c>
      <c r="F383" t="s">
        <v>163</v>
      </c>
      <c r="G383">
        <v>-89.784779999999998</v>
      </c>
      <c r="H383">
        <v>1600</v>
      </c>
      <c r="I383">
        <v>67</v>
      </c>
      <c r="J383">
        <v>126</v>
      </c>
      <c r="K383">
        <v>-64</v>
      </c>
      <c r="L383">
        <v>1200</v>
      </c>
      <c r="M383" t="str">
        <f t="shared" si="14"/>
        <v xml:space="preserve">N35DC   </v>
      </c>
      <c r="N383">
        <v>1</v>
      </c>
      <c r="O383">
        <v>1700</v>
      </c>
    </row>
    <row r="384" spans="1:15" x14ac:dyDescent="0.25">
      <c r="A384" t="str">
        <f>"10/21/2020 18:18:13.216"</f>
        <v>10/21/2020 18:18:13.216</v>
      </c>
      <c r="B384" t="str">
        <f>"18:18:21.148"</f>
        <v>18:18:21.148</v>
      </c>
      <c r="C384" t="str">
        <f>"18:18:20.948"</f>
        <v>18:18:20.948</v>
      </c>
      <c r="D384" t="s">
        <v>162</v>
      </c>
      <c r="E384">
        <v>30.425841999999999</v>
      </c>
      <c r="F384" t="s">
        <v>163</v>
      </c>
      <c r="G384">
        <v>-89.784779999999998</v>
      </c>
      <c r="H384">
        <v>1600</v>
      </c>
      <c r="I384">
        <v>67</v>
      </c>
      <c r="J384">
        <v>126</v>
      </c>
      <c r="K384">
        <v>-64</v>
      </c>
      <c r="L384">
        <v>1200</v>
      </c>
      <c r="M384" t="str">
        <f t="shared" si="14"/>
        <v xml:space="preserve">N35DC   </v>
      </c>
      <c r="N384">
        <v>1</v>
      </c>
      <c r="O384">
        <v>1700</v>
      </c>
    </row>
    <row r="385" spans="1:15" x14ac:dyDescent="0.25">
      <c r="A385" t="str">
        <f>"10/21/2020 18:18:13.216"</f>
        <v>10/21/2020 18:18:13.216</v>
      </c>
      <c r="B385" t="str">
        <f>"18:18:21.148"</f>
        <v>18:18:21.148</v>
      </c>
      <c r="C385" t="str">
        <f>"18:18:20.948"</f>
        <v>18:18:20.948</v>
      </c>
      <c r="D385" t="s">
        <v>162</v>
      </c>
      <c r="E385">
        <v>30.425841999999999</v>
      </c>
      <c r="F385" t="s">
        <v>163</v>
      </c>
      <c r="G385">
        <v>-89.784779999999998</v>
      </c>
      <c r="H385">
        <v>1600</v>
      </c>
      <c r="I385">
        <v>67</v>
      </c>
      <c r="J385">
        <v>126</v>
      </c>
      <c r="K385">
        <v>-64</v>
      </c>
      <c r="L385">
        <v>1200</v>
      </c>
      <c r="M385" t="str">
        <f t="shared" si="14"/>
        <v xml:space="preserve">N35DC   </v>
      </c>
      <c r="N385">
        <v>1</v>
      </c>
      <c r="O385">
        <v>1700</v>
      </c>
    </row>
    <row r="386" spans="1:15" x14ac:dyDescent="0.25">
      <c r="A386" t="str">
        <f>"10/21/2020 18:18:13.216"</f>
        <v>10/21/2020 18:18:13.216</v>
      </c>
      <c r="B386" t="str">
        <f>"18:18:21.148"</f>
        <v>18:18:21.148</v>
      </c>
      <c r="C386" t="str">
        <f>"18:18:20.948"</f>
        <v>18:18:20.948</v>
      </c>
      <c r="D386" t="s">
        <v>162</v>
      </c>
      <c r="E386">
        <v>30.425841999999999</v>
      </c>
      <c r="F386" t="s">
        <v>163</v>
      </c>
      <c r="G386">
        <v>-89.784779999999998</v>
      </c>
      <c r="H386">
        <v>1600</v>
      </c>
      <c r="I386">
        <v>67</v>
      </c>
      <c r="J386">
        <v>126</v>
      </c>
      <c r="K386">
        <v>-64</v>
      </c>
      <c r="L386">
        <v>1200</v>
      </c>
      <c r="M386" t="str">
        <f t="shared" si="14"/>
        <v xml:space="preserve">N35DC   </v>
      </c>
      <c r="N386">
        <v>1</v>
      </c>
      <c r="O386">
        <v>1700</v>
      </c>
    </row>
    <row r="387" spans="1:15" x14ac:dyDescent="0.25">
      <c r="A387" t="str">
        <f>"10/21/2020 18:18:14.111"</f>
        <v>10/21/2020 18:18:14.111</v>
      </c>
      <c r="B387" t="str">
        <f>"18:18:22.047"</f>
        <v>18:18:22.047</v>
      </c>
      <c r="C387" t="str">
        <f>"18:18:21.847"</f>
        <v>18:18:21.847</v>
      </c>
      <c r="D387" t="s">
        <v>164</v>
      </c>
      <c r="E387">
        <v>30.426356999999999</v>
      </c>
      <c r="F387" t="s">
        <v>165</v>
      </c>
      <c r="G387">
        <v>-89.784479000000005</v>
      </c>
      <c r="H387">
        <v>1600</v>
      </c>
      <c r="I387">
        <v>67</v>
      </c>
      <c r="J387">
        <v>126</v>
      </c>
      <c r="K387">
        <v>-128</v>
      </c>
      <c r="L387">
        <v>1200</v>
      </c>
      <c r="M387" t="str">
        <f t="shared" si="14"/>
        <v xml:space="preserve">N35DC   </v>
      </c>
      <c r="N387">
        <v>1</v>
      </c>
      <c r="O387">
        <v>1700</v>
      </c>
    </row>
    <row r="388" spans="1:15" x14ac:dyDescent="0.25">
      <c r="A388" t="str">
        <f>"10/21/2020 18:18:14.111"</f>
        <v>10/21/2020 18:18:14.111</v>
      </c>
      <c r="B388" t="str">
        <f>"18:18:22.047"</f>
        <v>18:18:22.047</v>
      </c>
      <c r="C388" t="str">
        <f>"18:18:21.847"</f>
        <v>18:18:21.847</v>
      </c>
      <c r="D388" t="s">
        <v>164</v>
      </c>
      <c r="E388">
        <v>30.426356999999999</v>
      </c>
      <c r="F388" t="s">
        <v>165</v>
      </c>
      <c r="G388">
        <v>-89.784479000000005</v>
      </c>
      <c r="H388">
        <v>1600</v>
      </c>
      <c r="I388">
        <v>67</v>
      </c>
      <c r="J388">
        <v>126</v>
      </c>
      <c r="K388">
        <v>-128</v>
      </c>
      <c r="L388">
        <v>1200</v>
      </c>
      <c r="M388" t="str">
        <f t="shared" si="14"/>
        <v xml:space="preserve">N35DC   </v>
      </c>
      <c r="N388">
        <v>1</v>
      </c>
      <c r="O388">
        <v>1700</v>
      </c>
    </row>
    <row r="389" spans="1:15" x14ac:dyDescent="0.25">
      <c r="A389" t="str">
        <f>"10/21/2020 18:18:14.111"</f>
        <v>10/21/2020 18:18:14.111</v>
      </c>
      <c r="B389" t="str">
        <f>"18:18:22.047"</f>
        <v>18:18:22.047</v>
      </c>
      <c r="C389" t="str">
        <f>"18:18:21.847"</f>
        <v>18:18:21.847</v>
      </c>
      <c r="D389" t="s">
        <v>164</v>
      </c>
      <c r="E389">
        <v>30.426356999999999</v>
      </c>
      <c r="F389" t="s">
        <v>165</v>
      </c>
      <c r="G389">
        <v>-89.784479000000005</v>
      </c>
      <c r="H389">
        <v>1600</v>
      </c>
      <c r="I389">
        <v>67</v>
      </c>
      <c r="J389">
        <v>126</v>
      </c>
      <c r="K389">
        <v>-128</v>
      </c>
      <c r="L389">
        <v>1200</v>
      </c>
      <c r="M389" t="str">
        <f t="shared" si="14"/>
        <v xml:space="preserve">N35DC   </v>
      </c>
      <c r="N389">
        <v>1</v>
      </c>
      <c r="O389">
        <v>1700</v>
      </c>
    </row>
    <row r="390" spans="1:15" x14ac:dyDescent="0.25">
      <c r="A390" t="str">
        <f>"10/21/2020 18:18:14.111"</f>
        <v>10/21/2020 18:18:14.111</v>
      </c>
      <c r="B390" t="str">
        <f>"18:18:22.047"</f>
        <v>18:18:22.047</v>
      </c>
      <c r="C390" t="str">
        <f>"18:18:21.847"</f>
        <v>18:18:21.847</v>
      </c>
      <c r="D390" t="s">
        <v>164</v>
      </c>
      <c r="E390">
        <v>30.426356999999999</v>
      </c>
      <c r="F390" t="s">
        <v>165</v>
      </c>
      <c r="G390">
        <v>-89.784479000000005</v>
      </c>
      <c r="H390">
        <v>1600</v>
      </c>
      <c r="I390">
        <v>67</v>
      </c>
      <c r="J390">
        <v>126</v>
      </c>
      <c r="K390">
        <v>-128</v>
      </c>
      <c r="L390">
        <v>1200</v>
      </c>
      <c r="M390" t="str">
        <f t="shared" si="14"/>
        <v xml:space="preserve">N35DC   </v>
      </c>
      <c r="N390">
        <v>1</v>
      </c>
      <c r="O390">
        <v>1700</v>
      </c>
    </row>
    <row r="391" spans="1:15" x14ac:dyDescent="0.25">
      <c r="A391" t="str">
        <f>"10/21/2020 18:18:14.111"</f>
        <v>10/21/2020 18:18:14.111</v>
      </c>
      <c r="B391" t="str">
        <f>"18:18:22.047"</f>
        <v>18:18:22.047</v>
      </c>
      <c r="C391" t="str">
        <f>"18:18:21.847"</f>
        <v>18:18:21.847</v>
      </c>
      <c r="D391" t="s">
        <v>164</v>
      </c>
      <c r="E391">
        <v>30.426356999999999</v>
      </c>
      <c r="F391" t="s">
        <v>165</v>
      </c>
      <c r="G391">
        <v>-89.784479000000005</v>
      </c>
      <c r="H391">
        <v>1600</v>
      </c>
      <c r="I391">
        <v>67</v>
      </c>
      <c r="J391">
        <v>126</v>
      </c>
      <c r="K391">
        <v>-128</v>
      </c>
      <c r="L391">
        <v>1200</v>
      </c>
      <c r="M391" t="str">
        <f t="shared" ref="M391:M454" si="15">"N35DC   "</f>
        <v xml:space="preserve">N35DC   </v>
      </c>
      <c r="N391">
        <v>1</v>
      </c>
      <c r="O391">
        <v>1700</v>
      </c>
    </row>
    <row r="392" spans="1:15" x14ac:dyDescent="0.25">
      <c r="A392" t="str">
        <f>"10/21/2020 18:18:16.171"</f>
        <v>10/21/2020 18:18:16.171</v>
      </c>
      <c r="B392" t="str">
        <f>"18:18:24.102"</f>
        <v>18:18:24.102</v>
      </c>
      <c r="C392" t="str">
        <f>"18:18:23.802"</f>
        <v>18:18:23.802</v>
      </c>
      <c r="D392" t="s">
        <v>166</v>
      </c>
      <c r="E392">
        <v>30.427558000000001</v>
      </c>
      <c r="F392" t="s">
        <v>167</v>
      </c>
      <c r="G392">
        <v>-89.783771000000002</v>
      </c>
      <c r="H392">
        <v>1600</v>
      </c>
      <c r="I392">
        <v>66</v>
      </c>
      <c r="J392">
        <v>126</v>
      </c>
      <c r="K392">
        <v>0</v>
      </c>
      <c r="L392">
        <v>1200</v>
      </c>
      <c r="M392" t="str">
        <f t="shared" si="15"/>
        <v xml:space="preserve">N35DC   </v>
      </c>
      <c r="N392">
        <v>1</v>
      </c>
      <c r="O392">
        <v>1700</v>
      </c>
    </row>
    <row r="393" spans="1:15" x14ac:dyDescent="0.25">
      <c r="A393" t="str">
        <f>"10/21/2020 18:18:16.171"</f>
        <v>10/21/2020 18:18:16.171</v>
      </c>
      <c r="B393" t="str">
        <f>"18:18:24.102"</f>
        <v>18:18:24.102</v>
      </c>
      <c r="C393" t="str">
        <f>"18:18:23.802"</f>
        <v>18:18:23.802</v>
      </c>
      <c r="D393" t="s">
        <v>166</v>
      </c>
      <c r="E393">
        <v>30.427558000000001</v>
      </c>
      <c r="F393" t="s">
        <v>167</v>
      </c>
      <c r="G393">
        <v>-89.783771000000002</v>
      </c>
      <c r="H393">
        <v>1600</v>
      </c>
      <c r="I393">
        <v>66</v>
      </c>
      <c r="J393">
        <v>126</v>
      </c>
      <c r="K393">
        <v>0</v>
      </c>
      <c r="L393">
        <v>1200</v>
      </c>
      <c r="M393" t="str">
        <f t="shared" si="15"/>
        <v xml:space="preserve">N35DC   </v>
      </c>
      <c r="N393">
        <v>1</v>
      </c>
      <c r="O393">
        <v>1700</v>
      </c>
    </row>
    <row r="394" spans="1:15" x14ac:dyDescent="0.25">
      <c r="A394" t="str">
        <f>"10/21/2020 18:18:16.171"</f>
        <v>10/21/2020 18:18:16.171</v>
      </c>
      <c r="B394" t="str">
        <f>"18:18:24.102"</f>
        <v>18:18:24.102</v>
      </c>
      <c r="C394" t="str">
        <f>"18:18:23.802"</f>
        <v>18:18:23.802</v>
      </c>
      <c r="D394" t="s">
        <v>166</v>
      </c>
      <c r="E394">
        <v>30.427558000000001</v>
      </c>
      <c r="F394" t="s">
        <v>167</v>
      </c>
      <c r="G394">
        <v>-89.783771000000002</v>
      </c>
      <c r="H394">
        <v>1600</v>
      </c>
      <c r="I394">
        <v>66</v>
      </c>
      <c r="J394">
        <v>126</v>
      </c>
      <c r="K394">
        <v>0</v>
      </c>
      <c r="L394">
        <v>1200</v>
      </c>
      <c r="M394" t="str">
        <f t="shared" si="15"/>
        <v xml:space="preserve">N35DC   </v>
      </c>
      <c r="N394">
        <v>1</v>
      </c>
      <c r="O394">
        <v>1700</v>
      </c>
    </row>
    <row r="395" spans="1:15" x14ac:dyDescent="0.25">
      <c r="A395" t="str">
        <f>"10/21/2020 18:18:16.171"</f>
        <v>10/21/2020 18:18:16.171</v>
      </c>
      <c r="B395" t="str">
        <f>"18:18:24.102"</f>
        <v>18:18:24.102</v>
      </c>
      <c r="C395" t="str">
        <f>"18:18:23.802"</f>
        <v>18:18:23.802</v>
      </c>
      <c r="D395" t="s">
        <v>166</v>
      </c>
      <c r="E395">
        <v>30.427558000000001</v>
      </c>
      <c r="F395" t="s">
        <v>167</v>
      </c>
      <c r="G395">
        <v>-89.783771000000002</v>
      </c>
      <c r="H395">
        <v>1600</v>
      </c>
      <c r="I395">
        <v>66</v>
      </c>
      <c r="J395">
        <v>126</v>
      </c>
      <c r="K395">
        <v>0</v>
      </c>
      <c r="L395">
        <v>1200</v>
      </c>
      <c r="M395" t="str">
        <f t="shared" si="15"/>
        <v xml:space="preserve">N35DC   </v>
      </c>
      <c r="N395">
        <v>1</v>
      </c>
      <c r="O395">
        <v>1700</v>
      </c>
    </row>
    <row r="396" spans="1:15" x14ac:dyDescent="0.25">
      <c r="A396" t="str">
        <f>"10/21/2020 18:18:16.171"</f>
        <v>10/21/2020 18:18:16.171</v>
      </c>
      <c r="B396" t="str">
        <f>"18:18:24.102"</f>
        <v>18:18:24.102</v>
      </c>
      <c r="C396" t="str">
        <f>"18:18:23.802"</f>
        <v>18:18:23.802</v>
      </c>
      <c r="D396" t="s">
        <v>166</v>
      </c>
      <c r="E396">
        <v>30.427558000000001</v>
      </c>
      <c r="F396" t="s">
        <v>167</v>
      </c>
      <c r="G396">
        <v>-89.783771000000002</v>
      </c>
      <c r="H396">
        <v>1600</v>
      </c>
      <c r="I396">
        <v>66</v>
      </c>
      <c r="J396">
        <v>126</v>
      </c>
      <c r="K396">
        <v>0</v>
      </c>
      <c r="L396">
        <v>1200</v>
      </c>
      <c r="M396" t="str">
        <f t="shared" si="15"/>
        <v xml:space="preserve">N35DC   </v>
      </c>
      <c r="N396">
        <v>1</v>
      </c>
      <c r="O396">
        <v>1700</v>
      </c>
    </row>
    <row r="397" spans="1:15" x14ac:dyDescent="0.25">
      <c r="A397" t="str">
        <f>"10/21/2020 18:18:17.241"</f>
        <v>10/21/2020 18:18:17.241</v>
      </c>
      <c r="B397" t="str">
        <f>"18:18:25.180"</f>
        <v>18:18:25.180</v>
      </c>
      <c r="C397" t="str">
        <f>"18:18:24.880"</f>
        <v>18:18:24.880</v>
      </c>
      <c r="D397" t="s">
        <v>168</v>
      </c>
      <c r="E397">
        <v>30.428201999999999</v>
      </c>
      <c r="F397" t="s">
        <v>169</v>
      </c>
      <c r="G397">
        <v>-89.783405999999999</v>
      </c>
      <c r="H397">
        <v>1600</v>
      </c>
      <c r="I397">
        <v>66</v>
      </c>
      <c r="J397">
        <v>127</v>
      </c>
      <c r="K397">
        <v>0</v>
      </c>
      <c r="L397">
        <v>1200</v>
      </c>
      <c r="M397" t="str">
        <f t="shared" si="15"/>
        <v xml:space="preserve">N35DC   </v>
      </c>
      <c r="N397">
        <v>1</v>
      </c>
      <c r="O397">
        <v>1700</v>
      </c>
    </row>
    <row r="398" spans="1:15" x14ac:dyDescent="0.25">
      <c r="A398" t="str">
        <f>"10/21/2020 18:18:17.241"</f>
        <v>10/21/2020 18:18:17.241</v>
      </c>
      <c r="B398" t="str">
        <f>"18:18:25.180"</f>
        <v>18:18:25.180</v>
      </c>
      <c r="C398" t="str">
        <f>"18:18:24.880"</f>
        <v>18:18:24.880</v>
      </c>
      <c r="D398" t="s">
        <v>168</v>
      </c>
      <c r="E398">
        <v>30.428201999999999</v>
      </c>
      <c r="F398" t="s">
        <v>169</v>
      </c>
      <c r="G398">
        <v>-89.783405999999999</v>
      </c>
      <c r="H398">
        <v>1600</v>
      </c>
      <c r="I398">
        <v>66</v>
      </c>
      <c r="J398">
        <v>127</v>
      </c>
      <c r="K398">
        <v>0</v>
      </c>
      <c r="L398">
        <v>1200</v>
      </c>
      <c r="M398" t="str">
        <f t="shared" si="15"/>
        <v xml:space="preserve">N35DC   </v>
      </c>
      <c r="N398">
        <v>1</v>
      </c>
      <c r="O398">
        <v>1700</v>
      </c>
    </row>
    <row r="399" spans="1:15" x14ac:dyDescent="0.25">
      <c r="A399" t="str">
        <f>"10/21/2020 18:18:17.241"</f>
        <v>10/21/2020 18:18:17.241</v>
      </c>
      <c r="B399" t="str">
        <f>"18:18:25.180"</f>
        <v>18:18:25.180</v>
      </c>
      <c r="C399" t="str">
        <f>"18:18:24.880"</f>
        <v>18:18:24.880</v>
      </c>
      <c r="D399" t="s">
        <v>168</v>
      </c>
      <c r="E399">
        <v>30.428201999999999</v>
      </c>
      <c r="F399" t="s">
        <v>169</v>
      </c>
      <c r="G399">
        <v>-89.783405999999999</v>
      </c>
      <c r="H399">
        <v>1600</v>
      </c>
      <c r="I399">
        <v>66</v>
      </c>
      <c r="J399">
        <v>127</v>
      </c>
      <c r="K399">
        <v>0</v>
      </c>
      <c r="L399">
        <v>1200</v>
      </c>
      <c r="M399" t="str">
        <f t="shared" si="15"/>
        <v xml:space="preserve">N35DC   </v>
      </c>
      <c r="N399">
        <v>1</v>
      </c>
      <c r="O399">
        <v>1700</v>
      </c>
    </row>
    <row r="400" spans="1:15" x14ac:dyDescent="0.25">
      <c r="A400" t="str">
        <f>"10/21/2020 18:18:17.241"</f>
        <v>10/21/2020 18:18:17.241</v>
      </c>
      <c r="B400" t="str">
        <f>"18:18:25.180"</f>
        <v>18:18:25.180</v>
      </c>
      <c r="C400" t="str">
        <f>"18:18:24.880"</f>
        <v>18:18:24.880</v>
      </c>
      <c r="D400" t="s">
        <v>168</v>
      </c>
      <c r="E400">
        <v>30.428201999999999</v>
      </c>
      <c r="F400" t="s">
        <v>169</v>
      </c>
      <c r="G400">
        <v>-89.783405999999999</v>
      </c>
      <c r="H400">
        <v>1600</v>
      </c>
      <c r="I400">
        <v>66</v>
      </c>
      <c r="J400">
        <v>127</v>
      </c>
      <c r="K400">
        <v>0</v>
      </c>
      <c r="L400">
        <v>1200</v>
      </c>
      <c r="M400" t="str">
        <f t="shared" si="15"/>
        <v xml:space="preserve">N35DC   </v>
      </c>
      <c r="N400">
        <v>1</v>
      </c>
      <c r="O400">
        <v>1700</v>
      </c>
    </row>
    <row r="401" spans="1:15" x14ac:dyDescent="0.25">
      <c r="A401" t="str">
        <f>"10/21/2020 18:18:17.241"</f>
        <v>10/21/2020 18:18:17.241</v>
      </c>
      <c r="B401" t="str">
        <f>"18:18:25.180"</f>
        <v>18:18:25.180</v>
      </c>
      <c r="C401" t="str">
        <f>"18:18:24.880"</f>
        <v>18:18:24.880</v>
      </c>
      <c r="D401" t="s">
        <v>168</v>
      </c>
      <c r="E401">
        <v>30.428201999999999</v>
      </c>
      <c r="F401" t="s">
        <v>169</v>
      </c>
      <c r="G401">
        <v>-89.783405999999999</v>
      </c>
      <c r="H401">
        <v>1600</v>
      </c>
      <c r="I401">
        <v>66</v>
      </c>
      <c r="J401">
        <v>127</v>
      </c>
      <c r="K401">
        <v>0</v>
      </c>
      <c r="L401">
        <v>1200</v>
      </c>
      <c r="M401" t="str">
        <f t="shared" si="15"/>
        <v xml:space="preserve">N35DC   </v>
      </c>
      <c r="N401">
        <v>1</v>
      </c>
      <c r="O401">
        <v>1700</v>
      </c>
    </row>
    <row r="402" spans="1:15" x14ac:dyDescent="0.25">
      <c r="A402" t="str">
        <f>"10/21/2020 18:18:19.167"</f>
        <v>10/21/2020 18:18:19.167</v>
      </c>
      <c r="B402" t="str">
        <f>"18:18:27.086"</f>
        <v>18:18:27.086</v>
      </c>
      <c r="C402" t="str">
        <f>"18:18:26.786"</f>
        <v>18:18:26.786</v>
      </c>
      <c r="D402" t="s">
        <v>170</v>
      </c>
      <c r="E402">
        <v>30.429338999999999</v>
      </c>
      <c r="F402" t="s">
        <v>171</v>
      </c>
      <c r="G402">
        <v>-89.782697999999996</v>
      </c>
      <c r="H402">
        <v>1600</v>
      </c>
      <c r="I402">
        <v>65</v>
      </c>
      <c r="J402">
        <v>127</v>
      </c>
      <c r="K402">
        <v>64</v>
      </c>
      <c r="L402">
        <v>1200</v>
      </c>
      <c r="M402" t="str">
        <f t="shared" si="15"/>
        <v xml:space="preserve">N35DC   </v>
      </c>
      <c r="N402">
        <v>1</v>
      </c>
      <c r="O402">
        <v>1700</v>
      </c>
    </row>
    <row r="403" spans="1:15" x14ac:dyDescent="0.25">
      <c r="A403" t="str">
        <f>"10/21/2020 18:18:19.167"</f>
        <v>10/21/2020 18:18:19.167</v>
      </c>
      <c r="B403" t="str">
        <f>"18:18:27.086"</f>
        <v>18:18:27.086</v>
      </c>
      <c r="C403" t="str">
        <f>"18:18:26.786"</f>
        <v>18:18:26.786</v>
      </c>
      <c r="D403" t="s">
        <v>170</v>
      </c>
      <c r="E403">
        <v>30.429338999999999</v>
      </c>
      <c r="F403" t="s">
        <v>171</v>
      </c>
      <c r="G403">
        <v>-89.782697999999996</v>
      </c>
      <c r="H403">
        <v>1600</v>
      </c>
      <c r="I403">
        <v>65</v>
      </c>
      <c r="J403">
        <v>127</v>
      </c>
      <c r="K403">
        <v>64</v>
      </c>
      <c r="L403">
        <v>1200</v>
      </c>
      <c r="M403" t="str">
        <f t="shared" si="15"/>
        <v xml:space="preserve">N35DC   </v>
      </c>
      <c r="N403">
        <v>1</v>
      </c>
      <c r="O403">
        <v>1700</v>
      </c>
    </row>
    <row r="404" spans="1:15" x14ac:dyDescent="0.25">
      <c r="A404" t="str">
        <f>"10/21/2020 18:18:19.167"</f>
        <v>10/21/2020 18:18:19.167</v>
      </c>
      <c r="B404" t="str">
        <f>"18:18:27.086"</f>
        <v>18:18:27.086</v>
      </c>
      <c r="C404" t="str">
        <f>"18:18:26.786"</f>
        <v>18:18:26.786</v>
      </c>
      <c r="D404" t="s">
        <v>170</v>
      </c>
      <c r="E404">
        <v>30.429338999999999</v>
      </c>
      <c r="F404" t="s">
        <v>171</v>
      </c>
      <c r="G404">
        <v>-89.782697999999996</v>
      </c>
      <c r="H404">
        <v>1600</v>
      </c>
      <c r="I404">
        <v>65</v>
      </c>
      <c r="J404">
        <v>127</v>
      </c>
      <c r="K404">
        <v>64</v>
      </c>
      <c r="L404">
        <v>1200</v>
      </c>
      <c r="M404" t="str">
        <f t="shared" si="15"/>
        <v xml:space="preserve">N35DC   </v>
      </c>
      <c r="N404">
        <v>1</v>
      </c>
      <c r="O404">
        <v>1700</v>
      </c>
    </row>
    <row r="405" spans="1:15" x14ac:dyDescent="0.25">
      <c r="A405" t="str">
        <f>"10/21/2020 18:18:19.167"</f>
        <v>10/21/2020 18:18:19.167</v>
      </c>
      <c r="B405" t="str">
        <f>"18:18:27.086"</f>
        <v>18:18:27.086</v>
      </c>
      <c r="C405" t="str">
        <f>"18:18:26.786"</f>
        <v>18:18:26.786</v>
      </c>
      <c r="D405" t="s">
        <v>170</v>
      </c>
      <c r="E405">
        <v>30.429338999999999</v>
      </c>
      <c r="F405" t="s">
        <v>171</v>
      </c>
      <c r="G405">
        <v>-89.782697999999996</v>
      </c>
      <c r="H405">
        <v>1600</v>
      </c>
      <c r="I405">
        <v>65</v>
      </c>
      <c r="J405">
        <v>127</v>
      </c>
      <c r="K405">
        <v>64</v>
      </c>
      <c r="L405">
        <v>1200</v>
      </c>
      <c r="M405" t="str">
        <f t="shared" si="15"/>
        <v xml:space="preserve">N35DC   </v>
      </c>
      <c r="N405">
        <v>1</v>
      </c>
      <c r="O405">
        <v>1700</v>
      </c>
    </row>
    <row r="406" spans="1:15" x14ac:dyDescent="0.25">
      <c r="A406" t="str">
        <f>"10/21/2020 18:18:19.167"</f>
        <v>10/21/2020 18:18:19.167</v>
      </c>
      <c r="B406" t="str">
        <f>"18:18:27.086"</f>
        <v>18:18:27.086</v>
      </c>
      <c r="C406" t="str">
        <f>"18:18:26.786"</f>
        <v>18:18:26.786</v>
      </c>
      <c r="D406" t="s">
        <v>170</v>
      </c>
      <c r="E406">
        <v>30.429338999999999</v>
      </c>
      <c r="F406" t="s">
        <v>171</v>
      </c>
      <c r="G406">
        <v>-89.782697999999996</v>
      </c>
      <c r="H406">
        <v>1600</v>
      </c>
      <c r="I406">
        <v>65</v>
      </c>
      <c r="J406">
        <v>127</v>
      </c>
      <c r="K406">
        <v>64</v>
      </c>
      <c r="L406">
        <v>1200</v>
      </c>
      <c r="M406" t="str">
        <f t="shared" si="15"/>
        <v xml:space="preserve">N35DC   </v>
      </c>
      <c r="N406">
        <v>1</v>
      </c>
      <c r="O406">
        <v>1700</v>
      </c>
    </row>
    <row r="407" spans="1:15" x14ac:dyDescent="0.25">
      <c r="A407" t="str">
        <f>"10/21/2020 18:18:20.297"</f>
        <v>10/21/2020 18:18:20.297</v>
      </c>
      <c r="B407" t="str">
        <f t="shared" ref="B407:C411" si="16">"18:18:28.242"</f>
        <v>18:18:28.242</v>
      </c>
      <c r="C407" t="str">
        <f t="shared" si="16"/>
        <v>18:18:28.242</v>
      </c>
      <c r="D407" t="s">
        <v>172</v>
      </c>
      <c r="E407">
        <v>30.429983</v>
      </c>
      <c r="F407" t="s">
        <v>173</v>
      </c>
      <c r="G407">
        <v>-89.782312000000005</v>
      </c>
      <c r="H407">
        <v>1600</v>
      </c>
      <c r="I407">
        <v>65</v>
      </c>
      <c r="J407">
        <v>127</v>
      </c>
      <c r="K407">
        <v>-64</v>
      </c>
      <c r="L407">
        <v>1200</v>
      </c>
      <c r="M407" t="str">
        <f t="shared" si="15"/>
        <v xml:space="preserve">N35DC   </v>
      </c>
      <c r="N407">
        <v>1</v>
      </c>
      <c r="O407">
        <v>1700</v>
      </c>
    </row>
    <row r="408" spans="1:15" x14ac:dyDescent="0.25">
      <c r="A408" t="str">
        <f>"10/21/2020 18:18:20.297"</f>
        <v>10/21/2020 18:18:20.297</v>
      </c>
      <c r="B408" t="str">
        <f t="shared" si="16"/>
        <v>18:18:28.242</v>
      </c>
      <c r="C408" t="str">
        <f t="shared" si="16"/>
        <v>18:18:28.242</v>
      </c>
      <c r="D408" t="s">
        <v>172</v>
      </c>
      <c r="E408">
        <v>30.429983</v>
      </c>
      <c r="F408" t="s">
        <v>173</v>
      </c>
      <c r="G408">
        <v>-89.782312000000005</v>
      </c>
      <c r="H408">
        <v>1600</v>
      </c>
      <c r="I408">
        <v>65</v>
      </c>
      <c r="J408">
        <v>127</v>
      </c>
      <c r="K408">
        <v>-64</v>
      </c>
      <c r="L408">
        <v>1200</v>
      </c>
      <c r="M408" t="str">
        <f t="shared" si="15"/>
        <v xml:space="preserve">N35DC   </v>
      </c>
      <c r="N408">
        <v>1</v>
      </c>
      <c r="O408">
        <v>1700</v>
      </c>
    </row>
    <row r="409" spans="1:15" x14ac:dyDescent="0.25">
      <c r="A409" t="str">
        <f>"10/21/2020 18:18:20.297"</f>
        <v>10/21/2020 18:18:20.297</v>
      </c>
      <c r="B409" t="str">
        <f t="shared" si="16"/>
        <v>18:18:28.242</v>
      </c>
      <c r="C409" t="str">
        <f t="shared" si="16"/>
        <v>18:18:28.242</v>
      </c>
      <c r="D409" t="s">
        <v>172</v>
      </c>
      <c r="E409">
        <v>30.429983</v>
      </c>
      <c r="F409" t="s">
        <v>173</v>
      </c>
      <c r="G409">
        <v>-89.782312000000005</v>
      </c>
      <c r="H409">
        <v>1600</v>
      </c>
      <c r="I409">
        <v>65</v>
      </c>
      <c r="J409">
        <v>127</v>
      </c>
      <c r="K409">
        <v>-64</v>
      </c>
      <c r="L409">
        <v>1200</v>
      </c>
      <c r="M409" t="str">
        <f t="shared" si="15"/>
        <v xml:space="preserve">N35DC   </v>
      </c>
      <c r="N409">
        <v>1</v>
      </c>
      <c r="O409">
        <v>1700</v>
      </c>
    </row>
    <row r="410" spans="1:15" x14ac:dyDescent="0.25">
      <c r="A410" t="str">
        <f>"10/21/2020 18:18:20.297"</f>
        <v>10/21/2020 18:18:20.297</v>
      </c>
      <c r="B410" t="str">
        <f t="shared" si="16"/>
        <v>18:18:28.242</v>
      </c>
      <c r="C410" t="str">
        <f t="shared" si="16"/>
        <v>18:18:28.242</v>
      </c>
      <c r="D410" t="s">
        <v>172</v>
      </c>
      <c r="E410">
        <v>30.429983</v>
      </c>
      <c r="F410" t="s">
        <v>173</v>
      </c>
      <c r="G410">
        <v>-89.782312000000005</v>
      </c>
      <c r="H410">
        <v>1600</v>
      </c>
      <c r="I410">
        <v>65</v>
      </c>
      <c r="J410">
        <v>127</v>
      </c>
      <c r="K410">
        <v>-64</v>
      </c>
      <c r="L410">
        <v>1200</v>
      </c>
      <c r="M410" t="str">
        <f t="shared" si="15"/>
        <v xml:space="preserve">N35DC   </v>
      </c>
      <c r="N410">
        <v>1</v>
      </c>
      <c r="O410">
        <v>1700</v>
      </c>
    </row>
    <row r="411" spans="1:15" x14ac:dyDescent="0.25">
      <c r="A411" t="str">
        <f>"10/21/2020 18:18:20.297"</f>
        <v>10/21/2020 18:18:20.297</v>
      </c>
      <c r="B411" t="str">
        <f t="shared" si="16"/>
        <v>18:18:28.242</v>
      </c>
      <c r="C411" t="str">
        <f t="shared" si="16"/>
        <v>18:18:28.242</v>
      </c>
      <c r="D411" t="s">
        <v>172</v>
      </c>
      <c r="E411">
        <v>30.429983</v>
      </c>
      <c r="F411" t="s">
        <v>173</v>
      </c>
      <c r="G411">
        <v>-89.782312000000005</v>
      </c>
      <c r="H411">
        <v>1600</v>
      </c>
      <c r="I411">
        <v>65</v>
      </c>
      <c r="J411">
        <v>127</v>
      </c>
      <c r="K411">
        <v>-64</v>
      </c>
      <c r="L411">
        <v>1200</v>
      </c>
      <c r="M411" t="str">
        <f t="shared" si="15"/>
        <v xml:space="preserve">N35DC   </v>
      </c>
      <c r="N411">
        <v>1</v>
      </c>
      <c r="O411">
        <v>1700</v>
      </c>
    </row>
    <row r="412" spans="1:15" x14ac:dyDescent="0.25">
      <c r="A412" t="str">
        <f>"10/21/2020 18:18:22.258"</f>
        <v>10/21/2020 18:18:22.258</v>
      </c>
      <c r="B412" t="str">
        <f>"18:18:30.187"</f>
        <v>18:18:30.187</v>
      </c>
      <c r="C412" t="str">
        <f>"18:18:29.988"</f>
        <v>18:18:29.988</v>
      </c>
      <c r="D412" t="s">
        <v>174</v>
      </c>
      <c r="E412">
        <v>30.431142000000001</v>
      </c>
      <c r="F412" t="s">
        <v>175</v>
      </c>
      <c r="G412">
        <v>-89.781647000000007</v>
      </c>
      <c r="H412">
        <v>1600</v>
      </c>
      <c r="I412">
        <v>64</v>
      </c>
      <c r="J412">
        <v>127</v>
      </c>
      <c r="K412">
        <v>-192</v>
      </c>
      <c r="L412">
        <v>1200</v>
      </c>
      <c r="M412" t="str">
        <f t="shared" si="15"/>
        <v xml:space="preserve">N35DC   </v>
      </c>
      <c r="N412">
        <v>1</v>
      </c>
      <c r="O412">
        <v>1700</v>
      </c>
    </row>
    <row r="413" spans="1:15" x14ac:dyDescent="0.25">
      <c r="A413" t="str">
        <f>"10/21/2020 18:18:22.258"</f>
        <v>10/21/2020 18:18:22.258</v>
      </c>
      <c r="B413" t="str">
        <f>"18:18:30.187"</f>
        <v>18:18:30.187</v>
      </c>
      <c r="C413" t="str">
        <f>"18:18:29.988"</f>
        <v>18:18:29.988</v>
      </c>
      <c r="D413" t="s">
        <v>174</v>
      </c>
      <c r="E413">
        <v>30.431142000000001</v>
      </c>
      <c r="F413" t="s">
        <v>175</v>
      </c>
      <c r="G413">
        <v>-89.781647000000007</v>
      </c>
      <c r="H413">
        <v>1600</v>
      </c>
      <c r="I413">
        <v>64</v>
      </c>
      <c r="J413">
        <v>127</v>
      </c>
      <c r="K413">
        <v>-192</v>
      </c>
      <c r="L413">
        <v>1200</v>
      </c>
      <c r="M413" t="str">
        <f t="shared" si="15"/>
        <v xml:space="preserve">N35DC   </v>
      </c>
      <c r="N413">
        <v>1</v>
      </c>
      <c r="O413">
        <v>1700</v>
      </c>
    </row>
    <row r="414" spans="1:15" x14ac:dyDescent="0.25">
      <c r="A414" t="str">
        <f>"10/21/2020 18:18:22.258"</f>
        <v>10/21/2020 18:18:22.258</v>
      </c>
      <c r="B414" t="str">
        <f>"18:18:30.187"</f>
        <v>18:18:30.187</v>
      </c>
      <c r="C414" t="str">
        <f>"18:18:29.988"</f>
        <v>18:18:29.988</v>
      </c>
      <c r="D414" t="s">
        <v>174</v>
      </c>
      <c r="E414">
        <v>30.431142000000001</v>
      </c>
      <c r="F414" t="s">
        <v>175</v>
      </c>
      <c r="G414">
        <v>-89.781647000000007</v>
      </c>
      <c r="H414">
        <v>1600</v>
      </c>
      <c r="I414">
        <v>64</v>
      </c>
      <c r="J414">
        <v>127</v>
      </c>
      <c r="K414">
        <v>-192</v>
      </c>
      <c r="L414">
        <v>1200</v>
      </c>
      <c r="M414" t="str">
        <f t="shared" si="15"/>
        <v xml:space="preserve">N35DC   </v>
      </c>
      <c r="N414">
        <v>1</v>
      </c>
      <c r="O414">
        <v>1700</v>
      </c>
    </row>
    <row r="415" spans="1:15" x14ac:dyDescent="0.25">
      <c r="A415" t="str">
        <f>"10/21/2020 18:18:22.258"</f>
        <v>10/21/2020 18:18:22.258</v>
      </c>
      <c r="B415" t="str">
        <f>"18:18:30.187"</f>
        <v>18:18:30.187</v>
      </c>
      <c r="C415" t="str">
        <f>"18:18:29.988"</f>
        <v>18:18:29.988</v>
      </c>
      <c r="D415" t="s">
        <v>174</v>
      </c>
      <c r="E415">
        <v>30.431142000000001</v>
      </c>
      <c r="F415" t="s">
        <v>175</v>
      </c>
      <c r="G415">
        <v>-89.781647000000007</v>
      </c>
      <c r="H415">
        <v>1600</v>
      </c>
      <c r="I415">
        <v>64</v>
      </c>
      <c r="J415">
        <v>127</v>
      </c>
      <c r="K415">
        <v>-192</v>
      </c>
      <c r="L415">
        <v>1200</v>
      </c>
      <c r="M415" t="str">
        <f t="shared" si="15"/>
        <v xml:space="preserve">N35DC   </v>
      </c>
      <c r="N415">
        <v>1</v>
      </c>
      <c r="O415">
        <v>1700</v>
      </c>
    </row>
    <row r="416" spans="1:15" x14ac:dyDescent="0.25">
      <c r="A416" t="str">
        <f>"10/21/2020 18:18:22.258"</f>
        <v>10/21/2020 18:18:22.258</v>
      </c>
      <c r="B416" t="str">
        <f>"18:18:30.187"</f>
        <v>18:18:30.187</v>
      </c>
      <c r="C416" t="str">
        <f>"18:18:29.988"</f>
        <v>18:18:29.988</v>
      </c>
      <c r="D416" t="s">
        <v>174</v>
      </c>
      <c r="E416">
        <v>30.431142000000001</v>
      </c>
      <c r="F416" t="s">
        <v>175</v>
      </c>
      <c r="G416">
        <v>-89.781647000000007</v>
      </c>
      <c r="H416">
        <v>1600</v>
      </c>
      <c r="I416">
        <v>64</v>
      </c>
      <c r="J416">
        <v>127</v>
      </c>
      <c r="K416">
        <v>-192</v>
      </c>
      <c r="L416">
        <v>1200</v>
      </c>
      <c r="M416" t="str">
        <f t="shared" si="15"/>
        <v xml:space="preserve">N35DC   </v>
      </c>
      <c r="N416">
        <v>1</v>
      </c>
      <c r="O416">
        <v>1700</v>
      </c>
    </row>
    <row r="417" spans="1:15" x14ac:dyDescent="0.25">
      <c r="A417" t="str">
        <f>"10/21/2020 18:18:23.237"</f>
        <v>10/21/2020 18:18:23.237</v>
      </c>
      <c r="B417" t="str">
        <f>"18:18:31.180"</f>
        <v>18:18:31.180</v>
      </c>
      <c r="C417" t="str">
        <f>"18:18:30.980"</f>
        <v>18:18:30.980</v>
      </c>
      <c r="D417" t="s">
        <v>176</v>
      </c>
      <c r="E417">
        <v>30.431721</v>
      </c>
      <c r="F417" t="s">
        <v>177</v>
      </c>
      <c r="G417">
        <v>-89.781302999999994</v>
      </c>
      <c r="H417">
        <v>1600</v>
      </c>
      <c r="I417">
        <v>64</v>
      </c>
      <c r="J417">
        <v>127</v>
      </c>
      <c r="K417">
        <v>-64</v>
      </c>
      <c r="L417">
        <v>1200</v>
      </c>
      <c r="M417" t="str">
        <f t="shared" si="15"/>
        <v xml:space="preserve">N35DC   </v>
      </c>
      <c r="N417">
        <v>1</v>
      </c>
      <c r="O417">
        <v>1675</v>
      </c>
    </row>
    <row r="418" spans="1:15" x14ac:dyDescent="0.25">
      <c r="A418" t="str">
        <f>"10/21/2020 18:18:23.237"</f>
        <v>10/21/2020 18:18:23.237</v>
      </c>
      <c r="B418" t="str">
        <f>"18:18:31.180"</f>
        <v>18:18:31.180</v>
      </c>
      <c r="C418" t="str">
        <f>"18:18:30.980"</f>
        <v>18:18:30.980</v>
      </c>
      <c r="D418" t="s">
        <v>176</v>
      </c>
      <c r="E418">
        <v>30.431721</v>
      </c>
      <c r="F418" t="s">
        <v>177</v>
      </c>
      <c r="G418">
        <v>-89.781302999999994</v>
      </c>
      <c r="H418">
        <v>1600</v>
      </c>
      <c r="I418">
        <v>64</v>
      </c>
      <c r="J418">
        <v>127</v>
      </c>
      <c r="K418">
        <v>-64</v>
      </c>
      <c r="L418">
        <v>1200</v>
      </c>
      <c r="M418" t="str">
        <f t="shared" si="15"/>
        <v xml:space="preserve">N35DC   </v>
      </c>
      <c r="N418">
        <v>1</v>
      </c>
      <c r="O418">
        <v>1675</v>
      </c>
    </row>
    <row r="419" spans="1:15" x14ac:dyDescent="0.25">
      <c r="A419" t="str">
        <f>"10/21/2020 18:18:23.237"</f>
        <v>10/21/2020 18:18:23.237</v>
      </c>
      <c r="B419" t="str">
        <f>"18:18:31.180"</f>
        <v>18:18:31.180</v>
      </c>
      <c r="C419" t="str">
        <f>"18:18:30.980"</f>
        <v>18:18:30.980</v>
      </c>
      <c r="D419" t="s">
        <v>176</v>
      </c>
      <c r="E419">
        <v>30.431721</v>
      </c>
      <c r="F419" t="s">
        <v>177</v>
      </c>
      <c r="G419">
        <v>-89.781302999999994</v>
      </c>
      <c r="H419">
        <v>1600</v>
      </c>
      <c r="I419">
        <v>64</v>
      </c>
      <c r="J419">
        <v>127</v>
      </c>
      <c r="K419">
        <v>-64</v>
      </c>
      <c r="L419">
        <v>1200</v>
      </c>
      <c r="M419" t="str">
        <f t="shared" si="15"/>
        <v xml:space="preserve">N35DC   </v>
      </c>
      <c r="N419">
        <v>1</v>
      </c>
      <c r="O419">
        <v>1675</v>
      </c>
    </row>
    <row r="420" spans="1:15" x14ac:dyDescent="0.25">
      <c r="A420" t="str">
        <f>"10/21/2020 18:18:23.237"</f>
        <v>10/21/2020 18:18:23.237</v>
      </c>
      <c r="B420" t="str">
        <f>"18:18:31.180"</f>
        <v>18:18:31.180</v>
      </c>
      <c r="C420" t="str">
        <f>"18:18:30.980"</f>
        <v>18:18:30.980</v>
      </c>
      <c r="D420" t="s">
        <v>176</v>
      </c>
      <c r="E420">
        <v>30.431721</v>
      </c>
      <c r="F420" t="s">
        <v>177</v>
      </c>
      <c r="G420">
        <v>-89.781302999999994</v>
      </c>
      <c r="H420">
        <v>1600</v>
      </c>
      <c r="I420">
        <v>64</v>
      </c>
      <c r="J420">
        <v>127</v>
      </c>
      <c r="K420">
        <v>-64</v>
      </c>
      <c r="L420">
        <v>1200</v>
      </c>
      <c r="M420" t="str">
        <f t="shared" si="15"/>
        <v xml:space="preserve">N35DC   </v>
      </c>
      <c r="N420">
        <v>1</v>
      </c>
      <c r="O420">
        <v>1675</v>
      </c>
    </row>
    <row r="421" spans="1:15" x14ac:dyDescent="0.25">
      <c r="A421" t="str">
        <f>"10/21/2020 18:18:23.237"</f>
        <v>10/21/2020 18:18:23.237</v>
      </c>
      <c r="B421" t="str">
        <f>"18:18:31.180"</f>
        <v>18:18:31.180</v>
      </c>
      <c r="C421" t="str">
        <f>"18:18:30.980"</f>
        <v>18:18:30.980</v>
      </c>
      <c r="D421" t="s">
        <v>176</v>
      </c>
      <c r="E421">
        <v>30.431721</v>
      </c>
      <c r="F421" t="s">
        <v>177</v>
      </c>
      <c r="G421">
        <v>-89.781302999999994</v>
      </c>
      <c r="H421">
        <v>1600</v>
      </c>
      <c r="I421">
        <v>64</v>
      </c>
      <c r="J421">
        <v>127</v>
      </c>
      <c r="K421">
        <v>-64</v>
      </c>
      <c r="L421">
        <v>1200</v>
      </c>
      <c r="M421" t="str">
        <f t="shared" si="15"/>
        <v xml:space="preserve">N35DC   </v>
      </c>
      <c r="N421">
        <v>1</v>
      </c>
      <c r="O421">
        <v>1675</v>
      </c>
    </row>
    <row r="422" spans="1:15" x14ac:dyDescent="0.25">
      <c r="A422" t="str">
        <f>"10/21/2020 18:18:24.269"</f>
        <v>10/21/2020 18:18:24.269</v>
      </c>
      <c r="B422" t="str">
        <f>"18:18:32.211"</f>
        <v>18:18:32.211</v>
      </c>
      <c r="C422" t="str">
        <f>"18:18:31.911"</f>
        <v>18:18:31.911</v>
      </c>
      <c r="D422" t="s">
        <v>178</v>
      </c>
      <c r="E422">
        <v>30.432321999999999</v>
      </c>
      <c r="F422" t="s">
        <v>179</v>
      </c>
      <c r="G422">
        <v>-89.780939000000004</v>
      </c>
      <c r="H422">
        <v>1600</v>
      </c>
      <c r="I422">
        <v>64</v>
      </c>
      <c r="J422">
        <v>128</v>
      </c>
      <c r="K422">
        <v>-64</v>
      </c>
      <c r="L422">
        <v>1200</v>
      </c>
      <c r="M422" t="str">
        <f t="shared" si="15"/>
        <v xml:space="preserve">N35DC   </v>
      </c>
      <c r="N422">
        <v>1</v>
      </c>
      <c r="O422">
        <v>1675</v>
      </c>
    </row>
    <row r="423" spans="1:15" x14ac:dyDescent="0.25">
      <c r="A423" t="str">
        <f>"10/21/2020 18:18:24.269"</f>
        <v>10/21/2020 18:18:24.269</v>
      </c>
      <c r="B423" t="str">
        <f>"18:18:32.211"</f>
        <v>18:18:32.211</v>
      </c>
      <c r="C423" t="str">
        <f>"18:18:31.911"</f>
        <v>18:18:31.911</v>
      </c>
      <c r="D423" t="s">
        <v>178</v>
      </c>
      <c r="E423">
        <v>30.432321999999999</v>
      </c>
      <c r="F423" t="s">
        <v>179</v>
      </c>
      <c r="G423">
        <v>-89.780939000000004</v>
      </c>
      <c r="H423">
        <v>1600</v>
      </c>
      <c r="I423">
        <v>64</v>
      </c>
      <c r="J423">
        <v>128</v>
      </c>
      <c r="K423">
        <v>-64</v>
      </c>
      <c r="L423">
        <v>1200</v>
      </c>
      <c r="M423" t="str">
        <f t="shared" si="15"/>
        <v xml:space="preserve">N35DC   </v>
      </c>
      <c r="N423">
        <v>1</v>
      </c>
      <c r="O423">
        <v>1675</v>
      </c>
    </row>
    <row r="424" spans="1:15" x14ac:dyDescent="0.25">
      <c r="A424" t="str">
        <f>"10/21/2020 18:18:24.269"</f>
        <v>10/21/2020 18:18:24.269</v>
      </c>
      <c r="B424" t="str">
        <f>"18:18:32.211"</f>
        <v>18:18:32.211</v>
      </c>
      <c r="C424" t="str">
        <f>"18:18:31.911"</f>
        <v>18:18:31.911</v>
      </c>
      <c r="D424" t="s">
        <v>178</v>
      </c>
      <c r="E424">
        <v>30.432321999999999</v>
      </c>
      <c r="F424" t="s">
        <v>179</v>
      </c>
      <c r="G424">
        <v>-89.780939000000004</v>
      </c>
      <c r="H424">
        <v>1600</v>
      </c>
      <c r="I424">
        <v>64</v>
      </c>
      <c r="J424">
        <v>128</v>
      </c>
      <c r="K424">
        <v>-64</v>
      </c>
      <c r="L424">
        <v>1200</v>
      </c>
      <c r="M424" t="str">
        <f t="shared" si="15"/>
        <v xml:space="preserve">N35DC   </v>
      </c>
      <c r="N424">
        <v>1</v>
      </c>
      <c r="O424">
        <v>1675</v>
      </c>
    </row>
    <row r="425" spans="1:15" x14ac:dyDescent="0.25">
      <c r="A425" t="str">
        <f>"10/21/2020 18:18:24.269"</f>
        <v>10/21/2020 18:18:24.269</v>
      </c>
      <c r="B425" t="str">
        <f>"18:18:32.211"</f>
        <v>18:18:32.211</v>
      </c>
      <c r="C425" t="str">
        <f>"18:18:31.911"</f>
        <v>18:18:31.911</v>
      </c>
      <c r="D425" t="s">
        <v>178</v>
      </c>
      <c r="E425">
        <v>30.432321999999999</v>
      </c>
      <c r="F425" t="s">
        <v>179</v>
      </c>
      <c r="G425">
        <v>-89.780939000000004</v>
      </c>
      <c r="H425">
        <v>1600</v>
      </c>
      <c r="I425">
        <v>64</v>
      </c>
      <c r="J425">
        <v>128</v>
      </c>
      <c r="K425">
        <v>-64</v>
      </c>
      <c r="L425">
        <v>1200</v>
      </c>
      <c r="M425" t="str">
        <f t="shared" si="15"/>
        <v xml:space="preserve">N35DC   </v>
      </c>
      <c r="N425">
        <v>1</v>
      </c>
      <c r="O425">
        <v>1675</v>
      </c>
    </row>
    <row r="426" spans="1:15" x14ac:dyDescent="0.25">
      <c r="A426" t="str">
        <f>"10/21/2020 18:18:24.269"</f>
        <v>10/21/2020 18:18:24.269</v>
      </c>
      <c r="B426" t="str">
        <f>"18:18:32.211"</f>
        <v>18:18:32.211</v>
      </c>
      <c r="C426" t="str">
        <f>"18:18:31.911"</f>
        <v>18:18:31.911</v>
      </c>
      <c r="D426" t="s">
        <v>178</v>
      </c>
      <c r="E426">
        <v>30.432321999999999</v>
      </c>
      <c r="F426" t="s">
        <v>179</v>
      </c>
      <c r="G426">
        <v>-89.780939000000004</v>
      </c>
      <c r="H426">
        <v>1600</v>
      </c>
      <c r="I426">
        <v>64</v>
      </c>
      <c r="J426">
        <v>128</v>
      </c>
      <c r="K426">
        <v>-64</v>
      </c>
      <c r="L426">
        <v>1200</v>
      </c>
      <c r="M426" t="str">
        <f t="shared" si="15"/>
        <v xml:space="preserve">N35DC   </v>
      </c>
      <c r="N426">
        <v>1</v>
      </c>
      <c r="O426">
        <v>1675</v>
      </c>
    </row>
    <row r="427" spans="1:15" x14ac:dyDescent="0.25">
      <c r="A427" t="str">
        <f>"10/21/2020 18:18:27.137"</f>
        <v>10/21/2020 18:18:27.137</v>
      </c>
      <c r="B427" t="str">
        <f>"18:18:35.078"</f>
        <v>18:18:35.078</v>
      </c>
      <c r="C427" t="str">
        <f>"18:18:34.878"</f>
        <v>18:18:34.878</v>
      </c>
      <c r="D427" t="s">
        <v>180</v>
      </c>
      <c r="E427">
        <v>30.434038999999999</v>
      </c>
      <c r="F427" t="s">
        <v>181</v>
      </c>
      <c r="G427">
        <v>-89.779951999999994</v>
      </c>
      <c r="H427">
        <v>1600</v>
      </c>
      <c r="I427">
        <v>65</v>
      </c>
      <c r="J427">
        <v>128</v>
      </c>
      <c r="K427">
        <v>-128</v>
      </c>
      <c r="L427">
        <v>1200</v>
      </c>
      <c r="M427" t="str">
        <f t="shared" si="15"/>
        <v xml:space="preserve">N35DC   </v>
      </c>
      <c r="N427">
        <v>1</v>
      </c>
      <c r="O427">
        <v>1675</v>
      </c>
    </row>
    <row r="428" spans="1:15" x14ac:dyDescent="0.25">
      <c r="A428" t="str">
        <f>"10/21/2020 18:18:27.137"</f>
        <v>10/21/2020 18:18:27.137</v>
      </c>
      <c r="B428" t="str">
        <f>"18:18:35.078"</f>
        <v>18:18:35.078</v>
      </c>
      <c r="C428" t="str">
        <f>"18:18:34.878"</f>
        <v>18:18:34.878</v>
      </c>
      <c r="D428" t="s">
        <v>180</v>
      </c>
      <c r="E428">
        <v>30.434038999999999</v>
      </c>
      <c r="F428" t="s">
        <v>181</v>
      </c>
      <c r="G428">
        <v>-89.779951999999994</v>
      </c>
      <c r="H428">
        <v>1600</v>
      </c>
      <c r="I428">
        <v>65</v>
      </c>
      <c r="J428">
        <v>128</v>
      </c>
      <c r="K428">
        <v>-128</v>
      </c>
      <c r="L428">
        <v>1200</v>
      </c>
      <c r="M428" t="str">
        <f t="shared" si="15"/>
        <v xml:space="preserve">N35DC   </v>
      </c>
      <c r="N428">
        <v>1</v>
      </c>
      <c r="O428">
        <v>1675</v>
      </c>
    </row>
    <row r="429" spans="1:15" x14ac:dyDescent="0.25">
      <c r="A429" t="str">
        <f>"10/21/2020 18:18:27.137"</f>
        <v>10/21/2020 18:18:27.137</v>
      </c>
      <c r="B429" t="str">
        <f>"18:18:35.078"</f>
        <v>18:18:35.078</v>
      </c>
      <c r="C429" t="str">
        <f>"18:18:34.878"</f>
        <v>18:18:34.878</v>
      </c>
      <c r="D429" t="s">
        <v>180</v>
      </c>
      <c r="E429">
        <v>30.434038999999999</v>
      </c>
      <c r="F429" t="s">
        <v>181</v>
      </c>
      <c r="G429">
        <v>-89.779951999999994</v>
      </c>
      <c r="H429">
        <v>1600</v>
      </c>
      <c r="I429">
        <v>65</v>
      </c>
      <c r="J429">
        <v>128</v>
      </c>
      <c r="K429">
        <v>-128</v>
      </c>
      <c r="L429">
        <v>1200</v>
      </c>
      <c r="M429" t="str">
        <f t="shared" si="15"/>
        <v xml:space="preserve">N35DC   </v>
      </c>
      <c r="N429">
        <v>1</v>
      </c>
      <c r="O429">
        <v>1675</v>
      </c>
    </row>
    <row r="430" spans="1:15" x14ac:dyDescent="0.25">
      <c r="A430" t="str">
        <f>"10/21/2020 18:18:27.137"</f>
        <v>10/21/2020 18:18:27.137</v>
      </c>
      <c r="B430" t="str">
        <f>"18:18:35.078"</f>
        <v>18:18:35.078</v>
      </c>
      <c r="C430" t="str">
        <f>"18:18:34.878"</f>
        <v>18:18:34.878</v>
      </c>
      <c r="D430" t="s">
        <v>180</v>
      </c>
      <c r="E430">
        <v>30.434038999999999</v>
      </c>
      <c r="F430" t="s">
        <v>181</v>
      </c>
      <c r="G430">
        <v>-89.779951999999994</v>
      </c>
      <c r="H430">
        <v>1600</v>
      </c>
      <c r="I430">
        <v>65</v>
      </c>
      <c r="J430">
        <v>128</v>
      </c>
      <c r="K430">
        <v>-128</v>
      </c>
      <c r="L430">
        <v>1200</v>
      </c>
      <c r="M430" t="str">
        <f t="shared" si="15"/>
        <v xml:space="preserve">N35DC   </v>
      </c>
      <c r="N430">
        <v>1</v>
      </c>
      <c r="O430">
        <v>1675</v>
      </c>
    </row>
    <row r="431" spans="1:15" x14ac:dyDescent="0.25">
      <c r="A431" t="str">
        <f>"10/21/2020 18:18:27.137"</f>
        <v>10/21/2020 18:18:27.137</v>
      </c>
      <c r="B431" t="str">
        <f>"18:18:35.078"</f>
        <v>18:18:35.078</v>
      </c>
      <c r="C431" t="str">
        <f>"18:18:34.878"</f>
        <v>18:18:34.878</v>
      </c>
      <c r="D431" t="s">
        <v>180</v>
      </c>
      <c r="E431">
        <v>30.434038999999999</v>
      </c>
      <c r="F431" t="s">
        <v>181</v>
      </c>
      <c r="G431">
        <v>-89.779951999999994</v>
      </c>
      <c r="H431">
        <v>1600</v>
      </c>
      <c r="I431">
        <v>65</v>
      </c>
      <c r="J431">
        <v>128</v>
      </c>
      <c r="K431">
        <v>-128</v>
      </c>
      <c r="L431">
        <v>1200</v>
      </c>
      <c r="M431" t="str">
        <f t="shared" si="15"/>
        <v xml:space="preserve">N35DC   </v>
      </c>
      <c r="N431">
        <v>1</v>
      </c>
      <c r="O431">
        <v>1675</v>
      </c>
    </row>
    <row r="432" spans="1:15" x14ac:dyDescent="0.25">
      <c r="A432" t="str">
        <f>"10/21/2020 18:18:28.302"</f>
        <v>10/21/2020 18:18:28.302</v>
      </c>
      <c r="B432" t="str">
        <f>"18:18:36.234"</f>
        <v>18:18:36.234</v>
      </c>
      <c r="C432" t="str">
        <f>"18:18:35.934"</f>
        <v>18:18:35.934</v>
      </c>
      <c r="D432" t="s">
        <v>182</v>
      </c>
      <c r="E432">
        <v>30.434725</v>
      </c>
      <c r="F432" t="s">
        <v>183</v>
      </c>
      <c r="G432">
        <v>-89.779565000000005</v>
      </c>
      <c r="H432">
        <v>1600</v>
      </c>
      <c r="I432">
        <v>65</v>
      </c>
      <c r="J432">
        <v>128</v>
      </c>
      <c r="K432">
        <v>-64</v>
      </c>
      <c r="L432">
        <v>1200</v>
      </c>
      <c r="M432" t="str">
        <f t="shared" si="15"/>
        <v xml:space="preserve">N35DC   </v>
      </c>
      <c r="N432">
        <v>1</v>
      </c>
      <c r="O432">
        <v>1675</v>
      </c>
    </row>
    <row r="433" spans="1:15" x14ac:dyDescent="0.25">
      <c r="A433" t="str">
        <f>"10/21/2020 18:18:28.302"</f>
        <v>10/21/2020 18:18:28.302</v>
      </c>
      <c r="B433" t="str">
        <f>"18:18:36.234"</f>
        <v>18:18:36.234</v>
      </c>
      <c r="C433" t="str">
        <f>"18:18:35.934"</f>
        <v>18:18:35.934</v>
      </c>
      <c r="D433" t="s">
        <v>182</v>
      </c>
      <c r="E433">
        <v>30.434725</v>
      </c>
      <c r="F433" t="s">
        <v>183</v>
      </c>
      <c r="G433">
        <v>-89.779565000000005</v>
      </c>
      <c r="H433">
        <v>1600</v>
      </c>
      <c r="I433">
        <v>65</v>
      </c>
      <c r="J433">
        <v>128</v>
      </c>
      <c r="K433">
        <v>-64</v>
      </c>
      <c r="L433">
        <v>1200</v>
      </c>
      <c r="M433" t="str">
        <f t="shared" si="15"/>
        <v xml:space="preserve">N35DC   </v>
      </c>
      <c r="N433">
        <v>1</v>
      </c>
      <c r="O433">
        <v>1675</v>
      </c>
    </row>
    <row r="434" spans="1:15" x14ac:dyDescent="0.25">
      <c r="A434" t="str">
        <f>"10/21/2020 18:18:28.302"</f>
        <v>10/21/2020 18:18:28.302</v>
      </c>
      <c r="B434" t="str">
        <f>"18:18:36.234"</f>
        <v>18:18:36.234</v>
      </c>
      <c r="C434" t="str">
        <f>"18:18:35.934"</f>
        <v>18:18:35.934</v>
      </c>
      <c r="D434" t="s">
        <v>182</v>
      </c>
      <c r="E434">
        <v>30.434725</v>
      </c>
      <c r="F434" t="s">
        <v>183</v>
      </c>
      <c r="G434">
        <v>-89.779565000000005</v>
      </c>
      <c r="H434">
        <v>1600</v>
      </c>
      <c r="I434">
        <v>65</v>
      </c>
      <c r="J434">
        <v>128</v>
      </c>
      <c r="K434">
        <v>-64</v>
      </c>
      <c r="L434">
        <v>1200</v>
      </c>
      <c r="M434" t="str">
        <f t="shared" si="15"/>
        <v xml:space="preserve">N35DC   </v>
      </c>
      <c r="N434">
        <v>1</v>
      </c>
      <c r="O434">
        <v>1675</v>
      </c>
    </row>
    <row r="435" spans="1:15" x14ac:dyDescent="0.25">
      <c r="A435" t="str">
        <f>"10/21/2020 18:18:28.302"</f>
        <v>10/21/2020 18:18:28.302</v>
      </c>
      <c r="B435" t="str">
        <f>"18:18:36.234"</f>
        <v>18:18:36.234</v>
      </c>
      <c r="C435" t="str">
        <f>"18:18:35.934"</f>
        <v>18:18:35.934</v>
      </c>
      <c r="D435" t="s">
        <v>182</v>
      </c>
      <c r="E435">
        <v>30.434725</v>
      </c>
      <c r="F435" t="s">
        <v>183</v>
      </c>
      <c r="G435">
        <v>-89.779565000000005</v>
      </c>
      <c r="H435">
        <v>1600</v>
      </c>
      <c r="I435">
        <v>65</v>
      </c>
      <c r="J435">
        <v>128</v>
      </c>
      <c r="K435">
        <v>-64</v>
      </c>
      <c r="L435">
        <v>1200</v>
      </c>
      <c r="M435" t="str">
        <f t="shared" si="15"/>
        <v xml:space="preserve">N35DC   </v>
      </c>
      <c r="N435">
        <v>1</v>
      </c>
      <c r="O435">
        <v>1675</v>
      </c>
    </row>
    <row r="436" spans="1:15" x14ac:dyDescent="0.25">
      <c r="A436" t="str">
        <f>"10/21/2020 18:18:28.302"</f>
        <v>10/21/2020 18:18:28.302</v>
      </c>
      <c r="B436" t="str">
        <f>"18:18:36.234"</f>
        <v>18:18:36.234</v>
      </c>
      <c r="C436" t="str">
        <f>"18:18:35.934"</f>
        <v>18:18:35.934</v>
      </c>
      <c r="D436" t="s">
        <v>182</v>
      </c>
      <c r="E436">
        <v>30.434725</v>
      </c>
      <c r="F436" t="s">
        <v>183</v>
      </c>
      <c r="G436">
        <v>-89.779565000000005</v>
      </c>
      <c r="H436">
        <v>1600</v>
      </c>
      <c r="I436">
        <v>65</v>
      </c>
      <c r="J436">
        <v>128</v>
      </c>
      <c r="K436">
        <v>-64</v>
      </c>
      <c r="L436">
        <v>1200</v>
      </c>
      <c r="M436" t="str">
        <f t="shared" si="15"/>
        <v xml:space="preserve">N35DC   </v>
      </c>
      <c r="N436">
        <v>1</v>
      </c>
      <c r="O436">
        <v>1675</v>
      </c>
    </row>
    <row r="437" spans="1:15" x14ac:dyDescent="0.25">
      <c r="A437" t="str">
        <f>"10/21/2020 18:18:29.396"</f>
        <v>10/21/2020 18:18:29.396</v>
      </c>
      <c r="B437" t="str">
        <f>"18:18:37.344"</f>
        <v>18:18:37.344</v>
      </c>
      <c r="C437" t="str">
        <f>"18:18:37.044"</f>
        <v>18:18:37.044</v>
      </c>
      <c r="D437" t="s">
        <v>184</v>
      </c>
      <c r="E437">
        <v>30.435369000000001</v>
      </c>
      <c r="F437" t="s">
        <v>185</v>
      </c>
      <c r="G437">
        <v>-89.779201</v>
      </c>
      <c r="H437">
        <v>1600</v>
      </c>
      <c r="I437">
        <v>66</v>
      </c>
      <c r="J437">
        <v>127</v>
      </c>
      <c r="K437">
        <v>0</v>
      </c>
      <c r="L437">
        <v>1200</v>
      </c>
      <c r="M437" t="str">
        <f t="shared" si="15"/>
        <v xml:space="preserve">N35DC   </v>
      </c>
      <c r="N437">
        <v>1</v>
      </c>
      <c r="O437">
        <v>1675</v>
      </c>
    </row>
    <row r="438" spans="1:15" x14ac:dyDescent="0.25">
      <c r="A438" t="str">
        <f>"10/21/2020 18:18:29.396"</f>
        <v>10/21/2020 18:18:29.396</v>
      </c>
      <c r="B438" t="str">
        <f>"18:18:37.344"</f>
        <v>18:18:37.344</v>
      </c>
      <c r="C438" t="str">
        <f>"18:18:37.044"</f>
        <v>18:18:37.044</v>
      </c>
      <c r="D438" t="s">
        <v>184</v>
      </c>
      <c r="E438">
        <v>30.435369000000001</v>
      </c>
      <c r="F438" t="s">
        <v>185</v>
      </c>
      <c r="G438">
        <v>-89.779201</v>
      </c>
      <c r="H438">
        <v>1600</v>
      </c>
      <c r="I438">
        <v>66</v>
      </c>
      <c r="J438">
        <v>127</v>
      </c>
      <c r="K438">
        <v>0</v>
      </c>
      <c r="L438">
        <v>1200</v>
      </c>
      <c r="M438" t="str">
        <f t="shared" si="15"/>
        <v xml:space="preserve">N35DC   </v>
      </c>
      <c r="N438">
        <v>1</v>
      </c>
      <c r="O438">
        <v>1675</v>
      </c>
    </row>
    <row r="439" spans="1:15" x14ac:dyDescent="0.25">
      <c r="A439" t="str">
        <f>"10/21/2020 18:18:29.396"</f>
        <v>10/21/2020 18:18:29.396</v>
      </c>
      <c r="B439" t="str">
        <f>"18:18:37.344"</f>
        <v>18:18:37.344</v>
      </c>
      <c r="C439" t="str">
        <f>"18:18:37.044"</f>
        <v>18:18:37.044</v>
      </c>
      <c r="D439" t="s">
        <v>184</v>
      </c>
      <c r="E439">
        <v>30.435369000000001</v>
      </c>
      <c r="F439" t="s">
        <v>185</v>
      </c>
      <c r="G439">
        <v>-89.779201</v>
      </c>
      <c r="H439">
        <v>1600</v>
      </c>
      <c r="I439">
        <v>66</v>
      </c>
      <c r="J439">
        <v>127</v>
      </c>
      <c r="K439">
        <v>0</v>
      </c>
      <c r="L439">
        <v>1200</v>
      </c>
      <c r="M439" t="str">
        <f t="shared" si="15"/>
        <v xml:space="preserve">N35DC   </v>
      </c>
      <c r="N439">
        <v>1</v>
      </c>
      <c r="O439">
        <v>1675</v>
      </c>
    </row>
    <row r="440" spans="1:15" x14ac:dyDescent="0.25">
      <c r="A440" t="str">
        <f>"10/21/2020 18:18:29.396"</f>
        <v>10/21/2020 18:18:29.396</v>
      </c>
      <c r="B440" t="str">
        <f>"18:18:37.344"</f>
        <v>18:18:37.344</v>
      </c>
      <c r="C440" t="str">
        <f>"18:18:37.044"</f>
        <v>18:18:37.044</v>
      </c>
      <c r="D440" t="s">
        <v>184</v>
      </c>
      <c r="E440">
        <v>30.435369000000001</v>
      </c>
      <c r="F440" t="s">
        <v>185</v>
      </c>
      <c r="G440">
        <v>-89.779201</v>
      </c>
      <c r="H440">
        <v>1600</v>
      </c>
      <c r="I440">
        <v>66</v>
      </c>
      <c r="J440">
        <v>127</v>
      </c>
      <c r="K440">
        <v>0</v>
      </c>
      <c r="L440">
        <v>1200</v>
      </c>
      <c r="M440" t="str">
        <f t="shared" si="15"/>
        <v xml:space="preserve">N35DC   </v>
      </c>
      <c r="N440">
        <v>1</v>
      </c>
      <c r="O440">
        <v>1675</v>
      </c>
    </row>
    <row r="441" spans="1:15" x14ac:dyDescent="0.25">
      <c r="A441" t="str">
        <f>"10/21/2020 18:18:29.396"</f>
        <v>10/21/2020 18:18:29.396</v>
      </c>
      <c r="B441" t="str">
        <f>"18:18:37.344"</f>
        <v>18:18:37.344</v>
      </c>
      <c r="C441" t="str">
        <f>"18:18:37.044"</f>
        <v>18:18:37.044</v>
      </c>
      <c r="D441" t="s">
        <v>184</v>
      </c>
      <c r="E441">
        <v>30.435369000000001</v>
      </c>
      <c r="F441" t="s">
        <v>185</v>
      </c>
      <c r="G441">
        <v>-89.779201</v>
      </c>
      <c r="H441">
        <v>1600</v>
      </c>
      <c r="I441">
        <v>66</v>
      </c>
      <c r="J441">
        <v>127</v>
      </c>
      <c r="K441">
        <v>0</v>
      </c>
      <c r="L441">
        <v>1200</v>
      </c>
      <c r="M441" t="str">
        <f t="shared" si="15"/>
        <v xml:space="preserve">N35DC   </v>
      </c>
      <c r="N441">
        <v>1</v>
      </c>
      <c r="O441">
        <v>1675</v>
      </c>
    </row>
    <row r="442" spans="1:15" x14ac:dyDescent="0.25">
      <c r="A442" t="str">
        <f>"10/21/2020 18:18:32.329"</f>
        <v>10/21/2020 18:18:32.329</v>
      </c>
      <c r="B442" t="str">
        <f t="shared" ref="B442:C446" si="17">"18:18:40.266"</f>
        <v>18:18:40.266</v>
      </c>
      <c r="C442" t="str">
        <f t="shared" si="17"/>
        <v>18:18:40.266</v>
      </c>
      <c r="D442" t="s">
        <v>186</v>
      </c>
      <c r="E442">
        <v>30.437107000000001</v>
      </c>
      <c r="F442" t="s">
        <v>187</v>
      </c>
      <c r="G442">
        <v>-89.778127999999995</v>
      </c>
      <c r="H442">
        <v>1600</v>
      </c>
      <c r="I442">
        <v>65</v>
      </c>
      <c r="J442">
        <v>127</v>
      </c>
      <c r="K442">
        <v>256</v>
      </c>
      <c r="L442">
        <v>1200</v>
      </c>
      <c r="M442" t="str">
        <f t="shared" si="15"/>
        <v xml:space="preserve">N35DC   </v>
      </c>
      <c r="N442">
        <v>1</v>
      </c>
      <c r="O442">
        <v>1675</v>
      </c>
    </row>
    <row r="443" spans="1:15" x14ac:dyDescent="0.25">
      <c r="A443" t="str">
        <f>"10/21/2020 18:18:32.329"</f>
        <v>10/21/2020 18:18:32.329</v>
      </c>
      <c r="B443" t="str">
        <f t="shared" si="17"/>
        <v>18:18:40.266</v>
      </c>
      <c r="C443" t="str">
        <f t="shared" si="17"/>
        <v>18:18:40.266</v>
      </c>
      <c r="D443" t="s">
        <v>186</v>
      </c>
      <c r="E443">
        <v>30.437107000000001</v>
      </c>
      <c r="F443" t="s">
        <v>187</v>
      </c>
      <c r="G443">
        <v>-89.778127999999995</v>
      </c>
      <c r="H443">
        <v>1600</v>
      </c>
      <c r="I443">
        <v>65</v>
      </c>
      <c r="J443">
        <v>127</v>
      </c>
      <c r="K443">
        <v>256</v>
      </c>
      <c r="L443">
        <v>1200</v>
      </c>
      <c r="M443" t="str">
        <f t="shared" si="15"/>
        <v xml:space="preserve">N35DC   </v>
      </c>
      <c r="N443">
        <v>1</v>
      </c>
      <c r="O443">
        <v>1675</v>
      </c>
    </row>
    <row r="444" spans="1:15" x14ac:dyDescent="0.25">
      <c r="A444" t="str">
        <f>"10/21/2020 18:18:32.329"</f>
        <v>10/21/2020 18:18:32.329</v>
      </c>
      <c r="B444" t="str">
        <f t="shared" si="17"/>
        <v>18:18:40.266</v>
      </c>
      <c r="C444" t="str">
        <f t="shared" si="17"/>
        <v>18:18:40.266</v>
      </c>
      <c r="D444" t="s">
        <v>186</v>
      </c>
      <c r="E444">
        <v>30.437107000000001</v>
      </c>
      <c r="F444" t="s">
        <v>187</v>
      </c>
      <c r="G444">
        <v>-89.778127999999995</v>
      </c>
      <c r="H444">
        <v>1600</v>
      </c>
      <c r="I444">
        <v>65</v>
      </c>
      <c r="J444">
        <v>127</v>
      </c>
      <c r="K444">
        <v>256</v>
      </c>
      <c r="L444">
        <v>1200</v>
      </c>
      <c r="M444" t="str">
        <f t="shared" si="15"/>
        <v xml:space="preserve">N35DC   </v>
      </c>
      <c r="N444">
        <v>1</v>
      </c>
      <c r="O444">
        <v>1675</v>
      </c>
    </row>
    <row r="445" spans="1:15" x14ac:dyDescent="0.25">
      <c r="A445" t="str">
        <f>"10/21/2020 18:18:32.329"</f>
        <v>10/21/2020 18:18:32.329</v>
      </c>
      <c r="B445" t="str">
        <f t="shared" si="17"/>
        <v>18:18:40.266</v>
      </c>
      <c r="C445" t="str">
        <f t="shared" si="17"/>
        <v>18:18:40.266</v>
      </c>
      <c r="D445" t="s">
        <v>186</v>
      </c>
      <c r="E445">
        <v>30.437107000000001</v>
      </c>
      <c r="F445" t="s">
        <v>187</v>
      </c>
      <c r="G445">
        <v>-89.778127999999995</v>
      </c>
      <c r="H445">
        <v>1600</v>
      </c>
      <c r="I445">
        <v>65</v>
      </c>
      <c r="J445">
        <v>127</v>
      </c>
      <c r="K445">
        <v>256</v>
      </c>
      <c r="L445">
        <v>1200</v>
      </c>
      <c r="M445" t="str">
        <f t="shared" si="15"/>
        <v xml:space="preserve">N35DC   </v>
      </c>
      <c r="N445">
        <v>1</v>
      </c>
      <c r="O445">
        <v>1675</v>
      </c>
    </row>
    <row r="446" spans="1:15" x14ac:dyDescent="0.25">
      <c r="A446" t="str">
        <f>"10/21/2020 18:18:32.329"</f>
        <v>10/21/2020 18:18:32.329</v>
      </c>
      <c r="B446" t="str">
        <f t="shared" si="17"/>
        <v>18:18:40.266</v>
      </c>
      <c r="C446" t="str">
        <f t="shared" si="17"/>
        <v>18:18:40.266</v>
      </c>
      <c r="D446" t="s">
        <v>186</v>
      </c>
      <c r="E446">
        <v>30.437107000000001</v>
      </c>
      <c r="F446" t="s">
        <v>187</v>
      </c>
      <c r="G446">
        <v>-89.778127999999995</v>
      </c>
      <c r="H446">
        <v>1600</v>
      </c>
      <c r="I446">
        <v>65</v>
      </c>
      <c r="J446">
        <v>127</v>
      </c>
      <c r="K446">
        <v>256</v>
      </c>
      <c r="L446">
        <v>1200</v>
      </c>
      <c r="M446" t="str">
        <f t="shared" si="15"/>
        <v xml:space="preserve">N35DC   </v>
      </c>
      <c r="N446">
        <v>1</v>
      </c>
      <c r="O446">
        <v>1675</v>
      </c>
    </row>
    <row r="447" spans="1:15" x14ac:dyDescent="0.25">
      <c r="A447" t="str">
        <f>"10/21/2020 18:18:33.189"</f>
        <v>10/21/2020 18:18:33.189</v>
      </c>
      <c r="B447" t="str">
        <f>"18:18:41.125"</f>
        <v>18:18:41.125</v>
      </c>
      <c r="C447" t="str">
        <f>"18:18:40.825"</f>
        <v>18:18:40.825</v>
      </c>
      <c r="D447" t="s">
        <v>188</v>
      </c>
      <c r="E447">
        <v>30.437622000000001</v>
      </c>
      <c r="F447" t="s">
        <v>189</v>
      </c>
      <c r="G447">
        <v>-89.777849000000003</v>
      </c>
      <c r="H447">
        <v>1600</v>
      </c>
      <c r="I447">
        <v>65</v>
      </c>
      <c r="J447">
        <v>127</v>
      </c>
      <c r="K447">
        <v>256</v>
      </c>
      <c r="L447">
        <v>1200</v>
      </c>
      <c r="M447" t="str">
        <f t="shared" si="15"/>
        <v xml:space="preserve">N35DC   </v>
      </c>
      <c r="N447">
        <v>1</v>
      </c>
      <c r="O447">
        <v>1700</v>
      </c>
    </row>
    <row r="448" spans="1:15" x14ac:dyDescent="0.25">
      <c r="A448" t="str">
        <f>"10/21/2020 18:18:33.189"</f>
        <v>10/21/2020 18:18:33.189</v>
      </c>
      <c r="B448" t="str">
        <f>"18:18:41.125"</f>
        <v>18:18:41.125</v>
      </c>
      <c r="C448" t="str">
        <f>"18:18:40.825"</f>
        <v>18:18:40.825</v>
      </c>
      <c r="D448" t="s">
        <v>188</v>
      </c>
      <c r="E448">
        <v>30.437622000000001</v>
      </c>
      <c r="F448" t="s">
        <v>189</v>
      </c>
      <c r="G448">
        <v>-89.777849000000003</v>
      </c>
      <c r="H448">
        <v>1600</v>
      </c>
      <c r="I448">
        <v>65</v>
      </c>
      <c r="J448">
        <v>127</v>
      </c>
      <c r="K448">
        <v>256</v>
      </c>
      <c r="L448">
        <v>1200</v>
      </c>
      <c r="M448" t="str">
        <f t="shared" si="15"/>
        <v xml:space="preserve">N35DC   </v>
      </c>
      <c r="N448">
        <v>1</v>
      </c>
      <c r="O448">
        <v>1700</v>
      </c>
    </row>
    <row r="449" spans="1:15" x14ac:dyDescent="0.25">
      <c r="A449" t="str">
        <f>"10/21/2020 18:18:33.189"</f>
        <v>10/21/2020 18:18:33.189</v>
      </c>
      <c r="B449" t="str">
        <f>"18:18:41.125"</f>
        <v>18:18:41.125</v>
      </c>
      <c r="C449" t="str">
        <f>"18:18:40.825"</f>
        <v>18:18:40.825</v>
      </c>
      <c r="D449" t="s">
        <v>188</v>
      </c>
      <c r="E449">
        <v>30.437622000000001</v>
      </c>
      <c r="F449" t="s">
        <v>189</v>
      </c>
      <c r="G449">
        <v>-89.777849000000003</v>
      </c>
      <c r="H449">
        <v>1600</v>
      </c>
      <c r="I449">
        <v>65</v>
      </c>
      <c r="J449">
        <v>127</v>
      </c>
      <c r="K449">
        <v>256</v>
      </c>
      <c r="L449">
        <v>1200</v>
      </c>
      <c r="M449" t="str">
        <f t="shared" si="15"/>
        <v xml:space="preserve">N35DC   </v>
      </c>
      <c r="N449">
        <v>1</v>
      </c>
      <c r="O449">
        <v>1700</v>
      </c>
    </row>
    <row r="450" spans="1:15" x14ac:dyDescent="0.25">
      <c r="A450" t="str">
        <f>"10/21/2020 18:18:33.189"</f>
        <v>10/21/2020 18:18:33.189</v>
      </c>
      <c r="B450" t="str">
        <f>"18:18:41.125"</f>
        <v>18:18:41.125</v>
      </c>
      <c r="C450" t="str">
        <f>"18:18:40.825"</f>
        <v>18:18:40.825</v>
      </c>
      <c r="D450" t="s">
        <v>188</v>
      </c>
      <c r="E450">
        <v>30.437622000000001</v>
      </c>
      <c r="F450" t="s">
        <v>189</v>
      </c>
      <c r="G450">
        <v>-89.777849000000003</v>
      </c>
      <c r="H450">
        <v>1600</v>
      </c>
      <c r="I450">
        <v>65</v>
      </c>
      <c r="J450">
        <v>127</v>
      </c>
      <c r="K450">
        <v>256</v>
      </c>
      <c r="L450">
        <v>1200</v>
      </c>
      <c r="M450" t="str">
        <f t="shared" si="15"/>
        <v xml:space="preserve">N35DC   </v>
      </c>
      <c r="N450">
        <v>1</v>
      </c>
      <c r="O450">
        <v>1700</v>
      </c>
    </row>
    <row r="451" spans="1:15" x14ac:dyDescent="0.25">
      <c r="A451" t="str">
        <f>"10/21/2020 18:18:33.189"</f>
        <v>10/21/2020 18:18:33.189</v>
      </c>
      <c r="B451" t="str">
        <f>"18:18:41.125"</f>
        <v>18:18:41.125</v>
      </c>
      <c r="C451" t="str">
        <f>"18:18:40.825"</f>
        <v>18:18:40.825</v>
      </c>
      <c r="D451" t="s">
        <v>188</v>
      </c>
      <c r="E451">
        <v>30.437622000000001</v>
      </c>
      <c r="F451" t="s">
        <v>189</v>
      </c>
      <c r="G451">
        <v>-89.777849000000003</v>
      </c>
      <c r="H451">
        <v>1600</v>
      </c>
      <c r="I451">
        <v>65</v>
      </c>
      <c r="J451">
        <v>127</v>
      </c>
      <c r="K451">
        <v>256</v>
      </c>
      <c r="L451">
        <v>1200</v>
      </c>
      <c r="M451" t="str">
        <f t="shared" si="15"/>
        <v xml:space="preserve">N35DC   </v>
      </c>
      <c r="N451">
        <v>1</v>
      </c>
      <c r="O451">
        <v>1700</v>
      </c>
    </row>
    <row r="452" spans="1:15" x14ac:dyDescent="0.25">
      <c r="A452" t="str">
        <f>"10/21/2020 18:18:35.393"</f>
        <v>10/21/2020 18:18:35.393</v>
      </c>
      <c r="B452" t="str">
        <f t="shared" ref="B452:C456" si="18">"18:18:43.312"</f>
        <v>18:18:43.312</v>
      </c>
      <c r="C452" t="str">
        <f t="shared" si="18"/>
        <v>18:18:43.312</v>
      </c>
      <c r="D452" t="s">
        <v>190</v>
      </c>
      <c r="E452">
        <v>30.43891</v>
      </c>
      <c r="F452" t="s">
        <v>191</v>
      </c>
      <c r="G452">
        <v>-89.777097999999995</v>
      </c>
      <c r="H452">
        <v>1600</v>
      </c>
      <c r="I452">
        <v>66</v>
      </c>
      <c r="J452">
        <v>126</v>
      </c>
      <c r="K452">
        <v>0</v>
      </c>
      <c r="L452">
        <v>1200</v>
      </c>
      <c r="M452" t="str">
        <f t="shared" si="15"/>
        <v xml:space="preserve">N35DC   </v>
      </c>
      <c r="N452">
        <v>1</v>
      </c>
      <c r="O452">
        <v>1700</v>
      </c>
    </row>
    <row r="453" spans="1:15" x14ac:dyDescent="0.25">
      <c r="A453" t="str">
        <f>"10/21/2020 18:18:35.393"</f>
        <v>10/21/2020 18:18:35.393</v>
      </c>
      <c r="B453" t="str">
        <f t="shared" si="18"/>
        <v>18:18:43.312</v>
      </c>
      <c r="C453" t="str">
        <f t="shared" si="18"/>
        <v>18:18:43.312</v>
      </c>
      <c r="D453" t="s">
        <v>190</v>
      </c>
      <c r="E453">
        <v>30.43891</v>
      </c>
      <c r="F453" t="s">
        <v>191</v>
      </c>
      <c r="G453">
        <v>-89.777097999999995</v>
      </c>
      <c r="H453">
        <v>1600</v>
      </c>
      <c r="I453">
        <v>66</v>
      </c>
      <c r="J453">
        <v>126</v>
      </c>
      <c r="K453">
        <v>0</v>
      </c>
      <c r="L453">
        <v>1200</v>
      </c>
      <c r="M453" t="str">
        <f t="shared" si="15"/>
        <v xml:space="preserve">N35DC   </v>
      </c>
      <c r="N453">
        <v>1</v>
      </c>
      <c r="O453">
        <v>1700</v>
      </c>
    </row>
    <row r="454" spans="1:15" x14ac:dyDescent="0.25">
      <c r="A454" t="str">
        <f>"10/21/2020 18:18:35.393"</f>
        <v>10/21/2020 18:18:35.393</v>
      </c>
      <c r="B454" t="str">
        <f t="shared" si="18"/>
        <v>18:18:43.312</v>
      </c>
      <c r="C454" t="str">
        <f t="shared" si="18"/>
        <v>18:18:43.312</v>
      </c>
      <c r="D454" t="s">
        <v>190</v>
      </c>
      <c r="E454">
        <v>30.43891</v>
      </c>
      <c r="F454" t="s">
        <v>191</v>
      </c>
      <c r="G454">
        <v>-89.777097999999995</v>
      </c>
      <c r="H454">
        <v>1600</v>
      </c>
      <c r="I454">
        <v>66</v>
      </c>
      <c r="J454">
        <v>126</v>
      </c>
      <c r="K454">
        <v>0</v>
      </c>
      <c r="L454">
        <v>1200</v>
      </c>
      <c r="M454" t="str">
        <f t="shared" si="15"/>
        <v xml:space="preserve">N35DC   </v>
      </c>
      <c r="N454">
        <v>1</v>
      </c>
      <c r="O454">
        <v>1700</v>
      </c>
    </row>
    <row r="455" spans="1:15" x14ac:dyDescent="0.25">
      <c r="A455" t="str">
        <f>"10/21/2020 18:18:35.393"</f>
        <v>10/21/2020 18:18:35.393</v>
      </c>
      <c r="B455" t="str">
        <f t="shared" si="18"/>
        <v>18:18:43.312</v>
      </c>
      <c r="C455" t="str">
        <f t="shared" si="18"/>
        <v>18:18:43.312</v>
      </c>
      <c r="D455" t="s">
        <v>190</v>
      </c>
      <c r="E455">
        <v>30.43891</v>
      </c>
      <c r="F455" t="s">
        <v>191</v>
      </c>
      <c r="G455">
        <v>-89.777097999999995</v>
      </c>
      <c r="H455">
        <v>1600</v>
      </c>
      <c r="I455">
        <v>66</v>
      </c>
      <c r="J455">
        <v>126</v>
      </c>
      <c r="K455">
        <v>0</v>
      </c>
      <c r="L455">
        <v>1200</v>
      </c>
      <c r="M455" t="str">
        <f t="shared" ref="M455:M518" si="19">"N35DC   "</f>
        <v xml:space="preserve">N35DC   </v>
      </c>
      <c r="N455">
        <v>1</v>
      </c>
      <c r="O455">
        <v>1700</v>
      </c>
    </row>
    <row r="456" spans="1:15" x14ac:dyDescent="0.25">
      <c r="A456" t="str">
        <f>"10/21/2020 18:18:35.393"</f>
        <v>10/21/2020 18:18:35.393</v>
      </c>
      <c r="B456" t="str">
        <f t="shared" si="18"/>
        <v>18:18:43.312</v>
      </c>
      <c r="C456" t="str">
        <f t="shared" si="18"/>
        <v>18:18:43.312</v>
      </c>
      <c r="D456" t="s">
        <v>190</v>
      </c>
      <c r="E456">
        <v>30.43891</v>
      </c>
      <c r="F456" t="s">
        <v>191</v>
      </c>
      <c r="G456">
        <v>-89.777097999999995</v>
      </c>
      <c r="H456">
        <v>1600</v>
      </c>
      <c r="I456">
        <v>66</v>
      </c>
      <c r="J456">
        <v>126</v>
      </c>
      <c r="K456">
        <v>0</v>
      </c>
      <c r="L456">
        <v>1200</v>
      </c>
      <c r="M456" t="str">
        <f t="shared" si="19"/>
        <v xml:space="preserve">N35DC   </v>
      </c>
      <c r="N456">
        <v>1</v>
      </c>
      <c r="O456">
        <v>1700</v>
      </c>
    </row>
    <row r="457" spans="1:15" x14ac:dyDescent="0.25">
      <c r="A457" t="str">
        <f>"10/21/2020 18:18:36.273"</f>
        <v>10/21/2020 18:18:36.273</v>
      </c>
      <c r="B457" t="str">
        <f>"18:18:44.195"</f>
        <v>18:18:44.195</v>
      </c>
      <c r="C457" t="str">
        <f>"18:18:43.895"</f>
        <v>18:18:43.895</v>
      </c>
      <c r="D457" t="s">
        <v>192</v>
      </c>
      <c r="E457">
        <v>30.439446</v>
      </c>
      <c r="F457" t="s">
        <v>193</v>
      </c>
      <c r="G457">
        <v>-89.776753999999997</v>
      </c>
      <c r="H457">
        <v>1600</v>
      </c>
      <c r="I457">
        <v>66</v>
      </c>
      <c r="J457">
        <v>127</v>
      </c>
      <c r="K457">
        <v>64</v>
      </c>
      <c r="L457">
        <v>1200</v>
      </c>
      <c r="M457" t="str">
        <f t="shared" si="19"/>
        <v xml:space="preserve">N35DC   </v>
      </c>
      <c r="N457">
        <v>1</v>
      </c>
      <c r="O457">
        <v>1700</v>
      </c>
    </row>
    <row r="458" spans="1:15" x14ac:dyDescent="0.25">
      <c r="A458" t="str">
        <f>"10/21/2020 18:18:36.273"</f>
        <v>10/21/2020 18:18:36.273</v>
      </c>
      <c r="B458" t="str">
        <f>"18:18:44.195"</f>
        <v>18:18:44.195</v>
      </c>
      <c r="C458" t="str">
        <f>"18:18:43.895"</f>
        <v>18:18:43.895</v>
      </c>
      <c r="D458" t="s">
        <v>192</v>
      </c>
      <c r="E458">
        <v>30.439446</v>
      </c>
      <c r="F458" t="s">
        <v>193</v>
      </c>
      <c r="G458">
        <v>-89.776753999999997</v>
      </c>
      <c r="H458">
        <v>1600</v>
      </c>
      <c r="I458">
        <v>66</v>
      </c>
      <c r="J458">
        <v>127</v>
      </c>
      <c r="K458">
        <v>64</v>
      </c>
      <c r="L458">
        <v>1200</v>
      </c>
      <c r="M458" t="str">
        <f t="shared" si="19"/>
        <v xml:space="preserve">N35DC   </v>
      </c>
      <c r="N458">
        <v>1</v>
      </c>
      <c r="O458">
        <v>1700</v>
      </c>
    </row>
    <row r="459" spans="1:15" x14ac:dyDescent="0.25">
      <c r="A459" t="str">
        <f>"10/21/2020 18:18:36.273"</f>
        <v>10/21/2020 18:18:36.273</v>
      </c>
      <c r="B459" t="str">
        <f>"18:18:44.195"</f>
        <v>18:18:44.195</v>
      </c>
      <c r="C459" t="str">
        <f>"18:18:43.895"</f>
        <v>18:18:43.895</v>
      </c>
      <c r="D459" t="s">
        <v>192</v>
      </c>
      <c r="E459">
        <v>30.439446</v>
      </c>
      <c r="F459" t="s">
        <v>193</v>
      </c>
      <c r="G459">
        <v>-89.776753999999997</v>
      </c>
      <c r="H459">
        <v>1600</v>
      </c>
      <c r="I459">
        <v>66</v>
      </c>
      <c r="J459">
        <v>127</v>
      </c>
      <c r="K459">
        <v>64</v>
      </c>
      <c r="L459">
        <v>1200</v>
      </c>
      <c r="M459" t="str">
        <f t="shared" si="19"/>
        <v xml:space="preserve">N35DC   </v>
      </c>
      <c r="N459">
        <v>1</v>
      </c>
      <c r="O459">
        <v>1700</v>
      </c>
    </row>
    <row r="460" spans="1:15" x14ac:dyDescent="0.25">
      <c r="A460" t="str">
        <f>"10/21/2020 18:18:36.273"</f>
        <v>10/21/2020 18:18:36.273</v>
      </c>
      <c r="B460" t="str">
        <f>"18:18:44.195"</f>
        <v>18:18:44.195</v>
      </c>
      <c r="C460" t="str">
        <f>"18:18:43.895"</f>
        <v>18:18:43.895</v>
      </c>
      <c r="D460" t="s">
        <v>192</v>
      </c>
      <c r="E460">
        <v>30.439446</v>
      </c>
      <c r="F460" t="s">
        <v>193</v>
      </c>
      <c r="G460">
        <v>-89.776753999999997</v>
      </c>
      <c r="H460">
        <v>1600</v>
      </c>
      <c r="I460">
        <v>66</v>
      </c>
      <c r="J460">
        <v>127</v>
      </c>
      <c r="K460">
        <v>64</v>
      </c>
      <c r="L460">
        <v>1200</v>
      </c>
      <c r="M460" t="str">
        <f t="shared" si="19"/>
        <v xml:space="preserve">N35DC   </v>
      </c>
      <c r="N460">
        <v>1</v>
      </c>
      <c r="O460">
        <v>1700</v>
      </c>
    </row>
    <row r="461" spans="1:15" x14ac:dyDescent="0.25">
      <c r="A461" t="str">
        <f>"10/21/2020 18:18:36.273"</f>
        <v>10/21/2020 18:18:36.273</v>
      </c>
      <c r="B461" t="str">
        <f>"18:18:44.195"</f>
        <v>18:18:44.195</v>
      </c>
      <c r="C461" t="str">
        <f>"18:18:43.895"</f>
        <v>18:18:43.895</v>
      </c>
      <c r="D461" t="s">
        <v>192</v>
      </c>
      <c r="E461">
        <v>30.439446</v>
      </c>
      <c r="F461" t="s">
        <v>193</v>
      </c>
      <c r="G461">
        <v>-89.776753999999997</v>
      </c>
      <c r="H461">
        <v>1600</v>
      </c>
      <c r="I461">
        <v>66</v>
      </c>
      <c r="J461">
        <v>127</v>
      </c>
      <c r="K461">
        <v>64</v>
      </c>
      <c r="L461">
        <v>1200</v>
      </c>
      <c r="M461" t="str">
        <f t="shared" si="19"/>
        <v xml:space="preserve">N35DC   </v>
      </c>
      <c r="N461">
        <v>1</v>
      </c>
      <c r="O461">
        <v>1700</v>
      </c>
    </row>
    <row r="462" spans="1:15" x14ac:dyDescent="0.25">
      <c r="A462" t="str">
        <f>"10/21/2020 18:18:38.349"</f>
        <v>10/21/2020 18:18:38.349</v>
      </c>
      <c r="B462" t="str">
        <f>"18:18:46.281"</f>
        <v>18:18:46.281</v>
      </c>
      <c r="C462" t="str">
        <f>"18:18:45.981"</f>
        <v>18:18:45.981</v>
      </c>
      <c r="D462" t="s">
        <v>194</v>
      </c>
      <c r="E462">
        <v>30.440647999999999</v>
      </c>
      <c r="F462" t="s">
        <v>195</v>
      </c>
      <c r="G462">
        <v>-89.775981999999999</v>
      </c>
      <c r="H462">
        <v>1600</v>
      </c>
      <c r="I462">
        <v>67</v>
      </c>
      <c r="J462">
        <v>126</v>
      </c>
      <c r="K462">
        <v>-192</v>
      </c>
      <c r="L462">
        <v>1200</v>
      </c>
      <c r="M462" t="str">
        <f t="shared" si="19"/>
        <v xml:space="preserve">N35DC   </v>
      </c>
      <c r="N462">
        <v>1</v>
      </c>
      <c r="O462">
        <v>1700</v>
      </c>
    </row>
    <row r="463" spans="1:15" x14ac:dyDescent="0.25">
      <c r="A463" t="str">
        <f>"10/21/2020 18:18:38.349"</f>
        <v>10/21/2020 18:18:38.349</v>
      </c>
      <c r="B463" t="str">
        <f>"18:18:46.281"</f>
        <v>18:18:46.281</v>
      </c>
      <c r="C463" t="str">
        <f>"18:18:45.981"</f>
        <v>18:18:45.981</v>
      </c>
      <c r="D463" t="s">
        <v>194</v>
      </c>
      <c r="E463">
        <v>30.440647999999999</v>
      </c>
      <c r="F463" t="s">
        <v>195</v>
      </c>
      <c r="G463">
        <v>-89.775981999999999</v>
      </c>
      <c r="H463">
        <v>1600</v>
      </c>
      <c r="I463">
        <v>67</v>
      </c>
      <c r="J463">
        <v>126</v>
      </c>
      <c r="K463">
        <v>-192</v>
      </c>
      <c r="L463">
        <v>1200</v>
      </c>
      <c r="M463" t="str">
        <f t="shared" si="19"/>
        <v xml:space="preserve">N35DC   </v>
      </c>
      <c r="N463">
        <v>1</v>
      </c>
      <c r="O463">
        <v>1700</v>
      </c>
    </row>
    <row r="464" spans="1:15" x14ac:dyDescent="0.25">
      <c r="A464" t="str">
        <f>"10/21/2020 18:18:38.349"</f>
        <v>10/21/2020 18:18:38.349</v>
      </c>
      <c r="B464" t="str">
        <f>"18:18:46.281"</f>
        <v>18:18:46.281</v>
      </c>
      <c r="C464" t="str">
        <f>"18:18:45.981"</f>
        <v>18:18:45.981</v>
      </c>
      <c r="D464" t="s">
        <v>194</v>
      </c>
      <c r="E464">
        <v>30.440647999999999</v>
      </c>
      <c r="F464" t="s">
        <v>195</v>
      </c>
      <c r="G464">
        <v>-89.775981999999999</v>
      </c>
      <c r="H464">
        <v>1600</v>
      </c>
      <c r="I464">
        <v>67</v>
      </c>
      <c r="J464">
        <v>126</v>
      </c>
      <c r="K464">
        <v>-192</v>
      </c>
      <c r="L464">
        <v>1200</v>
      </c>
      <c r="M464" t="str">
        <f t="shared" si="19"/>
        <v xml:space="preserve">N35DC   </v>
      </c>
      <c r="N464">
        <v>1</v>
      </c>
      <c r="O464">
        <v>1700</v>
      </c>
    </row>
    <row r="465" spans="1:15" x14ac:dyDescent="0.25">
      <c r="A465" t="str">
        <f>"10/21/2020 18:18:38.349"</f>
        <v>10/21/2020 18:18:38.349</v>
      </c>
      <c r="B465" t="str">
        <f>"18:18:46.281"</f>
        <v>18:18:46.281</v>
      </c>
      <c r="C465" t="str">
        <f>"18:18:45.981"</f>
        <v>18:18:45.981</v>
      </c>
      <c r="D465" t="s">
        <v>194</v>
      </c>
      <c r="E465">
        <v>30.440647999999999</v>
      </c>
      <c r="F465" t="s">
        <v>195</v>
      </c>
      <c r="G465">
        <v>-89.775981999999999</v>
      </c>
      <c r="H465">
        <v>1600</v>
      </c>
      <c r="I465">
        <v>67</v>
      </c>
      <c r="J465">
        <v>126</v>
      </c>
      <c r="K465">
        <v>-192</v>
      </c>
      <c r="L465">
        <v>1200</v>
      </c>
      <c r="M465" t="str">
        <f t="shared" si="19"/>
        <v xml:space="preserve">N35DC   </v>
      </c>
      <c r="N465">
        <v>1</v>
      </c>
      <c r="O465">
        <v>1700</v>
      </c>
    </row>
    <row r="466" spans="1:15" x14ac:dyDescent="0.25">
      <c r="A466" t="str">
        <f>"10/21/2020 18:18:38.349"</f>
        <v>10/21/2020 18:18:38.349</v>
      </c>
      <c r="B466" t="str">
        <f>"18:18:46.281"</f>
        <v>18:18:46.281</v>
      </c>
      <c r="C466" t="str">
        <f>"18:18:45.981"</f>
        <v>18:18:45.981</v>
      </c>
      <c r="D466" t="s">
        <v>194</v>
      </c>
      <c r="E466">
        <v>30.440647999999999</v>
      </c>
      <c r="F466" t="s">
        <v>195</v>
      </c>
      <c r="G466">
        <v>-89.775981999999999</v>
      </c>
      <c r="H466">
        <v>1600</v>
      </c>
      <c r="I466">
        <v>67</v>
      </c>
      <c r="J466">
        <v>126</v>
      </c>
      <c r="K466">
        <v>-192</v>
      </c>
      <c r="L466">
        <v>1200</v>
      </c>
      <c r="M466" t="str">
        <f t="shared" si="19"/>
        <v xml:space="preserve">N35DC   </v>
      </c>
      <c r="N466">
        <v>1</v>
      </c>
      <c r="O466">
        <v>1700</v>
      </c>
    </row>
    <row r="467" spans="1:15" x14ac:dyDescent="0.25">
      <c r="A467" t="str">
        <f>"10/21/2020 18:18:39.167"</f>
        <v>10/21/2020 18:18:39.167</v>
      </c>
      <c r="B467" t="str">
        <f>"18:18:47.109"</f>
        <v>18:18:47.109</v>
      </c>
      <c r="C467" t="str">
        <f>"18:18:47.009"</f>
        <v>18:18:47.009</v>
      </c>
      <c r="D467" t="s">
        <v>196</v>
      </c>
      <c r="E467">
        <v>30.441120000000002</v>
      </c>
      <c r="F467" t="s">
        <v>197</v>
      </c>
      <c r="G467">
        <v>-89.775723999999997</v>
      </c>
      <c r="H467">
        <v>1600</v>
      </c>
      <c r="I467">
        <v>68</v>
      </c>
      <c r="J467">
        <v>126</v>
      </c>
      <c r="K467">
        <v>-128</v>
      </c>
      <c r="L467">
        <v>1200</v>
      </c>
      <c r="M467" t="str">
        <f t="shared" si="19"/>
        <v xml:space="preserve">N35DC   </v>
      </c>
      <c r="N467">
        <v>1</v>
      </c>
      <c r="O467">
        <v>1700</v>
      </c>
    </row>
    <row r="468" spans="1:15" x14ac:dyDescent="0.25">
      <c r="A468" t="str">
        <f>"10/21/2020 18:18:39.167"</f>
        <v>10/21/2020 18:18:39.167</v>
      </c>
      <c r="B468" t="str">
        <f>"18:18:47.109"</f>
        <v>18:18:47.109</v>
      </c>
      <c r="C468" t="str">
        <f>"18:18:47.009"</f>
        <v>18:18:47.009</v>
      </c>
      <c r="D468" t="s">
        <v>196</v>
      </c>
      <c r="E468">
        <v>30.441120000000002</v>
      </c>
      <c r="F468" t="s">
        <v>197</v>
      </c>
      <c r="G468">
        <v>-89.775723999999997</v>
      </c>
      <c r="H468">
        <v>1600</v>
      </c>
      <c r="I468">
        <v>68</v>
      </c>
      <c r="J468">
        <v>126</v>
      </c>
      <c r="K468">
        <v>-128</v>
      </c>
      <c r="L468">
        <v>1200</v>
      </c>
      <c r="M468" t="str">
        <f t="shared" si="19"/>
        <v xml:space="preserve">N35DC   </v>
      </c>
      <c r="N468">
        <v>1</v>
      </c>
      <c r="O468">
        <v>1700</v>
      </c>
    </row>
    <row r="469" spans="1:15" x14ac:dyDescent="0.25">
      <c r="A469" t="str">
        <f>"10/21/2020 18:18:39.167"</f>
        <v>10/21/2020 18:18:39.167</v>
      </c>
      <c r="B469" t="str">
        <f>"18:18:47.109"</f>
        <v>18:18:47.109</v>
      </c>
      <c r="C469" t="str">
        <f>"18:18:47.009"</f>
        <v>18:18:47.009</v>
      </c>
      <c r="D469" t="s">
        <v>196</v>
      </c>
      <c r="E469">
        <v>30.441120000000002</v>
      </c>
      <c r="F469" t="s">
        <v>197</v>
      </c>
      <c r="G469">
        <v>-89.775723999999997</v>
      </c>
      <c r="H469">
        <v>1600</v>
      </c>
      <c r="I469">
        <v>68</v>
      </c>
      <c r="J469">
        <v>126</v>
      </c>
      <c r="K469">
        <v>-128</v>
      </c>
      <c r="L469">
        <v>1200</v>
      </c>
      <c r="M469" t="str">
        <f t="shared" si="19"/>
        <v xml:space="preserve">N35DC   </v>
      </c>
      <c r="N469">
        <v>1</v>
      </c>
      <c r="O469">
        <v>1700</v>
      </c>
    </row>
    <row r="470" spans="1:15" x14ac:dyDescent="0.25">
      <c r="A470" t="str">
        <f>"10/21/2020 18:18:39.167"</f>
        <v>10/21/2020 18:18:39.167</v>
      </c>
      <c r="B470" t="str">
        <f>"18:18:47.109"</f>
        <v>18:18:47.109</v>
      </c>
      <c r="C470" t="str">
        <f>"18:18:47.009"</f>
        <v>18:18:47.009</v>
      </c>
      <c r="D470" t="s">
        <v>196</v>
      </c>
      <c r="E470">
        <v>30.441120000000002</v>
      </c>
      <c r="F470" t="s">
        <v>197</v>
      </c>
      <c r="G470">
        <v>-89.775723999999997</v>
      </c>
      <c r="H470">
        <v>1600</v>
      </c>
      <c r="I470">
        <v>68</v>
      </c>
      <c r="J470">
        <v>126</v>
      </c>
      <c r="K470">
        <v>-128</v>
      </c>
      <c r="L470">
        <v>1200</v>
      </c>
      <c r="M470" t="str">
        <f t="shared" si="19"/>
        <v xml:space="preserve">N35DC   </v>
      </c>
      <c r="N470">
        <v>1</v>
      </c>
      <c r="O470">
        <v>1700</v>
      </c>
    </row>
    <row r="471" spans="1:15" x14ac:dyDescent="0.25">
      <c r="A471" t="str">
        <f>"10/21/2020 18:18:39.167"</f>
        <v>10/21/2020 18:18:39.167</v>
      </c>
      <c r="B471" t="str">
        <f>"18:18:47.109"</f>
        <v>18:18:47.109</v>
      </c>
      <c r="C471" t="str">
        <f>"18:18:47.009"</f>
        <v>18:18:47.009</v>
      </c>
      <c r="D471" t="s">
        <v>196</v>
      </c>
      <c r="E471">
        <v>30.441120000000002</v>
      </c>
      <c r="F471" t="s">
        <v>197</v>
      </c>
      <c r="G471">
        <v>-89.775723999999997</v>
      </c>
      <c r="H471">
        <v>1600</v>
      </c>
      <c r="I471">
        <v>68</v>
      </c>
      <c r="J471">
        <v>126</v>
      </c>
      <c r="K471">
        <v>-128</v>
      </c>
      <c r="L471">
        <v>1200</v>
      </c>
      <c r="M471" t="str">
        <f t="shared" si="19"/>
        <v xml:space="preserve">N35DC   </v>
      </c>
      <c r="N471">
        <v>1</v>
      </c>
      <c r="O471">
        <v>1700</v>
      </c>
    </row>
    <row r="472" spans="1:15" x14ac:dyDescent="0.25">
      <c r="A472" t="str">
        <f>"10/21/2020 18:18:42.125"</f>
        <v>10/21/2020 18:18:42.125</v>
      </c>
      <c r="B472" t="str">
        <f>"18:18:50.062"</f>
        <v>18:18:50.062</v>
      </c>
      <c r="C472" t="str">
        <f>"18:18:49.863"</f>
        <v>18:18:49.863</v>
      </c>
      <c r="D472" t="s">
        <v>198</v>
      </c>
      <c r="E472">
        <v>30.442879000000001</v>
      </c>
      <c r="F472" t="s">
        <v>199</v>
      </c>
      <c r="G472">
        <v>-89.774608999999998</v>
      </c>
      <c r="H472">
        <v>1600</v>
      </c>
      <c r="I472">
        <v>67</v>
      </c>
      <c r="J472">
        <v>127</v>
      </c>
      <c r="K472">
        <v>-64</v>
      </c>
      <c r="L472">
        <v>1200</v>
      </c>
      <c r="M472" t="str">
        <f t="shared" si="19"/>
        <v xml:space="preserve">N35DC   </v>
      </c>
      <c r="N472">
        <v>1</v>
      </c>
      <c r="O472">
        <v>1675</v>
      </c>
    </row>
    <row r="473" spans="1:15" x14ac:dyDescent="0.25">
      <c r="A473" t="str">
        <f>"10/21/2020 18:18:42.125"</f>
        <v>10/21/2020 18:18:42.125</v>
      </c>
      <c r="B473" t="str">
        <f>"18:18:50.062"</f>
        <v>18:18:50.062</v>
      </c>
      <c r="C473" t="str">
        <f>"18:18:49.863"</f>
        <v>18:18:49.863</v>
      </c>
      <c r="D473" t="s">
        <v>198</v>
      </c>
      <c r="E473">
        <v>30.442879000000001</v>
      </c>
      <c r="F473" t="s">
        <v>199</v>
      </c>
      <c r="G473">
        <v>-89.774608999999998</v>
      </c>
      <c r="H473">
        <v>1600</v>
      </c>
      <c r="I473">
        <v>67</v>
      </c>
      <c r="J473">
        <v>127</v>
      </c>
      <c r="K473">
        <v>-64</v>
      </c>
      <c r="L473">
        <v>1200</v>
      </c>
      <c r="M473" t="str">
        <f t="shared" si="19"/>
        <v xml:space="preserve">N35DC   </v>
      </c>
      <c r="N473">
        <v>1</v>
      </c>
      <c r="O473">
        <v>1675</v>
      </c>
    </row>
    <row r="474" spans="1:15" x14ac:dyDescent="0.25">
      <c r="A474" t="str">
        <f>"10/21/2020 18:18:42.125"</f>
        <v>10/21/2020 18:18:42.125</v>
      </c>
      <c r="B474" t="str">
        <f>"18:18:50.062"</f>
        <v>18:18:50.062</v>
      </c>
      <c r="C474" t="str">
        <f>"18:18:49.863"</f>
        <v>18:18:49.863</v>
      </c>
      <c r="D474" t="s">
        <v>198</v>
      </c>
      <c r="E474">
        <v>30.442879000000001</v>
      </c>
      <c r="F474" t="s">
        <v>199</v>
      </c>
      <c r="G474">
        <v>-89.774608999999998</v>
      </c>
      <c r="H474">
        <v>1600</v>
      </c>
      <c r="I474">
        <v>67</v>
      </c>
      <c r="J474">
        <v>127</v>
      </c>
      <c r="K474">
        <v>-64</v>
      </c>
      <c r="L474">
        <v>1200</v>
      </c>
      <c r="M474" t="str">
        <f t="shared" si="19"/>
        <v xml:space="preserve">N35DC   </v>
      </c>
      <c r="N474">
        <v>1</v>
      </c>
      <c r="O474">
        <v>1675</v>
      </c>
    </row>
    <row r="475" spans="1:15" x14ac:dyDescent="0.25">
      <c r="A475" t="str">
        <f>"10/21/2020 18:18:42.125"</f>
        <v>10/21/2020 18:18:42.125</v>
      </c>
      <c r="B475" t="str">
        <f>"18:18:50.062"</f>
        <v>18:18:50.062</v>
      </c>
      <c r="C475" t="str">
        <f>"18:18:49.863"</f>
        <v>18:18:49.863</v>
      </c>
      <c r="D475" t="s">
        <v>198</v>
      </c>
      <c r="E475">
        <v>30.442879000000001</v>
      </c>
      <c r="F475" t="s">
        <v>199</v>
      </c>
      <c r="G475">
        <v>-89.774608999999998</v>
      </c>
      <c r="H475">
        <v>1600</v>
      </c>
      <c r="I475">
        <v>67</v>
      </c>
      <c r="J475">
        <v>127</v>
      </c>
      <c r="K475">
        <v>-64</v>
      </c>
      <c r="L475">
        <v>1200</v>
      </c>
      <c r="M475" t="str">
        <f t="shared" si="19"/>
        <v xml:space="preserve">N35DC   </v>
      </c>
      <c r="N475">
        <v>1</v>
      </c>
      <c r="O475">
        <v>1675</v>
      </c>
    </row>
    <row r="476" spans="1:15" x14ac:dyDescent="0.25">
      <c r="A476" t="str">
        <f>"10/21/2020 18:18:42.125"</f>
        <v>10/21/2020 18:18:42.125</v>
      </c>
      <c r="B476" t="str">
        <f>"18:18:50.062"</f>
        <v>18:18:50.062</v>
      </c>
      <c r="C476" t="str">
        <f>"18:18:49.863"</f>
        <v>18:18:49.863</v>
      </c>
      <c r="D476" t="s">
        <v>198</v>
      </c>
      <c r="E476">
        <v>30.442879000000001</v>
      </c>
      <c r="F476" t="s">
        <v>199</v>
      </c>
      <c r="G476">
        <v>-89.774608999999998</v>
      </c>
      <c r="H476">
        <v>1600</v>
      </c>
      <c r="I476">
        <v>67</v>
      </c>
      <c r="J476">
        <v>127</v>
      </c>
      <c r="K476">
        <v>-64</v>
      </c>
      <c r="L476">
        <v>1200</v>
      </c>
      <c r="M476" t="str">
        <f t="shared" si="19"/>
        <v xml:space="preserve">N35DC   </v>
      </c>
      <c r="N476">
        <v>1</v>
      </c>
      <c r="O476">
        <v>1675</v>
      </c>
    </row>
    <row r="477" spans="1:15" x14ac:dyDescent="0.25">
      <c r="A477" t="str">
        <f>"10/21/2020 18:18:43.186"</f>
        <v>10/21/2020 18:18:43.186</v>
      </c>
      <c r="B477" t="str">
        <f>"18:18:51.125"</f>
        <v>18:18:51.125</v>
      </c>
      <c r="C477" t="str">
        <f>"18:18:50.925"</f>
        <v>18:18:50.925</v>
      </c>
      <c r="D477" t="s">
        <v>200</v>
      </c>
      <c r="E477">
        <v>30.443480000000001</v>
      </c>
      <c r="F477" t="s">
        <v>201</v>
      </c>
      <c r="G477">
        <v>-89.774221999999995</v>
      </c>
      <c r="H477">
        <v>1600</v>
      </c>
      <c r="I477">
        <v>67</v>
      </c>
      <c r="J477">
        <v>127</v>
      </c>
      <c r="K477">
        <v>-64</v>
      </c>
      <c r="L477">
        <v>1200</v>
      </c>
      <c r="M477" t="str">
        <f t="shared" si="19"/>
        <v xml:space="preserve">N35DC   </v>
      </c>
      <c r="N477">
        <v>1</v>
      </c>
      <c r="O477">
        <v>1675</v>
      </c>
    </row>
    <row r="478" spans="1:15" x14ac:dyDescent="0.25">
      <c r="A478" t="str">
        <f>"10/21/2020 18:18:43.186"</f>
        <v>10/21/2020 18:18:43.186</v>
      </c>
      <c r="B478" t="str">
        <f>"18:18:51.125"</f>
        <v>18:18:51.125</v>
      </c>
      <c r="C478" t="str">
        <f>"18:18:50.925"</f>
        <v>18:18:50.925</v>
      </c>
      <c r="D478" t="s">
        <v>200</v>
      </c>
      <c r="E478">
        <v>30.443480000000001</v>
      </c>
      <c r="F478" t="s">
        <v>201</v>
      </c>
      <c r="G478">
        <v>-89.774221999999995</v>
      </c>
      <c r="H478">
        <v>1600</v>
      </c>
      <c r="I478">
        <v>67</v>
      </c>
      <c r="J478">
        <v>127</v>
      </c>
      <c r="K478">
        <v>-64</v>
      </c>
      <c r="L478">
        <v>1200</v>
      </c>
      <c r="M478" t="str">
        <f t="shared" si="19"/>
        <v xml:space="preserve">N35DC   </v>
      </c>
      <c r="N478">
        <v>1</v>
      </c>
      <c r="O478">
        <v>1675</v>
      </c>
    </row>
    <row r="479" spans="1:15" x14ac:dyDescent="0.25">
      <c r="A479" t="str">
        <f>"10/21/2020 18:18:43.186"</f>
        <v>10/21/2020 18:18:43.186</v>
      </c>
      <c r="B479" t="str">
        <f>"18:18:51.125"</f>
        <v>18:18:51.125</v>
      </c>
      <c r="C479" t="str">
        <f>"18:18:50.925"</f>
        <v>18:18:50.925</v>
      </c>
      <c r="D479" t="s">
        <v>200</v>
      </c>
      <c r="E479">
        <v>30.443480000000001</v>
      </c>
      <c r="F479" t="s">
        <v>201</v>
      </c>
      <c r="G479">
        <v>-89.774221999999995</v>
      </c>
      <c r="H479">
        <v>1600</v>
      </c>
      <c r="I479">
        <v>67</v>
      </c>
      <c r="J479">
        <v>127</v>
      </c>
      <c r="K479">
        <v>-64</v>
      </c>
      <c r="L479">
        <v>1200</v>
      </c>
      <c r="M479" t="str">
        <f t="shared" si="19"/>
        <v xml:space="preserve">N35DC   </v>
      </c>
      <c r="N479">
        <v>1</v>
      </c>
      <c r="O479">
        <v>1675</v>
      </c>
    </row>
    <row r="480" spans="1:15" x14ac:dyDescent="0.25">
      <c r="A480" t="str">
        <f>"10/21/2020 18:18:43.186"</f>
        <v>10/21/2020 18:18:43.186</v>
      </c>
      <c r="B480" t="str">
        <f>"18:18:51.125"</f>
        <v>18:18:51.125</v>
      </c>
      <c r="C480" t="str">
        <f>"18:18:50.925"</f>
        <v>18:18:50.925</v>
      </c>
      <c r="D480" t="s">
        <v>200</v>
      </c>
      <c r="E480">
        <v>30.443480000000001</v>
      </c>
      <c r="F480" t="s">
        <v>201</v>
      </c>
      <c r="G480">
        <v>-89.774221999999995</v>
      </c>
      <c r="H480">
        <v>1600</v>
      </c>
      <c r="I480">
        <v>67</v>
      </c>
      <c r="J480">
        <v>127</v>
      </c>
      <c r="K480">
        <v>-64</v>
      </c>
      <c r="L480">
        <v>1200</v>
      </c>
      <c r="M480" t="str">
        <f t="shared" si="19"/>
        <v xml:space="preserve">N35DC   </v>
      </c>
      <c r="N480">
        <v>1</v>
      </c>
      <c r="O480">
        <v>1675</v>
      </c>
    </row>
    <row r="481" spans="1:15" x14ac:dyDescent="0.25">
      <c r="A481" t="str">
        <f>"10/21/2020 18:18:43.186"</f>
        <v>10/21/2020 18:18:43.186</v>
      </c>
      <c r="B481" t="str">
        <f>"18:18:51.125"</f>
        <v>18:18:51.125</v>
      </c>
      <c r="C481" t="str">
        <f>"18:18:50.925"</f>
        <v>18:18:50.925</v>
      </c>
      <c r="D481" t="s">
        <v>200</v>
      </c>
      <c r="E481">
        <v>30.443480000000001</v>
      </c>
      <c r="F481" t="s">
        <v>201</v>
      </c>
      <c r="G481">
        <v>-89.774221999999995</v>
      </c>
      <c r="H481">
        <v>1600</v>
      </c>
      <c r="I481">
        <v>67</v>
      </c>
      <c r="J481">
        <v>127</v>
      </c>
      <c r="K481">
        <v>-64</v>
      </c>
      <c r="L481">
        <v>1200</v>
      </c>
      <c r="M481" t="str">
        <f t="shared" si="19"/>
        <v xml:space="preserve">N35DC   </v>
      </c>
      <c r="N481">
        <v>1</v>
      </c>
      <c r="O481">
        <v>1675</v>
      </c>
    </row>
    <row r="482" spans="1:15" x14ac:dyDescent="0.25">
      <c r="A482" t="str">
        <f>"10/21/2020 18:18:45.410"</f>
        <v>10/21/2020 18:18:45.410</v>
      </c>
      <c r="B482" t="str">
        <f>"18:18:53.320"</f>
        <v>18:18:53.320</v>
      </c>
      <c r="C482" t="str">
        <f>"18:18:53.020"</f>
        <v>18:18:53.020</v>
      </c>
      <c r="D482" t="s">
        <v>202</v>
      </c>
      <c r="E482">
        <v>30.444766999999999</v>
      </c>
      <c r="F482" t="s">
        <v>203</v>
      </c>
      <c r="G482">
        <v>-89.773493000000002</v>
      </c>
      <c r="H482">
        <v>1600</v>
      </c>
      <c r="I482">
        <v>67</v>
      </c>
      <c r="J482">
        <v>126</v>
      </c>
      <c r="K482">
        <v>0</v>
      </c>
      <c r="L482">
        <v>1200</v>
      </c>
      <c r="M482" t="str">
        <f t="shared" si="19"/>
        <v xml:space="preserve">N35DC   </v>
      </c>
      <c r="N482">
        <v>1</v>
      </c>
      <c r="O482">
        <v>1675</v>
      </c>
    </row>
    <row r="483" spans="1:15" x14ac:dyDescent="0.25">
      <c r="A483" t="str">
        <f>"10/21/2020 18:18:45.410"</f>
        <v>10/21/2020 18:18:45.410</v>
      </c>
      <c r="B483" t="str">
        <f>"18:18:53.320"</f>
        <v>18:18:53.320</v>
      </c>
      <c r="C483" t="str">
        <f>"18:18:53.020"</f>
        <v>18:18:53.020</v>
      </c>
      <c r="D483" t="s">
        <v>202</v>
      </c>
      <c r="E483">
        <v>30.444766999999999</v>
      </c>
      <c r="F483" t="s">
        <v>203</v>
      </c>
      <c r="G483">
        <v>-89.773493000000002</v>
      </c>
      <c r="H483">
        <v>1600</v>
      </c>
      <c r="I483">
        <v>67</v>
      </c>
      <c r="J483">
        <v>126</v>
      </c>
      <c r="K483">
        <v>0</v>
      </c>
      <c r="L483">
        <v>1200</v>
      </c>
      <c r="M483" t="str">
        <f t="shared" si="19"/>
        <v xml:space="preserve">N35DC   </v>
      </c>
      <c r="N483">
        <v>1</v>
      </c>
      <c r="O483">
        <v>1675</v>
      </c>
    </row>
    <row r="484" spans="1:15" x14ac:dyDescent="0.25">
      <c r="A484" t="str">
        <f>"10/21/2020 18:18:45.410"</f>
        <v>10/21/2020 18:18:45.410</v>
      </c>
      <c r="B484" t="str">
        <f>"18:18:53.320"</f>
        <v>18:18:53.320</v>
      </c>
      <c r="C484" t="str">
        <f>"18:18:53.020"</f>
        <v>18:18:53.020</v>
      </c>
      <c r="D484" t="s">
        <v>202</v>
      </c>
      <c r="E484">
        <v>30.444766999999999</v>
      </c>
      <c r="F484" t="s">
        <v>203</v>
      </c>
      <c r="G484">
        <v>-89.773493000000002</v>
      </c>
      <c r="H484">
        <v>1600</v>
      </c>
      <c r="I484">
        <v>67</v>
      </c>
      <c r="J484">
        <v>126</v>
      </c>
      <c r="K484">
        <v>0</v>
      </c>
      <c r="L484">
        <v>1200</v>
      </c>
      <c r="M484" t="str">
        <f t="shared" si="19"/>
        <v xml:space="preserve">N35DC   </v>
      </c>
      <c r="N484">
        <v>1</v>
      </c>
      <c r="O484">
        <v>1675</v>
      </c>
    </row>
    <row r="485" spans="1:15" x14ac:dyDescent="0.25">
      <c r="A485" t="str">
        <f>"10/21/2020 18:18:45.410"</f>
        <v>10/21/2020 18:18:45.410</v>
      </c>
      <c r="B485" t="str">
        <f>"18:18:53.320"</f>
        <v>18:18:53.320</v>
      </c>
      <c r="C485" t="str">
        <f>"18:18:53.020"</f>
        <v>18:18:53.020</v>
      </c>
      <c r="D485" t="s">
        <v>202</v>
      </c>
      <c r="E485">
        <v>30.444766999999999</v>
      </c>
      <c r="F485" t="s">
        <v>203</v>
      </c>
      <c r="G485">
        <v>-89.773493000000002</v>
      </c>
      <c r="H485">
        <v>1600</v>
      </c>
      <c r="I485">
        <v>67</v>
      </c>
      <c r="J485">
        <v>126</v>
      </c>
      <c r="K485">
        <v>0</v>
      </c>
      <c r="L485">
        <v>1200</v>
      </c>
      <c r="M485" t="str">
        <f t="shared" si="19"/>
        <v xml:space="preserve">N35DC   </v>
      </c>
      <c r="N485">
        <v>1</v>
      </c>
      <c r="O485">
        <v>1675</v>
      </c>
    </row>
    <row r="486" spans="1:15" x14ac:dyDescent="0.25">
      <c r="A486" t="str">
        <f>"10/21/2020 18:18:45.410"</f>
        <v>10/21/2020 18:18:45.410</v>
      </c>
      <c r="B486" t="str">
        <f>"18:18:53.320"</f>
        <v>18:18:53.320</v>
      </c>
      <c r="C486" t="str">
        <f>"18:18:53.020"</f>
        <v>18:18:53.020</v>
      </c>
      <c r="D486" t="s">
        <v>202</v>
      </c>
      <c r="E486">
        <v>30.444766999999999</v>
      </c>
      <c r="F486" t="s">
        <v>203</v>
      </c>
      <c r="G486">
        <v>-89.773493000000002</v>
      </c>
      <c r="H486">
        <v>1600</v>
      </c>
      <c r="I486">
        <v>67</v>
      </c>
      <c r="J486">
        <v>126</v>
      </c>
      <c r="K486">
        <v>0</v>
      </c>
      <c r="L486">
        <v>1200</v>
      </c>
      <c r="M486" t="str">
        <f t="shared" si="19"/>
        <v xml:space="preserve">N35DC   </v>
      </c>
      <c r="N486">
        <v>1</v>
      </c>
      <c r="O486">
        <v>1675</v>
      </c>
    </row>
    <row r="487" spans="1:15" x14ac:dyDescent="0.25">
      <c r="A487" t="str">
        <f>"10/21/2020 18:18:46.288"</f>
        <v>10/21/2020 18:18:46.288</v>
      </c>
      <c r="B487" t="str">
        <f>"18:18:54.234"</f>
        <v>18:18:54.234</v>
      </c>
      <c r="C487" t="str">
        <f>"18:18:54.034"</f>
        <v>18:18:54.034</v>
      </c>
      <c r="D487" t="s">
        <v>204</v>
      </c>
      <c r="E487">
        <v>30.445304</v>
      </c>
      <c r="F487" t="s">
        <v>205</v>
      </c>
      <c r="G487">
        <v>-89.773128</v>
      </c>
      <c r="H487">
        <v>1600</v>
      </c>
      <c r="I487">
        <v>68</v>
      </c>
      <c r="J487">
        <v>126</v>
      </c>
      <c r="K487">
        <v>0</v>
      </c>
      <c r="L487">
        <v>1200</v>
      </c>
      <c r="M487" t="str">
        <f t="shared" si="19"/>
        <v xml:space="preserve">N35DC   </v>
      </c>
      <c r="N487">
        <v>1</v>
      </c>
      <c r="O487">
        <v>1675</v>
      </c>
    </row>
    <row r="488" spans="1:15" x14ac:dyDescent="0.25">
      <c r="A488" t="str">
        <f>"10/21/2020 18:18:46.288"</f>
        <v>10/21/2020 18:18:46.288</v>
      </c>
      <c r="B488" t="str">
        <f>"18:18:54.234"</f>
        <v>18:18:54.234</v>
      </c>
      <c r="C488" t="str">
        <f>"18:18:54.034"</f>
        <v>18:18:54.034</v>
      </c>
      <c r="D488" t="s">
        <v>204</v>
      </c>
      <c r="E488">
        <v>30.445304</v>
      </c>
      <c r="F488" t="s">
        <v>205</v>
      </c>
      <c r="G488">
        <v>-89.773128</v>
      </c>
      <c r="H488">
        <v>1600</v>
      </c>
      <c r="I488">
        <v>68</v>
      </c>
      <c r="J488">
        <v>126</v>
      </c>
      <c r="K488">
        <v>0</v>
      </c>
      <c r="L488">
        <v>1200</v>
      </c>
      <c r="M488" t="str">
        <f t="shared" si="19"/>
        <v xml:space="preserve">N35DC   </v>
      </c>
      <c r="N488">
        <v>1</v>
      </c>
      <c r="O488">
        <v>1675</v>
      </c>
    </row>
    <row r="489" spans="1:15" x14ac:dyDescent="0.25">
      <c r="A489" t="str">
        <f>"10/21/2020 18:18:46.288"</f>
        <v>10/21/2020 18:18:46.288</v>
      </c>
      <c r="B489" t="str">
        <f>"18:18:54.234"</f>
        <v>18:18:54.234</v>
      </c>
      <c r="C489" t="str">
        <f>"18:18:54.034"</f>
        <v>18:18:54.034</v>
      </c>
      <c r="D489" t="s">
        <v>204</v>
      </c>
      <c r="E489">
        <v>30.445304</v>
      </c>
      <c r="F489" t="s">
        <v>205</v>
      </c>
      <c r="G489">
        <v>-89.773128</v>
      </c>
      <c r="H489">
        <v>1600</v>
      </c>
      <c r="I489">
        <v>68</v>
      </c>
      <c r="J489">
        <v>126</v>
      </c>
      <c r="K489">
        <v>0</v>
      </c>
      <c r="L489">
        <v>1200</v>
      </c>
      <c r="M489" t="str">
        <f t="shared" si="19"/>
        <v xml:space="preserve">N35DC   </v>
      </c>
      <c r="N489">
        <v>1</v>
      </c>
      <c r="O489">
        <v>1675</v>
      </c>
    </row>
    <row r="490" spans="1:15" x14ac:dyDescent="0.25">
      <c r="A490" t="str">
        <f>"10/21/2020 18:18:46.288"</f>
        <v>10/21/2020 18:18:46.288</v>
      </c>
      <c r="B490" t="str">
        <f>"18:18:54.234"</f>
        <v>18:18:54.234</v>
      </c>
      <c r="C490" t="str">
        <f>"18:18:54.034"</f>
        <v>18:18:54.034</v>
      </c>
      <c r="D490" t="s">
        <v>204</v>
      </c>
      <c r="E490">
        <v>30.445304</v>
      </c>
      <c r="F490" t="s">
        <v>205</v>
      </c>
      <c r="G490">
        <v>-89.773128</v>
      </c>
      <c r="H490">
        <v>1600</v>
      </c>
      <c r="I490">
        <v>68</v>
      </c>
      <c r="J490">
        <v>126</v>
      </c>
      <c r="K490">
        <v>0</v>
      </c>
      <c r="L490">
        <v>1200</v>
      </c>
      <c r="M490" t="str">
        <f t="shared" si="19"/>
        <v xml:space="preserve">N35DC   </v>
      </c>
      <c r="N490">
        <v>1</v>
      </c>
      <c r="O490">
        <v>1675</v>
      </c>
    </row>
    <row r="491" spans="1:15" x14ac:dyDescent="0.25">
      <c r="A491" t="str">
        <f>"10/21/2020 18:18:46.288"</f>
        <v>10/21/2020 18:18:46.288</v>
      </c>
      <c r="B491" t="str">
        <f>"18:18:54.234"</f>
        <v>18:18:54.234</v>
      </c>
      <c r="C491" t="str">
        <f>"18:18:54.034"</f>
        <v>18:18:54.034</v>
      </c>
      <c r="D491" t="s">
        <v>204</v>
      </c>
      <c r="E491">
        <v>30.445304</v>
      </c>
      <c r="F491" t="s">
        <v>205</v>
      </c>
      <c r="G491">
        <v>-89.773128</v>
      </c>
      <c r="H491">
        <v>1600</v>
      </c>
      <c r="I491">
        <v>68</v>
      </c>
      <c r="J491">
        <v>126</v>
      </c>
      <c r="K491">
        <v>0</v>
      </c>
      <c r="L491">
        <v>1200</v>
      </c>
      <c r="M491" t="str">
        <f t="shared" si="19"/>
        <v xml:space="preserve">N35DC   </v>
      </c>
      <c r="N491">
        <v>1</v>
      </c>
      <c r="O491">
        <v>1675</v>
      </c>
    </row>
    <row r="492" spans="1:15" x14ac:dyDescent="0.25">
      <c r="A492" t="str">
        <f>"10/21/2020 18:18:48.564"</f>
        <v>10/21/2020 18:18:48.564</v>
      </c>
      <c r="B492" t="str">
        <f t="shared" ref="B492:C496" si="20">"18:18:56.484"</f>
        <v>18:18:56.484</v>
      </c>
      <c r="C492" t="str">
        <f t="shared" si="20"/>
        <v>18:18:56.484</v>
      </c>
      <c r="D492" t="s">
        <v>206</v>
      </c>
      <c r="E492">
        <v>30.446591000000002</v>
      </c>
      <c r="F492" t="s">
        <v>207</v>
      </c>
      <c r="G492">
        <v>-89.772312999999997</v>
      </c>
      <c r="H492">
        <v>1600</v>
      </c>
      <c r="I492">
        <v>70</v>
      </c>
      <c r="J492">
        <v>125</v>
      </c>
      <c r="K492">
        <v>-64</v>
      </c>
      <c r="L492">
        <v>1200</v>
      </c>
      <c r="M492" t="str">
        <f t="shared" si="19"/>
        <v xml:space="preserve">N35DC   </v>
      </c>
      <c r="N492">
        <v>1</v>
      </c>
      <c r="O492">
        <v>1675</v>
      </c>
    </row>
    <row r="493" spans="1:15" x14ac:dyDescent="0.25">
      <c r="A493" t="str">
        <f>"10/21/2020 18:18:48.564"</f>
        <v>10/21/2020 18:18:48.564</v>
      </c>
      <c r="B493" t="str">
        <f t="shared" si="20"/>
        <v>18:18:56.484</v>
      </c>
      <c r="C493" t="str">
        <f t="shared" si="20"/>
        <v>18:18:56.484</v>
      </c>
      <c r="D493" t="s">
        <v>206</v>
      </c>
      <c r="E493">
        <v>30.446591000000002</v>
      </c>
      <c r="F493" t="s">
        <v>207</v>
      </c>
      <c r="G493">
        <v>-89.772312999999997</v>
      </c>
      <c r="H493">
        <v>1600</v>
      </c>
      <c r="I493">
        <v>70</v>
      </c>
      <c r="J493">
        <v>125</v>
      </c>
      <c r="K493">
        <v>-64</v>
      </c>
      <c r="L493">
        <v>1200</v>
      </c>
      <c r="M493" t="str">
        <f t="shared" si="19"/>
        <v xml:space="preserve">N35DC   </v>
      </c>
      <c r="N493">
        <v>1</v>
      </c>
      <c r="O493">
        <v>1675</v>
      </c>
    </row>
    <row r="494" spans="1:15" x14ac:dyDescent="0.25">
      <c r="A494" t="str">
        <f>"10/21/2020 18:18:48.564"</f>
        <v>10/21/2020 18:18:48.564</v>
      </c>
      <c r="B494" t="str">
        <f t="shared" si="20"/>
        <v>18:18:56.484</v>
      </c>
      <c r="C494" t="str">
        <f t="shared" si="20"/>
        <v>18:18:56.484</v>
      </c>
      <c r="D494" t="s">
        <v>206</v>
      </c>
      <c r="E494">
        <v>30.446591000000002</v>
      </c>
      <c r="F494" t="s">
        <v>207</v>
      </c>
      <c r="G494">
        <v>-89.772312999999997</v>
      </c>
      <c r="H494">
        <v>1600</v>
      </c>
      <c r="I494">
        <v>70</v>
      </c>
      <c r="J494">
        <v>125</v>
      </c>
      <c r="K494">
        <v>-64</v>
      </c>
      <c r="L494">
        <v>1200</v>
      </c>
      <c r="M494" t="str">
        <f t="shared" si="19"/>
        <v xml:space="preserve">N35DC   </v>
      </c>
      <c r="N494">
        <v>1</v>
      </c>
      <c r="O494">
        <v>1675</v>
      </c>
    </row>
    <row r="495" spans="1:15" x14ac:dyDescent="0.25">
      <c r="A495" t="str">
        <f>"10/21/2020 18:18:48.564"</f>
        <v>10/21/2020 18:18:48.564</v>
      </c>
      <c r="B495" t="str">
        <f t="shared" si="20"/>
        <v>18:18:56.484</v>
      </c>
      <c r="C495" t="str">
        <f t="shared" si="20"/>
        <v>18:18:56.484</v>
      </c>
      <c r="D495" t="s">
        <v>206</v>
      </c>
      <c r="E495">
        <v>30.446591000000002</v>
      </c>
      <c r="F495" t="s">
        <v>207</v>
      </c>
      <c r="G495">
        <v>-89.772312999999997</v>
      </c>
      <c r="H495">
        <v>1600</v>
      </c>
      <c r="I495">
        <v>70</v>
      </c>
      <c r="J495">
        <v>125</v>
      </c>
      <c r="K495">
        <v>-64</v>
      </c>
      <c r="L495">
        <v>1200</v>
      </c>
      <c r="M495" t="str">
        <f t="shared" si="19"/>
        <v xml:space="preserve">N35DC   </v>
      </c>
      <c r="N495">
        <v>1</v>
      </c>
      <c r="O495">
        <v>1675</v>
      </c>
    </row>
    <row r="496" spans="1:15" x14ac:dyDescent="0.25">
      <c r="A496" t="str">
        <f>"10/21/2020 18:18:48.564"</f>
        <v>10/21/2020 18:18:48.564</v>
      </c>
      <c r="B496" t="str">
        <f t="shared" si="20"/>
        <v>18:18:56.484</v>
      </c>
      <c r="C496" t="str">
        <f t="shared" si="20"/>
        <v>18:18:56.484</v>
      </c>
      <c r="D496" t="s">
        <v>206</v>
      </c>
      <c r="E496">
        <v>30.446591000000002</v>
      </c>
      <c r="F496" t="s">
        <v>207</v>
      </c>
      <c r="G496">
        <v>-89.772312999999997</v>
      </c>
      <c r="H496">
        <v>1600</v>
      </c>
      <c r="I496">
        <v>70</v>
      </c>
      <c r="J496">
        <v>125</v>
      </c>
      <c r="K496">
        <v>-64</v>
      </c>
      <c r="L496">
        <v>1200</v>
      </c>
      <c r="M496" t="str">
        <f t="shared" si="19"/>
        <v xml:space="preserve">N35DC   </v>
      </c>
      <c r="N496">
        <v>1</v>
      </c>
      <c r="O496">
        <v>1675</v>
      </c>
    </row>
    <row r="497" spans="1:15" x14ac:dyDescent="0.25">
      <c r="A497" t="str">
        <f>"10/21/2020 18:18:49.573"</f>
        <v>10/21/2020 18:18:49.573</v>
      </c>
      <c r="B497" t="str">
        <f t="shared" ref="B497:C501" si="21">"18:18:57.516"</f>
        <v>18:18:57.516</v>
      </c>
      <c r="C497" t="str">
        <f t="shared" si="21"/>
        <v>18:18:57.516</v>
      </c>
      <c r="D497" t="s">
        <v>208</v>
      </c>
      <c r="E497">
        <v>30.447213999999999</v>
      </c>
      <c r="F497" t="s">
        <v>209</v>
      </c>
      <c r="G497">
        <v>-89.771925999999993</v>
      </c>
      <c r="H497">
        <v>1600</v>
      </c>
      <c r="I497">
        <v>70</v>
      </c>
      <c r="J497">
        <v>125</v>
      </c>
      <c r="K497">
        <v>-128</v>
      </c>
      <c r="L497">
        <v>1200</v>
      </c>
      <c r="M497" t="str">
        <f t="shared" si="19"/>
        <v xml:space="preserve">N35DC   </v>
      </c>
      <c r="N497">
        <v>1</v>
      </c>
      <c r="O497">
        <v>1675</v>
      </c>
    </row>
    <row r="498" spans="1:15" x14ac:dyDescent="0.25">
      <c r="A498" t="str">
        <f>"10/21/2020 18:18:49.573"</f>
        <v>10/21/2020 18:18:49.573</v>
      </c>
      <c r="B498" t="str">
        <f t="shared" si="21"/>
        <v>18:18:57.516</v>
      </c>
      <c r="C498" t="str">
        <f t="shared" si="21"/>
        <v>18:18:57.516</v>
      </c>
      <c r="D498" t="s">
        <v>208</v>
      </c>
      <c r="E498">
        <v>30.447213999999999</v>
      </c>
      <c r="F498" t="s">
        <v>209</v>
      </c>
      <c r="G498">
        <v>-89.771925999999993</v>
      </c>
      <c r="H498">
        <v>1600</v>
      </c>
      <c r="I498">
        <v>70</v>
      </c>
      <c r="J498">
        <v>125</v>
      </c>
      <c r="K498">
        <v>-128</v>
      </c>
      <c r="L498">
        <v>1200</v>
      </c>
      <c r="M498" t="str">
        <f t="shared" si="19"/>
        <v xml:space="preserve">N35DC   </v>
      </c>
      <c r="N498">
        <v>1</v>
      </c>
      <c r="O498">
        <v>1675</v>
      </c>
    </row>
    <row r="499" spans="1:15" x14ac:dyDescent="0.25">
      <c r="A499" t="str">
        <f>"10/21/2020 18:18:49.573"</f>
        <v>10/21/2020 18:18:49.573</v>
      </c>
      <c r="B499" t="str">
        <f t="shared" si="21"/>
        <v>18:18:57.516</v>
      </c>
      <c r="C499" t="str">
        <f t="shared" si="21"/>
        <v>18:18:57.516</v>
      </c>
      <c r="D499" t="s">
        <v>208</v>
      </c>
      <c r="E499">
        <v>30.447213999999999</v>
      </c>
      <c r="F499" t="s">
        <v>209</v>
      </c>
      <c r="G499">
        <v>-89.771925999999993</v>
      </c>
      <c r="H499">
        <v>1600</v>
      </c>
      <c r="I499">
        <v>70</v>
      </c>
      <c r="J499">
        <v>125</v>
      </c>
      <c r="K499">
        <v>-128</v>
      </c>
      <c r="L499">
        <v>1200</v>
      </c>
      <c r="M499" t="str">
        <f t="shared" si="19"/>
        <v xml:space="preserve">N35DC   </v>
      </c>
      <c r="N499">
        <v>1</v>
      </c>
      <c r="O499">
        <v>1675</v>
      </c>
    </row>
    <row r="500" spans="1:15" x14ac:dyDescent="0.25">
      <c r="A500" t="str">
        <f>"10/21/2020 18:18:49.573"</f>
        <v>10/21/2020 18:18:49.573</v>
      </c>
      <c r="B500" t="str">
        <f t="shared" si="21"/>
        <v>18:18:57.516</v>
      </c>
      <c r="C500" t="str">
        <f t="shared" si="21"/>
        <v>18:18:57.516</v>
      </c>
      <c r="D500" t="s">
        <v>208</v>
      </c>
      <c r="E500">
        <v>30.447213999999999</v>
      </c>
      <c r="F500" t="s">
        <v>209</v>
      </c>
      <c r="G500">
        <v>-89.771925999999993</v>
      </c>
      <c r="H500">
        <v>1600</v>
      </c>
      <c r="I500">
        <v>70</v>
      </c>
      <c r="J500">
        <v>125</v>
      </c>
      <c r="K500">
        <v>-128</v>
      </c>
      <c r="L500">
        <v>1200</v>
      </c>
      <c r="M500" t="str">
        <f t="shared" si="19"/>
        <v xml:space="preserve">N35DC   </v>
      </c>
      <c r="N500">
        <v>1</v>
      </c>
      <c r="O500">
        <v>1675</v>
      </c>
    </row>
    <row r="501" spans="1:15" x14ac:dyDescent="0.25">
      <c r="A501" t="str">
        <f>"10/21/2020 18:18:49.573"</f>
        <v>10/21/2020 18:18:49.573</v>
      </c>
      <c r="B501" t="str">
        <f t="shared" si="21"/>
        <v>18:18:57.516</v>
      </c>
      <c r="C501" t="str">
        <f t="shared" si="21"/>
        <v>18:18:57.516</v>
      </c>
      <c r="D501" t="s">
        <v>208</v>
      </c>
      <c r="E501">
        <v>30.447213999999999</v>
      </c>
      <c r="F501" t="s">
        <v>209</v>
      </c>
      <c r="G501">
        <v>-89.771925999999993</v>
      </c>
      <c r="H501">
        <v>1600</v>
      </c>
      <c r="I501">
        <v>70</v>
      </c>
      <c r="J501">
        <v>125</v>
      </c>
      <c r="K501">
        <v>-128</v>
      </c>
      <c r="L501">
        <v>1200</v>
      </c>
      <c r="M501" t="str">
        <f t="shared" si="19"/>
        <v xml:space="preserve">N35DC   </v>
      </c>
      <c r="N501">
        <v>1</v>
      </c>
      <c r="O501">
        <v>1675</v>
      </c>
    </row>
    <row r="502" spans="1:15" x14ac:dyDescent="0.25">
      <c r="A502" t="str">
        <f>"10/21/2020 18:18:50.584"</f>
        <v>10/21/2020 18:18:50.584</v>
      </c>
      <c r="B502" t="str">
        <f>"18:18:58.539"</f>
        <v>18:18:58.539</v>
      </c>
      <c r="C502" t="str">
        <f>"18:18:58.439"</f>
        <v>18:18:58.439</v>
      </c>
      <c r="D502" t="s">
        <v>210</v>
      </c>
      <c r="E502">
        <v>30.447793000000001</v>
      </c>
      <c r="F502" t="s">
        <v>211</v>
      </c>
      <c r="G502">
        <v>-89.771496999999997</v>
      </c>
      <c r="H502">
        <v>1600</v>
      </c>
      <c r="I502">
        <v>71</v>
      </c>
      <c r="J502">
        <v>125</v>
      </c>
      <c r="K502">
        <v>-64</v>
      </c>
      <c r="L502">
        <v>1200</v>
      </c>
      <c r="M502" t="str">
        <f t="shared" si="19"/>
        <v xml:space="preserve">N35DC   </v>
      </c>
      <c r="N502">
        <v>1</v>
      </c>
      <c r="O502">
        <v>1675</v>
      </c>
    </row>
    <row r="503" spans="1:15" x14ac:dyDescent="0.25">
      <c r="A503" t="str">
        <f>"10/21/2020 18:18:50.584"</f>
        <v>10/21/2020 18:18:50.584</v>
      </c>
      <c r="B503" t="str">
        <f>"18:18:58.539"</f>
        <v>18:18:58.539</v>
      </c>
      <c r="C503" t="str">
        <f>"18:18:58.439"</f>
        <v>18:18:58.439</v>
      </c>
      <c r="D503" t="s">
        <v>210</v>
      </c>
      <c r="E503">
        <v>30.447793000000001</v>
      </c>
      <c r="F503" t="s">
        <v>211</v>
      </c>
      <c r="G503">
        <v>-89.771496999999997</v>
      </c>
      <c r="H503">
        <v>1600</v>
      </c>
      <c r="I503">
        <v>71</v>
      </c>
      <c r="J503">
        <v>125</v>
      </c>
      <c r="K503">
        <v>-64</v>
      </c>
      <c r="L503">
        <v>1200</v>
      </c>
      <c r="M503" t="str">
        <f t="shared" si="19"/>
        <v xml:space="preserve">N35DC   </v>
      </c>
      <c r="N503">
        <v>1</v>
      </c>
      <c r="O503">
        <v>1675</v>
      </c>
    </row>
    <row r="504" spans="1:15" x14ac:dyDescent="0.25">
      <c r="A504" t="str">
        <f>"10/21/2020 18:18:50.584"</f>
        <v>10/21/2020 18:18:50.584</v>
      </c>
      <c r="B504" t="str">
        <f>"18:18:58.539"</f>
        <v>18:18:58.539</v>
      </c>
      <c r="C504" t="str">
        <f>"18:18:58.439"</f>
        <v>18:18:58.439</v>
      </c>
      <c r="D504" t="s">
        <v>210</v>
      </c>
      <c r="E504">
        <v>30.447793000000001</v>
      </c>
      <c r="F504" t="s">
        <v>211</v>
      </c>
      <c r="G504">
        <v>-89.771496999999997</v>
      </c>
      <c r="H504">
        <v>1600</v>
      </c>
      <c r="I504">
        <v>71</v>
      </c>
      <c r="J504">
        <v>125</v>
      </c>
      <c r="K504">
        <v>-64</v>
      </c>
      <c r="L504">
        <v>1200</v>
      </c>
      <c r="M504" t="str">
        <f t="shared" si="19"/>
        <v xml:space="preserve">N35DC   </v>
      </c>
      <c r="N504">
        <v>1</v>
      </c>
      <c r="O504">
        <v>1675</v>
      </c>
    </row>
    <row r="505" spans="1:15" x14ac:dyDescent="0.25">
      <c r="A505" t="str">
        <f>"10/21/2020 18:18:50.584"</f>
        <v>10/21/2020 18:18:50.584</v>
      </c>
      <c r="B505" t="str">
        <f>"18:18:58.539"</f>
        <v>18:18:58.539</v>
      </c>
      <c r="C505" t="str">
        <f>"18:18:58.439"</f>
        <v>18:18:58.439</v>
      </c>
      <c r="D505" t="s">
        <v>210</v>
      </c>
      <c r="E505">
        <v>30.447793000000001</v>
      </c>
      <c r="F505" t="s">
        <v>211</v>
      </c>
      <c r="G505">
        <v>-89.771496999999997</v>
      </c>
      <c r="H505">
        <v>1600</v>
      </c>
      <c r="I505">
        <v>71</v>
      </c>
      <c r="J505">
        <v>125</v>
      </c>
      <c r="K505">
        <v>-64</v>
      </c>
      <c r="L505">
        <v>1200</v>
      </c>
      <c r="M505" t="str">
        <f t="shared" si="19"/>
        <v xml:space="preserve">N35DC   </v>
      </c>
      <c r="N505">
        <v>1</v>
      </c>
      <c r="O505">
        <v>1675</v>
      </c>
    </row>
    <row r="506" spans="1:15" x14ac:dyDescent="0.25">
      <c r="A506" t="str">
        <f>"10/21/2020 18:18:50.584"</f>
        <v>10/21/2020 18:18:50.584</v>
      </c>
      <c r="B506" t="str">
        <f>"18:18:58.539"</f>
        <v>18:18:58.539</v>
      </c>
      <c r="C506" t="str">
        <f>"18:18:58.439"</f>
        <v>18:18:58.439</v>
      </c>
      <c r="D506" t="s">
        <v>210</v>
      </c>
      <c r="E506">
        <v>30.447793000000001</v>
      </c>
      <c r="F506" t="s">
        <v>211</v>
      </c>
      <c r="G506">
        <v>-89.771496999999997</v>
      </c>
      <c r="H506">
        <v>1600</v>
      </c>
      <c r="I506">
        <v>71</v>
      </c>
      <c r="J506">
        <v>125</v>
      </c>
      <c r="K506">
        <v>-64</v>
      </c>
      <c r="L506">
        <v>1200</v>
      </c>
      <c r="M506" t="str">
        <f t="shared" si="19"/>
        <v xml:space="preserve">N35DC   </v>
      </c>
      <c r="N506">
        <v>1</v>
      </c>
      <c r="O506">
        <v>1675</v>
      </c>
    </row>
    <row r="507" spans="1:15" x14ac:dyDescent="0.25">
      <c r="A507" t="str">
        <f>"10/21/2020 18:18:56.205"</f>
        <v>10/21/2020 18:18:56.205</v>
      </c>
      <c r="B507" t="str">
        <f>"18:19:04.133"</f>
        <v>18:19:04.133</v>
      </c>
      <c r="C507" t="str">
        <f>"18:19:03.933"</f>
        <v>18:19:03.933</v>
      </c>
      <c r="D507" t="s">
        <v>212</v>
      </c>
      <c r="E507">
        <v>30.450990000000001</v>
      </c>
      <c r="F507" t="s">
        <v>213</v>
      </c>
      <c r="G507">
        <v>-89.769351</v>
      </c>
      <c r="H507">
        <v>1600</v>
      </c>
      <c r="I507">
        <v>72</v>
      </c>
      <c r="J507">
        <v>123</v>
      </c>
      <c r="K507">
        <v>192</v>
      </c>
      <c r="L507">
        <v>1200</v>
      </c>
      <c r="M507" t="str">
        <f t="shared" si="19"/>
        <v xml:space="preserve">N35DC   </v>
      </c>
      <c r="N507">
        <v>1</v>
      </c>
      <c r="O507">
        <v>1675</v>
      </c>
    </row>
    <row r="508" spans="1:15" x14ac:dyDescent="0.25">
      <c r="A508" t="str">
        <f>"10/21/2020 18:18:56.205"</f>
        <v>10/21/2020 18:18:56.205</v>
      </c>
      <c r="B508" t="str">
        <f>"18:19:04.133"</f>
        <v>18:19:04.133</v>
      </c>
      <c r="C508" t="str">
        <f>"18:19:03.933"</f>
        <v>18:19:03.933</v>
      </c>
      <c r="D508" t="s">
        <v>212</v>
      </c>
      <c r="E508">
        <v>30.450990000000001</v>
      </c>
      <c r="F508" t="s">
        <v>213</v>
      </c>
      <c r="G508">
        <v>-89.769351</v>
      </c>
      <c r="H508">
        <v>1600</v>
      </c>
      <c r="I508">
        <v>72</v>
      </c>
      <c r="J508">
        <v>123</v>
      </c>
      <c r="K508">
        <v>192</v>
      </c>
      <c r="L508">
        <v>1200</v>
      </c>
      <c r="M508" t="str">
        <f t="shared" si="19"/>
        <v xml:space="preserve">N35DC   </v>
      </c>
      <c r="N508">
        <v>1</v>
      </c>
      <c r="O508">
        <v>1675</v>
      </c>
    </row>
    <row r="509" spans="1:15" x14ac:dyDescent="0.25">
      <c r="A509" t="str">
        <f>"10/21/2020 18:18:56.205"</f>
        <v>10/21/2020 18:18:56.205</v>
      </c>
      <c r="B509" t="str">
        <f>"18:19:04.133"</f>
        <v>18:19:04.133</v>
      </c>
      <c r="C509" t="str">
        <f>"18:19:03.933"</f>
        <v>18:19:03.933</v>
      </c>
      <c r="D509" t="s">
        <v>212</v>
      </c>
      <c r="E509">
        <v>30.450990000000001</v>
      </c>
      <c r="F509" t="s">
        <v>213</v>
      </c>
      <c r="G509">
        <v>-89.769351</v>
      </c>
      <c r="H509">
        <v>1600</v>
      </c>
      <c r="I509">
        <v>72</v>
      </c>
      <c r="J509">
        <v>123</v>
      </c>
      <c r="K509">
        <v>192</v>
      </c>
      <c r="L509">
        <v>1200</v>
      </c>
      <c r="M509" t="str">
        <f t="shared" si="19"/>
        <v xml:space="preserve">N35DC   </v>
      </c>
      <c r="N509">
        <v>1</v>
      </c>
      <c r="O509">
        <v>1675</v>
      </c>
    </row>
    <row r="510" spans="1:15" x14ac:dyDescent="0.25">
      <c r="A510" t="str">
        <f>"10/21/2020 18:18:56.205"</f>
        <v>10/21/2020 18:18:56.205</v>
      </c>
      <c r="B510" t="str">
        <f>"18:19:04.133"</f>
        <v>18:19:04.133</v>
      </c>
      <c r="C510" t="str">
        <f>"18:19:03.933"</f>
        <v>18:19:03.933</v>
      </c>
      <c r="D510" t="s">
        <v>212</v>
      </c>
      <c r="E510">
        <v>30.450990000000001</v>
      </c>
      <c r="F510" t="s">
        <v>213</v>
      </c>
      <c r="G510">
        <v>-89.769351</v>
      </c>
      <c r="H510">
        <v>1600</v>
      </c>
      <c r="I510">
        <v>72</v>
      </c>
      <c r="J510">
        <v>123</v>
      </c>
      <c r="K510">
        <v>192</v>
      </c>
      <c r="L510">
        <v>1200</v>
      </c>
      <c r="M510" t="str">
        <f t="shared" si="19"/>
        <v xml:space="preserve">N35DC   </v>
      </c>
      <c r="N510">
        <v>1</v>
      </c>
      <c r="O510">
        <v>1675</v>
      </c>
    </row>
    <row r="511" spans="1:15" x14ac:dyDescent="0.25">
      <c r="A511" t="str">
        <f>"10/21/2020 18:18:56.205"</f>
        <v>10/21/2020 18:18:56.205</v>
      </c>
      <c r="B511" t="str">
        <f>"18:19:04.133"</f>
        <v>18:19:04.133</v>
      </c>
      <c r="C511" t="str">
        <f>"18:19:03.933"</f>
        <v>18:19:03.933</v>
      </c>
      <c r="D511" t="s">
        <v>212</v>
      </c>
      <c r="E511">
        <v>30.450990000000001</v>
      </c>
      <c r="F511" t="s">
        <v>213</v>
      </c>
      <c r="G511">
        <v>-89.769351</v>
      </c>
      <c r="H511">
        <v>1600</v>
      </c>
      <c r="I511">
        <v>72</v>
      </c>
      <c r="J511">
        <v>123</v>
      </c>
      <c r="K511">
        <v>192</v>
      </c>
      <c r="L511">
        <v>1200</v>
      </c>
      <c r="M511" t="str">
        <f t="shared" si="19"/>
        <v xml:space="preserve">N35DC   </v>
      </c>
      <c r="N511">
        <v>1</v>
      </c>
      <c r="O511">
        <v>1675</v>
      </c>
    </row>
    <row r="512" spans="1:15" x14ac:dyDescent="0.25">
      <c r="A512" t="str">
        <f>"10/21/2020 18:18:57.209"</f>
        <v>10/21/2020 18:18:57.209</v>
      </c>
      <c r="B512" t="str">
        <f>"18:19:05.148"</f>
        <v>18:19:05.148</v>
      </c>
      <c r="C512" t="str">
        <f>"18:19:04.948"</f>
        <v>18:19:04.948</v>
      </c>
      <c r="D512" t="s">
        <v>214</v>
      </c>
      <c r="E512">
        <v>30.451591000000001</v>
      </c>
      <c r="F512" t="s">
        <v>215</v>
      </c>
      <c r="G512">
        <v>-89.768964999999994</v>
      </c>
      <c r="H512">
        <v>1600</v>
      </c>
      <c r="I512">
        <v>72</v>
      </c>
      <c r="J512">
        <v>123</v>
      </c>
      <c r="K512">
        <v>256</v>
      </c>
      <c r="L512">
        <v>1200</v>
      </c>
      <c r="M512" t="str">
        <f t="shared" si="19"/>
        <v xml:space="preserve">N35DC   </v>
      </c>
      <c r="N512">
        <v>1</v>
      </c>
      <c r="O512">
        <v>1700</v>
      </c>
    </row>
    <row r="513" spans="1:15" x14ac:dyDescent="0.25">
      <c r="A513" t="str">
        <f>"10/21/2020 18:18:57.209"</f>
        <v>10/21/2020 18:18:57.209</v>
      </c>
      <c r="B513" t="str">
        <f>"18:19:05.148"</f>
        <v>18:19:05.148</v>
      </c>
      <c r="C513" t="str">
        <f>"18:19:04.948"</f>
        <v>18:19:04.948</v>
      </c>
      <c r="D513" t="s">
        <v>214</v>
      </c>
      <c r="E513">
        <v>30.451591000000001</v>
      </c>
      <c r="F513" t="s">
        <v>215</v>
      </c>
      <c r="G513">
        <v>-89.768964999999994</v>
      </c>
      <c r="H513">
        <v>1600</v>
      </c>
      <c r="I513">
        <v>72</v>
      </c>
      <c r="J513">
        <v>123</v>
      </c>
      <c r="K513">
        <v>256</v>
      </c>
      <c r="L513">
        <v>1200</v>
      </c>
      <c r="M513" t="str">
        <f t="shared" si="19"/>
        <v xml:space="preserve">N35DC   </v>
      </c>
      <c r="N513">
        <v>1</v>
      </c>
      <c r="O513">
        <v>1700</v>
      </c>
    </row>
    <row r="514" spans="1:15" x14ac:dyDescent="0.25">
      <c r="A514" t="str">
        <f>"10/21/2020 18:18:57.209"</f>
        <v>10/21/2020 18:18:57.209</v>
      </c>
      <c r="B514" t="str">
        <f>"18:19:05.148"</f>
        <v>18:19:05.148</v>
      </c>
      <c r="C514" t="str">
        <f>"18:19:04.948"</f>
        <v>18:19:04.948</v>
      </c>
      <c r="D514" t="s">
        <v>214</v>
      </c>
      <c r="E514">
        <v>30.451591000000001</v>
      </c>
      <c r="F514" t="s">
        <v>215</v>
      </c>
      <c r="G514">
        <v>-89.768964999999994</v>
      </c>
      <c r="H514">
        <v>1600</v>
      </c>
      <c r="I514">
        <v>72</v>
      </c>
      <c r="J514">
        <v>123</v>
      </c>
      <c r="K514">
        <v>256</v>
      </c>
      <c r="L514">
        <v>1200</v>
      </c>
      <c r="M514" t="str">
        <f t="shared" si="19"/>
        <v xml:space="preserve">N35DC   </v>
      </c>
      <c r="N514">
        <v>1</v>
      </c>
      <c r="O514">
        <v>1700</v>
      </c>
    </row>
    <row r="515" spans="1:15" x14ac:dyDescent="0.25">
      <c r="A515" t="str">
        <f>"10/21/2020 18:18:57.209"</f>
        <v>10/21/2020 18:18:57.209</v>
      </c>
      <c r="B515" t="str">
        <f>"18:19:05.148"</f>
        <v>18:19:05.148</v>
      </c>
      <c r="C515" t="str">
        <f>"18:19:04.948"</f>
        <v>18:19:04.948</v>
      </c>
      <c r="D515" t="s">
        <v>214</v>
      </c>
      <c r="E515">
        <v>30.451591000000001</v>
      </c>
      <c r="F515" t="s">
        <v>215</v>
      </c>
      <c r="G515">
        <v>-89.768964999999994</v>
      </c>
      <c r="H515">
        <v>1600</v>
      </c>
      <c r="I515">
        <v>72</v>
      </c>
      <c r="J515">
        <v>123</v>
      </c>
      <c r="K515">
        <v>256</v>
      </c>
      <c r="L515">
        <v>1200</v>
      </c>
      <c r="M515" t="str">
        <f t="shared" si="19"/>
        <v xml:space="preserve">N35DC   </v>
      </c>
      <c r="N515">
        <v>1</v>
      </c>
      <c r="O515">
        <v>1700</v>
      </c>
    </row>
    <row r="516" spans="1:15" x14ac:dyDescent="0.25">
      <c r="A516" t="str">
        <f>"10/21/2020 18:18:57.209"</f>
        <v>10/21/2020 18:18:57.209</v>
      </c>
      <c r="B516" t="str">
        <f>"18:19:05.148"</f>
        <v>18:19:05.148</v>
      </c>
      <c r="C516" t="str">
        <f>"18:19:04.948"</f>
        <v>18:19:04.948</v>
      </c>
      <c r="D516" t="s">
        <v>214</v>
      </c>
      <c r="E516">
        <v>30.451591000000001</v>
      </c>
      <c r="F516" t="s">
        <v>215</v>
      </c>
      <c r="G516">
        <v>-89.768964999999994</v>
      </c>
      <c r="H516">
        <v>1600</v>
      </c>
      <c r="I516">
        <v>72</v>
      </c>
      <c r="J516">
        <v>123</v>
      </c>
      <c r="K516">
        <v>256</v>
      </c>
      <c r="L516">
        <v>1200</v>
      </c>
      <c r="M516" t="str">
        <f t="shared" si="19"/>
        <v xml:space="preserve">N35DC   </v>
      </c>
      <c r="N516">
        <v>1</v>
      </c>
      <c r="O516">
        <v>1700</v>
      </c>
    </row>
    <row r="517" spans="1:15" x14ac:dyDescent="0.25">
      <c r="A517" t="str">
        <f>"10/21/2020 18:19:00.478"</f>
        <v>10/21/2020 18:19:00.478</v>
      </c>
      <c r="B517" t="str">
        <f t="shared" ref="B517:C521" si="22">"18:19:08.422"</f>
        <v>18:19:08.422</v>
      </c>
      <c r="C517" t="str">
        <f t="shared" si="22"/>
        <v>18:19:08.422</v>
      </c>
      <c r="D517" t="s">
        <v>216</v>
      </c>
      <c r="E517">
        <v>30.453458000000001</v>
      </c>
      <c r="F517" t="s">
        <v>217</v>
      </c>
      <c r="G517">
        <v>-89.767678000000004</v>
      </c>
      <c r="H517">
        <v>1600</v>
      </c>
      <c r="I517">
        <v>71</v>
      </c>
      <c r="J517">
        <v>125</v>
      </c>
      <c r="K517">
        <v>64</v>
      </c>
      <c r="L517">
        <v>1200</v>
      </c>
      <c r="M517" t="str">
        <f t="shared" si="19"/>
        <v xml:space="preserve">N35DC   </v>
      </c>
      <c r="N517">
        <v>1</v>
      </c>
      <c r="O517">
        <v>1700</v>
      </c>
    </row>
    <row r="518" spans="1:15" x14ac:dyDescent="0.25">
      <c r="A518" t="str">
        <f>"10/21/2020 18:19:00.478"</f>
        <v>10/21/2020 18:19:00.478</v>
      </c>
      <c r="B518" t="str">
        <f t="shared" si="22"/>
        <v>18:19:08.422</v>
      </c>
      <c r="C518" t="str">
        <f t="shared" si="22"/>
        <v>18:19:08.422</v>
      </c>
      <c r="D518" t="s">
        <v>216</v>
      </c>
      <c r="E518">
        <v>30.453458000000001</v>
      </c>
      <c r="F518" t="s">
        <v>217</v>
      </c>
      <c r="G518">
        <v>-89.767678000000004</v>
      </c>
      <c r="H518">
        <v>1600</v>
      </c>
      <c r="I518">
        <v>71</v>
      </c>
      <c r="J518">
        <v>125</v>
      </c>
      <c r="K518">
        <v>64</v>
      </c>
      <c r="L518">
        <v>1200</v>
      </c>
      <c r="M518" t="str">
        <f t="shared" si="19"/>
        <v xml:space="preserve">N35DC   </v>
      </c>
      <c r="N518">
        <v>1</v>
      </c>
      <c r="O518">
        <v>1700</v>
      </c>
    </row>
    <row r="519" spans="1:15" x14ac:dyDescent="0.25">
      <c r="A519" t="str">
        <f>"10/21/2020 18:19:00.478"</f>
        <v>10/21/2020 18:19:00.478</v>
      </c>
      <c r="B519" t="str">
        <f t="shared" si="22"/>
        <v>18:19:08.422</v>
      </c>
      <c r="C519" t="str">
        <f t="shared" si="22"/>
        <v>18:19:08.422</v>
      </c>
      <c r="D519" t="s">
        <v>216</v>
      </c>
      <c r="E519">
        <v>30.453458000000001</v>
      </c>
      <c r="F519" t="s">
        <v>217</v>
      </c>
      <c r="G519">
        <v>-89.767678000000004</v>
      </c>
      <c r="H519">
        <v>1600</v>
      </c>
      <c r="I519">
        <v>71</v>
      </c>
      <c r="J519">
        <v>125</v>
      </c>
      <c r="K519">
        <v>64</v>
      </c>
      <c r="L519">
        <v>1200</v>
      </c>
      <c r="M519" t="str">
        <f t="shared" ref="M519:M582" si="23">"N35DC   "</f>
        <v xml:space="preserve">N35DC   </v>
      </c>
      <c r="N519">
        <v>1</v>
      </c>
      <c r="O519">
        <v>1700</v>
      </c>
    </row>
    <row r="520" spans="1:15" x14ac:dyDescent="0.25">
      <c r="A520" t="str">
        <f>"10/21/2020 18:19:00.478"</f>
        <v>10/21/2020 18:19:00.478</v>
      </c>
      <c r="B520" t="str">
        <f t="shared" si="22"/>
        <v>18:19:08.422</v>
      </c>
      <c r="C520" t="str">
        <f t="shared" si="22"/>
        <v>18:19:08.422</v>
      </c>
      <c r="D520" t="s">
        <v>216</v>
      </c>
      <c r="E520">
        <v>30.453458000000001</v>
      </c>
      <c r="F520" t="s">
        <v>217</v>
      </c>
      <c r="G520">
        <v>-89.767678000000004</v>
      </c>
      <c r="H520">
        <v>1600</v>
      </c>
      <c r="I520">
        <v>71</v>
      </c>
      <c r="J520">
        <v>125</v>
      </c>
      <c r="K520">
        <v>64</v>
      </c>
      <c r="L520">
        <v>1200</v>
      </c>
      <c r="M520" t="str">
        <f t="shared" si="23"/>
        <v xml:space="preserve">N35DC   </v>
      </c>
      <c r="N520">
        <v>1</v>
      </c>
      <c r="O520">
        <v>1700</v>
      </c>
    </row>
    <row r="521" spans="1:15" x14ac:dyDescent="0.25">
      <c r="A521" t="str">
        <f>"10/21/2020 18:19:00.478"</f>
        <v>10/21/2020 18:19:00.478</v>
      </c>
      <c r="B521" t="str">
        <f t="shared" si="22"/>
        <v>18:19:08.422</v>
      </c>
      <c r="C521" t="str">
        <f t="shared" si="22"/>
        <v>18:19:08.422</v>
      </c>
      <c r="D521" t="s">
        <v>216</v>
      </c>
      <c r="E521">
        <v>30.453458000000001</v>
      </c>
      <c r="F521" t="s">
        <v>217</v>
      </c>
      <c r="G521">
        <v>-89.767678000000004</v>
      </c>
      <c r="H521">
        <v>1600</v>
      </c>
      <c r="I521">
        <v>71</v>
      </c>
      <c r="J521">
        <v>125</v>
      </c>
      <c r="K521">
        <v>64</v>
      </c>
      <c r="L521">
        <v>1200</v>
      </c>
      <c r="M521" t="str">
        <f t="shared" si="23"/>
        <v xml:space="preserve">N35DC   </v>
      </c>
      <c r="N521">
        <v>1</v>
      </c>
      <c r="O521">
        <v>1700</v>
      </c>
    </row>
    <row r="522" spans="1:15" x14ac:dyDescent="0.25">
      <c r="A522" t="str">
        <f>"10/21/2020 18:19:04.499"</f>
        <v>10/21/2020 18:19:04.499</v>
      </c>
      <c r="B522" t="str">
        <f t="shared" ref="B522:C526" si="24">"18:19:12.437"</f>
        <v>18:19:12.437</v>
      </c>
      <c r="C522" t="str">
        <f t="shared" si="24"/>
        <v>18:19:12.437</v>
      </c>
      <c r="D522" t="s">
        <v>218</v>
      </c>
      <c r="E522">
        <v>30.455839999999998</v>
      </c>
      <c r="F522" t="s">
        <v>219</v>
      </c>
      <c r="G522">
        <v>-89.766219000000007</v>
      </c>
      <c r="H522">
        <v>1600</v>
      </c>
      <c r="I522">
        <v>70</v>
      </c>
      <c r="J522">
        <v>127</v>
      </c>
      <c r="K522">
        <v>-64</v>
      </c>
      <c r="L522">
        <v>1200</v>
      </c>
      <c r="M522" t="str">
        <f t="shared" si="23"/>
        <v xml:space="preserve">N35DC   </v>
      </c>
      <c r="N522">
        <v>1</v>
      </c>
      <c r="O522">
        <v>1675</v>
      </c>
    </row>
    <row r="523" spans="1:15" x14ac:dyDescent="0.25">
      <c r="A523" t="str">
        <f>"10/21/2020 18:19:04.499"</f>
        <v>10/21/2020 18:19:04.499</v>
      </c>
      <c r="B523" t="str">
        <f t="shared" si="24"/>
        <v>18:19:12.437</v>
      </c>
      <c r="C523" t="str">
        <f t="shared" si="24"/>
        <v>18:19:12.437</v>
      </c>
      <c r="D523" t="s">
        <v>218</v>
      </c>
      <c r="E523">
        <v>30.455839999999998</v>
      </c>
      <c r="F523" t="s">
        <v>219</v>
      </c>
      <c r="G523">
        <v>-89.766219000000007</v>
      </c>
      <c r="H523">
        <v>1600</v>
      </c>
      <c r="I523">
        <v>70</v>
      </c>
      <c r="J523">
        <v>127</v>
      </c>
      <c r="K523">
        <v>-64</v>
      </c>
      <c r="L523">
        <v>1200</v>
      </c>
      <c r="M523" t="str">
        <f t="shared" si="23"/>
        <v xml:space="preserve">N35DC   </v>
      </c>
      <c r="N523">
        <v>1</v>
      </c>
      <c r="O523">
        <v>1675</v>
      </c>
    </row>
    <row r="524" spans="1:15" x14ac:dyDescent="0.25">
      <c r="A524" t="str">
        <f>"10/21/2020 18:19:04.499"</f>
        <v>10/21/2020 18:19:04.499</v>
      </c>
      <c r="B524" t="str">
        <f t="shared" si="24"/>
        <v>18:19:12.437</v>
      </c>
      <c r="C524" t="str">
        <f t="shared" si="24"/>
        <v>18:19:12.437</v>
      </c>
      <c r="D524" t="s">
        <v>218</v>
      </c>
      <c r="E524">
        <v>30.455839999999998</v>
      </c>
      <c r="F524" t="s">
        <v>219</v>
      </c>
      <c r="G524">
        <v>-89.766219000000007</v>
      </c>
      <c r="H524">
        <v>1600</v>
      </c>
      <c r="I524">
        <v>70</v>
      </c>
      <c r="J524">
        <v>127</v>
      </c>
      <c r="K524">
        <v>-64</v>
      </c>
      <c r="L524">
        <v>1200</v>
      </c>
      <c r="M524" t="str">
        <f t="shared" si="23"/>
        <v xml:space="preserve">N35DC   </v>
      </c>
      <c r="N524">
        <v>1</v>
      </c>
      <c r="O524">
        <v>1675</v>
      </c>
    </row>
    <row r="525" spans="1:15" x14ac:dyDescent="0.25">
      <c r="A525" t="str">
        <f>"10/21/2020 18:19:04.499"</f>
        <v>10/21/2020 18:19:04.499</v>
      </c>
      <c r="B525" t="str">
        <f t="shared" si="24"/>
        <v>18:19:12.437</v>
      </c>
      <c r="C525" t="str">
        <f t="shared" si="24"/>
        <v>18:19:12.437</v>
      </c>
      <c r="D525" t="s">
        <v>218</v>
      </c>
      <c r="E525">
        <v>30.455839999999998</v>
      </c>
      <c r="F525" t="s">
        <v>219</v>
      </c>
      <c r="G525">
        <v>-89.766219000000007</v>
      </c>
      <c r="H525">
        <v>1600</v>
      </c>
      <c r="I525">
        <v>70</v>
      </c>
      <c r="J525">
        <v>127</v>
      </c>
      <c r="K525">
        <v>-64</v>
      </c>
      <c r="L525">
        <v>1200</v>
      </c>
      <c r="M525" t="str">
        <f t="shared" si="23"/>
        <v xml:space="preserve">N35DC   </v>
      </c>
      <c r="N525">
        <v>1</v>
      </c>
      <c r="O525">
        <v>1675</v>
      </c>
    </row>
    <row r="526" spans="1:15" x14ac:dyDescent="0.25">
      <c r="A526" t="str">
        <f>"10/21/2020 18:19:04.499"</f>
        <v>10/21/2020 18:19:04.499</v>
      </c>
      <c r="B526" t="str">
        <f t="shared" si="24"/>
        <v>18:19:12.437</v>
      </c>
      <c r="C526" t="str">
        <f t="shared" si="24"/>
        <v>18:19:12.437</v>
      </c>
      <c r="D526" t="s">
        <v>218</v>
      </c>
      <c r="E526">
        <v>30.455839999999998</v>
      </c>
      <c r="F526" t="s">
        <v>219</v>
      </c>
      <c r="G526">
        <v>-89.766219000000007</v>
      </c>
      <c r="H526">
        <v>1600</v>
      </c>
      <c r="I526">
        <v>70</v>
      </c>
      <c r="J526">
        <v>127</v>
      </c>
      <c r="K526">
        <v>-64</v>
      </c>
      <c r="L526">
        <v>1200</v>
      </c>
      <c r="M526" t="str">
        <f t="shared" si="23"/>
        <v xml:space="preserve">N35DC   </v>
      </c>
      <c r="N526">
        <v>1</v>
      </c>
      <c r="O526">
        <v>1675</v>
      </c>
    </row>
    <row r="527" spans="1:15" x14ac:dyDescent="0.25">
      <c r="A527" t="str">
        <f>"10/21/2020 18:19:05.391"</f>
        <v>10/21/2020 18:19:05.391</v>
      </c>
      <c r="B527" t="str">
        <f>"18:19:13.328"</f>
        <v>18:19:13.328</v>
      </c>
      <c r="C527" t="str">
        <f>"18:19:12.928"</f>
        <v>18:19:12.928</v>
      </c>
      <c r="D527" t="s">
        <v>220</v>
      </c>
      <c r="E527">
        <v>30.456354999999999</v>
      </c>
      <c r="F527" t="s">
        <v>221</v>
      </c>
      <c r="G527">
        <v>-89.765832000000003</v>
      </c>
      <c r="H527">
        <v>1600</v>
      </c>
      <c r="I527">
        <v>70</v>
      </c>
      <c r="J527">
        <v>127</v>
      </c>
      <c r="K527">
        <v>0</v>
      </c>
      <c r="L527">
        <v>1200</v>
      </c>
      <c r="M527" t="str">
        <f t="shared" si="23"/>
        <v xml:space="preserve">N35DC   </v>
      </c>
      <c r="N527">
        <v>1</v>
      </c>
      <c r="O527">
        <v>1675</v>
      </c>
    </row>
    <row r="528" spans="1:15" x14ac:dyDescent="0.25">
      <c r="A528" t="str">
        <f>"10/21/2020 18:19:05.391"</f>
        <v>10/21/2020 18:19:05.391</v>
      </c>
      <c r="B528" t="str">
        <f>"18:19:13.328"</f>
        <v>18:19:13.328</v>
      </c>
      <c r="C528" t="str">
        <f>"18:19:12.928"</f>
        <v>18:19:12.928</v>
      </c>
      <c r="D528" t="s">
        <v>220</v>
      </c>
      <c r="E528">
        <v>30.456354999999999</v>
      </c>
      <c r="F528" t="s">
        <v>221</v>
      </c>
      <c r="G528">
        <v>-89.765832000000003</v>
      </c>
      <c r="H528">
        <v>1600</v>
      </c>
      <c r="I528">
        <v>70</v>
      </c>
      <c r="J528">
        <v>127</v>
      </c>
      <c r="K528">
        <v>0</v>
      </c>
      <c r="L528">
        <v>1200</v>
      </c>
      <c r="M528" t="str">
        <f t="shared" si="23"/>
        <v xml:space="preserve">N35DC   </v>
      </c>
      <c r="N528">
        <v>1</v>
      </c>
      <c r="O528">
        <v>1675</v>
      </c>
    </row>
    <row r="529" spans="1:15" x14ac:dyDescent="0.25">
      <c r="A529" t="str">
        <f>"10/21/2020 18:19:05.391"</f>
        <v>10/21/2020 18:19:05.391</v>
      </c>
      <c r="B529" t="str">
        <f>"18:19:13.328"</f>
        <v>18:19:13.328</v>
      </c>
      <c r="C529" t="str">
        <f>"18:19:12.928"</f>
        <v>18:19:12.928</v>
      </c>
      <c r="D529" t="s">
        <v>220</v>
      </c>
      <c r="E529">
        <v>30.456354999999999</v>
      </c>
      <c r="F529" t="s">
        <v>221</v>
      </c>
      <c r="G529">
        <v>-89.765832000000003</v>
      </c>
      <c r="H529">
        <v>1600</v>
      </c>
      <c r="I529">
        <v>70</v>
      </c>
      <c r="J529">
        <v>127</v>
      </c>
      <c r="K529">
        <v>0</v>
      </c>
      <c r="L529">
        <v>1200</v>
      </c>
      <c r="M529" t="str">
        <f t="shared" si="23"/>
        <v xml:space="preserve">N35DC   </v>
      </c>
      <c r="N529">
        <v>1</v>
      </c>
      <c r="O529">
        <v>1675</v>
      </c>
    </row>
    <row r="530" spans="1:15" x14ac:dyDescent="0.25">
      <c r="A530" t="str">
        <f>"10/21/2020 18:19:05.391"</f>
        <v>10/21/2020 18:19:05.391</v>
      </c>
      <c r="B530" t="str">
        <f>"18:19:13.328"</f>
        <v>18:19:13.328</v>
      </c>
      <c r="C530" t="str">
        <f>"18:19:12.928"</f>
        <v>18:19:12.928</v>
      </c>
      <c r="D530" t="s">
        <v>220</v>
      </c>
      <c r="E530">
        <v>30.456354999999999</v>
      </c>
      <c r="F530" t="s">
        <v>221</v>
      </c>
      <c r="G530">
        <v>-89.765832000000003</v>
      </c>
      <c r="H530">
        <v>1600</v>
      </c>
      <c r="I530">
        <v>70</v>
      </c>
      <c r="J530">
        <v>127</v>
      </c>
      <c r="K530">
        <v>0</v>
      </c>
      <c r="L530">
        <v>1200</v>
      </c>
      <c r="M530" t="str">
        <f t="shared" si="23"/>
        <v xml:space="preserve">N35DC   </v>
      </c>
      <c r="N530">
        <v>1</v>
      </c>
      <c r="O530">
        <v>1675</v>
      </c>
    </row>
    <row r="531" spans="1:15" x14ac:dyDescent="0.25">
      <c r="A531" t="str">
        <f>"10/21/2020 18:19:05.391"</f>
        <v>10/21/2020 18:19:05.391</v>
      </c>
      <c r="B531" t="str">
        <f>"18:19:13.328"</f>
        <v>18:19:13.328</v>
      </c>
      <c r="C531" t="str">
        <f>"18:19:12.928"</f>
        <v>18:19:12.928</v>
      </c>
      <c r="D531" t="s">
        <v>220</v>
      </c>
      <c r="E531">
        <v>30.456354999999999</v>
      </c>
      <c r="F531" t="s">
        <v>221</v>
      </c>
      <c r="G531">
        <v>-89.765832000000003</v>
      </c>
      <c r="H531">
        <v>1600</v>
      </c>
      <c r="I531">
        <v>70</v>
      </c>
      <c r="J531">
        <v>127</v>
      </c>
      <c r="K531">
        <v>0</v>
      </c>
      <c r="L531">
        <v>1200</v>
      </c>
      <c r="M531" t="str">
        <f t="shared" si="23"/>
        <v xml:space="preserve">N35DC   </v>
      </c>
      <c r="N531">
        <v>1</v>
      </c>
      <c r="O531">
        <v>1675</v>
      </c>
    </row>
    <row r="532" spans="1:15" x14ac:dyDescent="0.25">
      <c r="A532" t="str">
        <f>"10/21/2020 18:19:09.209"</f>
        <v>10/21/2020 18:19:09.209</v>
      </c>
      <c r="B532" t="str">
        <f>"18:19:17.148"</f>
        <v>18:19:17.148</v>
      </c>
      <c r="C532" t="str">
        <f>"18:19:17.048"</f>
        <v>18:19:17.048</v>
      </c>
      <c r="D532" t="s">
        <v>222</v>
      </c>
      <c r="E532">
        <v>30.458608000000002</v>
      </c>
      <c r="F532" t="s">
        <v>223</v>
      </c>
      <c r="G532">
        <v>-89.764352000000002</v>
      </c>
      <c r="H532">
        <v>1600</v>
      </c>
      <c r="I532">
        <v>73</v>
      </c>
      <c r="J532">
        <v>128</v>
      </c>
      <c r="K532">
        <v>0</v>
      </c>
      <c r="L532">
        <v>1200</v>
      </c>
      <c r="M532" t="str">
        <f t="shared" si="23"/>
        <v xml:space="preserve">N35DC   </v>
      </c>
      <c r="N532">
        <v>1</v>
      </c>
      <c r="O532">
        <v>1675</v>
      </c>
    </row>
    <row r="533" spans="1:15" x14ac:dyDescent="0.25">
      <c r="A533" t="str">
        <f>"10/21/2020 18:19:09.209"</f>
        <v>10/21/2020 18:19:09.209</v>
      </c>
      <c r="B533" t="str">
        <f>"18:19:17.148"</f>
        <v>18:19:17.148</v>
      </c>
      <c r="C533" t="str">
        <f>"18:19:17.048"</f>
        <v>18:19:17.048</v>
      </c>
      <c r="D533" t="s">
        <v>222</v>
      </c>
      <c r="E533">
        <v>30.458608000000002</v>
      </c>
      <c r="F533" t="s">
        <v>223</v>
      </c>
      <c r="G533">
        <v>-89.764352000000002</v>
      </c>
      <c r="H533">
        <v>1600</v>
      </c>
      <c r="I533">
        <v>73</v>
      </c>
      <c r="J533">
        <v>128</v>
      </c>
      <c r="K533">
        <v>0</v>
      </c>
      <c r="L533">
        <v>1200</v>
      </c>
      <c r="M533" t="str">
        <f t="shared" si="23"/>
        <v xml:space="preserve">N35DC   </v>
      </c>
      <c r="N533">
        <v>1</v>
      </c>
      <c r="O533">
        <v>1675</v>
      </c>
    </row>
    <row r="534" spans="1:15" x14ac:dyDescent="0.25">
      <c r="A534" t="str">
        <f>"10/21/2020 18:19:09.209"</f>
        <v>10/21/2020 18:19:09.209</v>
      </c>
      <c r="B534" t="str">
        <f>"18:19:17.148"</f>
        <v>18:19:17.148</v>
      </c>
      <c r="C534" t="str">
        <f>"18:19:17.048"</f>
        <v>18:19:17.048</v>
      </c>
      <c r="D534" t="s">
        <v>222</v>
      </c>
      <c r="E534">
        <v>30.458608000000002</v>
      </c>
      <c r="F534" t="s">
        <v>223</v>
      </c>
      <c r="G534">
        <v>-89.764352000000002</v>
      </c>
      <c r="H534">
        <v>1600</v>
      </c>
      <c r="I534">
        <v>73</v>
      </c>
      <c r="J534">
        <v>128</v>
      </c>
      <c r="K534">
        <v>0</v>
      </c>
      <c r="L534">
        <v>1200</v>
      </c>
      <c r="M534" t="str">
        <f t="shared" si="23"/>
        <v xml:space="preserve">N35DC   </v>
      </c>
      <c r="N534">
        <v>1</v>
      </c>
      <c r="O534">
        <v>1675</v>
      </c>
    </row>
    <row r="535" spans="1:15" x14ac:dyDescent="0.25">
      <c r="A535" t="str">
        <f>"10/21/2020 18:19:09.209"</f>
        <v>10/21/2020 18:19:09.209</v>
      </c>
      <c r="B535" t="str">
        <f>"18:19:17.148"</f>
        <v>18:19:17.148</v>
      </c>
      <c r="C535" t="str">
        <f>"18:19:17.048"</f>
        <v>18:19:17.048</v>
      </c>
      <c r="D535" t="s">
        <v>222</v>
      </c>
      <c r="E535">
        <v>30.458608000000002</v>
      </c>
      <c r="F535" t="s">
        <v>223</v>
      </c>
      <c r="G535">
        <v>-89.764352000000002</v>
      </c>
      <c r="H535">
        <v>1600</v>
      </c>
      <c r="I535">
        <v>73</v>
      </c>
      <c r="J535">
        <v>128</v>
      </c>
      <c r="K535">
        <v>0</v>
      </c>
      <c r="L535">
        <v>1200</v>
      </c>
      <c r="M535" t="str">
        <f t="shared" si="23"/>
        <v xml:space="preserve">N35DC   </v>
      </c>
      <c r="N535">
        <v>1</v>
      </c>
      <c r="O535">
        <v>1675</v>
      </c>
    </row>
    <row r="536" spans="1:15" x14ac:dyDescent="0.25">
      <c r="A536" t="str">
        <f>"10/21/2020 18:19:09.209"</f>
        <v>10/21/2020 18:19:09.209</v>
      </c>
      <c r="B536" t="str">
        <f>"18:19:17.148"</f>
        <v>18:19:17.148</v>
      </c>
      <c r="C536" t="str">
        <f>"18:19:17.048"</f>
        <v>18:19:17.048</v>
      </c>
      <c r="D536" t="s">
        <v>222</v>
      </c>
      <c r="E536">
        <v>30.458608000000002</v>
      </c>
      <c r="F536" t="s">
        <v>223</v>
      </c>
      <c r="G536">
        <v>-89.764352000000002</v>
      </c>
      <c r="H536">
        <v>1600</v>
      </c>
      <c r="I536">
        <v>73</v>
      </c>
      <c r="J536">
        <v>128</v>
      </c>
      <c r="K536">
        <v>0</v>
      </c>
      <c r="L536">
        <v>1200</v>
      </c>
      <c r="M536" t="str">
        <f t="shared" si="23"/>
        <v xml:space="preserve">N35DC   </v>
      </c>
      <c r="N536">
        <v>1</v>
      </c>
      <c r="O536">
        <v>1675</v>
      </c>
    </row>
    <row r="537" spans="1:15" x14ac:dyDescent="0.25">
      <c r="A537" t="str">
        <f>"10/21/2020 18:19:10.286"</f>
        <v>10/21/2020 18:19:10.286</v>
      </c>
      <c r="B537" t="str">
        <f t="shared" ref="B537:C541" si="25">"18:19:18.219"</f>
        <v>18:19:18.219</v>
      </c>
      <c r="C537" t="str">
        <f t="shared" si="25"/>
        <v>18:19:18.219</v>
      </c>
      <c r="D537" t="s">
        <v>224</v>
      </c>
      <c r="E537">
        <v>30.459230000000002</v>
      </c>
      <c r="F537" t="s">
        <v>225</v>
      </c>
      <c r="G537">
        <v>-89.763965999999996</v>
      </c>
      <c r="H537">
        <v>1600</v>
      </c>
      <c r="I537">
        <v>73</v>
      </c>
      <c r="J537">
        <v>128</v>
      </c>
      <c r="K537">
        <v>-192</v>
      </c>
      <c r="L537">
        <v>1200</v>
      </c>
      <c r="M537" t="str">
        <f t="shared" si="23"/>
        <v xml:space="preserve">N35DC   </v>
      </c>
      <c r="N537">
        <v>1</v>
      </c>
      <c r="O537">
        <v>1675</v>
      </c>
    </row>
    <row r="538" spans="1:15" x14ac:dyDescent="0.25">
      <c r="A538" t="str">
        <f>"10/21/2020 18:19:10.286"</f>
        <v>10/21/2020 18:19:10.286</v>
      </c>
      <c r="B538" t="str">
        <f t="shared" si="25"/>
        <v>18:19:18.219</v>
      </c>
      <c r="C538" t="str">
        <f t="shared" si="25"/>
        <v>18:19:18.219</v>
      </c>
      <c r="D538" t="s">
        <v>224</v>
      </c>
      <c r="E538">
        <v>30.459230000000002</v>
      </c>
      <c r="F538" t="s">
        <v>225</v>
      </c>
      <c r="G538">
        <v>-89.763965999999996</v>
      </c>
      <c r="H538">
        <v>1600</v>
      </c>
      <c r="I538">
        <v>73</v>
      </c>
      <c r="J538">
        <v>128</v>
      </c>
      <c r="K538">
        <v>-192</v>
      </c>
      <c r="L538">
        <v>1200</v>
      </c>
      <c r="M538" t="str">
        <f t="shared" si="23"/>
        <v xml:space="preserve">N35DC   </v>
      </c>
      <c r="N538">
        <v>1</v>
      </c>
      <c r="O538">
        <v>1675</v>
      </c>
    </row>
    <row r="539" spans="1:15" x14ac:dyDescent="0.25">
      <c r="A539" t="str">
        <f>"10/21/2020 18:19:10.286"</f>
        <v>10/21/2020 18:19:10.286</v>
      </c>
      <c r="B539" t="str">
        <f t="shared" si="25"/>
        <v>18:19:18.219</v>
      </c>
      <c r="C539" t="str">
        <f t="shared" si="25"/>
        <v>18:19:18.219</v>
      </c>
      <c r="D539" t="s">
        <v>224</v>
      </c>
      <c r="E539">
        <v>30.459230000000002</v>
      </c>
      <c r="F539" t="s">
        <v>225</v>
      </c>
      <c r="G539">
        <v>-89.763965999999996</v>
      </c>
      <c r="H539">
        <v>1600</v>
      </c>
      <c r="I539">
        <v>73</v>
      </c>
      <c r="J539">
        <v>128</v>
      </c>
      <c r="K539">
        <v>-192</v>
      </c>
      <c r="L539">
        <v>1200</v>
      </c>
      <c r="M539" t="str">
        <f t="shared" si="23"/>
        <v xml:space="preserve">N35DC   </v>
      </c>
      <c r="N539">
        <v>1</v>
      </c>
      <c r="O539">
        <v>1675</v>
      </c>
    </row>
    <row r="540" spans="1:15" x14ac:dyDescent="0.25">
      <c r="A540" t="str">
        <f>"10/21/2020 18:19:10.286"</f>
        <v>10/21/2020 18:19:10.286</v>
      </c>
      <c r="B540" t="str">
        <f t="shared" si="25"/>
        <v>18:19:18.219</v>
      </c>
      <c r="C540" t="str">
        <f t="shared" si="25"/>
        <v>18:19:18.219</v>
      </c>
      <c r="D540" t="s">
        <v>224</v>
      </c>
      <c r="E540">
        <v>30.459230000000002</v>
      </c>
      <c r="F540" t="s">
        <v>225</v>
      </c>
      <c r="G540">
        <v>-89.763965999999996</v>
      </c>
      <c r="H540">
        <v>1600</v>
      </c>
      <c r="I540">
        <v>73</v>
      </c>
      <c r="J540">
        <v>128</v>
      </c>
      <c r="K540">
        <v>-192</v>
      </c>
      <c r="L540">
        <v>1200</v>
      </c>
      <c r="M540" t="str">
        <f t="shared" si="23"/>
        <v xml:space="preserve">N35DC   </v>
      </c>
      <c r="N540">
        <v>1</v>
      </c>
      <c r="O540">
        <v>1675</v>
      </c>
    </row>
    <row r="541" spans="1:15" x14ac:dyDescent="0.25">
      <c r="A541" t="str">
        <f>"10/21/2020 18:19:10.286"</f>
        <v>10/21/2020 18:19:10.286</v>
      </c>
      <c r="B541" t="str">
        <f t="shared" si="25"/>
        <v>18:19:18.219</v>
      </c>
      <c r="C541" t="str">
        <f t="shared" si="25"/>
        <v>18:19:18.219</v>
      </c>
      <c r="D541" t="s">
        <v>224</v>
      </c>
      <c r="E541">
        <v>30.459230000000002</v>
      </c>
      <c r="F541" t="s">
        <v>225</v>
      </c>
      <c r="G541">
        <v>-89.763965999999996</v>
      </c>
      <c r="H541">
        <v>1600</v>
      </c>
      <c r="I541">
        <v>73</v>
      </c>
      <c r="J541">
        <v>128</v>
      </c>
      <c r="K541">
        <v>-192</v>
      </c>
      <c r="L541">
        <v>1200</v>
      </c>
      <c r="M541" t="str">
        <f t="shared" si="23"/>
        <v xml:space="preserve">N35DC   </v>
      </c>
      <c r="N541">
        <v>1</v>
      </c>
      <c r="O541">
        <v>1675</v>
      </c>
    </row>
    <row r="542" spans="1:15" x14ac:dyDescent="0.25">
      <c r="A542" t="str">
        <f>"10/21/2020 18:19:14.507"</f>
        <v>10/21/2020 18:19:14.507</v>
      </c>
      <c r="B542" t="str">
        <f>"18:19:22.445"</f>
        <v>18:19:22.445</v>
      </c>
      <c r="C542" t="str">
        <f>"18:19:22.045"</f>
        <v>18:19:22.045</v>
      </c>
      <c r="D542" t="s">
        <v>226</v>
      </c>
      <c r="E542">
        <v>30.461739999999999</v>
      </c>
      <c r="F542" t="s">
        <v>227</v>
      </c>
      <c r="G542">
        <v>-89.762334999999993</v>
      </c>
      <c r="H542">
        <v>1600</v>
      </c>
      <c r="I542">
        <v>74</v>
      </c>
      <c r="J542">
        <v>127</v>
      </c>
      <c r="K542">
        <v>64</v>
      </c>
      <c r="L542">
        <v>1200</v>
      </c>
      <c r="M542" t="str">
        <f t="shared" si="23"/>
        <v xml:space="preserve">N35DC   </v>
      </c>
      <c r="N542">
        <v>1</v>
      </c>
      <c r="O542">
        <v>1675</v>
      </c>
    </row>
    <row r="543" spans="1:15" x14ac:dyDescent="0.25">
      <c r="A543" t="str">
        <f>"10/21/2020 18:19:14.507"</f>
        <v>10/21/2020 18:19:14.507</v>
      </c>
      <c r="B543" t="str">
        <f>"18:19:22.445"</f>
        <v>18:19:22.445</v>
      </c>
      <c r="C543" t="str">
        <f>"18:19:22.045"</f>
        <v>18:19:22.045</v>
      </c>
      <c r="D543" t="s">
        <v>226</v>
      </c>
      <c r="E543">
        <v>30.461739999999999</v>
      </c>
      <c r="F543" t="s">
        <v>227</v>
      </c>
      <c r="G543">
        <v>-89.762334999999993</v>
      </c>
      <c r="H543">
        <v>1600</v>
      </c>
      <c r="I543">
        <v>74</v>
      </c>
      <c r="J543">
        <v>127</v>
      </c>
      <c r="K543">
        <v>64</v>
      </c>
      <c r="L543">
        <v>1200</v>
      </c>
      <c r="M543" t="str">
        <f t="shared" si="23"/>
        <v xml:space="preserve">N35DC   </v>
      </c>
      <c r="N543">
        <v>1</v>
      </c>
      <c r="O543">
        <v>1675</v>
      </c>
    </row>
    <row r="544" spans="1:15" x14ac:dyDescent="0.25">
      <c r="A544" t="str">
        <f>"10/21/2020 18:19:14.507"</f>
        <v>10/21/2020 18:19:14.507</v>
      </c>
      <c r="B544" t="str">
        <f>"18:19:22.445"</f>
        <v>18:19:22.445</v>
      </c>
      <c r="C544" t="str">
        <f>"18:19:22.045"</f>
        <v>18:19:22.045</v>
      </c>
      <c r="D544" t="s">
        <v>226</v>
      </c>
      <c r="E544">
        <v>30.461739999999999</v>
      </c>
      <c r="F544" t="s">
        <v>227</v>
      </c>
      <c r="G544">
        <v>-89.762334999999993</v>
      </c>
      <c r="H544">
        <v>1600</v>
      </c>
      <c r="I544">
        <v>74</v>
      </c>
      <c r="J544">
        <v>127</v>
      </c>
      <c r="K544">
        <v>64</v>
      </c>
      <c r="L544">
        <v>1200</v>
      </c>
      <c r="M544" t="str">
        <f t="shared" si="23"/>
        <v xml:space="preserve">N35DC   </v>
      </c>
      <c r="N544">
        <v>1</v>
      </c>
      <c r="O544">
        <v>1675</v>
      </c>
    </row>
    <row r="545" spans="1:15" x14ac:dyDescent="0.25">
      <c r="A545" t="str">
        <f>"10/21/2020 18:19:14.507"</f>
        <v>10/21/2020 18:19:14.507</v>
      </c>
      <c r="B545" t="str">
        <f>"18:19:22.445"</f>
        <v>18:19:22.445</v>
      </c>
      <c r="C545" t="str">
        <f>"18:19:22.045"</f>
        <v>18:19:22.045</v>
      </c>
      <c r="D545" t="s">
        <v>226</v>
      </c>
      <c r="E545">
        <v>30.461739999999999</v>
      </c>
      <c r="F545" t="s">
        <v>227</v>
      </c>
      <c r="G545">
        <v>-89.762334999999993</v>
      </c>
      <c r="H545">
        <v>1600</v>
      </c>
      <c r="I545">
        <v>74</v>
      </c>
      <c r="J545">
        <v>127</v>
      </c>
      <c r="K545">
        <v>64</v>
      </c>
      <c r="L545">
        <v>1200</v>
      </c>
      <c r="M545" t="str">
        <f t="shared" si="23"/>
        <v xml:space="preserve">N35DC   </v>
      </c>
      <c r="N545">
        <v>1</v>
      </c>
      <c r="O545">
        <v>1675</v>
      </c>
    </row>
    <row r="546" spans="1:15" x14ac:dyDescent="0.25">
      <c r="A546" t="str">
        <f>"10/21/2020 18:19:14.507"</f>
        <v>10/21/2020 18:19:14.507</v>
      </c>
      <c r="B546" t="str">
        <f>"18:19:22.445"</f>
        <v>18:19:22.445</v>
      </c>
      <c r="C546" t="str">
        <f>"18:19:22.045"</f>
        <v>18:19:22.045</v>
      </c>
      <c r="D546" t="s">
        <v>226</v>
      </c>
      <c r="E546">
        <v>30.461739999999999</v>
      </c>
      <c r="F546" t="s">
        <v>227</v>
      </c>
      <c r="G546">
        <v>-89.762334999999993</v>
      </c>
      <c r="H546">
        <v>1600</v>
      </c>
      <c r="I546">
        <v>74</v>
      </c>
      <c r="J546">
        <v>127</v>
      </c>
      <c r="K546">
        <v>64</v>
      </c>
      <c r="L546">
        <v>1200</v>
      </c>
      <c r="M546" t="str">
        <f t="shared" si="23"/>
        <v xml:space="preserve">N35DC   </v>
      </c>
      <c r="N546">
        <v>1</v>
      </c>
      <c r="O546">
        <v>1675</v>
      </c>
    </row>
    <row r="547" spans="1:15" x14ac:dyDescent="0.25">
      <c r="A547" t="str">
        <f>"10/21/2020 18:19:17.459"</f>
        <v>10/21/2020 18:19:17.459</v>
      </c>
      <c r="B547" t="str">
        <f>"18:19:25.367"</f>
        <v>18:19:25.367</v>
      </c>
      <c r="C547" t="str">
        <f>"18:19:25.167"</f>
        <v>18:19:25.167</v>
      </c>
      <c r="D547" t="s">
        <v>228</v>
      </c>
      <c r="E547">
        <v>30.463456999999998</v>
      </c>
      <c r="F547" t="s">
        <v>229</v>
      </c>
      <c r="G547">
        <v>-89.761155000000002</v>
      </c>
      <c r="H547">
        <v>1600</v>
      </c>
      <c r="I547">
        <v>72</v>
      </c>
      <c r="J547">
        <v>127</v>
      </c>
      <c r="K547">
        <v>0</v>
      </c>
      <c r="L547">
        <v>1200</v>
      </c>
      <c r="M547" t="str">
        <f t="shared" si="23"/>
        <v xml:space="preserve">N35DC   </v>
      </c>
      <c r="N547">
        <v>1</v>
      </c>
      <c r="O547">
        <v>1675</v>
      </c>
    </row>
    <row r="548" spans="1:15" x14ac:dyDescent="0.25">
      <c r="A548" t="str">
        <f>"10/21/2020 18:19:17.459"</f>
        <v>10/21/2020 18:19:17.459</v>
      </c>
      <c r="B548" t="str">
        <f>"18:19:25.367"</f>
        <v>18:19:25.367</v>
      </c>
      <c r="C548" t="str">
        <f>"18:19:25.167"</f>
        <v>18:19:25.167</v>
      </c>
      <c r="D548" t="s">
        <v>228</v>
      </c>
      <c r="E548">
        <v>30.463456999999998</v>
      </c>
      <c r="F548" t="s">
        <v>229</v>
      </c>
      <c r="G548">
        <v>-89.761155000000002</v>
      </c>
      <c r="H548">
        <v>1600</v>
      </c>
      <c r="I548">
        <v>72</v>
      </c>
      <c r="J548">
        <v>127</v>
      </c>
      <c r="K548">
        <v>0</v>
      </c>
      <c r="L548">
        <v>1200</v>
      </c>
      <c r="M548" t="str">
        <f t="shared" si="23"/>
        <v xml:space="preserve">N35DC   </v>
      </c>
      <c r="N548">
        <v>1</v>
      </c>
      <c r="O548">
        <v>1675</v>
      </c>
    </row>
    <row r="549" spans="1:15" x14ac:dyDescent="0.25">
      <c r="A549" t="str">
        <f>"10/21/2020 18:19:17.459"</f>
        <v>10/21/2020 18:19:17.459</v>
      </c>
      <c r="B549" t="str">
        <f>"18:19:25.367"</f>
        <v>18:19:25.367</v>
      </c>
      <c r="C549" t="str">
        <f>"18:19:25.167"</f>
        <v>18:19:25.167</v>
      </c>
      <c r="D549" t="s">
        <v>228</v>
      </c>
      <c r="E549">
        <v>30.463456999999998</v>
      </c>
      <c r="F549" t="s">
        <v>229</v>
      </c>
      <c r="G549">
        <v>-89.761155000000002</v>
      </c>
      <c r="H549">
        <v>1600</v>
      </c>
      <c r="I549">
        <v>72</v>
      </c>
      <c r="J549">
        <v>127</v>
      </c>
      <c r="K549">
        <v>0</v>
      </c>
      <c r="L549">
        <v>1200</v>
      </c>
      <c r="M549" t="str">
        <f t="shared" si="23"/>
        <v xml:space="preserve">N35DC   </v>
      </c>
      <c r="N549">
        <v>1</v>
      </c>
      <c r="O549">
        <v>1675</v>
      </c>
    </row>
    <row r="550" spans="1:15" x14ac:dyDescent="0.25">
      <c r="A550" t="str">
        <f>"10/21/2020 18:19:17.459"</f>
        <v>10/21/2020 18:19:17.459</v>
      </c>
      <c r="B550" t="str">
        <f>"18:19:25.367"</f>
        <v>18:19:25.367</v>
      </c>
      <c r="C550" t="str">
        <f>"18:19:25.167"</f>
        <v>18:19:25.167</v>
      </c>
      <c r="D550" t="s">
        <v>228</v>
      </c>
      <c r="E550">
        <v>30.463456999999998</v>
      </c>
      <c r="F550" t="s">
        <v>229</v>
      </c>
      <c r="G550">
        <v>-89.761155000000002</v>
      </c>
      <c r="H550">
        <v>1600</v>
      </c>
      <c r="I550">
        <v>72</v>
      </c>
      <c r="J550">
        <v>127</v>
      </c>
      <c r="K550">
        <v>0</v>
      </c>
      <c r="L550">
        <v>1200</v>
      </c>
      <c r="M550" t="str">
        <f t="shared" si="23"/>
        <v xml:space="preserve">N35DC   </v>
      </c>
      <c r="N550">
        <v>1</v>
      </c>
      <c r="O550">
        <v>1675</v>
      </c>
    </row>
    <row r="551" spans="1:15" x14ac:dyDescent="0.25">
      <c r="A551" t="str">
        <f>"10/21/2020 18:19:17.459"</f>
        <v>10/21/2020 18:19:17.459</v>
      </c>
      <c r="B551" t="str">
        <f>"18:19:25.367"</f>
        <v>18:19:25.367</v>
      </c>
      <c r="C551" t="str">
        <f>"18:19:25.167"</f>
        <v>18:19:25.167</v>
      </c>
      <c r="D551" t="s">
        <v>228</v>
      </c>
      <c r="E551">
        <v>30.463456999999998</v>
      </c>
      <c r="F551" t="s">
        <v>229</v>
      </c>
      <c r="G551">
        <v>-89.761155000000002</v>
      </c>
      <c r="H551">
        <v>1600</v>
      </c>
      <c r="I551">
        <v>72</v>
      </c>
      <c r="J551">
        <v>127</v>
      </c>
      <c r="K551">
        <v>0</v>
      </c>
      <c r="L551">
        <v>1200</v>
      </c>
      <c r="M551" t="str">
        <f t="shared" si="23"/>
        <v xml:space="preserve">N35DC   </v>
      </c>
      <c r="N551">
        <v>1</v>
      </c>
      <c r="O551">
        <v>1675</v>
      </c>
    </row>
    <row r="552" spans="1:15" x14ac:dyDescent="0.25">
      <c r="A552" t="str">
        <f>"10/21/2020 18:19:18.453"</f>
        <v>10/21/2020 18:19:18.453</v>
      </c>
      <c r="B552" t="str">
        <f>"18:19:26.391"</f>
        <v>18:19:26.391</v>
      </c>
      <c r="C552" t="str">
        <f>"18:19:26.091"</f>
        <v>18:19:26.091</v>
      </c>
      <c r="D552" t="s">
        <v>230</v>
      </c>
      <c r="E552">
        <v>30.464079000000002</v>
      </c>
      <c r="F552" t="s">
        <v>231</v>
      </c>
      <c r="G552">
        <v>-89.760767999999999</v>
      </c>
      <c r="H552">
        <v>1600</v>
      </c>
      <c r="I552">
        <v>71</v>
      </c>
      <c r="J552">
        <v>127</v>
      </c>
      <c r="K552">
        <v>128</v>
      </c>
      <c r="L552">
        <v>1200</v>
      </c>
      <c r="M552" t="str">
        <f t="shared" si="23"/>
        <v xml:space="preserve">N35DC   </v>
      </c>
      <c r="N552">
        <v>1</v>
      </c>
      <c r="O552">
        <v>1675</v>
      </c>
    </row>
    <row r="553" spans="1:15" x14ac:dyDescent="0.25">
      <c r="A553" t="str">
        <f>"10/21/2020 18:19:18.453"</f>
        <v>10/21/2020 18:19:18.453</v>
      </c>
      <c r="B553" t="str">
        <f>"18:19:26.391"</f>
        <v>18:19:26.391</v>
      </c>
      <c r="C553" t="str">
        <f>"18:19:26.091"</f>
        <v>18:19:26.091</v>
      </c>
      <c r="D553" t="s">
        <v>230</v>
      </c>
      <c r="E553">
        <v>30.464079000000002</v>
      </c>
      <c r="F553" t="s">
        <v>231</v>
      </c>
      <c r="G553">
        <v>-89.760767999999999</v>
      </c>
      <c r="H553">
        <v>1600</v>
      </c>
      <c r="I553">
        <v>71</v>
      </c>
      <c r="J553">
        <v>127</v>
      </c>
      <c r="K553">
        <v>128</v>
      </c>
      <c r="L553">
        <v>1200</v>
      </c>
      <c r="M553" t="str">
        <f t="shared" si="23"/>
        <v xml:space="preserve">N35DC   </v>
      </c>
      <c r="N553">
        <v>1</v>
      </c>
      <c r="O553">
        <v>1675</v>
      </c>
    </row>
    <row r="554" spans="1:15" x14ac:dyDescent="0.25">
      <c r="A554" t="str">
        <f>"10/21/2020 18:19:18.453"</f>
        <v>10/21/2020 18:19:18.453</v>
      </c>
      <c r="B554" t="str">
        <f>"18:19:26.391"</f>
        <v>18:19:26.391</v>
      </c>
      <c r="C554" t="str">
        <f>"18:19:26.091"</f>
        <v>18:19:26.091</v>
      </c>
      <c r="D554" t="s">
        <v>230</v>
      </c>
      <c r="E554">
        <v>30.464079000000002</v>
      </c>
      <c r="F554" t="s">
        <v>231</v>
      </c>
      <c r="G554">
        <v>-89.760767999999999</v>
      </c>
      <c r="H554">
        <v>1600</v>
      </c>
      <c r="I554">
        <v>71</v>
      </c>
      <c r="J554">
        <v>127</v>
      </c>
      <c r="K554">
        <v>128</v>
      </c>
      <c r="L554">
        <v>1200</v>
      </c>
      <c r="M554" t="str">
        <f t="shared" si="23"/>
        <v xml:space="preserve">N35DC   </v>
      </c>
      <c r="N554">
        <v>1</v>
      </c>
      <c r="O554">
        <v>1675</v>
      </c>
    </row>
    <row r="555" spans="1:15" x14ac:dyDescent="0.25">
      <c r="A555" t="str">
        <f>"10/21/2020 18:19:18.453"</f>
        <v>10/21/2020 18:19:18.453</v>
      </c>
      <c r="B555" t="str">
        <f>"18:19:26.391"</f>
        <v>18:19:26.391</v>
      </c>
      <c r="C555" t="str">
        <f>"18:19:26.091"</f>
        <v>18:19:26.091</v>
      </c>
      <c r="D555" t="s">
        <v>230</v>
      </c>
      <c r="E555">
        <v>30.464079000000002</v>
      </c>
      <c r="F555" t="s">
        <v>231</v>
      </c>
      <c r="G555">
        <v>-89.760767999999999</v>
      </c>
      <c r="H555">
        <v>1600</v>
      </c>
      <c r="I555">
        <v>71</v>
      </c>
      <c r="J555">
        <v>127</v>
      </c>
      <c r="K555">
        <v>128</v>
      </c>
      <c r="L555">
        <v>1200</v>
      </c>
      <c r="M555" t="str">
        <f t="shared" si="23"/>
        <v xml:space="preserve">N35DC   </v>
      </c>
      <c r="N555">
        <v>1</v>
      </c>
      <c r="O555">
        <v>1675</v>
      </c>
    </row>
    <row r="556" spans="1:15" x14ac:dyDescent="0.25">
      <c r="A556" t="str">
        <f>"10/21/2020 18:19:18.453"</f>
        <v>10/21/2020 18:19:18.453</v>
      </c>
      <c r="B556" t="str">
        <f>"18:19:26.391"</f>
        <v>18:19:26.391</v>
      </c>
      <c r="C556" t="str">
        <f>"18:19:26.091"</f>
        <v>18:19:26.091</v>
      </c>
      <c r="D556" t="s">
        <v>230</v>
      </c>
      <c r="E556">
        <v>30.464079000000002</v>
      </c>
      <c r="F556" t="s">
        <v>231</v>
      </c>
      <c r="G556">
        <v>-89.760767999999999</v>
      </c>
      <c r="H556">
        <v>1600</v>
      </c>
      <c r="I556">
        <v>71</v>
      </c>
      <c r="J556">
        <v>127</v>
      </c>
      <c r="K556">
        <v>128</v>
      </c>
      <c r="L556">
        <v>1200</v>
      </c>
      <c r="M556" t="str">
        <f t="shared" si="23"/>
        <v xml:space="preserve">N35DC   </v>
      </c>
      <c r="N556">
        <v>1</v>
      </c>
      <c r="O556">
        <v>1675</v>
      </c>
    </row>
    <row r="557" spans="1:15" x14ac:dyDescent="0.25">
      <c r="A557" t="str">
        <f>"10/21/2020 18:19:19.517"</f>
        <v>10/21/2020 18:19:19.517</v>
      </c>
      <c r="B557" t="str">
        <f>"18:19:27.453"</f>
        <v>18:19:27.453</v>
      </c>
      <c r="C557" t="str">
        <f>"18:19:27.153"</f>
        <v>18:19:27.153</v>
      </c>
      <c r="D557" t="s">
        <v>232</v>
      </c>
      <c r="E557">
        <v>30.464659000000001</v>
      </c>
      <c r="F557" t="s">
        <v>233</v>
      </c>
      <c r="G557">
        <v>-89.760382000000007</v>
      </c>
      <c r="H557">
        <v>1600</v>
      </c>
      <c r="I557">
        <v>71</v>
      </c>
      <c r="J557">
        <v>128</v>
      </c>
      <c r="K557">
        <v>64</v>
      </c>
      <c r="L557">
        <v>1200</v>
      </c>
      <c r="M557" t="str">
        <f t="shared" si="23"/>
        <v xml:space="preserve">N35DC   </v>
      </c>
      <c r="N557">
        <v>1</v>
      </c>
      <c r="O557">
        <v>1675</v>
      </c>
    </row>
    <row r="558" spans="1:15" x14ac:dyDescent="0.25">
      <c r="A558" t="str">
        <f>"10/21/2020 18:19:19.517"</f>
        <v>10/21/2020 18:19:19.517</v>
      </c>
      <c r="B558" t="str">
        <f>"18:19:27.453"</f>
        <v>18:19:27.453</v>
      </c>
      <c r="C558" t="str">
        <f>"18:19:27.153"</f>
        <v>18:19:27.153</v>
      </c>
      <c r="D558" t="s">
        <v>232</v>
      </c>
      <c r="E558">
        <v>30.464659000000001</v>
      </c>
      <c r="F558" t="s">
        <v>233</v>
      </c>
      <c r="G558">
        <v>-89.760382000000007</v>
      </c>
      <c r="H558">
        <v>1600</v>
      </c>
      <c r="I558">
        <v>71</v>
      </c>
      <c r="J558">
        <v>128</v>
      </c>
      <c r="K558">
        <v>64</v>
      </c>
      <c r="L558">
        <v>1200</v>
      </c>
      <c r="M558" t="str">
        <f t="shared" si="23"/>
        <v xml:space="preserve">N35DC   </v>
      </c>
      <c r="N558">
        <v>1</v>
      </c>
      <c r="O558">
        <v>1675</v>
      </c>
    </row>
    <row r="559" spans="1:15" x14ac:dyDescent="0.25">
      <c r="A559" t="str">
        <f>"10/21/2020 18:19:19.517"</f>
        <v>10/21/2020 18:19:19.517</v>
      </c>
      <c r="B559" t="str">
        <f>"18:19:27.453"</f>
        <v>18:19:27.453</v>
      </c>
      <c r="C559" t="str">
        <f>"18:19:27.153"</f>
        <v>18:19:27.153</v>
      </c>
      <c r="D559" t="s">
        <v>232</v>
      </c>
      <c r="E559">
        <v>30.464659000000001</v>
      </c>
      <c r="F559" t="s">
        <v>233</v>
      </c>
      <c r="G559">
        <v>-89.760382000000007</v>
      </c>
      <c r="H559">
        <v>1600</v>
      </c>
      <c r="I559">
        <v>71</v>
      </c>
      <c r="J559">
        <v>128</v>
      </c>
      <c r="K559">
        <v>64</v>
      </c>
      <c r="L559">
        <v>1200</v>
      </c>
      <c r="M559" t="str">
        <f t="shared" si="23"/>
        <v xml:space="preserve">N35DC   </v>
      </c>
      <c r="N559">
        <v>1</v>
      </c>
      <c r="O559">
        <v>1675</v>
      </c>
    </row>
    <row r="560" spans="1:15" x14ac:dyDescent="0.25">
      <c r="A560" t="str">
        <f>"10/21/2020 18:19:19.517"</f>
        <v>10/21/2020 18:19:19.517</v>
      </c>
      <c r="B560" t="str">
        <f>"18:19:27.453"</f>
        <v>18:19:27.453</v>
      </c>
      <c r="C560" t="str">
        <f>"18:19:27.153"</f>
        <v>18:19:27.153</v>
      </c>
      <c r="D560" t="s">
        <v>232</v>
      </c>
      <c r="E560">
        <v>30.464659000000001</v>
      </c>
      <c r="F560" t="s">
        <v>233</v>
      </c>
      <c r="G560">
        <v>-89.760382000000007</v>
      </c>
      <c r="H560">
        <v>1600</v>
      </c>
      <c r="I560">
        <v>71</v>
      </c>
      <c r="J560">
        <v>128</v>
      </c>
      <c r="K560">
        <v>64</v>
      </c>
      <c r="L560">
        <v>1200</v>
      </c>
      <c r="M560" t="str">
        <f t="shared" si="23"/>
        <v xml:space="preserve">N35DC   </v>
      </c>
      <c r="N560">
        <v>1</v>
      </c>
      <c r="O560">
        <v>1675</v>
      </c>
    </row>
    <row r="561" spans="1:15" x14ac:dyDescent="0.25">
      <c r="A561" t="str">
        <f>"10/21/2020 18:19:19.517"</f>
        <v>10/21/2020 18:19:19.517</v>
      </c>
      <c r="B561" t="str">
        <f>"18:19:27.453"</f>
        <v>18:19:27.453</v>
      </c>
      <c r="C561" t="str">
        <f>"18:19:27.153"</f>
        <v>18:19:27.153</v>
      </c>
      <c r="D561" t="s">
        <v>232</v>
      </c>
      <c r="E561">
        <v>30.464659000000001</v>
      </c>
      <c r="F561" t="s">
        <v>233</v>
      </c>
      <c r="G561">
        <v>-89.760382000000007</v>
      </c>
      <c r="H561">
        <v>1600</v>
      </c>
      <c r="I561">
        <v>71</v>
      </c>
      <c r="J561">
        <v>128</v>
      </c>
      <c r="K561">
        <v>64</v>
      </c>
      <c r="L561">
        <v>1200</v>
      </c>
      <c r="M561" t="str">
        <f t="shared" si="23"/>
        <v xml:space="preserve">N35DC   </v>
      </c>
      <c r="N561">
        <v>1</v>
      </c>
      <c r="O561">
        <v>1675</v>
      </c>
    </row>
    <row r="562" spans="1:15" x14ac:dyDescent="0.25">
      <c r="A562" t="str">
        <f>"10/21/2020 18:19:22.544"</f>
        <v>10/21/2020 18:19:22.544</v>
      </c>
      <c r="B562" t="str">
        <f>"18:19:30.469"</f>
        <v>18:19:30.469</v>
      </c>
      <c r="C562" t="str">
        <f>"18:19:30.069"</f>
        <v>18:19:30.069</v>
      </c>
      <c r="D562" t="s">
        <v>234</v>
      </c>
      <c r="E562">
        <v>30.466504</v>
      </c>
      <c r="F562" t="s">
        <v>235</v>
      </c>
      <c r="G562">
        <v>-89.759331000000003</v>
      </c>
      <c r="H562">
        <v>1600</v>
      </c>
      <c r="I562">
        <v>62</v>
      </c>
      <c r="J562">
        <v>132</v>
      </c>
      <c r="K562">
        <v>0</v>
      </c>
      <c r="L562">
        <v>1200</v>
      </c>
      <c r="M562" t="str">
        <f t="shared" si="23"/>
        <v xml:space="preserve">N35DC   </v>
      </c>
      <c r="N562">
        <v>1</v>
      </c>
      <c r="O562">
        <v>1675</v>
      </c>
    </row>
    <row r="563" spans="1:15" x14ac:dyDescent="0.25">
      <c r="A563" t="str">
        <f>"10/21/2020 18:19:22.544"</f>
        <v>10/21/2020 18:19:22.544</v>
      </c>
      <c r="B563" t="str">
        <f>"18:19:30.469"</f>
        <v>18:19:30.469</v>
      </c>
      <c r="C563" t="str">
        <f>"18:19:30.069"</f>
        <v>18:19:30.069</v>
      </c>
      <c r="D563" t="s">
        <v>234</v>
      </c>
      <c r="E563">
        <v>30.466504</v>
      </c>
      <c r="F563" t="s">
        <v>235</v>
      </c>
      <c r="G563">
        <v>-89.759331000000003</v>
      </c>
      <c r="H563">
        <v>1600</v>
      </c>
      <c r="I563">
        <v>62</v>
      </c>
      <c r="J563">
        <v>132</v>
      </c>
      <c r="K563">
        <v>0</v>
      </c>
      <c r="L563">
        <v>1200</v>
      </c>
      <c r="M563" t="str">
        <f t="shared" si="23"/>
        <v xml:space="preserve">N35DC   </v>
      </c>
      <c r="N563">
        <v>1</v>
      </c>
      <c r="O563">
        <v>1675</v>
      </c>
    </row>
    <row r="564" spans="1:15" x14ac:dyDescent="0.25">
      <c r="A564" t="str">
        <f>"10/21/2020 18:19:22.544"</f>
        <v>10/21/2020 18:19:22.544</v>
      </c>
      <c r="B564" t="str">
        <f>"18:19:30.469"</f>
        <v>18:19:30.469</v>
      </c>
      <c r="C564" t="str">
        <f>"18:19:30.069"</f>
        <v>18:19:30.069</v>
      </c>
      <c r="D564" t="s">
        <v>234</v>
      </c>
      <c r="E564">
        <v>30.466504</v>
      </c>
      <c r="F564" t="s">
        <v>235</v>
      </c>
      <c r="G564">
        <v>-89.759331000000003</v>
      </c>
      <c r="H564">
        <v>1600</v>
      </c>
      <c r="I564">
        <v>62</v>
      </c>
      <c r="J564">
        <v>132</v>
      </c>
      <c r="K564">
        <v>0</v>
      </c>
      <c r="L564">
        <v>1200</v>
      </c>
      <c r="M564" t="str">
        <f t="shared" si="23"/>
        <v xml:space="preserve">N35DC   </v>
      </c>
      <c r="N564">
        <v>1</v>
      </c>
      <c r="O564">
        <v>1675</v>
      </c>
    </row>
    <row r="565" spans="1:15" x14ac:dyDescent="0.25">
      <c r="A565" t="str">
        <f>"10/21/2020 18:19:22.544"</f>
        <v>10/21/2020 18:19:22.544</v>
      </c>
      <c r="B565" t="str">
        <f>"18:19:30.469"</f>
        <v>18:19:30.469</v>
      </c>
      <c r="C565" t="str">
        <f>"18:19:30.069"</f>
        <v>18:19:30.069</v>
      </c>
      <c r="D565" t="s">
        <v>234</v>
      </c>
      <c r="E565">
        <v>30.466504</v>
      </c>
      <c r="F565" t="s">
        <v>235</v>
      </c>
      <c r="G565">
        <v>-89.759331000000003</v>
      </c>
      <c r="H565">
        <v>1600</v>
      </c>
      <c r="I565">
        <v>62</v>
      </c>
      <c r="J565">
        <v>132</v>
      </c>
      <c r="K565">
        <v>0</v>
      </c>
      <c r="L565">
        <v>1200</v>
      </c>
      <c r="M565" t="str">
        <f t="shared" si="23"/>
        <v xml:space="preserve">N35DC   </v>
      </c>
      <c r="N565">
        <v>1</v>
      </c>
      <c r="O565">
        <v>1675</v>
      </c>
    </row>
    <row r="566" spans="1:15" x14ac:dyDescent="0.25">
      <c r="A566" t="str">
        <f>"10/21/2020 18:19:22.544"</f>
        <v>10/21/2020 18:19:22.544</v>
      </c>
      <c r="B566" t="str">
        <f>"18:19:30.469"</f>
        <v>18:19:30.469</v>
      </c>
      <c r="C566" t="str">
        <f>"18:19:30.069"</f>
        <v>18:19:30.069</v>
      </c>
      <c r="D566" t="s">
        <v>234</v>
      </c>
      <c r="E566">
        <v>30.466504</v>
      </c>
      <c r="F566" t="s">
        <v>235</v>
      </c>
      <c r="G566">
        <v>-89.759331000000003</v>
      </c>
      <c r="H566">
        <v>1600</v>
      </c>
      <c r="I566">
        <v>62</v>
      </c>
      <c r="J566">
        <v>132</v>
      </c>
      <c r="K566">
        <v>0</v>
      </c>
      <c r="L566">
        <v>1200</v>
      </c>
      <c r="M566" t="str">
        <f t="shared" si="23"/>
        <v xml:space="preserve">N35DC   </v>
      </c>
      <c r="N566">
        <v>1</v>
      </c>
      <c r="O566">
        <v>1675</v>
      </c>
    </row>
    <row r="567" spans="1:15" x14ac:dyDescent="0.25">
      <c r="A567" t="str">
        <f>"10/21/2020 18:19:23.508"</f>
        <v>10/21/2020 18:19:23.508</v>
      </c>
      <c r="B567" t="str">
        <f t="shared" ref="B567:C571" si="26">"18:19:31.445"</f>
        <v>18:19:31.445</v>
      </c>
      <c r="C567" t="str">
        <f t="shared" si="26"/>
        <v>18:19:31.445</v>
      </c>
      <c r="D567" t="s">
        <v>236</v>
      </c>
      <c r="E567">
        <v>30.467126</v>
      </c>
      <c r="F567" t="s">
        <v>237</v>
      </c>
      <c r="G567">
        <v>-89.759009000000006</v>
      </c>
      <c r="H567">
        <v>1600</v>
      </c>
      <c r="I567">
        <v>56</v>
      </c>
      <c r="J567">
        <v>135</v>
      </c>
      <c r="K567">
        <v>-128</v>
      </c>
      <c r="L567">
        <v>1200</v>
      </c>
      <c r="M567" t="str">
        <f t="shared" si="23"/>
        <v xml:space="preserve">N35DC   </v>
      </c>
      <c r="N567">
        <v>1</v>
      </c>
      <c r="O567">
        <v>1675</v>
      </c>
    </row>
    <row r="568" spans="1:15" x14ac:dyDescent="0.25">
      <c r="A568" t="str">
        <f>"10/21/2020 18:19:23.508"</f>
        <v>10/21/2020 18:19:23.508</v>
      </c>
      <c r="B568" t="str">
        <f t="shared" si="26"/>
        <v>18:19:31.445</v>
      </c>
      <c r="C568" t="str">
        <f t="shared" si="26"/>
        <v>18:19:31.445</v>
      </c>
      <c r="D568" t="s">
        <v>236</v>
      </c>
      <c r="E568">
        <v>30.467126</v>
      </c>
      <c r="F568" t="s">
        <v>237</v>
      </c>
      <c r="G568">
        <v>-89.759009000000006</v>
      </c>
      <c r="H568">
        <v>1600</v>
      </c>
      <c r="I568">
        <v>56</v>
      </c>
      <c r="J568">
        <v>135</v>
      </c>
      <c r="K568">
        <v>-128</v>
      </c>
      <c r="L568">
        <v>1200</v>
      </c>
      <c r="M568" t="str">
        <f t="shared" si="23"/>
        <v xml:space="preserve">N35DC   </v>
      </c>
      <c r="N568">
        <v>1</v>
      </c>
      <c r="O568">
        <v>1675</v>
      </c>
    </row>
    <row r="569" spans="1:15" x14ac:dyDescent="0.25">
      <c r="A569" t="str">
        <f>"10/21/2020 18:19:23.508"</f>
        <v>10/21/2020 18:19:23.508</v>
      </c>
      <c r="B569" t="str">
        <f t="shared" si="26"/>
        <v>18:19:31.445</v>
      </c>
      <c r="C569" t="str">
        <f t="shared" si="26"/>
        <v>18:19:31.445</v>
      </c>
      <c r="D569" t="s">
        <v>236</v>
      </c>
      <c r="E569">
        <v>30.467126</v>
      </c>
      <c r="F569" t="s">
        <v>237</v>
      </c>
      <c r="G569">
        <v>-89.759009000000006</v>
      </c>
      <c r="H569">
        <v>1600</v>
      </c>
      <c r="I569">
        <v>56</v>
      </c>
      <c r="J569">
        <v>135</v>
      </c>
      <c r="K569">
        <v>-128</v>
      </c>
      <c r="L569">
        <v>1200</v>
      </c>
      <c r="M569" t="str">
        <f t="shared" si="23"/>
        <v xml:space="preserve">N35DC   </v>
      </c>
      <c r="N569">
        <v>1</v>
      </c>
      <c r="O569">
        <v>1675</v>
      </c>
    </row>
    <row r="570" spans="1:15" x14ac:dyDescent="0.25">
      <c r="A570" t="str">
        <f>"10/21/2020 18:19:23.508"</f>
        <v>10/21/2020 18:19:23.508</v>
      </c>
      <c r="B570" t="str">
        <f t="shared" si="26"/>
        <v>18:19:31.445</v>
      </c>
      <c r="C570" t="str">
        <f t="shared" si="26"/>
        <v>18:19:31.445</v>
      </c>
      <c r="D570" t="s">
        <v>236</v>
      </c>
      <c r="E570">
        <v>30.467126</v>
      </c>
      <c r="F570" t="s">
        <v>237</v>
      </c>
      <c r="G570">
        <v>-89.759009000000006</v>
      </c>
      <c r="H570">
        <v>1600</v>
      </c>
      <c r="I570">
        <v>56</v>
      </c>
      <c r="J570">
        <v>135</v>
      </c>
      <c r="K570">
        <v>-128</v>
      </c>
      <c r="L570">
        <v>1200</v>
      </c>
      <c r="M570" t="str">
        <f t="shared" si="23"/>
        <v xml:space="preserve">N35DC   </v>
      </c>
      <c r="N570">
        <v>1</v>
      </c>
      <c r="O570">
        <v>1675</v>
      </c>
    </row>
    <row r="571" spans="1:15" x14ac:dyDescent="0.25">
      <c r="A571" t="str">
        <f>"10/21/2020 18:19:23.508"</f>
        <v>10/21/2020 18:19:23.508</v>
      </c>
      <c r="B571" t="str">
        <f t="shared" si="26"/>
        <v>18:19:31.445</v>
      </c>
      <c r="C571" t="str">
        <f t="shared" si="26"/>
        <v>18:19:31.445</v>
      </c>
      <c r="D571" t="s">
        <v>236</v>
      </c>
      <c r="E571">
        <v>30.467126</v>
      </c>
      <c r="F571" t="s">
        <v>237</v>
      </c>
      <c r="G571">
        <v>-89.759009000000006</v>
      </c>
      <c r="H571">
        <v>1600</v>
      </c>
      <c r="I571">
        <v>56</v>
      </c>
      <c r="J571">
        <v>135</v>
      </c>
      <c r="K571">
        <v>-128</v>
      </c>
      <c r="L571">
        <v>1200</v>
      </c>
      <c r="M571" t="str">
        <f t="shared" si="23"/>
        <v xml:space="preserve">N35DC   </v>
      </c>
      <c r="N571">
        <v>1</v>
      </c>
      <c r="O571">
        <v>1675</v>
      </c>
    </row>
    <row r="572" spans="1:15" x14ac:dyDescent="0.25">
      <c r="A572" t="str">
        <f>"10/21/2020 18:19:25.482"</f>
        <v>10/21/2020 18:19:25.482</v>
      </c>
      <c r="B572" t="str">
        <f>"18:19:33.406"</f>
        <v>18:19:33.406</v>
      </c>
      <c r="C572" t="str">
        <f>"18:19:33.006"</f>
        <v>18:19:33.006</v>
      </c>
      <c r="D572" t="s">
        <v>238</v>
      </c>
      <c r="E572">
        <v>30.468392000000001</v>
      </c>
      <c r="F572" t="s">
        <v>239</v>
      </c>
      <c r="G572">
        <v>-89.758471999999998</v>
      </c>
      <c r="H572">
        <v>1600</v>
      </c>
      <c r="I572">
        <v>49</v>
      </c>
      <c r="J572">
        <v>139</v>
      </c>
      <c r="K572">
        <v>-192</v>
      </c>
      <c r="L572">
        <v>1200</v>
      </c>
      <c r="M572" t="str">
        <f t="shared" si="23"/>
        <v xml:space="preserve">N35DC   </v>
      </c>
      <c r="N572">
        <v>1</v>
      </c>
      <c r="O572">
        <v>1675</v>
      </c>
    </row>
    <row r="573" spans="1:15" x14ac:dyDescent="0.25">
      <c r="A573" t="str">
        <f>"10/21/2020 18:19:25.482"</f>
        <v>10/21/2020 18:19:25.482</v>
      </c>
      <c r="B573" t="str">
        <f>"18:19:33.406"</f>
        <v>18:19:33.406</v>
      </c>
      <c r="C573" t="str">
        <f>"18:19:33.006"</f>
        <v>18:19:33.006</v>
      </c>
      <c r="D573" t="s">
        <v>238</v>
      </c>
      <c r="E573">
        <v>30.468392000000001</v>
      </c>
      <c r="F573" t="s">
        <v>239</v>
      </c>
      <c r="G573">
        <v>-89.758471999999998</v>
      </c>
      <c r="H573">
        <v>1600</v>
      </c>
      <c r="I573">
        <v>49</v>
      </c>
      <c r="J573">
        <v>139</v>
      </c>
      <c r="K573">
        <v>-192</v>
      </c>
      <c r="L573">
        <v>1200</v>
      </c>
      <c r="M573" t="str">
        <f t="shared" si="23"/>
        <v xml:space="preserve">N35DC   </v>
      </c>
      <c r="N573">
        <v>1</v>
      </c>
      <c r="O573">
        <v>1675</v>
      </c>
    </row>
    <row r="574" spans="1:15" x14ac:dyDescent="0.25">
      <c r="A574" t="str">
        <f>"10/21/2020 18:19:25.482"</f>
        <v>10/21/2020 18:19:25.482</v>
      </c>
      <c r="B574" t="str">
        <f>"18:19:33.406"</f>
        <v>18:19:33.406</v>
      </c>
      <c r="C574" t="str">
        <f>"18:19:33.006"</f>
        <v>18:19:33.006</v>
      </c>
      <c r="D574" t="s">
        <v>238</v>
      </c>
      <c r="E574">
        <v>30.468392000000001</v>
      </c>
      <c r="F574" t="s">
        <v>239</v>
      </c>
      <c r="G574">
        <v>-89.758471999999998</v>
      </c>
      <c r="H574">
        <v>1600</v>
      </c>
      <c r="I574">
        <v>49</v>
      </c>
      <c r="J574">
        <v>139</v>
      </c>
      <c r="K574">
        <v>-192</v>
      </c>
      <c r="L574">
        <v>1200</v>
      </c>
      <c r="M574" t="str">
        <f t="shared" si="23"/>
        <v xml:space="preserve">N35DC   </v>
      </c>
      <c r="N574">
        <v>1</v>
      </c>
      <c r="O574">
        <v>1675</v>
      </c>
    </row>
    <row r="575" spans="1:15" x14ac:dyDescent="0.25">
      <c r="A575" t="str">
        <f>"10/21/2020 18:19:25.482"</f>
        <v>10/21/2020 18:19:25.482</v>
      </c>
      <c r="B575" t="str">
        <f>"18:19:33.406"</f>
        <v>18:19:33.406</v>
      </c>
      <c r="C575" t="str">
        <f>"18:19:33.006"</f>
        <v>18:19:33.006</v>
      </c>
      <c r="D575" t="s">
        <v>238</v>
      </c>
      <c r="E575">
        <v>30.468392000000001</v>
      </c>
      <c r="F575" t="s">
        <v>239</v>
      </c>
      <c r="G575">
        <v>-89.758471999999998</v>
      </c>
      <c r="H575">
        <v>1600</v>
      </c>
      <c r="I575">
        <v>49</v>
      </c>
      <c r="J575">
        <v>139</v>
      </c>
      <c r="K575">
        <v>-192</v>
      </c>
      <c r="L575">
        <v>1200</v>
      </c>
      <c r="M575" t="str">
        <f t="shared" si="23"/>
        <v xml:space="preserve">N35DC   </v>
      </c>
      <c r="N575">
        <v>1</v>
      </c>
      <c r="O575">
        <v>1675</v>
      </c>
    </row>
    <row r="576" spans="1:15" x14ac:dyDescent="0.25">
      <c r="A576" t="str">
        <f>"10/21/2020 18:19:25.482"</f>
        <v>10/21/2020 18:19:25.482</v>
      </c>
      <c r="B576" t="str">
        <f>"18:19:33.406"</f>
        <v>18:19:33.406</v>
      </c>
      <c r="C576" t="str">
        <f>"18:19:33.006"</f>
        <v>18:19:33.006</v>
      </c>
      <c r="D576" t="s">
        <v>238</v>
      </c>
      <c r="E576">
        <v>30.468392000000001</v>
      </c>
      <c r="F576" t="s">
        <v>239</v>
      </c>
      <c r="G576">
        <v>-89.758471999999998</v>
      </c>
      <c r="H576">
        <v>1600</v>
      </c>
      <c r="I576">
        <v>49</v>
      </c>
      <c r="J576">
        <v>139</v>
      </c>
      <c r="K576">
        <v>-192</v>
      </c>
      <c r="L576">
        <v>1200</v>
      </c>
      <c r="M576" t="str">
        <f t="shared" si="23"/>
        <v xml:space="preserve">N35DC   </v>
      </c>
      <c r="N576">
        <v>1</v>
      </c>
      <c r="O576">
        <v>1675</v>
      </c>
    </row>
    <row r="577" spans="1:15" x14ac:dyDescent="0.25">
      <c r="A577" t="str">
        <f>"10/21/2020 18:19:26.423"</f>
        <v>10/21/2020 18:19:26.423</v>
      </c>
      <c r="B577" t="str">
        <f>"18:19:34.367"</f>
        <v>18:19:34.367</v>
      </c>
      <c r="C577" t="str">
        <f>"18:19:34.167"</f>
        <v>18:19:34.167</v>
      </c>
      <c r="D577" t="s">
        <v>240</v>
      </c>
      <c r="E577">
        <v>30.468993000000001</v>
      </c>
      <c r="F577" t="s">
        <v>241</v>
      </c>
      <c r="G577">
        <v>-89.758235999999997</v>
      </c>
      <c r="H577">
        <v>1600</v>
      </c>
      <c r="I577">
        <v>44</v>
      </c>
      <c r="J577">
        <v>141</v>
      </c>
      <c r="K577">
        <v>-256</v>
      </c>
      <c r="L577">
        <v>1200</v>
      </c>
      <c r="M577" t="str">
        <f t="shared" si="23"/>
        <v xml:space="preserve">N35DC   </v>
      </c>
      <c r="N577">
        <v>1</v>
      </c>
      <c r="O577">
        <v>1675</v>
      </c>
    </row>
    <row r="578" spans="1:15" x14ac:dyDescent="0.25">
      <c r="A578" t="str">
        <f>"10/21/2020 18:19:26.423"</f>
        <v>10/21/2020 18:19:26.423</v>
      </c>
      <c r="B578" t="str">
        <f>"18:19:34.367"</f>
        <v>18:19:34.367</v>
      </c>
      <c r="C578" t="str">
        <f>"18:19:34.167"</f>
        <v>18:19:34.167</v>
      </c>
      <c r="D578" t="s">
        <v>240</v>
      </c>
      <c r="E578">
        <v>30.468993000000001</v>
      </c>
      <c r="F578" t="s">
        <v>241</v>
      </c>
      <c r="G578">
        <v>-89.758235999999997</v>
      </c>
      <c r="H578">
        <v>1600</v>
      </c>
      <c r="I578">
        <v>44</v>
      </c>
      <c r="J578">
        <v>141</v>
      </c>
      <c r="K578">
        <v>-256</v>
      </c>
      <c r="L578">
        <v>1200</v>
      </c>
      <c r="M578" t="str">
        <f t="shared" si="23"/>
        <v xml:space="preserve">N35DC   </v>
      </c>
      <c r="N578">
        <v>1</v>
      </c>
      <c r="O578">
        <v>1675</v>
      </c>
    </row>
    <row r="579" spans="1:15" x14ac:dyDescent="0.25">
      <c r="A579" t="str">
        <f>"10/21/2020 18:19:26.423"</f>
        <v>10/21/2020 18:19:26.423</v>
      </c>
      <c r="B579" t="str">
        <f>"18:19:34.367"</f>
        <v>18:19:34.367</v>
      </c>
      <c r="C579" t="str">
        <f>"18:19:34.167"</f>
        <v>18:19:34.167</v>
      </c>
      <c r="D579" t="s">
        <v>240</v>
      </c>
      <c r="E579">
        <v>30.468993000000001</v>
      </c>
      <c r="F579" t="s">
        <v>241</v>
      </c>
      <c r="G579">
        <v>-89.758235999999997</v>
      </c>
      <c r="H579">
        <v>1600</v>
      </c>
      <c r="I579">
        <v>44</v>
      </c>
      <c r="J579">
        <v>141</v>
      </c>
      <c r="K579">
        <v>-256</v>
      </c>
      <c r="L579">
        <v>1200</v>
      </c>
      <c r="M579" t="str">
        <f t="shared" si="23"/>
        <v xml:space="preserve">N35DC   </v>
      </c>
      <c r="N579">
        <v>1</v>
      </c>
      <c r="O579">
        <v>1675</v>
      </c>
    </row>
    <row r="580" spans="1:15" x14ac:dyDescent="0.25">
      <c r="A580" t="str">
        <f>"10/21/2020 18:19:26.423"</f>
        <v>10/21/2020 18:19:26.423</v>
      </c>
      <c r="B580" t="str">
        <f>"18:19:34.367"</f>
        <v>18:19:34.367</v>
      </c>
      <c r="C580" t="str">
        <f>"18:19:34.167"</f>
        <v>18:19:34.167</v>
      </c>
      <c r="D580" t="s">
        <v>240</v>
      </c>
      <c r="E580">
        <v>30.468993000000001</v>
      </c>
      <c r="F580" t="s">
        <v>241</v>
      </c>
      <c r="G580">
        <v>-89.758235999999997</v>
      </c>
      <c r="H580">
        <v>1600</v>
      </c>
      <c r="I580">
        <v>44</v>
      </c>
      <c r="J580">
        <v>141</v>
      </c>
      <c r="K580">
        <v>-256</v>
      </c>
      <c r="L580">
        <v>1200</v>
      </c>
      <c r="M580" t="str">
        <f t="shared" si="23"/>
        <v xml:space="preserve">N35DC   </v>
      </c>
      <c r="N580">
        <v>1</v>
      </c>
      <c r="O580">
        <v>1675</v>
      </c>
    </row>
    <row r="581" spans="1:15" x14ac:dyDescent="0.25">
      <c r="A581" t="str">
        <f>"10/21/2020 18:19:26.423"</f>
        <v>10/21/2020 18:19:26.423</v>
      </c>
      <c r="B581" t="str">
        <f>"18:19:34.367"</f>
        <v>18:19:34.367</v>
      </c>
      <c r="C581" t="str">
        <f>"18:19:34.167"</f>
        <v>18:19:34.167</v>
      </c>
      <c r="D581" t="s">
        <v>240</v>
      </c>
      <c r="E581">
        <v>30.468993000000001</v>
      </c>
      <c r="F581" t="s">
        <v>241</v>
      </c>
      <c r="G581">
        <v>-89.758235999999997</v>
      </c>
      <c r="H581">
        <v>1600</v>
      </c>
      <c r="I581">
        <v>44</v>
      </c>
      <c r="J581">
        <v>141</v>
      </c>
      <c r="K581">
        <v>-256</v>
      </c>
      <c r="L581">
        <v>1200</v>
      </c>
      <c r="M581" t="str">
        <f t="shared" si="23"/>
        <v xml:space="preserve">N35DC   </v>
      </c>
      <c r="N581">
        <v>1</v>
      </c>
      <c r="O581">
        <v>1675</v>
      </c>
    </row>
    <row r="582" spans="1:15" x14ac:dyDescent="0.25">
      <c r="A582" t="str">
        <f>"10/21/2020 18:19:29.627"</f>
        <v>10/21/2020 18:19:29.627</v>
      </c>
      <c r="B582" t="str">
        <f t="shared" ref="B582:C586" si="27">"18:19:37.547"</f>
        <v>18:19:37.547</v>
      </c>
      <c r="C582" t="str">
        <f t="shared" si="27"/>
        <v>18:19:37.547</v>
      </c>
      <c r="D582" t="s">
        <v>242</v>
      </c>
      <c r="E582">
        <v>30.471139000000001</v>
      </c>
      <c r="F582" t="s">
        <v>243</v>
      </c>
      <c r="G582">
        <v>-89.757743000000005</v>
      </c>
      <c r="H582">
        <v>1600</v>
      </c>
      <c r="I582">
        <v>23</v>
      </c>
      <c r="J582">
        <v>147</v>
      </c>
      <c r="K582">
        <v>-320</v>
      </c>
      <c r="L582">
        <v>1200</v>
      </c>
      <c r="M582" t="str">
        <f t="shared" si="23"/>
        <v xml:space="preserve">N35DC   </v>
      </c>
      <c r="N582">
        <v>1</v>
      </c>
      <c r="O582">
        <v>1650</v>
      </c>
    </row>
    <row r="583" spans="1:15" x14ac:dyDescent="0.25">
      <c r="A583" t="str">
        <f>"10/21/2020 18:19:29.627"</f>
        <v>10/21/2020 18:19:29.627</v>
      </c>
      <c r="B583" t="str">
        <f t="shared" si="27"/>
        <v>18:19:37.547</v>
      </c>
      <c r="C583" t="str">
        <f t="shared" si="27"/>
        <v>18:19:37.547</v>
      </c>
      <c r="D583" t="s">
        <v>242</v>
      </c>
      <c r="E583">
        <v>30.471139000000001</v>
      </c>
      <c r="F583" t="s">
        <v>243</v>
      </c>
      <c r="G583">
        <v>-89.757743000000005</v>
      </c>
      <c r="H583">
        <v>1600</v>
      </c>
      <c r="I583">
        <v>23</v>
      </c>
      <c r="J583">
        <v>147</v>
      </c>
      <c r="K583">
        <v>-320</v>
      </c>
      <c r="L583">
        <v>1200</v>
      </c>
      <c r="M583" t="str">
        <f t="shared" ref="M583:M646" si="28">"N35DC   "</f>
        <v xml:space="preserve">N35DC   </v>
      </c>
      <c r="N583">
        <v>1</v>
      </c>
      <c r="O583">
        <v>1650</v>
      </c>
    </row>
    <row r="584" spans="1:15" x14ac:dyDescent="0.25">
      <c r="A584" t="str">
        <f>"10/21/2020 18:19:29.627"</f>
        <v>10/21/2020 18:19:29.627</v>
      </c>
      <c r="B584" t="str">
        <f t="shared" si="27"/>
        <v>18:19:37.547</v>
      </c>
      <c r="C584" t="str">
        <f t="shared" si="27"/>
        <v>18:19:37.547</v>
      </c>
      <c r="D584" t="s">
        <v>242</v>
      </c>
      <c r="E584">
        <v>30.471139000000001</v>
      </c>
      <c r="F584" t="s">
        <v>243</v>
      </c>
      <c r="G584">
        <v>-89.757743000000005</v>
      </c>
      <c r="H584">
        <v>1600</v>
      </c>
      <c r="I584">
        <v>23</v>
      </c>
      <c r="J584">
        <v>147</v>
      </c>
      <c r="K584">
        <v>-320</v>
      </c>
      <c r="L584">
        <v>1200</v>
      </c>
      <c r="M584" t="str">
        <f t="shared" si="28"/>
        <v xml:space="preserve">N35DC   </v>
      </c>
      <c r="N584">
        <v>1</v>
      </c>
      <c r="O584">
        <v>1650</v>
      </c>
    </row>
    <row r="585" spans="1:15" x14ac:dyDescent="0.25">
      <c r="A585" t="str">
        <f>"10/21/2020 18:19:29.627"</f>
        <v>10/21/2020 18:19:29.627</v>
      </c>
      <c r="B585" t="str">
        <f t="shared" si="27"/>
        <v>18:19:37.547</v>
      </c>
      <c r="C585" t="str">
        <f t="shared" si="27"/>
        <v>18:19:37.547</v>
      </c>
      <c r="D585" t="s">
        <v>242</v>
      </c>
      <c r="E585">
        <v>30.471139000000001</v>
      </c>
      <c r="F585" t="s">
        <v>243</v>
      </c>
      <c r="G585">
        <v>-89.757743000000005</v>
      </c>
      <c r="H585">
        <v>1600</v>
      </c>
      <c r="I585">
        <v>23</v>
      </c>
      <c r="J585">
        <v>147</v>
      </c>
      <c r="K585">
        <v>-320</v>
      </c>
      <c r="L585">
        <v>1200</v>
      </c>
      <c r="M585" t="str">
        <f t="shared" si="28"/>
        <v xml:space="preserve">N35DC   </v>
      </c>
      <c r="N585">
        <v>1</v>
      </c>
      <c r="O585">
        <v>1650</v>
      </c>
    </row>
    <row r="586" spans="1:15" x14ac:dyDescent="0.25">
      <c r="A586" t="str">
        <f>"10/21/2020 18:19:29.627"</f>
        <v>10/21/2020 18:19:29.627</v>
      </c>
      <c r="B586" t="str">
        <f t="shared" si="27"/>
        <v>18:19:37.547</v>
      </c>
      <c r="C586" t="str">
        <f t="shared" si="27"/>
        <v>18:19:37.547</v>
      </c>
      <c r="D586" t="s">
        <v>242</v>
      </c>
      <c r="E586">
        <v>30.471139000000001</v>
      </c>
      <c r="F586" t="s">
        <v>243</v>
      </c>
      <c r="G586">
        <v>-89.757743000000005</v>
      </c>
      <c r="H586">
        <v>1600</v>
      </c>
      <c r="I586">
        <v>23</v>
      </c>
      <c r="J586">
        <v>147</v>
      </c>
      <c r="K586">
        <v>-320</v>
      </c>
      <c r="L586">
        <v>1200</v>
      </c>
      <c r="M586" t="str">
        <f t="shared" si="28"/>
        <v xml:space="preserve">N35DC   </v>
      </c>
      <c r="N586">
        <v>1</v>
      </c>
      <c r="O586">
        <v>1650</v>
      </c>
    </row>
    <row r="587" spans="1:15" x14ac:dyDescent="0.25">
      <c r="A587" t="str">
        <f>"10/21/2020 18:19:30.556"</f>
        <v>10/21/2020 18:19:30.556</v>
      </c>
      <c r="B587" t="str">
        <f t="shared" ref="B587:C591" si="29">"18:19:38.477"</f>
        <v>18:19:38.477</v>
      </c>
      <c r="C587" t="str">
        <f t="shared" si="29"/>
        <v>18:19:38.477</v>
      </c>
      <c r="D587" t="s">
        <v>244</v>
      </c>
      <c r="E587">
        <v>30.471826</v>
      </c>
      <c r="F587" t="s">
        <v>245</v>
      </c>
      <c r="G587">
        <v>-89.757656999999995</v>
      </c>
      <c r="H587">
        <v>1600</v>
      </c>
      <c r="I587">
        <v>16</v>
      </c>
      <c r="J587">
        <v>149</v>
      </c>
      <c r="K587">
        <v>-256</v>
      </c>
      <c r="L587">
        <v>1200</v>
      </c>
      <c r="M587" t="str">
        <f t="shared" si="28"/>
        <v xml:space="preserve">N35DC   </v>
      </c>
      <c r="N587">
        <v>1</v>
      </c>
      <c r="O587">
        <v>1650</v>
      </c>
    </row>
    <row r="588" spans="1:15" x14ac:dyDescent="0.25">
      <c r="A588" t="str">
        <f>"10/21/2020 18:19:30.556"</f>
        <v>10/21/2020 18:19:30.556</v>
      </c>
      <c r="B588" t="str">
        <f t="shared" si="29"/>
        <v>18:19:38.477</v>
      </c>
      <c r="C588" t="str">
        <f t="shared" si="29"/>
        <v>18:19:38.477</v>
      </c>
      <c r="D588" t="s">
        <v>244</v>
      </c>
      <c r="E588">
        <v>30.471826</v>
      </c>
      <c r="F588" t="s">
        <v>245</v>
      </c>
      <c r="G588">
        <v>-89.757656999999995</v>
      </c>
      <c r="H588">
        <v>1600</v>
      </c>
      <c r="I588">
        <v>16</v>
      </c>
      <c r="J588">
        <v>149</v>
      </c>
      <c r="K588">
        <v>-256</v>
      </c>
      <c r="L588">
        <v>1200</v>
      </c>
      <c r="M588" t="str">
        <f t="shared" si="28"/>
        <v xml:space="preserve">N35DC   </v>
      </c>
      <c r="N588">
        <v>1</v>
      </c>
      <c r="O588">
        <v>1650</v>
      </c>
    </row>
    <row r="589" spans="1:15" x14ac:dyDescent="0.25">
      <c r="A589" t="str">
        <f>"10/21/2020 18:19:30.556"</f>
        <v>10/21/2020 18:19:30.556</v>
      </c>
      <c r="B589" t="str">
        <f t="shared" si="29"/>
        <v>18:19:38.477</v>
      </c>
      <c r="C589" t="str">
        <f t="shared" si="29"/>
        <v>18:19:38.477</v>
      </c>
      <c r="D589" t="s">
        <v>244</v>
      </c>
      <c r="E589">
        <v>30.471826</v>
      </c>
      <c r="F589" t="s">
        <v>245</v>
      </c>
      <c r="G589">
        <v>-89.757656999999995</v>
      </c>
      <c r="H589">
        <v>1600</v>
      </c>
      <c r="I589">
        <v>16</v>
      </c>
      <c r="J589">
        <v>149</v>
      </c>
      <c r="K589">
        <v>-256</v>
      </c>
      <c r="L589">
        <v>1200</v>
      </c>
      <c r="M589" t="str">
        <f t="shared" si="28"/>
        <v xml:space="preserve">N35DC   </v>
      </c>
      <c r="N589">
        <v>1</v>
      </c>
      <c r="O589">
        <v>1650</v>
      </c>
    </row>
    <row r="590" spans="1:15" x14ac:dyDescent="0.25">
      <c r="A590" t="str">
        <f>"10/21/2020 18:19:30.556"</f>
        <v>10/21/2020 18:19:30.556</v>
      </c>
      <c r="B590" t="str">
        <f t="shared" si="29"/>
        <v>18:19:38.477</v>
      </c>
      <c r="C590" t="str">
        <f t="shared" si="29"/>
        <v>18:19:38.477</v>
      </c>
      <c r="D590" t="s">
        <v>244</v>
      </c>
      <c r="E590">
        <v>30.471826</v>
      </c>
      <c r="F590" t="s">
        <v>245</v>
      </c>
      <c r="G590">
        <v>-89.757656999999995</v>
      </c>
      <c r="H590">
        <v>1600</v>
      </c>
      <c r="I590">
        <v>16</v>
      </c>
      <c r="J590">
        <v>149</v>
      </c>
      <c r="K590">
        <v>-256</v>
      </c>
      <c r="L590">
        <v>1200</v>
      </c>
      <c r="M590" t="str">
        <f t="shared" si="28"/>
        <v xml:space="preserve">N35DC   </v>
      </c>
      <c r="N590">
        <v>1</v>
      </c>
      <c r="O590">
        <v>1650</v>
      </c>
    </row>
    <row r="591" spans="1:15" x14ac:dyDescent="0.25">
      <c r="A591" t="str">
        <f>"10/21/2020 18:19:30.556"</f>
        <v>10/21/2020 18:19:30.556</v>
      </c>
      <c r="B591" t="str">
        <f t="shared" si="29"/>
        <v>18:19:38.477</v>
      </c>
      <c r="C591" t="str">
        <f t="shared" si="29"/>
        <v>18:19:38.477</v>
      </c>
      <c r="D591" t="s">
        <v>244</v>
      </c>
      <c r="E591">
        <v>30.471826</v>
      </c>
      <c r="F591" t="s">
        <v>245</v>
      </c>
      <c r="G591">
        <v>-89.757656999999995</v>
      </c>
      <c r="H591">
        <v>1600</v>
      </c>
      <c r="I591">
        <v>16</v>
      </c>
      <c r="J591">
        <v>149</v>
      </c>
      <c r="K591">
        <v>-256</v>
      </c>
      <c r="L591">
        <v>1200</v>
      </c>
      <c r="M591" t="str">
        <f t="shared" si="28"/>
        <v xml:space="preserve">N35DC   </v>
      </c>
      <c r="N591">
        <v>1</v>
      </c>
      <c r="O591">
        <v>1650</v>
      </c>
    </row>
    <row r="592" spans="1:15" x14ac:dyDescent="0.25">
      <c r="A592" t="str">
        <f>"10/21/2020 18:19:32.531"</f>
        <v>10/21/2020 18:19:32.531</v>
      </c>
      <c r="B592" t="str">
        <f>"18:19:40.477"</f>
        <v>18:19:40.477</v>
      </c>
      <c r="C592" t="str">
        <f>"18:19:40.077"</f>
        <v>18:19:40.077</v>
      </c>
      <c r="D592" t="s">
        <v>246</v>
      </c>
      <c r="E592">
        <v>30.473199000000001</v>
      </c>
      <c r="F592" t="s">
        <v>247</v>
      </c>
      <c r="G592">
        <v>-89.757549999999995</v>
      </c>
      <c r="H592">
        <v>1600</v>
      </c>
      <c r="I592">
        <v>5</v>
      </c>
      <c r="J592">
        <v>150</v>
      </c>
      <c r="K592">
        <v>-128</v>
      </c>
      <c r="L592">
        <v>1200</v>
      </c>
      <c r="M592" t="str">
        <f t="shared" si="28"/>
        <v xml:space="preserve">N35DC   </v>
      </c>
      <c r="N592">
        <v>1</v>
      </c>
      <c r="O592">
        <v>1650</v>
      </c>
    </row>
    <row r="593" spans="1:15" x14ac:dyDescent="0.25">
      <c r="A593" t="str">
        <f>"10/21/2020 18:19:32.531"</f>
        <v>10/21/2020 18:19:32.531</v>
      </c>
      <c r="B593" t="str">
        <f>"18:19:40.477"</f>
        <v>18:19:40.477</v>
      </c>
      <c r="C593" t="str">
        <f>"18:19:40.077"</f>
        <v>18:19:40.077</v>
      </c>
      <c r="D593" t="s">
        <v>246</v>
      </c>
      <c r="E593">
        <v>30.473199000000001</v>
      </c>
      <c r="F593" t="s">
        <v>247</v>
      </c>
      <c r="G593">
        <v>-89.757549999999995</v>
      </c>
      <c r="H593">
        <v>1600</v>
      </c>
      <c r="I593">
        <v>5</v>
      </c>
      <c r="J593">
        <v>150</v>
      </c>
      <c r="K593">
        <v>-128</v>
      </c>
      <c r="L593">
        <v>1200</v>
      </c>
      <c r="M593" t="str">
        <f t="shared" si="28"/>
        <v xml:space="preserve">N35DC   </v>
      </c>
      <c r="N593">
        <v>1</v>
      </c>
      <c r="O593">
        <v>1650</v>
      </c>
    </row>
    <row r="594" spans="1:15" x14ac:dyDescent="0.25">
      <c r="A594" t="str">
        <f>"10/21/2020 18:19:32.531"</f>
        <v>10/21/2020 18:19:32.531</v>
      </c>
      <c r="B594" t="str">
        <f>"18:19:40.477"</f>
        <v>18:19:40.477</v>
      </c>
      <c r="C594" t="str">
        <f>"18:19:40.077"</f>
        <v>18:19:40.077</v>
      </c>
      <c r="D594" t="s">
        <v>246</v>
      </c>
      <c r="E594">
        <v>30.473199000000001</v>
      </c>
      <c r="F594" t="s">
        <v>247</v>
      </c>
      <c r="G594">
        <v>-89.757549999999995</v>
      </c>
      <c r="H594">
        <v>1600</v>
      </c>
      <c r="I594">
        <v>5</v>
      </c>
      <c r="J594">
        <v>150</v>
      </c>
      <c r="K594">
        <v>-128</v>
      </c>
      <c r="L594">
        <v>1200</v>
      </c>
      <c r="M594" t="str">
        <f t="shared" si="28"/>
        <v xml:space="preserve">N35DC   </v>
      </c>
      <c r="N594">
        <v>1</v>
      </c>
      <c r="O594">
        <v>1650</v>
      </c>
    </row>
    <row r="595" spans="1:15" x14ac:dyDescent="0.25">
      <c r="A595" t="str">
        <f>"10/21/2020 18:19:32.531"</f>
        <v>10/21/2020 18:19:32.531</v>
      </c>
      <c r="B595" t="str">
        <f>"18:19:40.477"</f>
        <v>18:19:40.477</v>
      </c>
      <c r="C595" t="str">
        <f>"18:19:40.077"</f>
        <v>18:19:40.077</v>
      </c>
      <c r="D595" t="s">
        <v>246</v>
      </c>
      <c r="E595">
        <v>30.473199000000001</v>
      </c>
      <c r="F595" t="s">
        <v>247</v>
      </c>
      <c r="G595">
        <v>-89.757549999999995</v>
      </c>
      <c r="H595">
        <v>1600</v>
      </c>
      <c r="I595">
        <v>5</v>
      </c>
      <c r="J595">
        <v>150</v>
      </c>
      <c r="K595">
        <v>-128</v>
      </c>
      <c r="L595">
        <v>1200</v>
      </c>
      <c r="M595" t="str">
        <f t="shared" si="28"/>
        <v xml:space="preserve">N35DC   </v>
      </c>
      <c r="N595">
        <v>1</v>
      </c>
      <c r="O595">
        <v>1650</v>
      </c>
    </row>
    <row r="596" spans="1:15" x14ac:dyDescent="0.25">
      <c r="A596" t="str">
        <f>"10/21/2020 18:19:32.531"</f>
        <v>10/21/2020 18:19:32.531</v>
      </c>
      <c r="B596" t="str">
        <f>"18:19:40.477"</f>
        <v>18:19:40.477</v>
      </c>
      <c r="C596" t="str">
        <f>"18:19:40.077"</f>
        <v>18:19:40.077</v>
      </c>
      <c r="D596" t="s">
        <v>246</v>
      </c>
      <c r="E596">
        <v>30.473199000000001</v>
      </c>
      <c r="F596" t="s">
        <v>247</v>
      </c>
      <c r="G596">
        <v>-89.757549999999995</v>
      </c>
      <c r="H596">
        <v>1600</v>
      </c>
      <c r="I596">
        <v>5</v>
      </c>
      <c r="J596">
        <v>150</v>
      </c>
      <c r="K596">
        <v>-128</v>
      </c>
      <c r="L596">
        <v>1200</v>
      </c>
      <c r="M596" t="str">
        <f t="shared" si="28"/>
        <v xml:space="preserve">N35DC   </v>
      </c>
      <c r="N596">
        <v>1</v>
      </c>
      <c r="O596">
        <v>1650</v>
      </c>
    </row>
    <row r="597" spans="1:15" x14ac:dyDescent="0.25">
      <c r="A597" t="str">
        <f>"10/21/2020 18:19:33.491"</f>
        <v>10/21/2020 18:19:33.491</v>
      </c>
      <c r="B597" t="str">
        <f>"18:19:41.430"</f>
        <v>18:19:41.430</v>
      </c>
      <c r="C597" t="str">
        <f>"18:19:41.030"</f>
        <v>18:19:41.030</v>
      </c>
      <c r="D597" t="s">
        <v>248</v>
      </c>
      <c r="E597">
        <v>30.473842999999999</v>
      </c>
      <c r="F597" t="s">
        <v>249</v>
      </c>
      <c r="G597">
        <v>-89.757593</v>
      </c>
      <c r="H597">
        <v>1600</v>
      </c>
      <c r="I597">
        <v>-2</v>
      </c>
      <c r="J597">
        <v>150</v>
      </c>
      <c r="K597">
        <v>-64</v>
      </c>
      <c r="L597">
        <v>1200</v>
      </c>
      <c r="M597" t="str">
        <f t="shared" si="28"/>
        <v xml:space="preserve">N35DC   </v>
      </c>
      <c r="N597">
        <v>1</v>
      </c>
      <c r="O597">
        <v>1650</v>
      </c>
    </row>
    <row r="598" spans="1:15" x14ac:dyDescent="0.25">
      <c r="A598" t="str">
        <f>"10/21/2020 18:19:33.491"</f>
        <v>10/21/2020 18:19:33.491</v>
      </c>
      <c r="B598" t="str">
        <f>"18:19:41.430"</f>
        <v>18:19:41.430</v>
      </c>
      <c r="C598" t="str">
        <f>"18:19:41.030"</f>
        <v>18:19:41.030</v>
      </c>
      <c r="D598" t="s">
        <v>248</v>
      </c>
      <c r="E598">
        <v>30.473842999999999</v>
      </c>
      <c r="F598" t="s">
        <v>249</v>
      </c>
      <c r="G598">
        <v>-89.757593</v>
      </c>
      <c r="H598">
        <v>1600</v>
      </c>
      <c r="I598">
        <v>-2</v>
      </c>
      <c r="J598">
        <v>150</v>
      </c>
      <c r="K598">
        <v>-64</v>
      </c>
      <c r="L598">
        <v>1200</v>
      </c>
      <c r="M598" t="str">
        <f t="shared" si="28"/>
        <v xml:space="preserve">N35DC   </v>
      </c>
      <c r="N598">
        <v>1</v>
      </c>
      <c r="O598">
        <v>1650</v>
      </c>
    </row>
    <row r="599" spans="1:15" x14ac:dyDescent="0.25">
      <c r="A599" t="str">
        <f>"10/21/2020 18:19:33.491"</f>
        <v>10/21/2020 18:19:33.491</v>
      </c>
      <c r="B599" t="str">
        <f>"18:19:41.430"</f>
        <v>18:19:41.430</v>
      </c>
      <c r="C599" t="str">
        <f>"18:19:41.030"</f>
        <v>18:19:41.030</v>
      </c>
      <c r="D599" t="s">
        <v>248</v>
      </c>
      <c r="E599">
        <v>30.473842999999999</v>
      </c>
      <c r="F599" t="s">
        <v>249</v>
      </c>
      <c r="G599">
        <v>-89.757593</v>
      </c>
      <c r="H599">
        <v>1600</v>
      </c>
      <c r="I599">
        <v>-2</v>
      </c>
      <c r="J599">
        <v>150</v>
      </c>
      <c r="K599">
        <v>-64</v>
      </c>
      <c r="L599">
        <v>1200</v>
      </c>
      <c r="M599" t="str">
        <f t="shared" si="28"/>
        <v xml:space="preserve">N35DC   </v>
      </c>
      <c r="N599">
        <v>1</v>
      </c>
      <c r="O599">
        <v>1650</v>
      </c>
    </row>
    <row r="600" spans="1:15" x14ac:dyDescent="0.25">
      <c r="A600" t="str">
        <f>"10/21/2020 18:19:33.491"</f>
        <v>10/21/2020 18:19:33.491</v>
      </c>
      <c r="B600" t="str">
        <f>"18:19:41.430"</f>
        <v>18:19:41.430</v>
      </c>
      <c r="C600" t="str">
        <f>"18:19:41.030"</f>
        <v>18:19:41.030</v>
      </c>
      <c r="D600" t="s">
        <v>248</v>
      </c>
      <c r="E600">
        <v>30.473842999999999</v>
      </c>
      <c r="F600" t="s">
        <v>249</v>
      </c>
      <c r="G600">
        <v>-89.757593</v>
      </c>
      <c r="H600">
        <v>1600</v>
      </c>
      <c r="I600">
        <v>-2</v>
      </c>
      <c r="J600">
        <v>150</v>
      </c>
      <c r="K600">
        <v>-64</v>
      </c>
      <c r="L600">
        <v>1200</v>
      </c>
      <c r="M600" t="str">
        <f t="shared" si="28"/>
        <v xml:space="preserve">N35DC   </v>
      </c>
      <c r="N600">
        <v>1</v>
      </c>
      <c r="O600">
        <v>1650</v>
      </c>
    </row>
    <row r="601" spans="1:15" x14ac:dyDescent="0.25">
      <c r="A601" t="str">
        <f>"10/21/2020 18:19:33.491"</f>
        <v>10/21/2020 18:19:33.491</v>
      </c>
      <c r="B601" t="str">
        <f>"18:19:41.430"</f>
        <v>18:19:41.430</v>
      </c>
      <c r="C601" t="str">
        <f>"18:19:41.030"</f>
        <v>18:19:41.030</v>
      </c>
      <c r="D601" t="s">
        <v>248</v>
      </c>
      <c r="E601">
        <v>30.473842999999999</v>
      </c>
      <c r="F601" t="s">
        <v>249</v>
      </c>
      <c r="G601">
        <v>-89.757593</v>
      </c>
      <c r="H601">
        <v>1600</v>
      </c>
      <c r="I601">
        <v>-2</v>
      </c>
      <c r="J601">
        <v>150</v>
      </c>
      <c r="K601">
        <v>-64</v>
      </c>
      <c r="L601">
        <v>1200</v>
      </c>
      <c r="M601" t="str">
        <f t="shared" si="28"/>
        <v xml:space="preserve">N35DC   </v>
      </c>
      <c r="N601">
        <v>1</v>
      </c>
      <c r="O601">
        <v>1650</v>
      </c>
    </row>
    <row r="602" spans="1:15" x14ac:dyDescent="0.25">
      <c r="A602" t="str">
        <f>"10/21/2020 18:19:34.632"</f>
        <v>10/21/2020 18:19:34.632</v>
      </c>
      <c r="B602" t="str">
        <f>"18:19:42.555"</f>
        <v>18:19:42.555</v>
      </c>
      <c r="C602" t="str">
        <f>"18:19:42.155"</f>
        <v>18:19:42.155</v>
      </c>
      <c r="D602" t="s">
        <v>250</v>
      </c>
      <c r="E602">
        <v>30.474658000000002</v>
      </c>
      <c r="F602" t="s">
        <v>245</v>
      </c>
      <c r="G602">
        <v>-89.757656999999995</v>
      </c>
      <c r="H602">
        <v>1600</v>
      </c>
      <c r="I602">
        <v>-8</v>
      </c>
      <c r="J602">
        <v>151</v>
      </c>
      <c r="K602">
        <v>0</v>
      </c>
      <c r="L602">
        <v>1200</v>
      </c>
      <c r="M602" t="str">
        <f t="shared" si="28"/>
        <v xml:space="preserve">N35DC   </v>
      </c>
      <c r="N602">
        <v>1</v>
      </c>
      <c r="O602">
        <v>1650</v>
      </c>
    </row>
    <row r="603" spans="1:15" x14ac:dyDescent="0.25">
      <c r="A603" t="str">
        <f>"10/21/2020 18:19:34.632"</f>
        <v>10/21/2020 18:19:34.632</v>
      </c>
      <c r="B603" t="str">
        <f>"18:19:42.555"</f>
        <v>18:19:42.555</v>
      </c>
      <c r="C603" t="str">
        <f>"18:19:42.155"</f>
        <v>18:19:42.155</v>
      </c>
      <c r="D603" t="s">
        <v>250</v>
      </c>
      <c r="E603">
        <v>30.474658000000002</v>
      </c>
      <c r="F603" t="s">
        <v>245</v>
      </c>
      <c r="G603">
        <v>-89.757656999999995</v>
      </c>
      <c r="H603">
        <v>1600</v>
      </c>
      <c r="I603">
        <v>-8</v>
      </c>
      <c r="J603">
        <v>151</v>
      </c>
      <c r="K603">
        <v>0</v>
      </c>
      <c r="L603">
        <v>1200</v>
      </c>
      <c r="M603" t="str">
        <f t="shared" si="28"/>
        <v xml:space="preserve">N35DC   </v>
      </c>
      <c r="N603">
        <v>1</v>
      </c>
      <c r="O603">
        <v>1650</v>
      </c>
    </row>
    <row r="604" spans="1:15" x14ac:dyDescent="0.25">
      <c r="A604" t="str">
        <f>"10/21/2020 18:19:34.632"</f>
        <v>10/21/2020 18:19:34.632</v>
      </c>
      <c r="B604" t="str">
        <f>"18:19:42.555"</f>
        <v>18:19:42.555</v>
      </c>
      <c r="C604" t="str">
        <f>"18:19:42.155"</f>
        <v>18:19:42.155</v>
      </c>
      <c r="D604" t="s">
        <v>250</v>
      </c>
      <c r="E604">
        <v>30.474658000000002</v>
      </c>
      <c r="F604" t="s">
        <v>245</v>
      </c>
      <c r="G604">
        <v>-89.757656999999995</v>
      </c>
      <c r="H604">
        <v>1600</v>
      </c>
      <c r="I604">
        <v>-8</v>
      </c>
      <c r="J604">
        <v>151</v>
      </c>
      <c r="K604">
        <v>0</v>
      </c>
      <c r="L604">
        <v>1200</v>
      </c>
      <c r="M604" t="str">
        <f t="shared" si="28"/>
        <v xml:space="preserve">N35DC   </v>
      </c>
      <c r="N604">
        <v>1</v>
      </c>
      <c r="O604">
        <v>1650</v>
      </c>
    </row>
    <row r="605" spans="1:15" x14ac:dyDescent="0.25">
      <c r="A605" t="str">
        <f>"10/21/2020 18:19:34.632"</f>
        <v>10/21/2020 18:19:34.632</v>
      </c>
      <c r="B605" t="str">
        <f>"18:19:42.555"</f>
        <v>18:19:42.555</v>
      </c>
      <c r="C605" t="str">
        <f>"18:19:42.155"</f>
        <v>18:19:42.155</v>
      </c>
      <c r="D605" t="s">
        <v>250</v>
      </c>
      <c r="E605">
        <v>30.474658000000002</v>
      </c>
      <c r="F605" t="s">
        <v>245</v>
      </c>
      <c r="G605">
        <v>-89.757656999999995</v>
      </c>
      <c r="H605">
        <v>1600</v>
      </c>
      <c r="I605">
        <v>-8</v>
      </c>
      <c r="J605">
        <v>151</v>
      </c>
      <c r="K605">
        <v>0</v>
      </c>
      <c r="L605">
        <v>1200</v>
      </c>
      <c r="M605" t="str">
        <f t="shared" si="28"/>
        <v xml:space="preserve">N35DC   </v>
      </c>
      <c r="N605">
        <v>1</v>
      </c>
      <c r="O605">
        <v>1650</v>
      </c>
    </row>
    <row r="606" spans="1:15" x14ac:dyDescent="0.25">
      <c r="A606" t="str">
        <f>"10/21/2020 18:19:34.632"</f>
        <v>10/21/2020 18:19:34.632</v>
      </c>
      <c r="B606" t="str">
        <f>"18:19:42.555"</f>
        <v>18:19:42.555</v>
      </c>
      <c r="C606" t="str">
        <f>"18:19:42.155"</f>
        <v>18:19:42.155</v>
      </c>
      <c r="D606" t="s">
        <v>250</v>
      </c>
      <c r="E606">
        <v>30.474658000000002</v>
      </c>
      <c r="F606" t="s">
        <v>245</v>
      </c>
      <c r="G606">
        <v>-89.757656999999995</v>
      </c>
      <c r="H606">
        <v>1600</v>
      </c>
      <c r="I606">
        <v>-8</v>
      </c>
      <c r="J606">
        <v>151</v>
      </c>
      <c r="K606">
        <v>0</v>
      </c>
      <c r="L606">
        <v>1200</v>
      </c>
      <c r="M606" t="str">
        <f t="shared" si="28"/>
        <v xml:space="preserve">N35DC   </v>
      </c>
      <c r="N606">
        <v>1</v>
      </c>
      <c r="O606">
        <v>1650</v>
      </c>
    </row>
    <row r="607" spans="1:15" x14ac:dyDescent="0.25">
      <c r="A607" t="str">
        <f>"10/21/2020 18:19:38.472"</f>
        <v>10/21/2020 18:19:38.472</v>
      </c>
      <c r="B607" t="str">
        <f>"18:19:46.414"</f>
        <v>18:19:46.414</v>
      </c>
      <c r="C607" t="str">
        <f>"18:19:46.214"</f>
        <v>18:19:46.214</v>
      </c>
      <c r="D607" t="s">
        <v>251</v>
      </c>
      <c r="E607">
        <v>30.477319000000001</v>
      </c>
      <c r="F607" t="s">
        <v>252</v>
      </c>
      <c r="G607">
        <v>-89.758193000000006</v>
      </c>
      <c r="H607">
        <v>1600</v>
      </c>
      <c r="I607">
        <v>-32</v>
      </c>
      <c r="J607">
        <v>149</v>
      </c>
      <c r="K607">
        <v>192</v>
      </c>
      <c r="L607">
        <v>1200</v>
      </c>
      <c r="M607" t="str">
        <f t="shared" si="28"/>
        <v xml:space="preserve">N35DC   </v>
      </c>
      <c r="N607">
        <v>1</v>
      </c>
      <c r="O607">
        <v>1650</v>
      </c>
    </row>
    <row r="608" spans="1:15" x14ac:dyDescent="0.25">
      <c r="A608" t="str">
        <f>"10/21/2020 18:19:38.472"</f>
        <v>10/21/2020 18:19:38.472</v>
      </c>
      <c r="B608" t="str">
        <f>"18:19:46.414"</f>
        <v>18:19:46.414</v>
      </c>
      <c r="C608" t="str">
        <f>"18:19:46.214"</f>
        <v>18:19:46.214</v>
      </c>
      <c r="D608" t="s">
        <v>251</v>
      </c>
      <c r="E608">
        <v>30.477319000000001</v>
      </c>
      <c r="F608" t="s">
        <v>252</v>
      </c>
      <c r="G608">
        <v>-89.758193000000006</v>
      </c>
      <c r="H608">
        <v>1600</v>
      </c>
      <c r="I608">
        <v>-32</v>
      </c>
      <c r="J608">
        <v>149</v>
      </c>
      <c r="K608">
        <v>192</v>
      </c>
      <c r="L608">
        <v>1200</v>
      </c>
      <c r="M608" t="str">
        <f t="shared" si="28"/>
        <v xml:space="preserve">N35DC   </v>
      </c>
      <c r="N608">
        <v>1</v>
      </c>
      <c r="O608">
        <v>1650</v>
      </c>
    </row>
    <row r="609" spans="1:15" x14ac:dyDescent="0.25">
      <c r="A609" t="str">
        <f>"10/21/2020 18:19:38.472"</f>
        <v>10/21/2020 18:19:38.472</v>
      </c>
      <c r="B609" t="str">
        <f>"18:19:46.414"</f>
        <v>18:19:46.414</v>
      </c>
      <c r="C609" t="str">
        <f>"18:19:46.214"</f>
        <v>18:19:46.214</v>
      </c>
      <c r="D609" t="s">
        <v>251</v>
      </c>
      <c r="E609">
        <v>30.477319000000001</v>
      </c>
      <c r="F609" t="s">
        <v>252</v>
      </c>
      <c r="G609">
        <v>-89.758193000000006</v>
      </c>
      <c r="H609">
        <v>1600</v>
      </c>
      <c r="I609">
        <v>-32</v>
      </c>
      <c r="J609">
        <v>149</v>
      </c>
      <c r="K609">
        <v>192</v>
      </c>
      <c r="L609">
        <v>1200</v>
      </c>
      <c r="M609" t="str">
        <f t="shared" si="28"/>
        <v xml:space="preserve">N35DC   </v>
      </c>
      <c r="N609">
        <v>1</v>
      </c>
      <c r="O609">
        <v>1650</v>
      </c>
    </row>
    <row r="610" spans="1:15" x14ac:dyDescent="0.25">
      <c r="A610" t="str">
        <f>"10/21/2020 18:19:38.472"</f>
        <v>10/21/2020 18:19:38.472</v>
      </c>
      <c r="B610" t="str">
        <f>"18:19:46.414"</f>
        <v>18:19:46.414</v>
      </c>
      <c r="C610" t="str">
        <f>"18:19:46.214"</f>
        <v>18:19:46.214</v>
      </c>
      <c r="D610" t="s">
        <v>251</v>
      </c>
      <c r="E610">
        <v>30.477319000000001</v>
      </c>
      <c r="F610" t="s">
        <v>252</v>
      </c>
      <c r="G610">
        <v>-89.758193000000006</v>
      </c>
      <c r="H610">
        <v>1600</v>
      </c>
      <c r="I610">
        <v>-32</v>
      </c>
      <c r="J610">
        <v>149</v>
      </c>
      <c r="K610">
        <v>192</v>
      </c>
      <c r="L610">
        <v>1200</v>
      </c>
      <c r="M610" t="str">
        <f t="shared" si="28"/>
        <v xml:space="preserve">N35DC   </v>
      </c>
      <c r="N610">
        <v>1</v>
      </c>
      <c r="O610">
        <v>1650</v>
      </c>
    </row>
    <row r="611" spans="1:15" x14ac:dyDescent="0.25">
      <c r="A611" t="str">
        <f>"10/21/2020 18:19:38.472"</f>
        <v>10/21/2020 18:19:38.472</v>
      </c>
      <c r="B611" t="str">
        <f>"18:19:46.414"</f>
        <v>18:19:46.414</v>
      </c>
      <c r="C611" t="str">
        <f>"18:19:46.214"</f>
        <v>18:19:46.214</v>
      </c>
      <c r="D611" t="s">
        <v>251</v>
      </c>
      <c r="E611">
        <v>30.477319000000001</v>
      </c>
      <c r="F611" t="s">
        <v>252</v>
      </c>
      <c r="G611">
        <v>-89.758193000000006</v>
      </c>
      <c r="H611">
        <v>1600</v>
      </c>
      <c r="I611">
        <v>-32</v>
      </c>
      <c r="J611">
        <v>149</v>
      </c>
      <c r="K611">
        <v>192</v>
      </c>
      <c r="L611">
        <v>1200</v>
      </c>
      <c r="M611" t="str">
        <f t="shared" si="28"/>
        <v xml:space="preserve">N35DC   </v>
      </c>
      <c r="N611">
        <v>1</v>
      </c>
      <c r="O611">
        <v>1650</v>
      </c>
    </row>
    <row r="612" spans="1:15" x14ac:dyDescent="0.25">
      <c r="A612" t="str">
        <f>"10/21/2020 18:19:39.460"</f>
        <v>10/21/2020 18:19:39.460</v>
      </c>
      <c r="B612" t="str">
        <f>"18:19:47.375"</f>
        <v>18:19:47.375</v>
      </c>
      <c r="C612" t="str">
        <f>"18:19:47.275"</f>
        <v>18:19:47.275</v>
      </c>
      <c r="D612" t="s">
        <v>253</v>
      </c>
      <c r="E612">
        <v>30.477983999999999</v>
      </c>
      <c r="F612" t="s">
        <v>254</v>
      </c>
      <c r="G612">
        <v>-89.758364999999998</v>
      </c>
      <c r="H612">
        <v>1600</v>
      </c>
      <c r="I612">
        <v>-38</v>
      </c>
      <c r="J612">
        <v>148</v>
      </c>
      <c r="K612">
        <v>256</v>
      </c>
      <c r="L612">
        <v>1200</v>
      </c>
      <c r="M612" t="str">
        <f t="shared" si="28"/>
        <v xml:space="preserve">N35DC   </v>
      </c>
      <c r="N612">
        <v>1</v>
      </c>
      <c r="O612">
        <v>1675</v>
      </c>
    </row>
    <row r="613" spans="1:15" x14ac:dyDescent="0.25">
      <c r="A613" t="str">
        <f>"10/21/2020 18:19:39.460"</f>
        <v>10/21/2020 18:19:39.460</v>
      </c>
      <c r="B613" t="str">
        <f>"18:19:47.375"</f>
        <v>18:19:47.375</v>
      </c>
      <c r="C613" t="str">
        <f>"18:19:47.275"</f>
        <v>18:19:47.275</v>
      </c>
      <c r="D613" t="s">
        <v>253</v>
      </c>
      <c r="E613">
        <v>30.477983999999999</v>
      </c>
      <c r="F613" t="s">
        <v>254</v>
      </c>
      <c r="G613">
        <v>-89.758364999999998</v>
      </c>
      <c r="H613">
        <v>1600</v>
      </c>
      <c r="I613">
        <v>-38</v>
      </c>
      <c r="J613">
        <v>148</v>
      </c>
      <c r="K613">
        <v>256</v>
      </c>
      <c r="L613">
        <v>1200</v>
      </c>
      <c r="M613" t="str">
        <f t="shared" si="28"/>
        <v xml:space="preserve">N35DC   </v>
      </c>
      <c r="N613">
        <v>1</v>
      </c>
      <c r="O613">
        <v>1675</v>
      </c>
    </row>
    <row r="614" spans="1:15" x14ac:dyDescent="0.25">
      <c r="A614" t="str">
        <f>"10/21/2020 18:19:39.460"</f>
        <v>10/21/2020 18:19:39.460</v>
      </c>
      <c r="B614" t="str">
        <f>"18:19:47.375"</f>
        <v>18:19:47.375</v>
      </c>
      <c r="C614" t="str">
        <f>"18:19:47.275"</f>
        <v>18:19:47.275</v>
      </c>
      <c r="D614" t="s">
        <v>253</v>
      </c>
      <c r="E614">
        <v>30.477983999999999</v>
      </c>
      <c r="F614" t="s">
        <v>254</v>
      </c>
      <c r="G614">
        <v>-89.758364999999998</v>
      </c>
      <c r="H614">
        <v>1600</v>
      </c>
      <c r="I614">
        <v>-38</v>
      </c>
      <c r="J614">
        <v>148</v>
      </c>
      <c r="K614">
        <v>256</v>
      </c>
      <c r="L614">
        <v>1200</v>
      </c>
      <c r="M614" t="str">
        <f t="shared" si="28"/>
        <v xml:space="preserve">N35DC   </v>
      </c>
      <c r="N614">
        <v>1</v>
      </c>
      <c r="O614">
        <v>1675</v>
      </c>
    </row>
    <row r="615" spans="1:15" x14ac:dyDescent="0.25">
      <c r="A615" t="str">
        <f>"10/21/2020 18:19:39.460"</f>
        <v>10/21/2020 18:19:39.460</v>
      </c>
      <c r="B615" t="str">
        <f>"18:19:47.375"</f>
        <v>18:19:47.375</v>
      </c>
      <c r="C615" t="str">
        <f>"18:19:47.275"</f>
        <v>18:19:47.275</v>
      </c>
      <c r="D615" t="s">
        <v>253</v>
      </c>
      <c r="E615">
        <v>30.477983999999999</v>
      </c>
      <c r="F615" t="s">
        <v>254</v>
      </c>
      <c r="G615">
        <v>-89.758364999999998</v>
      </c>
      <c r="H615">
        <v>1600</v>
      </c>
      <c r="I615">
        <v>-38</v>
      </c>
      <c r="J615">
        <v>148</v>
      </c>
      <c r="K615">
        <v>256</v>
      </c>
      <c r="L615">
        <v>1200</v>
      </c>
      <c r="M615" t="str">
        <f t="shared" si="28"/>
        <v xml:space="preserve">N35DC   </v>
      </c>
      <c r="N615">
        <v>1</v>
      </c>
      <c r="O615">
        <v>1675</v>
      </c>
    </row>
    <row r="616" spans="1:15" x14ac:dyDescent="0.25">
      <c r="A616" t="str">
        <f>"10/21/2020 18:19:39.460"</f>
        <v>10/21/2020 18:19:39.460</v>
      </c>
      <c r="B616" t="str">
        <f>"18:19:47.375"</f>
        <v>18:19:47.375</v>
      </c>
      <c r="C616" t="str">
        <f>"18:19:47.275"</f>
        <v>18:19:47.275</v>
      </c>
      <c r="D616" t="s">
        <v>253</v>
      </c>
      <c r="E616">
        <v>30.477983999999999</v>
      </c>
      <c r="F616" t="s">
        <v>254</v>
      </c>
      <c r="G616">
        <v>-89.758364999999998</v>
      </c>
      <c r="H616">
        <v>1600</v>
      </c>
      <c r="I616">
        <v>-38</v>
      </c>
      <c r="J616">
        <v>148</v>
      </c>
      <c r="K616">
        <v>256</v>
      </c>
      <c r="L616">
        <v>1200</v>
      </c>
      <c r="M616" t="str">
        <f t="shared" si="28"/>
        <v xml:space="preserve">N35DC   </v>
      </c>
      <c r="N616">
        <v>1</v>
      </c>
      <c r="O616">
        <v>1675</v>
      </c>
    </row>
    <row r="617" spans="1:15" x14ac:dyDescent="0.25">
      <c r="A617" t="str">
        <f>"10/21/2020 18:19:42.568"</f>
        <v>10/21/2020 18:19:42.568</v>
      </c>
      <c r="B617" t="str">
        <f>"18:19:50.523"</f>
        <v>18:19:50.523</v>
      </c>
      <c r="C617" t="str">
        <f>"18:19:50.223"</f>
        <v>18:19:50.223</v>
      </c>
      <c r="D617" t="s">
        <v>255</v>
      </c>
      <c r="E617">
        <v>30.480108000000001</v>
      </c>
      <c r="F617" t="s">
        <v>256</v>
      </c>
      <c r="G617">
        <v>-89.759116000000006</v>
      </c>
      <c r="H617">
        <v>1600</v>
      </c>
      <c r="I617">
        <v>-49</v>
      </c>
      <c r="J617">
        <v>146</v>
      </c>
      <c r="K617">
        <v>320</v>
      </c>
      <c r="L617">
        <v>1200</v>
      </c>
      <c r="M617" t="str">
        <f t="shared" si="28"/>
        <v xml:space="preserve">N35DC   </v>
      </c>
      <c r="N617">
        <v>1</v>
      </c>
      <c r="O617">
        <v>1675</v>
      </c>
    </row>
    <row r="618" spans="1:15" x14ac:dyDescent="0.25">
      <c r="A618" t="str">
        <f>"10/21/2020 18:19:42.568"</f>
        <v>10/21/2020 18:19:42.568</v>
      </c>
      <c r="B618" t="str">
        <f>"18:19:50.523"</f>
        <v>18:19:50.523</v>
      </c>
      <c r="C618" t="str">
        <f>"18:19:50.223"</f>
        <v>18:19:50.223</v>
      </c>
      <c r="D618" t="s">
        <v>255</v>
      </c>
      <c r="E618">
        <v>30.480108000000001</v>
      </c>
      <c r="F618" t="s">
        <v>256</v>
      </c>
      <c r="G618">
        <v>-89.759116000000006</v>
      </c>
      <c r="H618">
        <v>1600</v>
      </c>
      <c r="I618">
        <v>-49</v>
      </c>
      <c r="J618">
        <v>146</v>
      </c>
      <c r="K618">
        <v>320</v>
      </c>
      <c r="L618">
        <v>1200</v>
      </c>
      <c r="M618" t="str">
        <f t="shared" si="28"/>
        <v xml:space="preserve">N35DC   </v>
      </c>
      <c r="N618">
        <v>1</v>
      </c>
      <c r="O618">
        <v>1675</v>
      </c>
    </row>
    <row r="619" spans="1:15" x14ac:dyDescent="0.25">
      <c r="A619" t="str">
        <f>"10/21/2020 18:19:42.568"</f>
        <v>10/21/2020 18:19:42.568</v>
      </c>
      <c r="B619" t="str">
        <f>"18:19:50.523"</f>
        <v>18:19:50.523</v>
      </c>
      <c r="C619" t="str">
        <f>"18:19:50.223"</f>
        <v>18:19:50.223</v>
      </c>
      <c r="D619" t="s">
        <v>255</v>
      </c>
      <c r="E619">
        <v>30.480108000000001</v>
      </c>
      <c r="F619" t="s">
        <v>256</v>
      </c>
      <c r="G619">
        <v>-89.759116000000006</v>
      </c>
      <c r="H619">
        <v>1600</v>
      </c>
      <c r="I619">
        <v>-49</v>
      </c>
      <c r="J619">
        <v>146</v>
      </c>
      <c r="K619">
        <v>320</v>
      </c>
      <c r="L619">
        <v>1200</v>
      </c>
      <c r="M619" t="str">
        <f t="shared" si="28"/>
        <v xml:space="preserve">N35DC   </v>
      </c>
      <c r="N619">
        <v>1</v>
      </c>
      <c r="O619">
        <v>1675</v>
      </c>
    </row>
    <row r="620" spans="1:15" x14ac:dyDescent="0.25">
      <c r="A620" t="str">
        <f>"10/21/2020 18:19:42.568"</f>
        <v>10/21/2020 18:19:42.568</v>
      </c>
      <c r="B620" t="str">
        <f>"18:19:50.523"</f>
        <v>18:19:50.523</v>
      </c>
      <c r="C620" t="str">
        <f>"18:19:50.223"</f>
        <v>18:19:50.223</v>
      </c>
      <c r="D620" t="s">
        <v>255</v>
      </c>
      <c r="E620">
        <v>30.480108000000001</v>
      </c>
      <c r="F620" t="s">
        <v>256</v>
      </c>
      <c r="G620">
        <v>-89.759116000000006</v>
      </c>
      <c r="H620">
        <v>1600</v>
      </c>
      <c r="I620">
        <v>-49</v>
      </c>
      <c r="J620">
        <v>146</v>
      </c>
      <c r="K620">
        <v>320</v>
      </c>
      <c r="L620">
        <v>1200</v>
      </c>
      <c r="M620" t="str">
        <f t="shared" si="28"/>
        <v xml:space="preserve">N35DC   </v>
      </c>
      <c r="N620">
        <v>1</v>
      </c>
      <c r="O620">
        <v>1675</v>
      </c>
    </row>
    <row r="621" spans="1:15" x14ac:dyDescent="0.25">
      <c r="A621" t="str">
        <f>"10/21/2020 18:19:42.568"</f>
        <v>10/21/2020 18:19:42.568</v>
      </c>
      <c r="B621" t="str">
        <f>"18:19:50.523"</f>
        <v>18:19:50.523</v>
      </c>
      <c r="C621" t="str">
        <f>"18:19:50.223"</f>
        <v>18:19:50.223</v>
      </c>
      <c r="D621" t="s">
        <v>255</v>
      </c>
      <c r="E621">
        <v>30.480108000000001</v>
      </c>
      <c r="F621" t="s">
        <v>256</v>
      </c>
      <c r="G621">
        <v>-89.759116000000006</v>
      </c>
      <c r="H621">
        <v>1600</v>
      </c>
      <c r="I621">
        <v>-49</v>
      </c>
      <c r="J621">
        <v>146</v>
      </c>
      <c r="K621">
        <v>320</v>
      </c>
      <c r="L621">
        <v>1200</v>
      </c>
      <c r="M621" t="str">
        <f t="shared" si="28"/>
        <v xml:space="preserve">N35DC   </v>
      </c>
      <c r="N621">
        <v>1</v>
      </c>
      <c r="O621">
        <v>1675</v>
      </c>
    </row>
    <row r="622" spans="1:15" x14ac:dyDescent="0.25">
      <c r="A622" t="str">
        <f>"10/21/2020 18:19:43.627"</f>
        <v>10/21/2020 18:19:43.627</v>
      </c>
      <c r="B622" t="str">
        <f t="shared" ref="B622:C626" si="30">"18:19:51.570"</f>
        <v>18:19:51.570</v>
      </c>
      <c r="C622" t="str">
        <f t="shared" si="30"/>
        <v>18:19:51.570</v>
      </c>
      <c r="D622" t="s">
        <v>257</v>
      </c>
      <c r="E622">
        <v>30.480837999999999</v>
      </c>
      <c r="F622" t="s">
        <v>258</v>
      </c>
      <c r="G622">
        <v>-89.759373999999994</v>
      </c>
      <c r="H622">
        <v>1600</v>
      </c>
      <c r="I622">
        <v>-51</v>
      </c>
      <c r="J622">
        <v>145</v>
      </c>
      <c r="K622">
        <v>448</v>
      </c>
      <c r="L622">
        <v>1200</v>
      </c>
      <c r="M622" t="str">
        <f t="shared" si="28"/>
        <v xml:space="preserve">N35DC   </v>
      </c>
      <c r="N622">
        <v>1</v>
      </c>
      <c r="O622">
        <v>1700</v>
      </c>
    </row>
    <row r="623" spans="1:15" x14ac:dyDescent="0.25">
      <c r="A623" t="str">
        <f>"10/21/2020 18:19:43.627"</f>
        <v>10/21/2020 18:19:43.627</v>
      </c>
      <c r="B623" t="str">
        <f t="shared" si="30"/>
        <v>18:19:51.570</v>
      </c>
      <c r="C623" t="str">
        <f t="shared" si="30"/>
        <v>18:19:51.570</v>
      </c>
      <c r="D623" t="s">
        <v>257</v>
      </c>
      <c r="E623">
        <v>30.480837999999999</v>
      </c>
      <c r="F623" t="s">
        <v>258</v>
      </c>
      <c r="G623">
        <v>-89.759373999999994</v>
      </c>
      <c r="H623">
        <v>1600</v>
      </c>
      <c r="I623">
        <v>-51</v>
      </c>
      <c r="J623">
        <v>145</v>
      </c>
      <c r="K623">
        <v>448</v>
      </c>
      <c r="L623">
        <v>1200</v>
      </c>
      <c r="M623" t="str">
        <f t="shared" si="28"/>
        <v xml:space="preserve">N35DC   </v>
      </c>
      <c r="N623">
        <v>1</v>
      </c>
      <c r="O623">
        <v>1700</v>
      </c>
    </row>
    <row r="624" spans="1:15" x14ac:dyDescent="0.25">
      <c r="A624" t="str">
        <f>"10/21/2020 18:19:43.627"</f>
        <v>10/21/2020 18:19:43.627</v>
      </c>
      <c r="B624" t="str">
        <f t="shared" si="30"/>
        <v>18:19:51.570</v>
      </c>
      <c r="C624" t="str">
        <f t="shared" si="30"/>
        <v>18:19:51.570</v>
      </c>
      <c r="D624" t="s">
        <v>257</v>
      </c>
      <c r="E624">
        <v>30.480837999999999</v>
      </c>
      <c r="F624" t="s">
        <v>258</v>
      </c>
      <c r="G624">
        <v>-89.759373999999994</v>
      </c>
      <c r="H624">
        <v>1600</v>
      </c>
      <c r="I624">
        <v>-51</v>
      </c>
      <c r="J624">
        <v>145</v>
      </c>
      <c r="K624">
        <v>448</v>
      </c>
      <c r="L624">
        <v>1200</v>
      </c>
      <c r="M624" t="str">
        <f t="shared" si="28"/>
        <v xml:space="preserve">N35DC   </v>
      </c>
      <c r="N624">
        <v>1</v>
      </c>
      <c r="O624">
        <v>1700</v>
      </c>
    </row>
    <row r="625" spans="1:15" x14ac:dyDescent="0.25">
      <c r="A625" t="str">
        <f>"10/21/2020 18:19:43.627"</f>
        <v>10/21/2020 18:19:43.627</v>
      </c>
      <c r="B625" t="str">
        <f t="shared" si="30"/>
        <v>18:19:51.570</v>
      </c>
      <c r="C625" t="str">
        <f t="shared" si="30"/>
        <v>18:19:51.570</v>
      </c>
      <c r="D625" t="s">
        <v>257</v>
      </c>
      <c r="E625">
        <v>30.480837999999999</v>
      </c>
      <c r="F625" t="s">
        <v>258</v>
      </c>
      <c r="G625">
        <v>-89.759373999999994</v>
      </c>
      <c r="H625">
        <v>1600</v>
      </c>
      <c r="I625">
        <v>-51</v>
      </c>
      <c r="J625">
        <v>145</v>
      </c>
      <c r="K625">
        <v>448</v>
      </c>
      <c r="L625">
        <v>1200</v>
      </c>
      <c r="M625" t="str">
        <f t="shared" si="28"/>
        <v xml:space="preserve">N35DC   </v>
      </c>
      <c r="N625">
        <v>1</v>
      </c>
      <c r="O625">
        <v>1700</v>
      </c>
    </row>
    <row r="626" spans="1:15" x14ac:dyDescent="0.25">
      <c r="A626" t="str">
        <f>"10/21/2020 18:19:43.627"</f>
        <v>10/21/2020 18:19:43.627</v>
      </c>
      <c r="B626" t="str">
        <f t="shared" si="30"/>
        <v>18:19:51.570</v>
      </c>
      <c r="C626" t="str">
        <f t="shared" si="30"/>
        <v>18:19:51.570</v>
      </c>
      <c r="D626" t="s">
        <v>257</v>
      </c>
      <c r="E626">
        <v>30.480837999999999</v>
      </c>
      <c r="F626" t="s">
        <v>258</v>
      </c>
      <c r="G626">
        <v>-89.759373999999994</v>
      </c>
      <c r="H626">
        <v>1600</v>
      </c>
      <c r="I626">
        <v>-51</v>
      </c>
      <c r="J626">
        <v>145</v>
      </c>
      <c r="K626">
        <v>448</v>
      </c>
      <c r="L626">
        <v>1200</v>
      </c>
      <c r="M626" t="str">
        <f t="shared" si="28"/>
        <v xml:space="preserve">N35DC   </v>
      </c>
      <c r="N626">
        <v>1</v>
      </c>
      <c r="O626">
        <v>1700</v>
      </c>
    </row>
    <row r="627" spans="1:15" x14ac:dyDescent="0.25">
      <c r="A627" t="str">
        <f>"10/21/2020 18:19:45.548"</f>
        <v>10/21/2020 18:19:45.548</v>
      </c>
      <c r="B627" t="str">
        <f t="shared" ref="B627:C631" si="31">"18:19:53.492"</f>
        <v>18:19:53.492</v>
      </c>
      <c r="C627" t="str">
        <f t="shared" si="31"/>
        <v>18:19:53.492</v>
      </c>
      <c r="D627" t="s">
        <v>259</v>
      </c>
      <c r="E627">
        <v>30.482125</v>
      </c>
      <c r="F627" t="s">
        <v>260</v>
      </c>
      <c r="G627">
        <v>-89.759952999999996</v>
      </c>
      <c r="H627">
        <v>1600</v>
      </c>
      <c r="I627">
        <v>-52</v>
      </c>
      <c r="J627">
        <v>144</v>
      </c>
      <c r="K627">
        <v>768</v>
      </c>
      <c r="L627">
        <v>1200</v>
      </c>
      <c r="M627" t="str">
        <f t="shared" si="28"/>
        <v xml:space="preserve">N35DC   </v>
      </c>
      <c r="N627">
        <v>1</v>
      </c>
      <c r="O627">
        <v>1700</v>
      </c>
    </row>
    <row r="628" spans="1:15" x14ac:dyDescent="0.25">
      <c r="A628" t="str">
        <f>"10/21/2020 18:19:45.548"</f>
        <v>10/21/2020 18:19:45.548</v>
      </c>
      <c r="B628" t="str">
        <f t="shared" si="31"/>
        <v>18:19:53.492</v>
      </c>
      <c r="C628" t="str">
        <f t="shared" si="31"/>
        <v>18:19:53.492</v>
      </c>
      <c r="D628" t="s">
        <v>259</v>
      </c>
      <c r="E628">
        <v>30.482125</v>
      </c>
      <c r="F628" t="s">
        <v>260</v>
      </c>
      <c r="G628">
        <v>-89.759952999999996</v>
      </c>
      <c r="H628">
        <v>1600</v>
      </c>
      <c r="I628">
        <v>-52</v>
      </c>
      <c r="J628">
        <v>144</v>
      </c>
      <c r="K628">
        <v>768</v>
      </c>
      <c r="L628">
        <v>1200</v>
      </c>
      <c r="M628" t="str">
        <f t="shared" si="28"/>
        <v xml:space="preserve">N35DC   </v>
      </c>
      <c r="N628">
        <v>1</v>
      </c>
      <c r="O628">
        <v>1700</v>
      </c>
    </row>
    <row r="629" spans="1:15" x14ac:dyDescent="0.25">
      <c r="A629" t="str">
        <f>"10/21/2020 18:19:45.548"</f>
        <v>10/21/2020 18:19:45.548</v>
      </c>
      <c r="B629" t="str">
        <f t="shared" si="31"/>
        <v>18:19:53.492</v>
      </c>
      <c r="C629" t="str">
        <f t="shared" si="31"/>
        <v>18:19:53.492</v>
      </c>
      <c r="D629" t="s">
        <v>259</v>
      </c>
      <c r="E629">
        <v>30.482125</v>
      </c>
      <c r="F629" t="s">
        <v>260</v>
      </c>
      <c r="G629">
        <v>-89.759952999999996</v>
      </c>
      <c r="H629">
        <v>1600</v>
      </c>
      <c r="I629">
        <v>-52</v>
      </c>
      <c r="J629">
        <v>144</v>
      </c>
      <c r="K629">
        <v>768</v>
      </c>
      <c r="L629">
        <v>1200</v>
      </c>
      <c r="M629" t="str">
        <f t="shared" si="28"/>
        <v xml:space="preserve">N35DC   </v>
      </c>
      <c r="N629">
        <v>1</v>
      </c>
      <c r="O629">
        <v>1700</v>
      </c>
    </row>
    <row r="630" spans="1:15" x14ac:dyDescent="0.25">
      <c r="A630" t="str">
        <f>"10/21/2020 18:19:45.548"</f>
        <v>10/21/2020 18:19:45.548</v>
      </c>
      <c r="B630" t="str">
        <f t="shared" si="31"/>
        <v>18:19:53.492</v>
      </c>
      <c r="C630" t="str">
        <f t="shared" si="31"/>
        <v>18:19:53.492</v>
      </c>
      <c r="D630" t="s">
        <v>259</v>
      </c>
      <c r="E630">
        <v>30.482125</v>
      </c>
      <c r="F630" t="s">
        <v>260</v>
      </c>
      <c r="G630">
        <v>-89.759952999999996</v>
      </c>
      <c r="H630">
        <v>1600</v>
      </c>
      <c r="I630">
        <v>-52</v>
      </c>
      <c r="J630">
        <v>144</v>
      </c>
      <c r="K630">
        <v>768</v>
      </c>
      <c r="L630">
        <v>1200</v>
      </c>
      <c r="M630" t="str">
        <f t="shared" si="28"/>
        <v xml:space="preserve">N35DC   </v>
      </c>
      <c r="N630">
        <v>1</v>
      </c>
      <c r="O630">
        <v>1700</v>
      </c>
    </row>
    <row r="631" spans="1:15" x14ac:dyDescent="0.25">
      <c r="A631" t="str">
        <f>"10/21/2020 18:19:45.548"</f>
        <v>10/21/2020 18:19:45.548</v>
      </c>
      <c r="B631" t="str">
        <f t="shared" si="31"/>
        <v>18:19:53.492</v>
      </c>
      <c r="C631" t="str">
        <f t="shared" si="31"/>
        <v>18:19:53.492</v>
      </c>
      <c r="D631" t="s">
        <v>259</v>
      </c>
      <c r="E631">
        <v>30.482125</v>
      </c>
      <c r="F631" t="s">
        <v>260</v>
      </c>
      <c r="G631">
        <v>-89.759952999999996</v>
      </c>
      <c r="H631">
        <v>1600</v>
      </c>
      <c r="I631">
        <v>-52</v>
      </c>
      <c r="J631">
        <v>144</v>
      </c>
      <c r="K631">
        <v>768</v>
      </c>
      <c r="L631">
        <v>1200</v>
      </c>
      <c r="M631" t="str">
        <f t="shared" si="28"/>
        <v xml:space="preserve">N35DC   </v>
      </c>
      <c r="N631">
        <v>1</v>
      </c>
      <c r="O631">
        <v>1700</v>
      </c>
    </row>
    <row r="632" spans="1:15" x14ac:dyDescent="0.25">
      <c r="A632" t="str">
        <f>"10/21/2020 18:19:46.761"</f>
        <v>10/21/2020 18:19:46.761</v>
      </c>
      <c r="B632" t="str">
        <f t="shared" ref="B632:C636" si="32">"18:19:54.680"</f>
        <v>18:19:54.680</v>
      </c>
      <c r="C632" t="str">
        <f t="shared" si="32"/>
        <v>18:19:54.680</v>
      </c>
      <c r="D632" t="s">
        <v>261</v>
      </c>
      <c r="E632">
        <v>30.482918999999999</v>
      </c>
      <c r="F632" t="s">
        <v>262</v>
      </c>
      <c r="G632">
        <v>-89.760274999999993</v>
      </c>
      <c r="H632">
        <v>1600</v>
      </c>
      <c r="I632">
        <v>-53</v>
      </c>
      <c r="J632">
        <v>144</v>
      </c>
      <c r="K632">
        <v>448</v>
      </c>
      <c r="L632">
        <v>1200</v>
      </c>
      <c r="M632" t="str">
        <f t="shared" si="28"/>
        <v xml:space="preserve">N35DC   </v>
      </c>
      <c r="N632">
        <v>1</v>
      </c>
      <c r="O632">
        <v>1725</v>
      </c>
    </row>
    <row r="633" spans="1:15" x14ac:dyDescent="0.25">
      <c r="A633" t="str">
        <f>"10/21/2020 18:19:46.761"</f>
        <v>10/21/2020 18:19:46.761</v>
      </c>
      <c r="B633" t="str">
        <f t="shared" si="32"/>
        <v>18:19:54.680</v>
      </c>
      <c r="C633" t="str">
        <f t="shared" si="32"/>
        <v>18:19:54.680</v>
      </c>
      <c r="D633" t="s">
        <v>261</v>
      </c>
      <c r="E633">
        <v>30.482918999999999</v>
      </c>
      <c r="F633" t="s">
        <v>262</v>
      </c>
      <c r="G633">
        <v>-89.760274999999993</v>
      </c>
      <c r="H633">
        <v>1600</v>
      </c>
      <c r="I633">
        <v>-53</v>
      </c>
      <c r="J633">
        <v>144</v>
      </c>
      <c r="K633">
        <v>448</v>
      </c>
      <c r="L633">
        <v>1200</v>
      </c>
      <c r="M633" t="str">
        <f t="shared" si="28"/>
        <v xml:space="preserve">N35DC   </v>
      </c>
      <c r="N633">
        <v>1</v>
      </c>
      <c r="O633">
        <v>1725</v>
      </c>
    </row>
    <row r="634" spans="1:15" x14ac:dyDescent="0.25">
      <c r="A634" t="str">
        <f>"10/21/2020 18:19:46.761"</f>
        <v>10/21/2020 18:19:46.761</v>
      </c>
      <c r="B634" t="str">
        <f t="shared" si="32"/>
        <v>18:19:54.680</v>
      </c>
      <c r="C634" t="str">
        <f t="shared" si="32"/>
        <v>18:19:54.680</v>
      </c>
      <c r="D634" t="s">
        <v>261</v>
      </c>
      <c r="E634">
        <v>30.482918999999999</v>
      </c>
      <c r="F634" t="s">
        <v>262</v>
      </c>
      <c r="G634">
        <v>-89.760274999999993</v>
      </c>
      <c r="H634">
        <v>1600</v>
      </c>
      <c r="I634">
        <v>-53</v>
      </c>
      <c r="J634">
        <v>144</v>
      </c>
      <c r="K634">
        <v>448</v>
      </c>
      <c r="L634">
        <v>1200</v>
      </c>
      <c r="M634" t="str">
        <f t="shared" si="28"/>
        <v xml:space="preserve">N35DC   </v>
      </c>
      <c r="N634">
        <v>1</v>
      </c>
      <c r="O634">
        <v>1725</v>
      </c>
    </row>
    <row r="635" spans="1:15" x14ac:dyDescent="0.25">
      <c r="A635" t="str">
        <f>"10/21/2020 18:19:46.761"</f>
        <v>10/21/2020 18:19:46.761</v>
      </c>
      <c r="B635" t="str">
        <f t="shared" si="32"/>
        <v>18:19:54.680</v>
      </c>
      <c r="C635" t="str">
        <f t="shared" si="32"/>
        <v>18:19:54.680</v>
      </c>
      <c r="D635" t="s">
        <v>261</v>
      </c>
      <c r="E635">
        <v>30.482918999999999</v>
      </c>
      <c r="F635" t="s">
        <v>262</v>
      </c>
      <c r="G635">
        <v>-89.760274999999993</v>
      </c>
      <c r="H635">
        <v>1600</v>
      </c>
      <c r="I635">
        <v>-53</v>
      </c>
      <c r="J635">
        <v>144</v>
      </c>
      <c r="K635">
        <v>448</v>
      </c>
      <c r="L635">
        <v>1200</v>
      </c>
      <c r="M635" t="str">
        <f t="shared" si="28"/>
        <v xml:space="preserve">N35DC   </v>
      </c>
      <c r="N635">
        <v>1</v>
      </c>
      <c r="O635">
        <v>1725</v>
      </c>
    </row>
    <row r="636" spans="1:15" x14ac:dyDescent="0.25">
      <c r="A636" t="str">
        <f>"10/21/2020 18:19:46.761"</f>
        <v>10/21/2020 18:19:46.761</v>
      </c>
      <c r="B636" t="str">
        <f t="shared" si="32"/>
        <v>18:19:54.680</v>
      </c>
      <c r="C636" t="str">
        <f t="shared" si="32"/>
        <v>18:19:54.680</v>
      </c>
      <c r="D636" t="s">
        <v>261</v>
      </c>
      <c r="E636">
        <v>30.482918999999999</v>
      </c>
      <c r="F636" t="s">
        <v>262</v>
      </c>
      <c r="G636">
        <v>-89.760274999999993</v>
      </c>
      <c r="H636">
        <v>1600</v>
      </c>
      <c r="I636">
        <v>-53</v>
      </c>
      <c r="J636">
        <v>144</v>
      </c>
      <c r="K636">
        <v>448</v>
      </c>
      <c r="L636">
        <v>1200</v>
      </c>
      <c r="M636" t="str">
        <f t="shared" si="28"/>
        <v xml:space="preserve">N35DC   </v>
      </c>
      <c r="N636">
        <v>1</v>
      </c>
      <c r="O636">
        <v>1725</v>
      </c>
    </row>
    <row r="637" spans="1:15" x14ac:dyDescent="0.25">
      <c r="A637" t="str">
        <f>"10/21/2020 18:19:48.689"</f>
        <v>10/21/2020 18:19:48.689</v>
      </c>
      <c r="B637" t="str">
        <f>"18:19:56.625"</f>
        <v>18:19:56.625</v>
      </c>
      <c r="C637" t="str">
        <f>"18:19:56.225"</f>
        <v>18:19:56.225</v>
      </c>
      <c r="D637" t="s">
        <v>263</v>
      </c>
      <c r="E637">
        <v>30.484164</v>
      </c>
      <c r="F637" t="s">
        <v>264</v>
      </c>
      <c r="G637">
        <v>-89.760833000000005</v>
      </c>
      <c r="H637">
        <v>1700</v>
      </c>
      <c r="I637">
        <v>-54</v>
      </c>
      <c r="J637">
        <v>143</v>
      </c>
      <c r="K637">
        <v>192</v>
      </c>
      <c r="L637">
        <v>1200</v>
      </c>
      <c r="M637" t="str">
        <f t="shared" si="28"/>
        <v xml:space="preserve">N35DC   </v>
      </c>
      <c r="N637">
        <v>1</v>
      </c>
      <c r="O637">
        <v>1725</v>
      </c>
    </row>
    <row r="638" spans="1:15" x14ac:dyDescent="0.25">
      <c r="A638" t="str">
        <f>"10/21/2020 18:19:48.689"</f>
        <v>10/21/2020 18:19:48.689</v>
      </c>
      <c r="B638" t="str">
        <f>"18:19:56.625"</f>
        <v>18:19:56.625</v>
      </c>
      <c r="C638" t="str">
        <f>"18:19:56.225"</f>
        <v>18:19:56.225</v>
      </c>
      <c r="D638" t="s">
        <v>263</v>
      </c>
      <c r="E638">
        <v>30.484164</v>
      </c>
      <c r="F638" t="s">
        <v>264</v>
      </c>
      <c r="G638">
        <v>-89.760833000000005</v>
      </c>
      <c r="H638">
        <v>1700</v>
      </c>
      <c r="I638">
        <v>-54</v>
      </c>
      <c r="J638">
        <v>143</v>
      </c>
      <c r="K638">
        <v>192</v>
      </c>
      <c r="L638">
        <v>1200</v>
      </c>
      <c r="M638" t="str">
        <f t="shared" si="28"/>
        <v xml:space="preserve">N35DC   </v>
      </c>
      <c r="N638">
        <v>1</v>
      </c>
      <c r="O638">
        <v>1725</v>
      </c>
    </row>
    <row r="639" spans="1:15" x14ac:dyDescent="0.25">
      <c r="A639" t="str">
        <f>"10/21/2020 18:19:48.689"</f>
        <v>10/21/2020 18:19:48.689</v>
      </c>
      <c r="B639" t="str">
        <f>"18:19:56.625"</f>
        <v>18:19:56.625</v>
      </c>
      <c r="C639" t="str">
        <f>"18:19:56.225"</f>
        <v>18:19:56.225</v>
      </c>
      <c r="D639" t="s">
        <v>263</v>
      </c>
      <c r="E639">
        <v>30.484164</v>
      </c>
      <c r="F639" t="s">
        <v>264</v>
      </c>
      <c r="G639">
        <v>-89.760833000000005</v>
      </c>
      <c r="H639">
        <v>1700</v>
      </c>
      <c r="I639">
        <v>-54</v>
      </c>
      <c r="J639">
        <v>143</v>
      </c>
      <c r="K639">
        <v>192</v>
      </c>
      <c r="L639">
        <v>1200</v>
      </c>
      <c r="M639" t="str">
        <f t="shared" si="28"/>
        <v xml:space="preserve">N35DC   </v>
      </c>
      <c r="N639">
        <v>1</v>
      </c>
      <c r="O639">
        <v>1725</v>
      </c>
    </row>
    <row r="640" spans="1:15" x14ac:dyDescent="0.25">
      <c r="A640" t="str">
        <f>"10/21/2020 18:19:48.689"</f>
        <v>10/21/2020 18:19:48.689</v>
      </c>
      <c r="B640" t="str">
        <f>"18:19:56.625"</f>
        <v>18:19:56.625</v>
      </c>
      <c r="C640" t="str">
        <f>"18:19:56.225"</f>
        <v>18:19:56.225</v>
      </c>
      <c r="D640" t="s">
        <v>263</v>
      </c>
      <c r="E640">
        <v>30.484164</v>
      </c>
      <c r="F640" t="s">
        <v>264</v>
      </c>
      <c r="G640">
        <v>-89.760833000000005</v>
      </c>
      <c r="H640">
        <v>1700</v>
      </c>
      <c r="I640">
        <v>-54</v>
      </c>
      <c r="J640">
        <v>143</v>
      </c>
      <c r="K640">
        <v>192</v>
      </c>
      <c r="L640">
        <v>1200</v>
      </c>
      <c r="M640" t="str">
        <f t="shared" si="28"/>
        <v xml:space="preserve">N35DC   </v>
      </c>
      <c r="N640">
        <v>1</v>
      </c>
      <c r="O640">
        <v>1725</v>
      </c>
    </row>
    <row r="641" spans="1:15" x14ac:dyDescent="0.25">
      <c r="A641" t="str">
        <f>"10/21/2020 18:19:48.689"</f>
        <v>10/21/2020 18:19:48.689</v>
      </c>
      <c r="B641" t="str">
        <f>"18:19:56.625"</f>
        <v>18:19:56.625</v>
      </c>
      <c r="C641" t="str">
        <f>"18:19:56.225"</f>
        <v>18:19:56.225</v>
      </c>
      <c r="D641" t="s">
        <v>263</v>
      </c>
      <c r="E641">
        <v>30.484164</v>
      </c>
      <c r="F641" t="s">
        <v>264</v>
      </c>
      <c r="G641">
        <v>-89.760833000000005</v>
      </c>
      <c r="H641">
        <v>1700</v>
      </c>
      <c r="I641">
        <v>-54</v>
      </c>
      <c r="J641">
        <v>143</v>
      </c>
      <c r="K641">
        <v>192</v>
      </c>
      <c r="L641">
        <v>1200</v>
      </c>
      <c r="M641" t="str">
        <f t="shared" si="28"/>
        <v xml:space="preserve">N35DC   </v>
      </c>
      <c r="N641">
        <v>1</v>
      </c>
      <c r="O641">
        <v>1725</v>
      </c>
    </row>
    <row r="642" spans="1:15" x14ac:dyDescent="0.25">
      <c r="A642" t="str">
        <f>"10/21/2020 18:19:49.649"</f>
        <v>10/21/2020 18:19:49.649</v>
      </c>
      <c r="B642" t="str">
        <f>"18:19:57.570"</f>
        <v>18:19:57.570</v>
      </c>
      <c r="C642" t="str">
        <f>"18:19:57.370"</f>
        <v>18:19:57.370</v>
      </c>
      <c r="D642" t="s">
        <v>265</v>
      </c>
      <c r="E642">
        <v>30.484807</v>
      </c>
      <c r="F642" t="s">
        <v>266</v>
      </c>
      <c r="G642">
        <v>-89.761111999999997</v>
      </c>
      <c r="H642">
        <v>1600</v>
      </c>
      <c r="I642">
        <v>-55</v>
      </c>
      <c r="J642">
        <v>143</v>
      </c>
      <c r="K642">
        <v>128</v>
      </c>
      <c r="L642">
        <v>1200</v>
      </c>
      <c r="M642" t="str">
        <f t="shared" si="28"/>
        <v xml:space="preserve">N35DC   </v>
      </c>
      <c r="N642">
        <v>1</v>
      </c>
      <c r="O642">
        <v>1725</v>
      </c>
    </row>
    <row r="643" spans="1:15" x14ac:dyDescent="0.25">
      <c r="A643" t="str">
        <f>"10/21/2020 18:19:49.649"</f>
        <v>10/21/2020 18:19:49.649</v>
      </c>
      <c r="B643" t="str">
        <f>"18:19:57.570"</f>
        <v>18:19:57.570</v>
      </c>
      <c r="C643" t="str">
        <f>"18:19:57.370"</f>
        <v>18:19:57.370</v>
      </c>
      <c r="D643" t="s">
        <v>265</v>
      </c>
      <c r="E643">
        <v>30.484807</v>
      </c>
      <c r="F643" t="s">
        <v>266</v>
      </c>
      <c r="G643">
        <v>-89.761111999999997</v>
      </c>
      <c r="H643">
        <v>1600</v>
      </c>
      <c r="I643">
        <v>-55</v>
      </c>
      <c r="J643">
        <v>143</v>
      </c>
      <c r="K643">
        <v>128</v>
      </c>
      <c r="L643">
        <v>1200</v>
      </c>
      <c r="M643" t="str">
        <f t="shared" si="28"/>
        <v xml:space="preserve">N35DC   </v>
      </c>
      <c r="N643">
        <v>1</v>
      </c>
      <c r="O643">
        <v>1725</v>
      </c>
    </row>
    <row r="644" spans="1:15" x14ac:dyDescent="0.25">
      <c r="A644" t="str">
        <f>"10/21/2020 18:19:49.649"</f>
        <v>10/21/2020 18:19:49.649</v>
      </c>
      <c r="B644" t="str">
        <f>"18:19:57.570"</f>
        <v>18:19:57.570</v>
      </c>
      <c r="C644" t="str">
        <f>"18:19:57.370"</f>
        <v>18:19:57.370</v>
      </c>
      <c r="D644" t="s">
        <v>265</v>
      </c>
      <c r="E644">
        <v>30.484807</v>
      </c>
      <c r="F644" t="s">
        <v>266</v>
      </c>
      <c r="G644">
        <v>-89.761111999999997</v>
      </c>
      <c r="H644">
        <v>1600</v>
      </c>
      <c r="I644">
        <v>-55</v>
      </c>
      <c r="J644">
        <v>143</v>
      </c>
      <c r="K644">
        <v>128</v>
      </c>
      <c r="L644">
        <v>1200</v>
      </c>
      <c r="M644" t="str">
        <f t="shared" si="28"/>
        <v xml:space="preserve">N35DC   </v>
      </c>
      <c r="N644">
        <v>1</v>
      </c>
      <c r="O644">
        <v>1725</v>
      </c>
    </row>
    <row r="645" spans="1:15" x14ac:dyDescent="0.25">
      <c r="A645" t="str">
        <f>"10/21/2020 18:19:49.649"</f>
        <v>10/21/2020 18:19:49.649</v>
      </c>
      <c r="B645" t="str">
        <f>"18:19:57.570"</f>
        <v>18:19:57.570</v>
      </c>
      <c r="C645" t="str">
        <f>"18:19:57.370"</f>
        <v>18:19:57.370</v>
      </c>
      <c r="D645" t="s">
        <v>265</v>
      </c>
      <c r="E645">
        <v>30.484807</v>
      </c>
      <c r="F645" t="s">
        <v>266</v>
      </c>
      <c r="G645">
        <v>-89.761111999999997</v>
      </c>
      <c r="H645">
        <v>1600</v>
      </c>
      <c r="I645">
        <v>-55</v>
      </c>
      <c r="J645">
        <v>143</v>
      </c>
      <c r="K645">
        <v>128</v>
      </c>
      <c r="L645">
        <v>1200</v>
      </c>
      <c r="M645" t="str">
        <f t="shared" si="28"/>
        <v xml:space="preserve">N35DC   </v>
      </c>
      <c r="N645">
        <v>1</v>
      </c>
      <c r="O645">
        <v>1725</v>
      </c>
    </row>
    <row r="646" spans="1:15" x14ac:dyDescent="0.25">
      <c r="A646" t="str">
        <f>"10/21/2020 18:19:49.649"</f>
        <v>10/21/2020 18:19:49.649</v>
      </c>
      <c r="B646" t="str">
        <f>"18:19:57.570"</f>
        <v>18:19:57.570</v>
      </c>
      <c r="C646" t="str">
        <f>"18:19:57.370"</f>
        <v>18:19:57.370</v>
      </c>
      <c r="D646" t="s">
        <v>265</v>
      </c>
      <c r="E646">
        <v>30.484807</v>
      </c>
      <c r="F646" t="s">
        <v>266</v>
      </c>
      <c r="G646">
        <v>-89.761111999999997</v>
      </c>
      <c r="H646">
        <v>1600</v>
      </c>
      <c r="I646">
        <v>-55</v>
      </c>
      <c r="J646">
        <v>143</v>
      </c>
      <c r="K646">
        <v>128</v>
      </c>
      <c r="L646">
        <v>1200</v>
      </c>
      <c r="M646" t="str">
        <f t="shared" si="28"/>
        <v xml:space="preserve">N35DC   </v>
      </c>
      <c r="N646">
        <v>1</v>
      </c>
      <c r="O646">
        <v>1725</v>
      </c>
    </row>
    <row r="647" spans="1:15" x14ac:dyDescent="0.25">
      <c r="A647" t="str">
        <f>"10/21/2020 18:19:50.812"</f>
        <v>10/21/2020 18:19:50.812</v>
      </c>
      <c r="B647" t="str">
        <f t="shared" ref="B647:C651" si="33">"18:19:58.758"</f>
        <v>18:19:58.758</v>
      </c>
      <c r="C647" t="str">
        <f t="shared" si="33"/>
        <v>18:19:58.758</v>
      </c>
      <c r="D647" t="s">
        <v>267</v>
      </c>
      <c r="E647">
        <v>30.485623</v>
      </c>
      <c r="F647" t="s">
        <v>268</v>
      </c>
      <c r="G647">
        <v>-89.761476999999999</v>
      </c>
      <c r="H647">
        <v>1700</v>
      </c>
      <c r="I647">
        <v>-55</v>
      </c>
      <c r="J647">
        <v>143</v>
      </c>
      <c r="K647">
        <v>-64</v>
      </c>
      <c r="L647">
        <v>1200</v>
      </c>
      <c r="M647" t="str">
        <f t="shared" ref="M647:M710" si="34">"N35DC   "</f>
        <v xml:space="preserve">N35DC   </v>
      </c>
      <c r="N647">
        <v>1</v>
      </c>
      <c r="O647">
        <v>1725</v>
      </c>
    </row>
    <row r="648" spans="1:15" x14ac:dyDescent="0.25">
      <c r="A648" t="str">
        <f>"10/21/2020 18:19:50.812"</f>
        <v>10/21/2020 18:19:50.812</v>
      </c>
      <c r="B648" t="str">
        <f t="shared" si="33"/>
        <v>18:19:58.758</v>
      </c>
      <c r="C648" t="str">
        <f t="shared" si="33"/>
        <v>18:19:58.758</v>
      </c>
      <c r="D648" t="s">
        <v>267</v>
      </c>
      <c r="E648">
        <v>30.485623</v>
      </c>
      <c r="F648" t="s">
        <v>268</v>
      </c>
      <c r="G648">
        <v>-89.761476999999999</v>
      </c>
      <c r="H648">
        <v>1700</v>
      </c>
      <c r="I648">
        <v>-55</v>
      </c>
      <c r="J648">
        <v>143</v>
      </c>
      <c r="K648">
        <v>-64</v>
      </c>
      <c r="L648">
        <v>1200</v>
      </c>
      <c r="M648" t="str">
        <f t="shared" si="34"/>
        <v xml:space="preserve">N35DC   </v>
      </c>
      <c r="N648">
        <v>1</v>
      </c>
      <c r="O648">
        <v>1725</v>
      </c>
    </row>
    <row r="649" spans="1:15" x14ac:dyDescent="0.25">
      <c r="A649" t="str">
        <f>"10/21/2020 18:19:50.812"</f>
        <v>10/21/2020 18:19:50.812</v>
      </c>
      <c r="B649" t="str">
        <f t="shared" si="33"/>
        <v>18:19:58.758</v>
      </c>
      <c r="C649" t="str">
        <f t="shared" si="33"/>
        <v>18:19:58.758</v>
      </c>
      <c r="D649" t="s">
        <v>267</v>
      </c>
      <c r="E649">
        <v>30.485623</v>
      </c>
      <c r="F649" t="s">
        <v>268</v>
      </c>
      <c r="G649">
        <v>-89.761476999999999</v>
      </c>
      <c r="H649">
        <v>1700</v>
      </c>
      <c r="I649">
        <v>-55</v>
      </c>
      <c r="J649">
        <v>143</v>
      </c>
      <c r="K649">
        <v>-64</v>
      </c>
      <c r="L649">
        <v>1200</v>
      </c>
      <c r="M649" t="str">
        <f t="shared" si="34"/>
        <v xml:space="preserve">N35DC   </v>
      </c>
      <c r="N649">
        <v>1</v>
      </c>
      <c r="O649">
        <v>1725</v>
      </c>
    </row>
    <row r="650" spans="1:15" x14ac:dyDescent="0.25">
      <c r="A650" t="str">
        <f>"10/21/2020 18:19:50.812"</f>
        <v>10/21/2020 18:19:50.812</v>
      </c>
      <c r="B650" t="str">
        <f t="shared" si="33"/>
        <v>18:19:58.758</v>
      </c>
      <c r="C650" t="str">
        <f t="shared" si="33"/>
        <v>18:19:58.758</v>
      </c>
      <c r="D650" t="s">
        <v>267</v>
      </c>
      <c r="E650">
        <v>30.485623</v>
      </c>
      <c r="F650" t="s">
        <v>268</v>
      </c>
      <c r="G650">
        <v>-89.761476999999999</v>
      </c>
      <c r="H650">
        <v>1700</v>
      </c>
      <c r="I650">
        <v>-55</v>
      </c>
      <c r="J650">
        <v>143</v>
      </c>
      <c r="K650">
        <v>-64</v>
      </c>
      <c r="L650">
        <v>1200</v>
      </c>
      <c r="M650" t="str">
        <f t="shared" si="34"/>
        <v xml:space="preserve">N35DC   </v>
      </c>
      <c r="N650">
        <v>1</v>
      </c>
      <c r="O650">
        <v>1725</v>
      </c>
    </row>
    <row r="651" spans="1:15" x14ac:dyDescent="0.25">
      <c r="A651" t="str">
        <f>"10/21/2020 18:19:50.812"</f>
        <v>10/21/2020 18:19:50.812</v>
      </c>
      <c r="B651" t="str">
        <f t="shared" si="33"/>
        <v>18:19:58.758</v>
      </c>
      <c r="C651" t="str">
        <f t="shared" si="33"/>
        <v>18:19:58.758</v>
      </c>
      <c r="D651" t="s">
        <v>267</v>
      </c>
      <c r="E651">
        <v>30.485623</v>
      </c>
      <c r="F651" t="s">
        <v>268</v>
      </c>
      <c r="G651">
        <v>-89.761476999999999</v>
      </c>
      <c r="H651">
        <v>1700</v>
      </c>
      <c r="I651">
        <v>-55</v>
      </c>
      <c r="J651">
        <v>143</v>
      </c>
      <c r="K651">
        <v>-64</v>
      </c>
      <c r="L651">
        <v>1200</v>
      </c>
      <c r="M651" t="str">
        <f t="shared" si="34"/>
        <v xml:space="preserve">N35DC   </v>
      </c>
      <c r="N651">
        <v>1</v>
      </c>
      <c r="O651">
        <v>1725</v>
      </c>
    </row>
    <row r="652" spans="1:15" x14ac:dyDescent="0.25">
      <c r="A652" t="str">
        <f>"10/21/2020 18:19:54.788"</f>
        <v>10/21/2020 18:19:54.788</v>
      </c>
      <c r="B652" t="str">
        <f t="shared" ref="B652:C656" si="35">"18:20:02.719"</f>
        <v>18:20:02.719</v>
      </c>
      <c r="C652" t="str">
        <f t="shared" si="35"/>
        <v>18:20:02.719</v>
      </c>
      <c r="D652" t="s">
        <v>269</v>
      </c>
      <c r="E652">
        <v>30.488219000000001</v>
      </c>
      <c r="F652" t="s">
        <v>270</v>
      </c>
      <c r="G652">
        <v>-89.762635000000003</v>
      </c>
      <c r="H652">
        <v>1600</v>
      </c>
      <c r="I652">
        <v>-57</v>
      </c>
      <c r="J652">
        <v>144</v>
      </c>
      <c r="K652">
        <v>-320</v>
      </c>
      <c r="L652">
        <v>1200</v>
      </c>
      <c r="M652" t="str">
        <f t="shared" si="34"/>
        <v xml:space="preserve">N35DC   </v>
      </c>
      <c r="N652">
        <v>1</v>
      </c>
      <c r="O652">
        <v>1725</v>
      </c>
    </row>
    <row r="653" spans="1:15" x14ac:dyDescent="0.25">
      <c r="A653" t="str">
        <f>"10/21/2020 18:19:54.788"</f>
        <v>10/21/2020 18:19:54.788</v>
      </c>
      <c r="B653" t="str">
        <f t="shared" si="35"/>
        <v>18:20:02.719</v>
      </c>
      <c r="C653" t="str">
        <f t="shared" si="35"/>
        <v>18:20:02.719</v>
      </c>
      <c r="D653" t="s">
        <v>269</v>
      </c>
      <c r="E653">
        <v>30.488219000000001</v>
      </c>
      <c r="F653" t="s">
        <v>270</v>
      </c>
      <c r="G653">
        <v>-89.762635000000003</v>
      </c>
      <c r="H653">
        <v>1600</v>
      </c>
      <c r="I653">
        <v>-57</v>
      </c>
      <c r="J653">
        <v>144</v>
      </c>
      <c r="K653">
        <v>-320</v>
      </c>
      <c r="L653">
        <v>1200</v>
      </c>
      <c r="M653" t="str">
        <f t="shared" si="34"/>
        <v xml:space="preserve">N35DC   </v>
      </c>
      <c r="N653">
        <v>1</v>
      </c>
      <c r="O653">
        <v>1725</v>
      </c>
    </row>
    <row r="654" spans="1:15" x14ac:dyDescent="0.25">
      <c r="A654" t="str">
        <f>"10/21/2020 18:19:54.788"</f>
        <v>10/21/2020 18:19:54.788</v>
      </c>
      <c r="B654" t="str">
        <f t="shared" si="35"/>
        <v>18:20:02.719</v>
      </c>
      <c r="C654" t="str">
        <f t="shared" si="35"/>
        <v>18:20:02.719</v>
      </c>
      <c r="D654" t="s">
        <v>269</v>
      </c>
      <c r="E654">
        <v>30.488219000000001</v>
      </c>
      <c r="F654" t="s">
        <v>270</v>
      </c>
      <c r="G654">
        <v>-89.762635000000003</v>
      </c>
      <c r="H654">
        <v>1600</v>
      </c>
      <c r="I654">
        <v>-57</v>
      </c>
      <c r="J654">
        <v>144</v>
      </c>
      <c r="K654">
        <v>-320</v>
      </c>
      <c r="L654">
        <v>1200</v>
      </c>
      <c r="M654" t="str">
        <f t="shared" si="34"/>
        <v xml:space="preserve">N35DC   </v>
      </c>
      <c r="N654">
        <v>1</v>
      </c>
      <c r="O654">
        <v>1725</v>
      </c>
    </row>
    <row r="655" spans="1:15" x14ac:dyDescent="0.25">
      <c r="A655" t="str">
        <f>"10/21/2020 18:19:54.788"</f>
        <v>10/21/2020 18:19:54.788</v>
      </c>
      <c r="B655" t="str">
        <f t="shared" si="35"/>
        <v>18:20:02.719</v>
      </c>
      <c r="C655" t="str">
        <f t="shared" si="35"/>
        <v>18:20:02.719</v>
      </c>
      <c r="D655" t="s">
        <v>269</v>
      </c>
      <c r="E655">
        <v>30.488219000000001</v>
      </c>
      <c r="F655" t="s">
        <v>270</v>
      </c>
      <c r="G655">
        <v>-89.762635000000003</v>
      </c>
      <c r="H655">
        <v>1600</v>
      </c>
      <c r="I655">
        <v>-57</v>
      </c>
      <c r="J655">
        <v>144</v>
      </c>
      <c r="K655">
        <v>-320</v>
      </c>
      <c r="L655">
        <v>1200</v>
      </c>
      <c r="M655" t="str">
        <f t="shared" si="34"/>
        <v xml:space="preserve">N35DC   </v>
      </c>
      <c r="N655">
        <v>1</v>
      </c>
      <c r="O655">
        <v>1725</v>
      </c>
    </row>
    <row r="656" spans="1:15" x14ac:dyDescent="0.25">
      <c r="A656" t="str">
        <f>"10/21/2020 18:19:54.788"</f>
        <v>10/21/2020 18:19:54.788</v>
      </c>
      <c r="B656" t="str">
        <f t="shared" si="35"/>
        <v>18:20:02.719</v>
      </c>
      <c r="C656" t="str">
        <f t="shared" si="35"/>
        <v>18:20:02.719</v>
      </c>
      <c r="D656" t="s">
        <v>269</v>
      </c>
      <c r="E656">
        <v>30.488219000000001</v>
      </c>
      <c r="F656" t="s">
        <v>270</v>
      </c>
      <c r="G656">
        <v>-89.762635000000003</v>
      </c>
      <c r="H656">
        <v>1600</v>
      </c>
      <c r="I656">
        <v>-57</v>
      </c>
      <c r="J656">
        <v>144</v>
      </c>
      <c r="K656">
        <v>-320</v>
      </c>
      <c r="L656">
        <v>1200</v>
      </c>
      <c r="M656" t="str">
        <f t="shared" si="34"/>
        <v xml:space="preserve">N35DC   </v>
      </c>
      <c r="N656">
        <v>1</v>
      </c>
      <c r="O656">
        <v>1725</v>
      </c>
    </row>
    <row r="657" spans="1:15" x14ac:dyDescent="0.25">
      <c r="A657" t="str">
        <f>"10/21/2020 18:19:57.721"</f>
        <v>10/21/2020 18:19:57.721</v>
      </c>
      <c r="B657" t="str">
        <f>"18:20:05.656"</f>
        <v>18:20:05.656</v>
      </c>
      <c r="C657" t="str">
        <f>"18:20:05.256"</f>
        <v>18:20:05.256</v>
      </c>
      <c r="D657" t="s">
        <v>271</v>
      </c>
      <c r="E657">
        <v>30.490172000000001</v>
      </c>
      <c r="F657" t="s">
        <v>272</v>
      </c>
      <c r="G657">
        <v>-89.763514999999998</v>
      </c>
      <c r="H657">
        <v>1600</v>
      </c>
      <c r="I657">
        <v>-58</v>
      </c>
      <c r="J657">
        <v>144</v>
      </c>
      <c r="K657">
        <v>-320</v>
      </c>
      <c r="L657">
        <v>1200</v>
      </c>
      <c r="M657" t="str">
        <f t="shared" si="34"/>
        <v xml:space="preserve">N35DC   </v>
      </c>
      <c r="N657">
        <v>1</v>
      </c>
      <c r="O657">
        <v>1700</v>
      </c>
    </row>
    <row r="658" spans="1:15" x14ac:dyDescent="0.25">
      <c r="A658" t="str">
        <f>"10/21/2020 18:19:57.721"</f>
        <v>10/21/2020 18:19:57.721</v>
      </c>
      <c r="B658" t="str">
        <f>"18:20:05.656"</f>
        <v>18:20:05.656</v>
      </c>
      <c r="C658" t="str">
        <f>"18:20:05.256"</f>
        <v>18:20:05.256</v>
      </c>
      <c r="D658" t="s">
        <v>271</v>
      </c>
      <c r="E658">
        <v>30.490172000000001</v>
      </c>
      <c r="F658" t="s">
        <v>272</v>
      </c>
      <c r="G658">
        <v>-89.763514999999998</v>
      </c>
      <c r="H658">
        <v>1600</v>
      </c>
      <c r="I658">
        <v>-58</v>
      </c>
      <c r="J658">
        <v>144</v>
      </c>
      <c r="K658">
        <v>-320</v>
      </c>
      <c r="L658">
        <v>1200</v>
      </c>
      <c r="M658" t="str">
        <f t="shared" si="34"/>
        <v xml:space="preserve">N35DC   </v>
      </c>
      <c r="N658">
        <v>1</v>
      </c>
      <c r="O658">
        <v>1700</v>
      </c>
    </row>
    <row r="659" spans="1:15" x14ac:dyDescent="0.25">
      <c r="A659" t="str">
        <f>"10/21/2020 18:19:57.721"</f>
        <v>10/21/2020 18:19:57.721</v>
      </c>
      <c r="B659" t="str">
        <f>"18:20:05.656"</f>
        <v>18:20:05.656</v>
      </c>
      <c r="C659" t="str">
        <f>"18:20:05.256"</f>
        <v>18:20:05.256</v>
      </c>
      <c r="D659" t="s">
        <v>271</v>
      </c>
      <c r="E659">
        <v>30.490172000000001</v>
      </c>
      <c r="F659" t="s">
        <v>272</v>
      </c>
      <c r="G659">
        <v>-89.763514999999998</v>
      </c>
      <c r="H659">
        <v>1600</v>
      </c>
      <c r="I659">
        <v>-58</v>
      </c>
      <c r="J659">
        <v>144</v>
      </c>
      <c r="K659">
        <v>-320</v>
      </c>
      <c r="L659">
        <v>1200</v>
      </c>
      <c r="M659" t="str">
        <f t="shared" si="34"/>
        <v xml:space="preserve">N35DC   </v>
      </c>
      <c r="N659">
        <v>1</v>
      </c>
      <c r="O659">
        <v>1700</v>
      </c>
    </row>
    <row r="660" spans="1:15" x14ac:dyDescent="0.25">
      <c r="A660" t="str">
        <f>"10/21/2020 18:19:57.721"</f>
        <v>10/21/2020 18:19:57.721</v>
      </c>
      <c r="B660" t="str">
        <f>"18:20:05.656"</f>
        <v>18:20:05.656</v>
      </c>
      <c r="C660" t="str">
        <f>"18:20:05.256"</f>
        <v>18:20:05.256</v>
      </c>
      <c r="D660" t="s">
        <v>271</v>
      </c>
      <c r="E660">
        <v>30.490172000000001</v>
      </c>
      <c r="F660" t="s">
        <v>272</v>
      </c>
      <c r="G660">
        <v>-89.763514999999998</v>
      </c>
      <c r="H660">
        <v>1600</v>
      </c>
      <c r="I660">
        <v>-58</v>
      </c>
      <c r="J660">
        <v>144</v>
      </c>
      <c r="K660">
        <v>-320</v>
      </c>
      <c r="L660">
        <v>1200</v>
      </c>
      <c r="M660" t="str">
        <f t="shared" si="34"/>
        <v xml:space="preserve">N35DC   </v>
      </c>
      <c r="N660">
        <v>1</v>
      </c>
      <c r="O660">
        <v>1700</v>
      </c>
    </row>
    <row r="661" spans="1:15" x14ac:dyDescent="0.25">
      <c r="A661" t="str">
        <f>"10/21/2020 18:19:57.721"</f>
        <v>10/21/2020 18:19:57.721</v>
      </c>
      <c r="B661" t="str">
        <f>"18:20:05.656"</f>
        <v>18:20:05.656</v>
      </c>
      <c r="C661" t="str">
        <f>"18:20:05.256"</f>
        <v>18:20:05.256</v>
      </c>
      <c r="D661" t="s">
        <v>271</v>
      </c>
      <c r="E661">
        <v>30.490172000000001</v>
      </c>
      <c r="F661" t="s">
        <v>272</v>
      </c>
      <c r="G661">
        <v>-89.763514999999998</v>
      </c>
      <c r="H661">
        <v>1600</v>
      </c>
      <c r="I661">
        <v>-58</v>
      </c>
      <c r="J661">
        <v>144</v>
      </c>
      <c r="K661">
        <v>-320</v>
      </c>
      <c r="L661">
        <v>1200</v>
      </c>
      <c r="M661" t="str">
        <f t="shared" si="34"/>
        <v xml:space="preserve">N35DC   </v>
      </c>
      <c r="N661">
        <v>1</v>
      </c>
      <c r="O661">
        <v>1700</v>
      </c>
    </row>
    <row r="662" spans="1:15" x14ac:dyDescent="0.25">
      <c r="A662" t="str">
        <f>"10/21/2020 18:19:58.645"</f>
        <v>10/21/2020 18:19:58.645</v>
      </c>
      <c r="B662" t="str">
        <f>"18:20:06.570"</f>
        <v>18:20:06.570</v>
      </c>
      <c r="C662" t="str">
        <f>"18:20:06.170"</f>
        <v>18:20:06.170</v>
      </c>
      <c r="D662" t="s">
        <v>273</v>
      </c>
      <c r="E662">
        <v>30.490836999999999</v>
      </c>
      <c r="F662" t="s">
        <v>274</v>
      </c>
      <c r="G662">
        <v>-89.763857999999999</v>
      </c>
      <c r="H662">
        <v>1600</v>
      </c>
      <c r="I662">
        <v>-59</v>
      </c>
      <c r="J662">
        <v>144</v>
      </c>
      <c r="K662">
        <v>-256</v>
      </c>
      <c r="L662">
        <v>1200</v>
      </c>
      <c r="M662" t="str">
        <f t="shared" si="34"/>
        <v xml:space="preserve">N35DC   </v>
      </c>
      <c r="N662">
        <v>1</v>
      </c>
      <c r="O662">
        <v>1700</v>
      </c>
    </row>
    <row r="663" spans="1:15" x14ac:dyDescent="0.25">
      <c r="A663" t="str">
        <f>"10/21/2020 18:19:58.645"</f>
        <v>10/21/2020 18:19:58.645</v>
      </c>
      <c r="B663" t="str">
        <f>"18:20:06.570"</f>
        <v>18:20:06.570</v>
      </c>
      <c r="C663" t="str">
        <f>"18:20:06.170"</f>
        <v>18:20:06.170</v>
      </c>
      <c r="D663" t="s">
        <v>273</v>
      </c>
      <c r="E663">
        <v>30.490836999999999</v>
      </c>
      <c r="F663" t="s">
        <v>274</v>
      </c>
      <c r="G663">
        <v>-89.763857999999999</v>
      </c>
      <c r="H663">
        <v>1600</v>
      </c>
      <c r="I663">
        <v>-59</v>
      </c>
      <c r="J663">
        <v>144</v>
      </c>
      <c r="K663">
        <v>-256</v>
      </c>
      <c r="L663">
        <v>1200</v>
      </c>
      <c r="M663" t="str">
        <f t="shared" si="34"/>
        <v xml:space="preserve">N35DC   </v>
      </c>
      <c r="N663">
        <v>1</v>
      </c>
      <c r="O663">
        <v>1700</v>
      </c>
    </row>
    <row r="664" spans="1:15" x14ac:dyDescent="0.25">
      <c r="A664" t="str">
        <f>"10/21/2020 18:19:58.645"</f>
        <v>10/21/2020 18:19:58.645</v>
      </c>
      <c r="B664" t="str">
        <f>"18:20:06.570"</f>
        <v>18:20:06.570</v>
      </c>
      <c r="C664" t="str">
        <f>"18:20:06.170"</f>
        <v>18:20:06.170</v>
      </c>
      <c r="D664" t="s">
        <v>273</v>
      </c>
      <c r="E664">
        <v>30.490836999999999</v>
      </c>
      <c r="F664" t="s">
        <v>274</v>
      </c>
      <c r="G664">
        <v>-89.763857999999999</v>
      </c>
      <c r="H664">
        <v>1600</v>
      </c>
      <c r="I664">
        <v>-59</v>
      </c>
      <c r="J664">
        <v>144</v>
      </c>
      <c r="K664">
        <v>-256</v>
      </c>
      <c r="L664">
        <v>1200</v>
      </c>
      <c r="M664" t="str">
        <f t="shared" si="34"/>
        <v xml:space="preserve">N35DC   </v>
      </c>
      <c r="N664">
        <v>1</v>
      </c>
      <c r="O664">
        <v>1700</v>
      </c>
    </row>
    <row r="665" spans="1:15" x14ac:dyDescent="0.25">
      <c r="A665" t="str">
        <f>"10/21/2020 18:19:58.645"</f>
        <v>10/21/2020 18:19:58.645</v>
      </c>
      <c r="B665" t="str">
        <f>"18:20:06.570"</f>
        <v>18:20:06.570</v>
      </c>
      <c r="C665" t="str">
        <f>"18:20:06.170"</f>
        <v>18:20:06.170</v>
      </c>
      <c r="D665" t="s">
        <v>273</v>
      </c>
      <c r="E665">
        <v>30.490836999999999</v>
      </c>
      <c r="F665" t="s">
        <v>274</v>
      </c>
      <c r="G665">
        <v>-89.763857999999999</v>
      </c>
      <c r="H665">
        <v>1600</v>
      </c>
      <c r="I665">
        <v>-59</v>
      </c>
      <c r="J665">
        <v>144</v>
      </c>
      <c r="K665">
        <v>-256</v>
      </c>
      <c r="L665">
        <v>1200</v>
      </c>
      <c r="M665" t="str">
        <f t="shared" si="34"/>
        <v xml:space="preserve">N35DC   </v>
      </c>
      <c r="N665">
        <v>1</v>
      </c>
      <c r="O665">
        <v>1700</v>
      </c>
    </row>
    <row r="666" spans="1:15" x14ac:dyDescent="0.25">
      <c r="A666" t="str">
        <f>"10/21/2020 18:19:58.645"</f>
        <v>10/21/2020 18:19:58.645</v>
      </c>
      <c r="B666" t="str">
        <f>"18:20:06.570"</f>
        <v>18:20:06.570</v>
      </c>
      <c r="C666" t="str">
        <f>"18:20:06.170"</f>
        <v>18:20:06.170</v>
      </c>
      <c r="D666" t="s">
        <v>273</v>
      </c>
      <c r="E666">
        <v>30.490836999999999</v>
      </c>
      <c r="F666" t="s">
        <v>274</v>
      </c>
      <c r="G666">
        <v>-89.763857999999999</v>
      </c>
      <c r="H666">
        <v>1600</v>
      </c>
      <c r="I666">
        <v>-59</v>
      </c>
      <c r="J666">
        <v>144</v>
      </c>
      <c r="K666">
        <v>-256</v>
      </c>
      <c r="L666">
        <v>1200</v>
      </c>
      <c r="M666" t="str">
        <f t="shared" si="34"/>
        <v xml:space="preserve">N35DC   </v>
      </c>
      <c r="N666">
        <v>1</v>
      </c>
      <c r="O666">
        <v>1700</v>
      </c>
    </row>
    <row r="667" spans="1:15" x14ac:dyDescent="0.25">
      <c r="A667" t="str">
        <f>"10/21/2020 18:20:01.754"</f>
        <v>10/21/2020 18:20:01.754</v>
      </c>
      <c r="B667" t="str">
        <f>"18:20:09.687"</f>
        <v>18:20:09.687</v>
      </c>
      <c r="C667" t="str">
        <f>"18:20:09.387"</f>
        <v>18:20:09.387</v>
      </c>
      <c r="D667" t="s">
        <v>275</v>
      </c>
      <c r="E667">
        <v>30.492918</v>
      </c>
      <c r="F667" t="s">
        <v>276</v>
      </c>
      <c r="G667">
        <v>-89.764866999999995</v>
      </c>
      <c r="H667">
        <v>1600</v>
      </c>
      <c r="I667">
        <v>-61</v>
      </c>
      <c r="J667">
        <v>144</v>
      </c>
      <c r="K667">
        <v>-128</v>
      </c>
      <c r="L667">
        <v>1200</v>
      </c>
      <c r="M667" t="str">
        <f t="shared" si="34"/>
        <v xml:space="preserve">N35DC   </v>
      </c>
      <c r="N667">
        <v>1</v>
      </c>
      <c r="O667">
        <v>1675</v>
      </c>
    </row>
    <row r="668" spans="1:15" x14ac:dyDescent="0.25">
      <c r="A668" t="str">
        <f>"10/21/2020 18:20:01.754"</f>
        <v>10/21/2020 18:20:01.754</v>
      </c>
      <c r="B668" t="str">
        <f>"18:20:09.687"</f>
        <v>18:20:09.687</v>
      </c>
      <c r="C668" t="str">
        <f>"18:20:09.387"</f>
        <v>18:20:09.387</v>
      </c>
      <c r="D668" t="s">
        <v>275</v>
      </c>
      <c r="E668">
        <v>30.492918</v>
      </c>
      <c r="F668" t="s">
        <v>276</v>
      </c>
      <c r="G668">
        <v>-89.764866999999995</v>
      </c>
      <c r="H668">
        <v>1600</v>
      </c>
      <c r="I668">
        <v>-61</v>
      </c>
      <c r="J668">
        <v>144</v>
      </c>
      <c r="K668">
        <v>-128</v>
      </c>
      <c r="L668">
        <v>1200</v>
      </c>
      <c r="M668" t="str">
        <f t="shared" si="34"/>
        <v xml:space="preserve">N35DC   </v>
      </c>
      <c r="N668">
        <v>1</v>
      </c>
      <c r="O668">
        <v>1675</v>
      </c>
    </row>
    <row r="669" spans="1:15" x14ac:dyDescent="0.25">
      <c r="A669" t="str">
        <f>"10/21/2020 18:20:01.754"</f>
        <v>10/21/2020 18:20:01.754</v>
      </c>
      <c r="B669" t="str">
        <f>"18:20:09.687"</f>
        <v>18:20:09.687</v>
      </c>
      <c r="C669" t="str">
        <f>"18:20:09.387"</f>
        <v>18:20:09.387</v>
      </c>
      <c r="D669" t="s">
        <v>275</v>
      </c>
      <c r="E669">
        <v>30.492918</v>
      </c>
      <c r="F669" t="s">
        <v>276</v>
      </c>
      <c r="G669">
        <v>-89.764866999999995</v>
      </c>
      <c r="H669">
        <v>1600</v>
      </c>
      <c r="I669">
        <v>-61</v>
      </c>
      <c r="J669">
        <v>144</v>
      </c>
      <c r="K669">
        <v>-128</v>
      </c>
      <c r="L669">
        <v>1200</v>
      </c>
      <c r="M669" t="str">
        <f t="shared" si="34"/>
        <v xml:space="preserve">N35DC   </v>
      </c>
      <c r="N669">
        <v>1</v>
      </c>
      <c r="O669">
        <v>1675</v>
      </c>
    </row>
    <row r="670" spans="1:15" x14ac:dyDescent="0.25">
      <c r="A670" t="str">
        <f>"10/21/2020 18:20:01.754"</f>
        <v>10/21/2020 18:20:01.754</v>
      </c>
      <c r="B670" t="str">
        <f>"18:20:09.687"</f>
        <v>18:20:09.687</v>
      </c>
      <c r="C670" t="str">
        <f>"18:20:09.387"</f>
        <v>18:20:09.387</v>
      </c>
      <c r="D670" t="s">
        <v>275</v>
      </c>
      <c r="E670">
        <v>30.492918</v>
      </c>
      <c r="F670" t="s">
        <v>276</v>
      </c>
      <c r="G670">
        <v>-89.764866999999995</v>
      </c>
      <c r="H670">
        <v>1600</v>
      </c>
      <c r="I670">
        <v>-61</v>
      </c>
      <c r="J670">
        <v>144</v>
      </c>
      <c r="K670">
        <v>-128</v>
      </c>
      <c r="L670">
        <v>1200</v>
      </c>
      <c r="M670" t="str">
        <f t="shared" si="34"/>
        <v xml:space="preserve">N35DC   </v>
      </c>
      <c r="N670">
        <v>1</v>
      </c>
      <c r="O670">
        <v>1675</v>
      </c>
    </row>
    <row r="671" spans="1:15" x14ac:dyDescent="0.25">
      <c r="A671" t="str">
        <f>"10/21/2020 18:20:01.754"</f>
        <v>10/21/2020 18:20:01.754</v>
      </c>
      <c r="B671" t="str">
        <f>"18:20:09.687"</f>
        <v>18:20:09.687</v>
      </c>
      <c r="C671" t="str">
        <f>"18:20:09.387"</f>
        <v>18:20:09.387</v>
      </c>
      <c r="D671" t="s">
        <v>275</v>
      </c>
      <c r="E671">
        <v>30.492918</v>
      </c>
      <c r="F671" t="s">
        <v>276</v>
      </c>
      <c r="G671">
        <v>-89.764866999999995</v>
      </c>
      <c r="H671">
        <v>1600</v>
      </c>
      <c r="I671">
        <v>-61</v>
      </c>
      <c r="J671">
        <v>144</v>
      </c>
      <c r="K671">
        <v>-128</v>
      </c>
      <c r="L671">
        <v>1200</v>
      </c>
      <c r="M671" t="str">
        <f t="shared" si="34"/>
        <v xml:space="preserve">N35DC   </v>
      </c>
      <c r="N671">
        <v>1</v>
      </c>
      <c r="O671">
        <v>1675</v>
      </c>
    </row>
    <row r="672" spans="1:15" x14ac:dyDescent="0.25">
      <c r="A672" t="str">
        <f>"10/21/2020 18:20:02.764"</f>
        <v>10/21/2020 18:20:02.764</v>
      </c>
      <c r="B672" t="str">
        <f>"18:20:10.695"</f>
        <v>18:20:10.695</v>
      </c>
      <c r="C672" t="str">
        <f>"18:20:10.295"</f>
        <v>18:20:10.295</v>
      </c>
      <c r="D672" t="s">
        <v>277</v>
      </c>
      <c r="E672">
        <v>30.493583999999998</v>
      </c>
      <c r="F672" t="s">
        <v>278</v>
      </c>
      <c r="G672">
        <v>-89.765167000000005</v>
      </c>
      <c r="H672">
        <v>1600</v>
      </c>
      <c r="I672">
        <v>-60</v>
      </c>
      <c r="J672">
        <v>144</v>
      </c>
      <c r="K672">
        <v>-192</v>
      </c>
      <c r="L672">
        <v>1200</v>
      </c>
      <c r="M672" t="str">
        <f t="shared" si="34"/>
        <v xml:space="preserve">N35DC   </v>
      </c>
      <c r="N672">
        <v>1</v>
      </c>
      <c r="O672">
        <v>1675</v>
      </c>
    </row>
    <row r="673" spans="1:15" x14ac:dyDescent="0.25">
      <c r="A673" t="str">
        <f>"10/21/2020 18:20:02.764"</f>
        <v>10/21/2020 18:20:02.764</v>
      </c>
      <c r="B673" t="str">
        <f>"18:20:10.695"</f>
        <v>18:20:10.695</v>
      </c>
      <c r="C673" t="str">
        <f>"18:20:10.295"</f>
        <v>18:20:10.295</v>
      </c>
      <c r="D673" t="s">
        <v>277</v>
      </c>
      <c r="E673">
        <v>30.493583999999998</v>
      </c>
      <c r="F673" t="s">
        <v>278</v>
      </c>
      <c r="G673">
        <v>-89.765167000000005</v>
      </c>
      <c r="H673">
        <v>1600</v>
      </c>
      <c r="I673">
        <v>-60</v>
      </c>
      <c r="J673">
        <v>144</v>
      </c>
      <c r="K673">
        <v>-192</v>
      </c>
      <c r="L673">
        <v>1200</v>
      </c>
      <c r="M673" t="str">
        <f t="shared" si="34"/>
        <v xml:space="preserve">N35DC   </v>
      </c>
      <c r="N673">
        <v>1</v>
      </c>
      <c r="O673">
        <v>1675</v>
      </c>
    </row>
    <row r="674" spans="1:15" x14ac:dyDescent="0.25">
      <c r="A674" t="str">
        <f>"10/21/2020 18:20:02.764"</f>
        <v>10/21/2020 18:20:02.764</v>
      </c>
      <c r="B674" t="str">
        <f>"18:20:10.695"</f>
        <v>18:20:10.695</v>
      </c>
      <c r="C674" t="str">
        <f>"18:20:10.295"</f>
        <v>18:20:10.295</v>
      </c>
      <c r="D674" t="s">
        <v>277</v>
      </c>
      <c r="E674">
        <v>30.493583999999998</v>
      </c>
      <c r="F674" t="s">
        <v>278</v>
      </c>
      <c r="G674">
        <v>-89.765167000000005</v>
      </c>
      <c r="H674">
        <v>1600</v>
      </c>
      <c r="I674">
        <v>-60</v>
      </c>
      <c r="J674">
        <v>144</v>
      </c>
      <c r="K674">
        <v>-192</v>
      </c>
      <c r="L674">
        <v>1200</v>
      </c>
      <c r="M674" t="str">
        <f t="shared" si="34"/>
        <v xml:space="preserve">N35DC   </v>
      </c>
      <c r="N674">
        <v>1</v>
      </c>
      <c r="O674">
        <v>1675</v>
      </c>
    </row>
    <row r="675" spans="1:15" x14ac:dyDescent="0.25">
      <c r="A675" t="str">
        <f>"10/21/2020 18:20:02.764"</f>
        <v>10/21/2020 18:20:02.764</v>
      </c>
      <c r="B675" t="str">
        <f>"18:20:10.695"</f>
        <v>18:20:10.695</v>
      </c>
      <c r="C675" t="str">
        <f>"18:20:10.295"</f>
        <v>18:20:10.295</v>
      </c>
      <c r="D675" t="s">
        <v>277</v>
      </c>
      <c r="E675">
        <v>30.493583999999998</v>
      </c>
      <c r="F675" t="s">
        <v>278</v>
      </c>
      <c r="G675">
        <v>-89.765167000000005</v>
      </c>
      <c r="H675">
        <v>1600</v>
      </c>
      <c r="I675">
        <v>-60</v>
      </c>
      <c r="J675">
        <v>144</v>
      </c>
      <c r="K675">
        <v>-192</v>
      </c>
      <c r="L675">
        <v>1200</v>
      </c>
      <c r="M675" t="str">
        <f t="shared" si="34"/>
        <v xml:space="preserve">N35DC   </v>
      </c>
      <c r="N675">
        <v>1</v>
      </c>
      <c r="O675">
        <v>1675</v>
      </c>
    </row>
    <row r="676" spans="1:15" x14ac:dyDescent="0.25">
      <c r="A676" t="str">
        <f>"10/21/2020 18:20:02.764"</f>
        <v>10/21/2020 18:20:02.764</v>
      </c>
      <c r="B676" t="str">
        <f>"18:20:10.695"</f>
        <v>18:20:10.695</v>
      </c>
      <c r="C676" t="str">
        <f>"18:20:10.295"</f>
        <v>18:20:10.295</v>
      </c>
      <c r="D676" t="s">
        <v>277</v>
      </c>
      <c r="E676">
        <v>30.493583999999998</v>
      </c>
      <c r="F676" t="s">
        <v>278</v>
      </c>
      <c r="G676">
        <v>-89.765167000000005</v>
      </c>
      <c r="H676">
        <v>1600</v>
      </c>
      <c r="I676">
        <v>-60</v>
      </c>
      <c r="J676">
        <v>144</v>
      </c>
      <c r="K676">
        <v>-192</v>
      </c>
      <c r="L676">
        <v>1200</v>
      </c>
      <c r="M676" t="str">
        <f t="shared" si="34"/>
        <v xml:space="preserve">N35DC   </v>
      </c>
      <c r="N676">
        <v>1</v>
      </c>
      <c r="O676">
        <v>1675</v>
      </c>
    </row>
    <row r="677" spans="1:15" x14ac:dyDescent="0.25">
      <c r="A677" t="str">
        <f>"10/21/2020 18:20:05.674"</f>
        <v>10/21/2020 18:20:05.674</v>
      </c>
      <c r="B677" t="str">
        <f>"18:20:13.617"</f>
        <v>18:20:13.617</v>
      </c>
      <c r="C677" t="str">
        <f>"18:20:13.417"</f>
        <v>18:20:13.417</v>
      </c>
      <c r="D677" t="s">
        <v>279</v>
      </c>
      <c r="E677">
        <v>30.495493</v>
      </c>
      <c r="F677" t="s">
        <v>280</v>
      </c>
      <c r="G677">
        <v>-89.766154</v>
      </c>
      <c r="H677">
        <v>1600</v>
      </c>
      <c r="I677">
        <v>-60</v>
      </c>
      <c r="J677">
        <v>143</v>
      </c>
      <c r="K677">
        <v>192</v>
      </c>
      <c r="L677">
        <v>1200</v>
      </c>
      <c r="M677" t="str">
        <f t="shared" si="34"/>
        <v xml:space="preserve">N35DC   </v>
      </c>
      <c r="N677">
        <v>1</v>
      </c>
      <c r="O677">
        <v>1675</v>
      </c>
    </row>
    <row r="678" spans="1:15" x14ac:dyDescent="0.25">
      <c r="A678" t="str">
        <f>"10/21/2020 18:20:05.674"</f>
        <v>10/21/2020 18:20:05.674</v>
      </c>
      <c r="B678" t="str">
        <f>"18:20:13.617"</f>
        <v>18:20:13.617</v>
      </c>
      <c r="C678" t="str">
        <f>"18:20:13.417"</f>
        <v>18:20:13.417</v>
      </c>
      <c r="D678" t="s">
        <v>279</v>
      </c>
      <c r="E678">
        <v>30.495493</v>
      </c>
      <c r="F678" t="s">
        <v>280</v>
      </c>
      <c r="G678">
        <v>-89.766154</v>
      </c>
      <c r="H678">
        <v>1600</v>
      </c>
      <c r="I678">
        <v>-60</v>
      </c>
      <c r="J678">
        <v>143</v>
      </c>
      <c r="K678">
        <v>192</v>
      </c>
      <c r="L678">
        <v>1200</v>
      </c>
      <c r="M678" t="str">
        <f t="shared" si="34"/>
        <v xml:space="preserve">N35DC   </v>
      </c>
      <c r="N678">
        <v>1</v>
      </c>
      <c r="O678">
        <v>1675</v>
      </c>
    </row>
    <row r="679" spans="1:15" x14ac:dyDescent="0.25">
      <c r="A679" t="str">
        <f>"10/21/2020 18:20:05.674"</f>
        <v>10/21/2020 18:20:05.674</v>
      </c>
      <c r="B679" t="str">
        <f>"18:20:13.617"</f>
        <v>18:20:13.617</v>
      </c>
      <c r="C679" t="str">
        <f>"18:20:13.417"</f>
        <v>18:20:13.417</v>
      </c>
      <c r="D679" t="s">
        <v>279</v>
      </c>
      <c r="E679">
        <v>30.495493</v>
      </c>
      <c r="F679" t="s">
        <v>280</v>
      </c>
      <c r="G679">
        <v>-89.766154</v>
      </c>
      <c r="H679">
        <v>1600</v>
      </c>
      <c r="I679">
        <v>-60</v>
      </c>
      <c r="J679">
        <v>143</v>
      </c>
      <c r="K679">
        <v>192</v>
      </c>
      <c r="L679">
        <v>1200</v>
      </c>
      <c r="M679" t="str">
        <f t="shared" si="34"/>
        <v xml:space="preserve">N35DC   </v>
      </c>
      <c r="N679">
        <v>1</v>
      </c>
      <c r="O679">
        <v>1675</v>
      </c>
    </row>
    <row r="680" spans="1:15" x14ac:dyDescent="0.25">
      <c r="A680" t="str">
        <f>"10/21/2020 18:20:05.674"</f>
        <v>10/21/2020 18:20:05.674</v>
      </c>
      <c r="B680" t="str">
        <f>"18:20:13.617"</f>
        <v>18:20:13.617</v>
      </c>
      <c r="C680" t="str">
        <f>"18:20:13.417"</f>
        <v>18:20:13.417</v>
      </c>
      <c r="D680" t="s">
        <v>279</v>
      </c>
      <c r="E680">
        <v>30.495493</v>
      </c>
      <c r="F680" t="s">
        <v>280</v>
      </c>
      <c r="G680">
        <v>-89.766154</v>
      </c>
      <c r="H680">
        <v>1600</v>
      </c>
      <c r="I680">
        <v>-60</v>
      </c>
      <c r="J680">
        <v>143</v>
      </c>
      <c r="K680">
        <v>192</v>
      </c>
      <c r="L680">
        <v>1200</v>
      </c>
      <c r="M680" t="str">
        <f t="shared" si="34"/>
        <v xml:space="preserve">N35DC   </v>
      </c>
      <c r="N680">
        <v>1</v>
      </c>
      <c r="O680">
        <v>1675</v>
      </c>
    </row>
    <row r="681" spans="1:15" x14ac:dyDescent="0.25">
      <c r="A681" t="str">
        <f>"10/21/2020 18:20:05.674"</f>
        <v>10/21/2020 18:20:05.674</v>
      </c>
      <c r="B681" t="str">
        <f>"18:20:13.617"</f>
        <v>18:20:13.617</v>
      </c>
      <c r="C681" t="str">
        <f>"18:20:13.417"</f>
        <v>18:20:13.417</v>
      </c>
      <c r="D681" t="s">
        <v>279</v>
      </c>
      <c r="E681">
        <v>30.495493</v>
      </c>
      <c r="F681" t="s">
        <v>280</v>
      </c>
      <c r="G681">
        <v>-89.766154</v>
      </c>
      <c r="H681">
        <v>1600</v>
      </c>
      <c r="I681">
        <v>-60</v>
      </c>
      <c r="J681">
        <v>143</v>
      </c>
      <c r="K681">
        <v>192</v>
      </c>
      <c r="L681">
        <v>1200</v>
      </c>
      <c r="M681" t="str">
        <f t="shared" si="34"/>
        <v xml:space="preserve">N35DC   </v>
      </c>
      <c r="N681">
        <v>1</v>
      </c>
      <c r="O681">
        <v>1675</v>
      </c>
    </row>
    <row r="682" spans="1:15" x14ac:dyDescent="0.25">
      <c r="A682" t="str">
        <f>"10/21/2020 18:20:06.691"</f>
        <v>10/21/2020 18:20:06.691</v>
      </c>
      <c r="B682" t="str">
        <f>"18:20:14.641"</f>
        <v>18:20:14.641</v>
      </c>
      <c r="C682" t="str">
        <f>"18:20:14.441"</f>
        <v>18:20:14.441</v>
      </c>
      <c r="D682" t="s">
        <v>281</v>
      </c>
      <c r="E682">
        <v>30.496179999999999</v>
      </c>
      <c r="F682" t="s">
        <v>282</v>
      </c>
      <c r="G682">
        <v>-89.766475999999997</v>
      </c>
      <c r="H682">
        <v>1600</v>
      </c>
      <c r="I682">
        <v>-60</v>
      </c>
      <c r="J682">
        <v>142</v>
      </c>
      <c r="K682">
        <v>128</v>
      </c>
      <c r="L682">
        <v>1200</v>
      </c>
      <c r="M682" t="str">
        <f t="shared" si="34"/>
        <v xml:space="preserve">N35DC   </v>
      </c>
      <c r="N682">
        <v>1</v>
      </c>
      <c r="O682">
        <v>1700</v>
      </c>
    </row>
    <row r="683" spans="1:15" x14ac:dyDescent="0.25">
      <c r="A683" t="str">
        <f>"10/21/2020 18:20:06.691"</f>
        <v>10/21/2020 18:20:06.691</v>
      </c>
      <c r="B683" t="str">
        <f>"18:20:14.641"</f>
        <v>18:20:14.641</v>
      </c>
      <c r="C683" t="str">
        <f>"18:20:14.441"</f>
        <v>18:20:14.441</v>
      </c>
      <c r="D683" t="s">
        <v>281</v>
      </c>
      <c r="E683">
        <v>30.496179999999999</v>
      </c>
      <c r="F683" t="s">
        <v>282</v>
      </c>
      <c r="G683">
        <v>-89.766475999999997</v>
      </c>
      <c r="H683">
        <v>1600</v>
      </c>
      <c r="I683">
        <v>-60</v>
      </c>
      <c r="J683">
        <v>142</v>
      </c>
      <c r="K683">
        <v>128</v>
      </c>
      <c r="L683">
        <v>1200</v>
      </c>
      <c r="M683" t="str">
        <f t="shared" si="34"/>
        <v xml:space="preserve">N35DC   </v>
      </c>
      <c r="N683">
        <v>1</v>
      </c>
      <c r="O683">
        <v>1700</v>
      </c>
    </row>
    <row r="684" spans="1:15" x14ac:dyDescent="0.25">
      <c r="A684" t="str">
        <f>"10/21/2020 18:20:06.691"</f>
        <v>10/21/2020 18:20:06.691</v>
      </c>
      <c r="B684" t="str">
        <f>"18:20:14.641"</f>
        <v>18:20:14.641</v>
      </c>
      <c r="C684" t="str">
        <f>"18:20:14.441"</f>
        <v>18:20:14.441</v>
      </c>
      <c r="D684" t="s">
        <v>281</v>
      </c>
      <c r="E684">
        <v>30.496179999999999</v>
      </c>
      <c r="F684" t="s">
        <v>282</v>
      </c>
      <c r="G684">
        <v>-89.766475999999997</v>
      </c>
      <c r="H684">
        <v>1600</v>
      </c>
      <c r="I684">
        <v>-60</v>
      </c>
      <c r="J684">
        <v>142</v>
      </c>
      <c r="K684">
        <v>128</v>
      </c>
      <c r="L684">
        <v>1200</v>
      </c>
      <c r="M684" t="str">
        <f t="shared" si="34"/>
        <v xml:space="preserve">N35DC   </v>
      </c>
      <c r="N684">
        <v>1</v>
      </c>
      <c r="O684">
        <v>1700</v>
      </c>
    </row>
    <row r="685" spans="1:15" x14ac:dyDescent="0.25">
      <c r="A685" t="str">
        <f>"10/21/2020 18:20:06.691"</f>
        <v>10/21/2020 18:20:06.691</v>
      </c>
      <c r="B685" t="str">
        <f>"18:20:14.641"</f>
        <v>18:20:14.641</v>
      </c>
      <c r="C685" t="str">
        <f>"18:20:14.441"</f>
        <v>18:20:14.441</v>
      </c>
      <c r="D685" t="s">
        <v>281</v>
      </c>
      <c r="E685">
        <v>30.496179999999999</v>
      </c>
      <c r="F685" t="s">
        <v>282</v>
      </c>
      <c r="G685">
        <v>-89.766475999999997</v>
      </c>
      <c r="H685">
        <v>1600</v>
      </c>
      <c r="I685">
        <v>-60</v>
      </c>
      <c r="J685">
        <v>142</v>
      </c>
      <c r="K685">
        <v>128</v>
      </c>
      <c r="L685">
        <v>1200</v>
      </c>
      <c r="M685" t="str">
        <f t="shared" si="34"/>
        <v xml:space="preserve">N35DC   </v>
      </c>
      <c r="N685">
        <v>1</v>
      </c>
      <c r="O685">
        <v>1700</v>
      </c>
    </row>
    <row r="686" spans="1:15" x14ac:dyDescent="0.25">
      <c r="A686" t="str">
        <f>"10/21/2020 18:20:06.691"</f>
        <v>10/21/2020 18:20:06.691</v>
      </c>
      <c r="B686" t="str">
        <f>"18:20:14.641"</f>
        <v>18:20:14.641</v>
      </c>
      <c r="C686" t="str">
        <f>"18:20:14.441"</f>
        <v>18:20:14.441</v>
      </c>
      <c r="D686" t="s">
        <v>281</v>
      </c>
      <c r="E686">
        <v>30.496179999999999</v>
      </c>
      <c r="F686" t="s">
        <v>282</v>
      </c>
      <c r="G686">
        <v>-89.766475999999997</v>
      </c>
      <c r="H686">
        <v>1600</v>
      </c>
      <c r="I686">
        <v>-60</v>
      </c>
      <c r="J686">
        <v>142</v>
      </c>
      <c r="K686">
        <v>128</v>
      </c>
      <c r="L686">
        <v>1200</v>
      </c>
      <c r="M686" t="str">
        <f t="shared" si="34"/>
        <v xml:space="preserve">N35DC   </v>
      </c>
      <c r="N686">
        <v>1</v>
      </c>
      <c r="O686">
        <v>1700</v>
      </c>
    </row>
    <row r="687" spans="1:15" x14ac:dyDescent="0.25">
      <c r="A687" t="str">
        <f>"10/21/2020 18:20:09.806"</f>
        <v>10/21/2020 18:20:09.806</v>
      </c>
      <c r="B687" t="str">
        <f>"18:20:17.727"</f>
        <v>18:20:17.727</v>
      </c>
      <c r="C687" t="str">
        <f>"18:20:17.427"</f>
        <v>18:20:17.427</v>
      </c>
      <c r="D687" t="s">
        <v>283</v>
      </c>
      <c r="E687">
        <v>30.498239999999999</v>
      </c>
      <c r="F687" t="s">
        <v>284</v>
      </c>
      <c r="G687">
        <v>-89.767463000000006</v>
      </c>
      <c r="H687">
        <v>1600</v>
      </c>
      <c r="I687">
        <v>-60</v>
      </c>
      <c r="J687">
        <v>142</v>
      </c>
      <c r="K687">
        <v>0</v>
      </c>
      <c r="L687">
        <v>1200</v>
      </c>
      <c r="M687" t="str">
        <f t="shared" si="34"/>
        <v xml:space="preserve">N35DC   </v>
      </c>
      <c r="N687">
        <v>1</v>
      </c>
      <c r="O687">
        <v>1700</v>
      </c>
    </row>
    <row r="688" spans="1:15" x14ac:dyDescent="0.25">
      <c r="A688" t="str">
        <f>"10/21/2020 18:20:09.806"</f>
        <v>10/21/2020 18:20:09.806</v>
      </c>
      <c r="B688" t="str">
        <f>"18:20:17.727"</f>
        <v>18:20:17.727</v>
      </c>
      <c r="C688" t="str">
        <f>"18:20:17.427"</f>
        <v>18:20:17.427</v>
      </c>
      <c r="D688" t="s">
        <v>283</v>
      </c>
      <c r="E688">
        <v>30.498239999999999</v>
      </c>
      <c r="F688" t="s">
        <v>284</v>
      </c>
      <c r="G688">
        <v>-89.767463000000006</v>
      </c>
      <c r="H688">
        <v>1600</v>
      </c>
      <c r="I688">
        <v>-60</v>
      </c>
      <c r="J688">
        <v>142</v>
      </c>
      <c r="K688">
        <v>0</v>
      </c>
      <c r="L688">
        <v>1200</v>
      </c>
      <c r="M688" t="str">
        <f t="shared" si="34"/>
        <v xml:space="preserve">N35DC   </v>
      </c>
      <c r="N688">
        <v>1</v>
      </c>
      <c r="O688">
        <v>1700</v>
      </c>
    </row>
    <row r="689" spans="1:15" x14ac:dyDescent="0.25">
      <c r="A689" t="str">
        <f>"10/21/2020 18:20:09.806"</f>
        <v>10/21/2020 18:20:09.806</v>
      </c>
      <c r="B689" t="str">
        <f>"18:20:17.727"</f>
        <v>18:20:17.727</v>
      </c>
      <c r="C689" t="str">
        <f>"18:20:17.427"</f>
        <v>18:20:17.427</v>
      </c>
      <c r="D689" t="s">
        <v>283</v>
      </c>
      <c r="E689">
        <v>30.498239999999999</v>
      </c>
      <c r="F689" t="s">
        <v>284</v>
      </c>
      <c r="G689">
        <v>-89.767463000000006</v>
      </c>
      <c r="H689">
        <v>1600</v>
      </c>
      <c r="I689">
        <v>-60</v>
      </c>
      <c r="J689">
        <v>142</v>
      </c>
      <c r="K689">
        <v>0</v>
      </c>
      <c r="L689">
        <v>1200</v>
      </c>
      <c r="M689" t="str">
        <f t="shared" si="34"/>
        <v xml:space="preserve">N35DC   </v>
      </c>
      <c r="N689">
        <v>1</v>
      </c>
      <c r="O689">
        <v>1700</v>
      </c>
    </row>
    <row r="690" spans="1:15" x14ac:dyDescent="0.25">
      <c r="A690" t="str">
        <f>"10/21/2020 18:20:09.806"</f>
        <v>10/21/2020 18:20:09.806</v>
      </c>
      <c r="B690" t="str">
        <f>"18:20:17.727"</f>
        <v>18:20:17.727</v>
      </c>
      <c r="C690" t="str">
        <f>"18:20:17.427"</f>
        <v>18:20:17.427</v>
      </c>
      <c r="D690" t="s">
        <v>283</v>
      </c>
      <c r="E690">
        <v>30.498239999999999</v>
      </c>
      <c r="F690" t="s">
        <v>284</v>
      </c>
      <c r="G690">
        <v>-89.767463000000006</v>
      </c>
      <c r="H690">
        <v>1600</v>
      </c>
      <c r="I690">
        <v>-60</v>
      </c>
      <c r="J690">
        <v>142</v>
      </c>
      <c r="K690">
        <v>0</v>
      </c>
      <c r="L690">
        <v>1200</v>
      </c>
      <c r="M690" t="str">
        <f t="shared" si="34"/>
        <v xml:space="preserve">N35DC   </v>
      </c>
      <c r="N690">
        <v>1</v>
      </c>
      <c r="O690">
        <v>1700</v>
      </c>
    </row>
    <row r="691" spans="1:15" x14ac:dyDescent="0.25">
      <c r="A691" t="str">
        <f>"10/21/2020 18:20:09.806"</f>
        <v>10/21/2020 18:20:09.806</v>
      </c>
      <c r="B691" t="str">
        <f>"18:20:17.727"</f>
        <v>18:20:17.727</v>
      </c>
      <c r="C691" t="str">
        <f>"18:20:17.427"</f>
        <v>18:20:17.427</v>
      </c>
      <c r="D691" t="s">
        <v>283</v>
      </c>
      <c r="E691">
        <v>30.498239999999999</v>
      </c>
      <c r="F691" t="s">
        <v>284</v>
      </c>
      <c r="G691">
        <v>-89.767463000000006</v>
      </c>
      <c r="H691">
        <v>1600</v>
      </c>
      <c r="I691">
        <v>-60</v>
      </c>
      <c r="J691">
        <v>142</v>
      </c>
      <c r="K691">
        <v>0</v>
      </c>
      <c r="L691">
        <v>1200</v>
      </c>
      <c r="M691" t="str">
        <f t="shared" si="34"/>
        <v xml:space="preserve">N35DC   </v>
      </c>
      <c r="N691">
        <v>1</v>
      </c>
      <c r="O691">
        <v>1700</v>
      </c>
    </row>
    <row r="692" spans="1:15" x14ac:dyDescent="0.25">
      <c r="A692" t="str">
        <f>"10/21/2020 18:20:10.716"</f>
        <v>10/21/2020 18:20:10.716</v>
      </c>
      <c r="B692" t="str">
        <f>"18:20:18.633"</f>
        <v>18:20:18.633</v>
      </c>
      <c r="C692" t="str">
        <f>"18:20:18.333"</f>
        <v>18:20:18.333</v>
      </c>
      <c r="D692" t="s">
        <v>285</v>
      </c>
      <c r="E692">
        <v>30.498840999999999</v>
      </c>
      <c r="F692" t="s">
        <v>286</v>
      </c>
      <c r="G692">
        <v>-89.767741999999998</v>
      </c>
      <c r="H692">
        <v>1600</v>
      </c>
      <c r="I692">
        <v>-60</v>
      </c>
      <c r="J692">
        <v>143</v>
      </c>
      <c r="K692">
        <v>192</v>
      </c>
      <c r="L692">
        <v>1200</v>
      </c>
      <c r="M692" t="str">
        <f t="shared" si="34"/>
        <v xml:space="preserve">N35DC   </v>
      </c>
      <c r="N692">
        <v>1</v>
      </c>
      <c r="O692">
        <v>1700</v>
      </c>
    </row>
    <row r="693" spans="1:15" x14ac:dyDescent="0.25">
      <c r="A693" t="str">
        <f>"10/21/2020 18:20:10.716"</f>
        <v>10/21/2020 18:20:10.716</v>
      </c>
      <c r="B693" t="str">
        <f>"18:20:18.633"</f>
        <v>18:20:18.633</v>
      </c>
      <c r="C693" t="str">
        <f>"18:20:18.333"</f>
        <v>18:20:18.333</v>
      </c>
      <c r="D693" t="s">
        <v>285</v>
      </c>
      <c r="E693">
        <v>30.498840999999999</v>
      </c>
      <c r="F693" t="s">
        <v>286</v>
      </c>
      <c r="G693">
        <v>-89.767741999999998</v>
      </c>
      <c r="H693">
        <v>1600</v>
      </c>
      <c r="I693">
        <v>-60</v>
      </c>
      <c r="J693">
        <v>143</v>
      </c>
      <c r="K693">
        <v>192</v>
      </c>
      <c r="L693">
        <v>1200</v>
      </c>
      <c r="M693" t="str">
        <f t="shared" si="34"/>
        <v xml:space="preserve">N35DC   </v>
      </c>
      <c r="N693">
        <v>1</v>
      </c>
      <c r="O693">
        <v>1700</v>
      </c>
    </row>
    <row r="694" spans="1:15" x14ac:dyDescent="0.25">
      <c r="A694" t="str">
        <f>"10/21/2020 18:20:10.716"</f>
        <v>10/21/2020 18:20:10.716</v>
      </c>
      <c r="B694" t="str">
        <f>"18:20:18.633"</f>
        <v>18:20:18.633</v>
      </c>
      <c r="C694" t="str">
        <f>"18:20:18.333"</f>
        <v>18:20:18.333</v>
      </c>
      <c r="D694" t="s">
        <v>285</v>
      </c>
      <c r="E694">
        <v>30.498840999999999</v>
      </c>
      <c r="F694" t="s">
        <v>286</v>
      </c>
      <c r="G694">
        <v>-89.767741999999998</v>
      </c>
      <c r="H694">
        <v>1600</v>
      </c>
      <c r="I694">
        <v>-60</v>
      </c>
      <c r="J694">
        <v>143</v>
      </c>
      <c r="K694">
        <v>192</v>
      </c>
      <c r="L694">
        <v>1200</v>
      </c>
      <c r="M694" t="str">
        <f t="shared" si="34"/>
        <v xml:space="preserve">N35DC   </v>
      </c>
      <c r="N694">
        <v>1</v>
      </c>
      <c r="O694">
        <v>1700</v>
      </c>
    </row>
    <row r="695" spans="1:15" x14ac:dyDescent="0.25">
      <c r="A695" t="str">
        <f>"10/21/2020 18:20:10.716"</f>
        <v>10/21/2020 18:20:10.716</v>
      </c>
      <c r="B695" t="str">
        <f>"18:20:18.633"</f>
        <v>18:20:18.633</v>
      </c>
      <c r="C695" t="str">
        <f>"18:20:18.333"</f>
        <v>18:20:18.333</v>
      </c>
      <c r="D695" t="s">
        <v>285</v>
      </c>
      <c r="E695">
        <v>30.498840999999999</v>
      </c>
      <c r="F695" t="s">
        <v>286</v>
      </c>
      <c r="G695">
        <v>-89.767741999999998</v>
      </c>
      <c r="H695">
        <v>1600</v>
      </c>
      <c r="I695">
        <v>-60</v>
      </c>
      <c r="J695">
        <v>143</v>
      </c>
      <c r="K695">
        <v>192</v>
      </c>
      <c r="L695">
        <v>1200</v>
      </c>
      <c r="M695" t="str">
        <f t="shared" si="34"/>
        <v xml:space="preserve">N35DC   </v>
      </c>
      <c r="N695">
        <v>1</v>
      </c>
      <c r="O695">
        <v>1700</v>
      </c>
    </row>
    <row r="696" spans="1:15" x14ac:dyDescent="0.25">
      <c r="A696" t="str">
        <f>"10/21/2020 18:20:10.716"</f>
        <v>10/21/2020 18:20:10.716</v>
      </c>
      <c r="B696" t="str">
        <f>"18:20:18.633"</f>
        <v>18:20:18.633</v>
      </c>
      <c r="C696" t="str">
        <f>"18:20:18.333"</f>
        <v>18:20:18.333</v>
      </c>
      <c r="D696" t="s">
        <v>285</v>
      </c>
      <c r="E696">
        <v>30.498840999999999</v>
      </c>
      <c r="F696" t="s">
        <v>286</v>
      </c>
      <c r="G696">
        <v>-89.767741999999998</v>
      </c>
      <c r="H696">
        <v>1600</v>
      </c>
      <c r="I696">
        <v>-60</v>
      </c>
      <c r="J696">
        <v>143</v>
      </c>
      <c r="K696">
        <v>192</v>
      </c>
      <c r="L696">
        <v>1200</v>
      </c>
      <c r="M696" t="str">
        <f t="shared" si="34"/>
        <v xml:space="preserve">N35DC   </v>
      </c>
      <c r="N696">
        <v>1</v>
      </c>
      <c r="O696">
        <v>1700</v>
      </c>
    </row>
    <row r="697" spans="1:15" x14ac:dyDescent="0.25">
      <c r="A697" t="str">
        <f>"10/21/2020 18:20:11.727"</f>
        <v>10/21/2020 18:20:11.727</v>
      </c>
      <c r="B697" t="str">
        <f t="shared" ref="B697:C701" si="36">"18:20:19.648"</f>
        <v>18:20:19.648</v>
      </c>
      <c r="C697" t="str">
        <f t="shared" si="36"/>
        <v>18:20:19.648</v>
      </c>
      <c r="D697" t="s">
        <v>287</v>
      </c>
      <c r="E697">
        <v>30.499506</v>
      </c>
      <c r="F697" t="s">
        <v>288</v>
      </c>
      <c r="G697">
        <v>-89.768107000000001</v>
      </c>
      <c r="H697">
        <v>1600</v>
      </c>
      <c r="I697">
        <v>-59</v>
      </c>
      <c r="J697">
        <v>143</v>
      </c>
      <c r="K697">
        <v>192</v>
      </c>
      <c r="L697">
        <v>1200</v>
      </c>
      <c r="M697" t="str">
        <f t="shared" si="34"/>
        <v xml:space="preserve">N35DC   </v>
      </c>
      <c r="N697">
        <v>1</v>
      </c>
      <c r="O697">
        <v>1700</v>
      </c>
    </row>
    <row r="698" spans="1:15" x14ac:dyDescent="0.25">
      <c r="A698" t="str">
        <f>"10/21/2020 18:20:11.727"</f>
        <v>10/21/2020 18:20:11.727</v>
      </c>
      <c r="B698" t="str">
        <f t="shared" si="36"/>
        <v>18:20:19.648</v>
      </c>
      <c r="C698" t="str">
        <f t="shared" si="36"/>
        <v>18:20:19.648</v>
      </c>
      <c r="D698" t="s">
        <v>287</v>
      </c>
      <c r="E698">
        <v>30.499506</v>
      </c>
      <c r="F698" t="s">
        <v>288</v>
      </c>
      <c r="G698">
        <v>-89.768107000000001</v>
      </c>
      <c r="H698">
        <v>1600</v>
      </c>
      <c r="I698">
        <v>-59</v>
      </c>
      <c r="J698">
        <v>143</v>
      </c>
      <c r="K698">
        <v>192</v>
      </c>
      <c r="L698">
        <v>1200</v>
      </c>
      <c r="M698" t="str">
        <f t="shared" si="34"/>
        <v xml:space="preserve">N35DC   </v>
      </c>
      <c r="N698">
        <v>1</v>
      </c>
      <c r="O698">
        <v>1700</v>
      </c>
    </row>
    <row r="699" spans="1:15" x14ac:dyDescent="0.25">
      <c r="A699" t="str">
        <f>"10/21/2020 18:20:11.727"</f>
        <v>10/21/2020 18:20:11.727</v>
      </c>
      <c r="B699" t="str">
        <f t="shared" si="36"/>
        <v>18:20:19.648</v>
      </c>
      <c r="C699" t="str">
        <f t="shared" si="36"/>
        <v>18:20:19.648</v>
      </c>
      <c r="D699" t="s">
        <v>287</v>
      </c>
      <c r="E699">
        <v>30.499506</v>
      </c>
      <c r="F699" t="s">
        <v>288</v>
      </c>
      <c r="G699">
        <v>-89.768107000000001</v>
      </c>
      <c r="H699">
        <v>1600</v>
      </c>
      <c r="I699">
        <v>-59</v>
      </c>
      <c r="J699">
        <v>143</v>
      </c>
      <c r="K699">
        <v>192</v>
      </c>
      <c r="L699">
        <v>1200</v>
      </c>
      <c r="M699" t="str">
        <f t="shared" si="34"/>
        <v xml:space="preserve">N35DC   </v>
      </c>
      <c r="N699">
        <v>1</v>
      </c>
      <c r="O699">
        <v>1700</v>
      </c>
    </row>
    <row r="700" spans="1:15" x14ac:dyDescent="0.25">
      <c r="A700" t="str">
        <f>"10/21/2020 18:20:11.727"</f>
        <v>10/21/2020 18:20:11.727</v>
      </c>
      <c r="B700" t="str">
        <f t="shared" si="36"/>
        <v>18:20:19.648</v>
      </c>
      <c r="C700" t="str">
        <f t="shared" si="36"/>
        <v>18:20:19.648</v>
      </c>
      <c r="D700" t="s">
        <v>287</v>
      </c>
      <c r="E700">
        <v>30.499506</v>
      </c>
      <c r="F700" t="s">
        <v>288</v>
      </c>
      <c r="G700">
        <v>-89.768107000000001</v>
      </c>
      <c r="H700">
        <v>1600</v>
      </c>
      <c r="I700">
        <v>-59</v>
      </c>
      <c r="J700">
        <v>143</v>
      </c>
      <c r="K700">
        <v>192</v>
      </c>
      <c r="L700">
        <v>1200</v>
      </c>
      <c r="M700" t="str">
        <f t="shared" si="34"/>
        <v xml:space="preserve">N35DC   </v>
      </c>
      <c r="N700">
        <v>1</v>
      </c>
      <c r="O700">
        <v>1700</v>
      </c>
    </row>
    <row r="701" spans="1:15" x14ac:dyDescent="0.25">
      <c r="A701" t="str">
        <f>"10/21/2020 18:20:11.727"</f>
        <v>10/21/2020 18:20:11.727</v>
      </c>
      <c r="B701" t="str">
        <f t="shared" si="36"/>
        <v>18:20:19.648</v>
      </c>
      <c r="C701" t="str">
        <f t="shared" si="36"/>
        <v>18:20:19.648</v>
      </c>
      <c r="D701" t="s">
        <v>287</v>
      </c>
      <c r="E701">
        <v>30.499506</v>
      </c>
      <c r="F701" t="s">
        <v>288</v>
      </c>
      <c r="G701">
        <v>-89.768107000000001</v>
      </c>
      <c r="H701">
        <v>1600</v>
      </c>
      <c r="I701">
        <v>-59</v>
      </c>
      <c r="J701">
        <v>143</v>
      </c>
      <c r="K701">
        <v>192</v>
      </c>
      <c r="L701">
        <v>1200</v>
      </c>
      <c r="M701" t="str">
        <f t="shared" si="34"/>
        <v xml:space="preserve">N35DC   </v>
      </c>
      <c r="N701">
        <v>1</v>
      </c>
      <c r="O701">
        <v>1700</v>
      </c>
    </row>
    <row r="702" spans="1:15" x14ac:dyDescent="0.25">
      <c r="A702" t="str">
        <f>"10/21/2020 18:20:14.855"</f>
        <v>10/21/2020 18:20:14.855</v>
      </c>
      <c r="B702" t="str">
        <f>"18:20:22.766"</f>
        <v>18:20:22.766</v>
      </c>
      <c r="C702" t="str">
        <f>"18:20:22.366"</f>
        <v>18:20:22.366</v>
      </c>
      <c r="D702" t="s">
        <v>289</v>
      </c>
      <c r="E702">
        <v>30.501566</v>
      </c>
      <c r="F702" t="s">
        <v>290</v>
      </c>
      <c r="G702">
        <v>-89.769007999999999</v>
      </c>
      <c r="H702">
        <v>1600</v>
      </c>
      <c r="I702">
        <v>-58</v>
      </c>
      <c r="J702">
        <v>144</v>
      </c>
      <c r="K702">
        <v>128</v>
      </c>
      <c r="L702">
        <v>1200</v>
      </c>
      <c r="M702" t="str">
        <f t="shared" si="34"/>
        <v xml:space="preserve">N35DC   </v>
      </c>
      <c r="N702">
        <v>1</v>
      </c>
      <c r="O702">
        <v>1700</v>
      </c>
    </row>
    <row r="703" spans="1:15" x14ac:dyDescent="0.25">
      <c r="A703" t="str">
        <f>"10/21/2020 18:20:14.855"</f>
        <v>10/21/2020 18:20:14.855</v>
      </c>
      <c r="B703" t="str">
        <f>"18:20:22.766"</f>
        <v>18:20:22.766</v>
      </c>
      <c r="C703" t="str">
        <f>"18:20:22.366"</f>
        <v>18:20:22.366</v>
      </c>
      <c r="D703" t="s">
        <v>289</v>
      </c>
      <c r="E703">
        <v>30.501566</v>
      </c>
      <c r="F703" t="s">
        <v>290</v>
      </c>
      <c r="G703">
        <v>-89.769007999999999</v>
      </c>
      <c r="H703">
        <v>1600</v>
      </c>
      <c r="I703">
        <v>-58</v>
      </c>
      <c r="J703">
        <v>144</v>
      </c>
      <c r="K703">
        <v>128</v>
      </c>
      <c r="L703">
        <v>1200</v>
      </c>
      <c r="M703" t="str">
        <f t="shared" si="34"/>
        <v xml:space="preserve">N35DC   </v>
      </c>
      <c r="N703">
        <v>1</v>
      </c>
      <c r="O703">
        <v>1700</v>
      </c>
    </row>
    <row r="704" spans="1:15" x14ac:dyDescent="0.25">
      <c r="A704" t="str">
        <f>"10/21/2020 18:20:14.855"</f>
        <v>10/21/2020 18:20:14.855</v>
      </c>
      <c r="B704" t="str">
        <f>"18:20:22.766"</f>
        <v>18:20:22.766</v>
      </c>
      <c r="C704" t="str">
        <f>"18:20:22.366"</f>
        <v>18:20:22.366</v>
      </c>
      <c r="D704" t="s">
        <v>289</v>
      </c>
      <c r="E704">
        <v>30.501566</v>
      </c>
      <c r="F704" t="s">
        <v>290</v>
      </c>
      <c r="G704">
        <v>-89.769007999999999</v>
      </c>
      <c r="H704">
        <v>1600</v>
      </c>
      <c r="I704">
        <v>-58</v>
      </c>
      <c r="J704">
        <v>144</v>
      </c>
      <c r="K704">
        <v>128</v>
      </c>
      <c r="L704">
        <v>1200</v>
      </c>
      <c r="M704" t="str">
        <f t="shared" si="34"/>
        <v xml:space="preserve">N35DC   </v>
      </c>
      <c r="N704">
        <v>1</v>
      </c>
      <c r="O704">
        <v>1700</v>
      </c>
    </row>
    <row r="705" spans="1:15" x14ac:dyDescent="0.25">
      <c r="A705" t="str">
        <f>"10/21/2020 18:20:14.855"</f>
        <v>10/21/2020 18:20:14.855</v>
      </c>
      <c r="B705" t="str">
        <f>"18:20:22.766"</f>
        <v>18:20:22.766</v>
      </c>
      <c r="C705" t="str">
        <f>"18:20:22.366"</f>
        <v>18:20:22.366</v>
      </c>
      <c r="D705" t="s">
        <v>289</v>
      </c>
      <c r="E705">
        <v>30.501566</v>
      </c>
      <c r="F705" t="s">
        <v>290</v>
      </c>
      <c r="G705">
        <v>-89.769007999999999</v>
      </c>
      <c r="H705">
        <v>1600</v>
      </c>
      <c r="I705">
        <v>-58</v>
      </c>
      <c r="J705">
        <v>144</v>
      </c>
      <c r="K705">
        <v>128</v>
      </c>
      <c r="L705">
        <v>1200</v>
      </c>
      <c r="M705" t="str">
        <f t="shared" si="34"/>
        <v xml:space="preserve">N35DC   </v>
      </c>
      <c r="N705">
        <v>1</v>
      </c>
      <c r="O705">
        <v>1700</v>
      </c>
    </row>
    <row r="706" spans="1:15" x14ac:dyDescent="0.25">
      <c r="A706" t="str">
        <f>"10/21/2020 18:20:14.855"</f>
        <v>10/21/2020 18:20:14.855</v>
      </c>
      <c r="B706" t="str">
        <f>"18:20:22.766"</f>
        <v>18:20:22.766</v>
      </c>
      <c r="C706" t="str">
        <f>"18:20:22.366"</f>
        <v>18:20:22.366</v>
      </c>
      <c r="D706" t="s">
        <v>289</v>
      </c>
      <c r="E706">
        <v>30.501566</v>
      </c>
      <c r="F706" t="s">
        <v>290</v>
      </c>
      <c r="G706">
        <v>-89.769007999999999</v>
      </c>
      <c r="H706">
        <v>1600</v>
      </c>
      <c r="I706">
        <v>-58</v>
      </c>
      <c r="J706">
        <v>144</v>
      </c>
      <c r="K706">
        <v>128</v>
      </c>
      <c r="L706">
        <v>1200</v>
      </c>
      <c r="M706" t="str">
        <f t="shared" si="34"/>
        <v xml:space="preserve">N35DC   </v>
      </c>
      <c r="N706">
        <v>1</v>
      </c>
      <c r="O706">
        <v>1700</v>
      </c>
    </row>
    <row r="707" spans="1:15" x14ac:dyDescent="0.25">
      <c r="A707" t="str">
        <f>"10/21/2020 18:20:15.861"</f>
        <v>10/21/2020 18:20:15.861</v>
      </c>
      <c r="B707" t="str">
        <f>"18:20:23.773"</f>
        <v>18:20:23.773</v>
      </c>
      <c r="C707" t="str">
        <f>"18:20:23.373"</f>
        <v>18:20:23.373</v>
      </c>
      <c r="D707" t="s">
        <v>291</v>
      </c>
      <c r="E707">
        <v>30.502274</v>
      </c>
      <c r="F707" t="s">
        <v>213</v>
      </c>
      <c r="G707">
        <v>-89.769351</v>
      </c>
      <c r="H707">
        <v>1600</v>
      </c>
      <c r="I707">
        <v>-56</v>
      </c>
      <c r="J707">
        <v>145</v>
      </c>
      <c r="K707">
        <v>192</v>
      </c>
      <c r="L707">
        <v>1200</v>
      </c>
      <c r="M707" t="str">
        <f t="shared" si="34"/>
        <v xml:space="preserve">N35DC   </v>
      </c>
      <c r="N707">
        <v>1</v>
      </c>
      <c r="O707">
        <v>1700</v>
      </c>
    </row>
    <row r="708" spans="1:15" x14ac:dyDescent="0.25">
      <c r="A708" t="str">
        <f>"10/21/2020 18:20:15.861"</f>
        <v>10/21/2020 18:20:15.861</v>
      </c>
      <c r="B708" t="str">
        <f>"18:20:23.773"</f>
        <v>18:20:23.773</v>
      </c>
      <c r="C708" t="str">
        <f>"18:20:23.373"</f>
        <v>18:20:23.373</v>
      </c>
      <c r="D708" t="s">
        <v>291</v>
      </c>
      <c r="E708">
        <v>30.502274</v>
      </c>
      <c r="F708" t="s">
        <v>213</v>
      </c>
      <c r="G708">
        <v>-89.769351</v>
      </c>
      <c r="H708">
        <v>1600</v>
      </c>
      <c r="I708">
        <v>-56</v>
      </c>
      <c r="J708">
        <v>145</v>
      </c>
      <c r="K708">
        <v>192</v>
      </c>
      <c r="L708">
        <v>1200</v>
      </c>
      <c r="M708" t="str">
        <f t="shared" si="34"/>
        <v xml:space="preserve">N35DC   </v>
      </c>
      <c r="N708">
        <v>1</v>
      </c>
      <c r="O708">
        <v>1700</v>
      </c>
    </row>
    <row r="709" spans="1:15" x14ac:dyDescent="0.25">
      <c r="A709" t="str">
        <f>"10/21/2020 18:20:15.861"</f>
        <v>10/21/2020 18:20:15.861</v>
      </c>
      <c r="B709" t="str">
        <f>"18:20:23.773"</f>
        <v>18:20:23.773</v>
      </c>
      <c r="C709" t="str">
        <f>"18:20:23.373"</f>
        <v>18:20:23.373</v>
      </c>
      <c r="D709" t="s">
        <v>291</v>
      </c>
      <c r="E709">
        <v>30.502274</v>
      </c>
      <c r="F709" t="s">
        <v>213</v>
      </c>
      <c r="G709">
        <v>-89.769351</v>
      </c>
      <c r="H709">
        <v>1600</v>
      </c>
      <c r="I709">
        <v>-56</v>
      </c>
      <c r="J709">
        <v>145</v>
      </c>
      <c r="K709">
        <v>192</v>
      </c>
      <c r="L709">
        <v>1200</v>
      </c>
      <c r="M709" t="str">
        <f t="shared" si="34"/>
        <v xml:space="preserve">N35DC   </v>
      </c>
      <c r="N709">
        <v>1</v>
      </c>
      <c r="O709">
        <v>1700</v>
      </c>
    </row>
    <row r="710" spans="1:15" x14ac:dyDescent="0.25">
      <c r="A710" t="str">
        <f>"10/21/2020 18:20:15.861"</f>
        <v>10/21/2020 18:20:15.861</v>
      </c>
      <c r="B710" t="str">
        <f>"18:20:23.773"</f>
        <v>18:20:23.773</v>
      </c>
      <c r="C710" t="str">
        <f>"18:20:23.373"</f>
        <v>18:20:23.373</v>
      </c>
      <c r="D710" t="s">
        <v>291</v>
      </c>
      <c r="E710">
        <v>30.502274</v>
      </c>
      <c r="F710" t="s">
        <v>213</v>
      </c>
      <c r="G710">
        <v>-89.769351</v>
      </c>
      <c r="H710">
        <v>1600</v>
      </c>
      <c r="I710">
        <v>-56</v>
      </c>
      <c r="J710">
        <v>145</v>
      </c>
      <c r="K710">
        <v>192</v>
      </c>
      <c r="L710">
        <v>1200</v>
      </c>
      <c r="M710" t="str">
        <f t="shared" si="34"/>
        <v xml:space="preserve">N35DC   </v>
      </c>
      <c r="N710">
        <v>1</v>
      </c>
      <c r="O710">
        <v>1700</v>
      </c>
    </row>
    <row r="711" spans="1:15" x14ac:dyDescent="0.25">
      <c r="A711" t="str">
        <f>"10/21/2020 18:20:15.861"</f>
        <v>10/21/2020 18:20:15.861</v>
      </c>
      <c r="B711" t="str">
        <f>"18:20:23.773"</f>
        <v>18:20:23.773</v>
      </c>
      <c r="C711" t="str">
        <f>"18:20:23.373"</f>
        <v>18:20:23.373</v>
      </c>
      <c r="D711" t="s">
        <v>291</v>
      </c>
      <c r="E711">
        <v>30.502274</v>
      </c>
      <c r="F711" t="s">
        <v>213</v>
      </c>
      <c r="G711">
        <v>-89.769351</v>
      </c>
      <c r="H711">
        <v>1600</v>
      </c>
      <c r="I711">
        <v>-56</v>
      </c>
      <c r="J711">
        <v>145</v>
      </c>
      <c r="K711">
        <v>192</v>
      </c>
      <c r="L711">
        <v>1200</v>
      </c>
      <c r="M711" t="str">
        <f t="shared" ref="M711:M774" si="37">"N35DC   "</f>
        <v xml:space="preserve">N35DC   </v>
      </c>
      <c r="N711">
        <v>1</v>
      </c>
      <c r="O711">
        <v>1700</v>
      </c>
    </row>
    <row r="712" spans="1:15" x14ac:dyDescent="0.25">
      <c r="A712" t="str">
        <f>"10/21/2020 18:20:18.721"</f>
        <v>10/21/2020 18:20:18.721</v>
      </c>
      <c r="B712" t="str">
        <f>"18:20:26.672"</f>
        <v>18:20:26.672</v>
      </c>
      <c r="C712" t="str">
        <f>"18:20:26.472"</f>
        <v>18:20:26.472</v>
      </c>
      <c r="D712" t="s">
        <v>292</v>
      </c>
      <c r="E712">
        <v>30.504248</v>
      </c>
      <c r="F712" t="s">
        <v>293</v>
      </c>
      <c r="G712">
        <v>-89.770230999999995</v>
      </c>
      <c r="H712">
        <v>1600</v>
      </c>
      <c r="I712">
        <v>-54</v>
      </c>
      <c r="J712">
        <v>146</v>
      </c>
      <c r="K712">
        <v>64</v>
      </c>
      <c r="L712">
        <v>1200</v>
      </c>
      <c r="M712" t="str">
        <f t="shared" si="37"/>
        <v xml:space="preserve">N35DC   </v>
      </c>
      <c r="N712">
        <v>1</v>
      </c>
      <c r="O712">
        <v>1700</v>
      </c>
    </row>
    <row r="713" spans="1:15" x14ac:dyDescent="0.25">
      <c r="A713" t="str">
        <f>"10/21/2020 18:20:18.721"</f>
        <v>10/21/2020 18:20:18.721</v>
      </c>
      <c r="B713" t="str">
        <f>"18:20:26.672"</f>
        <v>18:20:26.672</v>
      </c>
      <c r="C713" t="str">
        <f>"18:20:26.472"</f>
        <v>18:20:26.472</v>
      </c>
      <c r="D713" t="s">
        <v>292</v>
      </c>
      <c r="E713">
        <v>30.504248</v>
      </c>
      <c r="F713" t="s">
        <v>293</v>
      </c>
      <c r="G713">
        <v>-89.770230999999995</v>
      </c>
      <c r="H713">
        <v>1600</v>
      </c>
      <c r="I713">
        <v>-54</v>
      </c>
      <c r="J713">
        <v>146</v>
      </c>
      <c r="K713">
        <v>64</v>
      </c>
      <c r="L713">
        <v>1200</v>
      </c>
      <c r="M713" t="str">
        <f t="shared" si="37"/>
        <v xml:space="preserve">N35DC   </v>
      </c>
      <c r="N713">
        <v>1</v>
      </c>
      <c r="O713">
        <v>1700</v>
      </c>
    </row>
    <row r="714" spans="1:15" x14ac:dyDescent="0.25">
      <c r="A714" t="str">
        <f>"10/21/2020 18:20:18.721"</f>
        <v>10/21/2020 18:20:18.721</v>
      </c>
      <c r="B714" t="str">
        <f>"18:20:26.672"</f>
        <v>18:20:26.672</v>
      </c>
      <c r="C714" t="str">
        <f>"18:20:26.472"</f>
        <v>18:20:26.472</v>
      </c>
      <c r="D714" t="s">
        <v>292</v>
      </c>
      <c r="E714">
        <v>30.504248</v>
      </c>
      <c r="F714" t="s">
        <v>293</v>
      </c>
      <c r="G714">
        <v>-89.770230999999995</v>
      </c>
      <c r="H714">
        <v>1600</v>
      </c>
      <c r="I714">
        <v>-54</v>
      </c>
      <c r="J714">
        <v>146</v>
      </c>
      <c r="K714">
        <v>64</v>
      </c>
      <c r="L714">
        <v>1200</v>
      </c>
      <c r="M714" t="str">
        <f t="shared" si="37"/>
        <v xml:space="preserve">N35DC   </v>
      </c>
      <c r="N714">
        <v>1</v>
      </c>
      <c r="O714">
        <v>1700</v>
      </c>
    </row>
    <row r="715" spans="1:15" x14ac:dyDescent="0.25">
      <c r="A715" t="str">
        <f>"10/21/2020 18:20:18.721"</f>
        <v>10/21/2020 18:20:18.721</v>
      </c>
      <c r="B715" t="str">
        <f>"18:20:26.672"</f>
        <v>18:20:26.672</v>
      </c>
      <c r="C715" t="str">
        <f>"18:20:26.472"</f>
        <v>18:20:26.472</v>
      </c>
      <c r="D715" t="s">
        <v>292</v>
      </c>
      <c r="E715">
        <v>30.504248</v>
      </c>
      <c r="F715" t="s">
        <v>293</v>
      </c>
      <c r="G715">
        <v>-89.770230999999995</v>
      </c>
      <c r="H715">
        <v>1600</v>
      </c>
      <c r="I715">
        <v>-54</v>
      </c>
      <c r="J715">
        <v>146</v>
      </c>
      <c r="K715">
        <v>64</v>
      </c>
      <c r="L715">
        <v>1200</v>
      </c>
      <c r="M715" t="str">
        <f t="shared" si="37"/>
        <v xml:space="preserve">N35DC   </v>
      </c>
      <c r="N715">
        <v>1</v>
      </c>
      <c r="O715">
        <v>1700</v>
      </c>
    </row>
    <row r="716" spans="1:15" x14ac:dyDescent="0.25">
      <c r="A716" t="str">
        <f>"10/21/2020 18:20:18.721"</f>
        <v>10/21/2020 18:20:18.721</v>
      </c>
      <c r="B716" t="str">
        <f>"18:20:26.672"</f>
        <v>18:20:26.672</v>
      </c>
      <c r="C716" t="str">
        <f>"18:20:26.472"</f>
        <v>18:20:26.472</v>
      </c>
      <c r="D716" t="s">
        <v>292</v>
      </c>
      <c r="E716">
        <v>30.504248</v>
      </c>
      <c r="F716" t="s">
        <v>293</v>
      </c>
      <c r="G716">
        <v>-89.770230999999995</v>
      </c>
      <c r="H716">
        <v>1600</v>
      </c>
      <c r="I716">
        <v>-54</v>
      </c>
      <c r="J716">
        <v>146</v>
      </c>
      <c r="K716">
        <v>64</v>
      </c>
      <c r="L716">
        <v>1200</v>
      </c>
      <c r="M716" t="str">
        <f t="shared" si="37"/>
        <v xml:space="preserve">N35DC   </v>
      </c>
      <c r="N716">
        <v>1</v>
      </c>
      <c r="O716">
        <v>1700</v>
      </c>
    </row>
    <row r="717" spans="1:15" x14ac:dyDescent="0.25">
      <c r="A717" t="str">
        <f>"10/21/2020 18:20:19.778"</f>
        <v>10/21/2020 18:20:19.778</v>
      </c>
      <c r="B717" t="str">
        <f>"18:20:27.719"</f>
        <v>18:20:27.719</v>
      </c>
      <c r="C717" t="str">
        <f>"18:20:27.419"</f>
        <v>18:20:27.419</v>
      </c>
      <c r="D717" t="s">
        <v>294</v>
      </c>
      <c r="E717">
        <v>30.504912999999998</v>
      </c>
      <c r="F717" t="s">
        <v>295</v>
      </c>
      <c r="G717">
        <v>-89.770532000000003</v>
      </c>
      <c r="H717">
        <v>1600</v>
      </c>
      <c r="I717">
        <v>-53</v>
      </c>
      <c r="J717">
        <v>147</v>
      </c>
      <c r="K717">
        <v>-64</v>
      </c>
      <c r="L717">
        <v>1200</v>
      </c>
      <c r="M717" t="str">
        <f t="shared" si="37"/>
        <v xml:space="preserve">N35DC   </v>
      </c>
      <c r="N717">
        <v>1</v>
      </c>
      <c r="O717">
        <v>1700</v>
      </c>
    </row>
    <row r="718" spans="1:15" x14ac:dyDescent="0.25">
      <c r="A718" t="str">
        <f>"10/21/2020 18:20:19.778"</f>
        <v>10/21/2020 18:20:19.778</v>
      </c>
      <c r="B718" t="str">
        <f>"18:20:27.719"</f>
        <v>18:20:27.719</v>
      </c>
      <c r="C718" t="str">
        <f>"18:20:27.419"</f>
        <v>18:20:27.419</v>
      </c>
      <c r="D718" t="s">
        <v>294</v>
      </c>
      <c r="E718">
        <v>30.504912999999998</v>
      </c>
      <c r="F718" t="s">
        <v>295</v>
      </c>
      <c r="G718">
        <v>-89.770532000000003</v>
      </c>
      <c r="H718">
        <v>1600</v>
      </c>
      <c r="I718">
        <v>-53</v>
      </c>
      <c r="J718">
        <v>147</v>
      </c>
      <c r="K718">
        <v>-64</v>
      </c>
      <c r="L718">
        <v>1200</v>
      </c>
      <c r="M718" t="str">
        <f t="shared" si="37"/>
        <v xml:space="preserve">N35DC   </v>
      </c>
      <c r="N718">
        <v>1</v>
      </c>
      <c r="O718">
        <v>1700</v>
      </c>
    </row>
    <row r="719" spans="1:15" x14ac:dyDescent="0.25">
      <c r="A719" t="str">
        <f>"10/21/2020 18:20:19.778"</f>
        <v>10/21/2020 18:20:19.778</v>
      </c>
      <c r="B719" t="str">
        <f>"18:20:27.719"</f>
        <v>18:20:27.719</v>
      </c>
      <c r="C719" t="str">
        <f>"18:20:27.419"</f>
        <v>18:20:27.419</v>
      </c>
      <c r="D719" t="s">
        <v>294</v>
      </c>
      <c r="E719">
        <v>30.504912999999998</v>
      </c>
      <c r="F719" t="s">
        <v>295</v>
      </c>
      <c r="G719">
        <v>-89.770532000000003</v>
      </c>
      <c r="H719">
        <v>1600</v>
      </c>
      <c r="I719">
        <v>-53</v>
      </c>
      <c r="J719">
        <v>147</v>
      </c>
      <c r="K719">
        <v>-64</v>
      </c>
      <c r="L719">
        <v>1200</v>
      </c>
      <c r="M719" t="str">
        <f t="shared" si="37"/>
        <v xml:space="preserve">N35DC   </v>
      </c>
      <c r="N719">
        <v>1</v>
      </c>
      <c r="O719">
        <v>1700</v>
      </c>
    </row>
    <row r="720" spans="1:15" x14ac:dyDescent="0.25">
      <c r="A720" t="str">
        <f>"10/21/2020 18:20:19.778"</f>
        <v>10/21/2020 18:20:19.778</v>
      </c>
      <c r="B720" t="str">
        <f>"18:20:27.719"</f>
        <v>18:20:27.719</v>
      </c>
      <c r="C720" t="str">
        <f>"18:20:27.419"</f>
        <v>18:20:27.419</v>
      </c>
      <c r="D720" t="s">
        <v>294</v>
      </c>
      <c r="E720">
        <v>30.504912999999998</v>
      </c>
      <c r="F720" t="s">
        <v>295</v>
      </c>
      <c r="G720">
        <v>-89.770532000000003</v>
      </c>
      <c r="H720">
        <v>1600</v>
      </c>
      <c r="I720">
        <v>-53</v>
      </c>
      <c r="J720">
        <v>147</v>
      </c>
      <c r="K720">
        <v>-64</v>
      </c>
      <c r="L720">
        <v>1200</v>
      </c>
      <c r="M720" t="str">
        <f t="shared" si="37"/>
        <v xml:space="preserve">N35DC   </v>
      </c>
      <c r="N720">
        <v>1</v>
      </c>
      <c r="O720">
        <v>1700</v>
      </c>
    </row>
    <row r="721" spans="1:15" x14ac:dyDescent="0.25">
      <c r="A721" t="str">
        <f>"10/21/2020 18:20:19.778"</f>
        <v>10/21/2020 18:20:19.778</v>
      </c>
      <c r="B721" t="str">
        <f>"18:20:27.719"</f>
        <v>18:20:27.719</v>
      </c>
      <c r="C721" t="str">
        <f>"18:20:27.419"</f>
        <v>18:20:27.419</v>
      </c>
      <c r="D721" t="s">
        <v>294</v>
      </c>
      <c r="E721">
        <v>30.504912999999998</v>
      </c>
      <c r="F721" t="s">
        <v>295</v>
      </c>
      <c r="G721">
        <v>-89.770532000000003</v>
      </c>
      <c r="H721">
        <v>1600</v>
      </c>
      <c r="I721">
        <v>-53</v>
      </c>
      <c r="J721">
        <v>147</v>
      </c>
      <c r="K721">
        <v>-64</v>
      </c>
      <c r="L721">
        <v>1200</v>
      </c>
      <c r="M721" t="str">
        <f t="shared" si="37"/>
        <v xml:space="preserve">N35DC   </v>
      </c>
      <c r="N721">
        <v>1</v>
      </c>
      <c r="O721">
        <v>1700</v>
      </c>
    </row>
    <row r="722" spans="1:15" x14ac:dyDescent="0.25">
      <c r="A722" t="str">
        <f>"10/21/2020 18:20:20.707"</f>
        <v>10/21/2020 18:20:20.707</v>
      </c>
      <c r="B722" t="str">
        <f>"18:20:28.648"</f>
        <v>18:20:28.648</v>
      </c>
      <c r="C722" t="str">
        <f>"18:20:28.248"</f>
        <v>18:20:28.248</v>
      </c>
      <c r="D722" t="s">
        <v>296</v>
      </c>
      <c r="E722">
        <v>30.505579000000001</v>
      </c>
      <c r="F722" t="s">
        <v>297</v>
      </c>
      <c r="G722">
        <v>-89.770768000000004</v>
      </c>
      <c r="H722">
        <v>1600</v>
      </c>
      <c r="I722">
        <v>-51</v>
      </c>
      <c r="J722">
        <v>147</v>
      </c>
      <c r="K722">
        <v>192</v>
      </c>
      <c r="L722">
        <v>1200</v>
      </c>
      <c r="M722" t="str">
        <f t="shared" si="37"/>
        <v xml:space="preserve">N35DC   </v>
      </c>
      <c r="N722">
        <v>1</v>
      </c>
      <c r="O722">
        <v>1700</v>
      </c>
    </row>
    <row r="723" spans="1:15" x14ac:dyDescent="0.25">
      <c r="A723" t="str">
        <f>"10/21/2020 18:20:20.707"</f>
        <v>10/21/2020 18:20:20.707</v>
      </c>
      <c r="B723" t="str">
        <f>"18:20:28.648"</f>
        <v>18:20:28.648</v>
      </c>
      <c r="C723" t="str">
        <f>"18:20:28.248"</f>
        <v>18:20:28.248</v>
      </c>
      <c r="D723" t="s">
        <v>296</v>
      </c>
      <c r="E723">
        <v>30.505579000000001</v>
      </c>
      <c r="F723" t="s">
        <v>297</v>
      </c>
      <c r="G723">
        <v>-89.770768000000004</v>
      </c>
      <c r="H723">
        <v>1600</v>
      </c>
      <c r="I723">
        <v>-51</v>
      </c>
      <c r="J723">
        <v>147</v>
      </c>
      <c r="K723">
        <v>192</v>
      </c>
      <c r="L723">
        <v>1200</v>
      </c>
      <c r="M723" t="str">
        <f t="shared" si="37"/>
        <v xml:space="preserve">N35DC   </v>
      </c>
      <c r="N723">
        <v>1</v>
      </c>
      <c r="O723">
        <v>1700</v>
      </c>
    </row>
    <row r="724" spans="1:15" x14ac:dyDescent="0.25">
      <c r="A724" t="str">
        <f>"10/21/2020 18:20:20.707"</f>
        <v>10/21/2020 18:20:20.707</v>
      </c>
      <c r="B724" t="str">
        <f>"18:20:28.648"</f>
        <v>18:20:28.648</v>
      </c>
      <c r="C724" t="str">
        <f>"18:20:28.248"</f>
        <v>18:20:28.248</v>
      </c>
      <c r="D724" t="s">
        <v>296</v>
      </c>
      <c r="E724">
        <v>30.505579000000001</v>
      </c>
      <c r="F724" t="s">
        <v>297</v>
      </c>
      <c r="G724">
        <v>-89.770768000000004</v>
      </c>
      <c r="H724">
        <v>1600</v>
      </c>
      <c r="I724">
        <v>-51</v>
      </c>
      <c r="J724">
        <v>147</v>
      </c>
      <c r="K724">
        <v>192</v>
      </c>
      <c r="L724">
        <v>1200</v>
      </c>
      <c r="M724" t="str">
        <f t="shared" si="37"/>
        <v xml:space="preserve">N35DC   </v>
      </c>
      <c r="N724">
        <v>1</v>
      </c>
      <c r="O724">
        <v>1700</v>
      </c>
    </row>
    <row r="725" spans="1:15" x14ac:dyDescent="0.25">
      <c r="A725" t="str">
        <f>"10/21/2020 18:20:20.707"</f>
        <v>10/21/2020 18:20:20.707</v>
      </c>
      <c r="B725" t="str">
        <f>"18:20:28.648"</f>
        <v>18:20:28.648</v>
      </c>
      <c r="C725" t="str">
        <f>"18:20:28.248"</f>
        <v>18:20:28.248</v>
      </c>
      <c r="D725" t="s">
        <v>296</v>
      </c>
      <c r="E725">
        <v>30.505579000000001</v>
      </c>
      <c r="F725" t="s">
        <v>297</v>
      </c>
      <c r="G725">
        <v>-89.770768000000004</v>
      </c>
      <c r="H725">
        <v>1600</v>
      </c>
      <c r="I725">
        <v>-51</v>
      </c>
      <c r="J725">
        <v>147</v>
      </c>
      <c r="K725">
        <v>192</v>
      </c>
      <c r="L725">
        <v>1200</v>
      </c>
      <c r="M725" t="str">
        <f t="shared" si="37"/>
        <v xml:space="preserve">N35DC   </v>
      </c>
      <c r="N725">
        <v>1</v>
      </c>
      <c r="O725">
        <v>1700</v>
      </c>
    </row>
    <row r="726" spans="1:15" x14ac:dyDescent="0.25">
      <c r="A726" t="str">
        <f>"10/21/2020 18:20:20.707"</f>
        <v>10/21/2020 18:20:20.707</v>
      </c>
      <c r="B726" t="str">
        <f>"18:20:28.648"</f>
        <v>18:20:28.648</v>
      </c>
      <c r="C726" t="str">
        <f>"18:20:28.248"</f>
        <v>18:20:28.248</v>
      </c>
      <c r="D726" t="s">
        <v>296</v>
      </c>
      <c r="E726">
        <v>30.505579000000001</v>
      </c>
      <c r="F726" t="s">
        <v>297</v>
      </c>
      <c r="G726">
        <v>-89.770768000000004</v>
      </c>
      <c r="H726">
        <v>1600</v>
      </c>
      <c r="I726">
        <v>-51</v>
      </c>
      <c r="J726">
        <v>147</v>
      </c>
      <c r="K726">
        <v>192</v>
      </c>
      <c r="L726">
        <v>1200</v>
      </c>
      <c r="M726" t="str">
        <f t="shared" si="37"/>
        <v xml:space="preserve">N35DC   </v>
      </c>
      <c r="N726">
        <v>1</v>
      </c>
      <c r="O726">
        <v>1700</v>
      </c>
    </row>
    <row r="727" spans="1:15" x14ac:dyDescent="0.25">
      <c r="A727" t="str">
        <f>"10/21/2020 18:20:23.858"</f>
        <v>10/21/2020 18:20:23.858</v>
      </c>
      <c r="B727" t="str">
        <f>"18:20:31.797"</f>
        <v>18:20:31.797</v>
      </c>
      <c r="C727" t="str">
        <f>"18:20:31.397"</f>
        <v>18:20:31.397</v>
      </c>
      <c r="D727" t="s">
        <v>298</v>
      </c>
      <c r="E727">
        <v>30.507724</v>
      </c>
      <c r="F727" t="s">
        <v>299</v>
      </c>
      <c r="G727">
        <v>-89.771540000000002</v>
      </c>
      <c r="H727">
        <v>1600</v>
      </c>
      <c r="I727">
        <v>-45</v>
      </c>
      <c r="J727">
        <v>150</v>
      </c>
      <c r="K727">
        <v>-384</v>
      </c>
      <c r="L727">
        <v>1200</v>
      </c>
      <c r="M727" t="str">
        <f t="shared" si="37"/>
        <v xml:space="preserve">N35DC   </v>
      </c>
      <c r="N727">
        <v>1</v>
      </c>
      <c r="O727">
        <v>1700</v>
      </c>
    </row>
    <row r="728" spans="1:15" x14ac:dyDescent="0.25">
      <c r="A728" t="str">
        <f>"10/21/2020 18:20:23.858"</f>
        <v>10/21/2020 18:20:23.858</v>
      </c>
      <c r="B728" t="str">
        <f>"18:20:31.797"</f>
        <v>18:20:31.797</v>
      </c>
      <c r="C728" t="str">
        <f>"18:20:31.397"</f>
        <v>18:20:31.397</v>
      </c>
      <c r="D728" t="s">
        <v>298</v>
      </c>
      <c r="E728">
        <v>30.507724</v>
      </c>
      <c r="F728" t="s">
        <v>299</v>
      </c>
      <c r="G728">
        <v>-89.771540000000002</v>
      </c>
      <c r="H728">
        <v>1600</v>
      </c>
      <c r="I728">
        <v>-45</v>
      </c>
      <c r="J728">
        <v>150</v>
      </c>
      <c r="K728">
        <v>-384</v>
      </c>
      <c r="L728">
        <v>1200</v>
      </c>
      <c r="M728" t="str">
        <f t="shared" si="37"/>
        <v xml:space="preserve">N35DC   </v>
      </c>
      <c r="N728">
        <v>1</v>
      </c>
      <c r="O728">
        <v>1700</v>
      </c>
    </row>
    <row r="729" spans="1:15" x14ac:dyDescent="0.25">
      <c r="A729" t="str">
        <f>"10/21/2020 18:20:23.858"</f>
        <v>10/21/2020 18:20:23.858</v>
      </c>
      <c r="B729" t="str">
        <f>"18:20:31.797"</f>
        <v>18:20:31.797</v>
      </c>
      <c r="C729" t="str">
        <f>"18:20:31.397"</f>
        <v>18:20:31.397</v>
      </c>
      <c r="D729" t="s">
        <v>298</v>
      </c>
      <c r="E729">
        <v>30.507724</v>
      </c>
      <c r="F729" t="s">
        <v>299</v>
      </c>
      <c r="G729">
        <v>-89.771540000000002</v>
      </c>
      <c r="H729">
        <v>1600</v>
      </c>
      <c r="I729">
        <v>-45</v>
      </c>
      <c r="J729">
        <v>150</v>
      </c>
      <c r="K729">
        <v>-384</v>
      </c>
      <c r="L729">
        <v>1200</v>
      </c>
      <c r="M729" t="str">
        <f t="shared" si="37"/>
        <v xml:space="preserve">N35DC   </v>
      </c>
      <c r="N729">
        <v>1</v>
      </c>
      <c r="O729">
        <v>1700</v>
      </c>
    </row>
    <row r="730" spans="1:15" x14ac:dyDescent="0.25">
      <c r="A730" t="str">
        <f>"10/21/2020 18:20:23.858"</f>
        <v>10/21/2020 18:20:23.858</v>
      </c>
      <c r="B730" t="str">
        <f>"18:20:31.797"</f>
        <v>18:20:31.797</v>
      </c>
      <c r="C730" t="str">
        <f>"18:20:31.397"</f>
        <v>18:20:31.397</v>
      </c>
      <c r="D730" t="s">
        <v>298</v>
      </c>
      <c r="E730">
        <v>30.507724</v>
      </c>
      <c r="F730" t="s">
        <v>299</v>
      </c>
      <c r="G730">
        <v>-89.771540000000002</v>
      </c>
      <c r="H730">
        <v>1600</v>
      </c>
      <c r="I730">
        <v>-45</v>
      </c>
      <c r="J730">
        <v>150</v>
      </c>
      <c r="K730">
        <v>-384</v>
      </c>
      <c r="L730">
        <v>1200</v>
      </c>
      <c r="M730" t="str">
        <f t="shared" si="37"/>
        <v xml:space="preserve">N35DC   </v>
      </c>
      <c r="N730">
        <v>1</v>
      </c>
      <c r="O730">
        <v>1700</v>
      </c>
    </row>
    <row r="731" spans="1:15" x14ac:dyDescent="0.25">
      <c r="A731" t="str">
        <f>"10/21/2020 18:20:23.858"</f>
        <v>10/21/2020 18:20:23.858</v>
      </c>
      <c r="B731" t="str">
        <f>"18:20:31.797"</f>
        <v>18:20:31.797</v>
      </c>
      <c r="C731" t="str">
        <f>"18:20:31.397"</f>
        <v>18:20:31.397</v>
      </c>
      <c r="D731" t="s">
        <v>298</v>
      </c>
      <c r="E731">
        <v>30.507724</v>
      </c>
      <c r="F731" t="s">
        <v>299</v>
      </c>
      <c r="G731">
        <v>-89.771540000000002</v>
      </c>
      <c r="H731">
        <v>1600</v>
      </c>
      <c r="I731">
        <v>-45</v>
      </c>
      <c r="J731">
        <v>150</v>
      </c>
      <c r="K731">
        <v>-384</v>
      </c>
      <c r="L731">
        <v>1200</v>
      </c>
      <c r="M731" t="str">
        <f t="shared" si="37"/>
        <v xml:space="preserve">N35DC   </v>
      </c>
      <c r="N731">
        <v>1</v>
      </c>
      <c r="O731">
        <v>1700</v>
      </c>
    </row>
    <row r="732" spans="1:15" x14ac:dyDescent="0.25">
      <c r="A732" t="str">
        <f>"10/21/2020 18:20:24.834"</f>
        <v>10/21/2020 18:20:24.834</v>
      </c>
      <c r="B732" t="str">
        <f>"18:20:32.789"</f>
        <v>18:20:32.789</v>
      </c>
      <c r="C732" t="str">
        <f>"18:20:32.589"</f>
        <v>18:20:32.589</v>
      </c>
      <c r="D732" t="s">
        <v>300</v>
      </c>
      <c r="E732">
        <v>30.508431999999999</v>
      </c>
      <c r="F732" t="s">
        <v>301</v>
      </c>
      <c r="G732">
        <v>-89.771754999999999</v>
      </c>
      <c r="H732">
        <v>1600</v>
      </c>
      <c r="I732">
        <v>-43</v>
      </c>
      <c r="J732">
        <v>150</v>
      </c>
      <c r="K732">
        <v>-192</v>
      </c>
      <c r="L732">
        <v>1200</v>
      </c>
      <c r="M732" t="str">
        <f t="shared" si="37"/>
        <v xml:space="preserve">N35DC   </v>
      </c>
      <c r="N732">
        <v>1</v>
      </c>
      <c r="O732">
        <v>1700</v>
      </c>
    </row>
    <row r="733" spans="1:15" x14ac:dyDescent="0.25">
      <c r="A733" t="str">
        <f>"10/21/2020 18:20:24.834"</f>
        <v>10/21/2020 18:20:24.834</v>
      </c>
      <c r="B733" t="str">
        <f>"18:20:32.789"</f>
        <v>18:20:32.789</v>
      </c>
      <c r="C733" t="str">
        <f>"18:20:32.589"</f>
        <v>18:20:32.589</v>
      </c>
      <c r="D733" t="s">
        <v>300</v>
      </c>
      <c r="E733">
        <v>30.508431999999999</v>
      </c>
      <c r="F733" t="s">
        <v>301</v>
      </c>
      <c r="G733">
        <v>-89.771754999999999</v>
      </c>
      <c r="H733">
        <v>1600</v>
      </c>
      <c r="I733">
        <v>-43</v>
      </c>
      <c r="J733">
        <v>150</v>
      </c>
      <c r="K733">
        <v>-192</v>
      </c>
      <c r="L733">
        <v>1200</v>
      </c>
      <c r="M733" t="str">
        <f t="shared" si="37"/>
        <v xml:space="preserve">N35DC   </v>
      </c>
      <c r="N733">
        <v>1</v>
      </c>
      <c r="O733">
        <v>1700</v>
      </c>
    </row>
    <row r="734" spans="1:15" x14ac:dyDescent="0.25">
      <c r="A734" t="str">
        <f>"10/21/2020 18:20:24.834"</f>
        <v>10/21/2020 18:20:24.834</v>
      </c>
      <c r="B734" t="str">
        <f>"18:20:32.789"</f>
        <v>18:20:32.789</v>
      </c>
      <c r="C734" t="str">
        <f>"18:20:32.589"</f>
        <v>18:20:32.589</v>
      </c>
      <c r="D734" t="s">
        <v>300</v>
      </c>
      <c r="E734">
        <v>30.508431999999999</v>
      </c>
      <c r="F734" t="s">
        <v>301</v>
      </c>
      <c r="G734">
        <v>-89.771754999999999</v>
      </c>
      <c r="H734">
        <v>1600</v>
      </c>
      <c r="I734">
        <v>-43</v>
      </c>
      <c r="J734">
        <v>150</v>
      </c>
      <c r="K734">
        <v>-192</v>
      </c>
      <c r="L734">
        <v>1200</v>
      </c>
      <c r="M734" t="str">
        <f t="shared" si="37"/>
        <v xml:space="preserve">N35DC   </v>
      </c>
      <c r="N734">
        <v>1</v>
      </c>
      <c r="O734">
        <v>1700</v>
      </c>
    </row>
    <row r="735" spans="1:15" x14ac:dyDescent="0.25">
      <c r="A735" t="str">
        <f>"10/21/2020 18:20:24.834"</f>
        <v>10/21/2020 18:20:24.834</v>
      </c>
      <c r="B735" t="str">
        <f>"18:20:32.789"</f>
        <v>18:20:32.789</v>
      </c>
      <c r="C735" t="str">
        <f>"18:20:32.589"</f>
        <v>18:20:32.589</v>
      </c>
      <c r="D735" t="s">
        <v>300</v>
      </c>
      <c r="E735">
        <v>30.508431999999999</v>
      </c>
      <c r="F735" t="s">
        <v>301</v>
      </c>
      <c r="G735">
        <v>-89.771754999999999</v>
      </c>
      <c r="H735">
        <v>1600</v>
      </c>
      <c r="I735">
        <v>-43</v>
      </c>
      <c r="J735">
        <v>150</v>
      </c>
      <c r="K735">
        <v>-192</v>
      </c>
      <c r="L735">
        <v>1200</v>
      </c>
      <c r="M735" t="str">
        <f t="shared" si="37"/>
        <v xml:space="preserve">N35DC   </v>
      </c>
      <c r="N735">
        <v>1</v>
      </c>
      <c r="O735">
        <v>1700</v>
      </c>
    </row>
    <row r="736" spans="1:15" x14ac:dyDescent="0.25">
      <c r="A736" t="str">
        <f>"10/21/2020 18:20:24.834"</f>
        <v>10/21/2020 18:20:24.834</v>
      </c>
      <c r="B736" t="str">
        <f>"18:20:32.789"</f>
        <v>18:20:32.789</v>
      </c>
      <c r="C736" t="str">
        <f>"18:20:32.589"</f>
        <v>18:20:32.589</v>
      </c>
      <c r="D736" t="s">
        <v>300</v>
      </c>
      <c r="E736">
        <v>30.508431999999999</v>
      </c>
      <c r="F736" t="s">
        <v>301</v>
      </c>
      <c r="G736">
        <v>-89.771754999999999</v>
      </c>
      <c r="H736">
        <v>1600</v>
      </c>
      <c r="I736">
        <v>-43</v>
      </c>
      <c r="J736">
        <v>150</v>
      </c>
      <c r="K736">
        <v>-192</v>
      </c>
      <c r="L736">
        <v>1200</v>
      </c>
      <c r="M736" t="str">
        <f t="shared" si="37"/>
        <v xml:space="preserve">N35DC   </v>
      </c>
      <c r="N736">
        <v>1</v>
      </c>
      <c r="O736">
        <v>1700</v>
      </c>
    </row>
    <row r="737" spans="1:15" x14ac:dyDescent="0.25">
      <c r="A737" t="str">
        <f>"10/21/2020 18:20:26.855"</f>
        <v>10/21/2020 18:20:26.855</v>
      </c>
      <c r="B737" t="str">
        <f>"18:20:34.781"</f>
        <v>18:20:34.781</v>
      </c>
      <c r="C737" t="str">
        <f>"18:20:34.581"</f>
        <v>18:20:34.581</v>
      </c>
      <c r="D737" t="s">
        <v>302</v>
      </c>
      <c r="E737">
        <v>30.509806000000001</v>
      </c>
      <c r="F737" t="s">
        <v>303</v>
      </c>
      <c r="G737">
        <v>-89.772205</v>
      </c>
      <c r="H737">
        <v>1600</v>
      </c>
      <c r="I737">
        <v>-41</v>
      </c>
      <c r="J737">
        <v>150</v>
      </c>
      <c r="K737">
        <v>-192</v>
      </c>
      <c r="L737">
        <v>1200</v>
      </c>
      <c r="M737" t="str">
        <f t="shared" si="37"/>
        <v xml:space="preserve">N35DC   </v>
      </c>
      <c r="N737">
        <v>1</v>
      </c>
      <c r="O737">
        <v>1675</v>
      </c>
    </row>
    <row r="738" spans="1:15" x14ac:dyDescent="0.25">
      <c r="A738" t="str">
        <f>"10/21/2020 18:20:26.855"</f>
        <v>10/21/2020 18:20:26.855</v>
      </c>
      <c r="B738" t="str">
        <f>"18:20:34.781"</f>
        <v>18:20:34.781</v>
      </c>
      <c r="C738" t="str">
        <f>"18:20:34.581"</f>
        <v>18:20:34.581</v>
      </c>
      <c r="D738" t="s">
        <v>302</v>
      </c>
      <c r="E738">
        <v>30.509806000000001</v>
      </c>
      <c r="F738" t="s">
        <v>303</v>
      </c>
      <c r="G738">
        <v>-89.772205</v>
      </c>
      <c r="H738">
        <v>1600</v>
      </c>
      <c r="I738">
        <v>-41</v>
      </c>
      <c r="J738">
        <v>150</v>
      </c>
      <c r="K738">
        <v>-192</v>
      </c>
      <c r="L738">
        <v>1200</v>
      </c>
      <c r="M738" t="str">
        <f t="shared" si="37"/>
        <v xml:space="preserve">N35DC   </v>
      </c>
      <c r="N738">
        <v>1</v>
      </c>
      <c r="O738">
        <v>1675</v>
      </c>
    </row>
    <row r="739" spans="1:15" x14ac:dyDescent="0.25">
      <c r="A739" t="str">
        <f>"10/21/2020 18:20:26.855"</f>
        <v>10/21/2020 18:20:26.855</v>
      </c>
      <c r="B739" t="str">
        <f>"18:20:34.781"</f>
        <v>18:20:34.781</v>
      </c>
      <c r="C739" t="str">
        <f>"18:20:34.581"</f>
        <v>18:20:34.581</v>
      </c>
      <c r="D739" t="s">
        <v>302</v>
      </c>
      <c r="E739">
        <v>30.509806000000001</v>
      </c>
      <c r="F739" t="s">
        <v>303</v>
      </c>
      <c r="G739">
        <v>-89.772205</v>
      </c>
      <c r="H739">
        <v>1600</v>
      </c>
      <c r="I739">
        <v>-41</v>
      </c>
      <c r="J739">
        <v>150</v>
      </c>
      <c r="K739">
        <v>-192</v>
      </c>
      <c r="L739">
        <v>1200</v>
      </c>
      <c r="M739" t="str">
        <f t="shared" si="37"/>
        <v xml:space="preserve">N35DC   </v>
      </c>
      <c r="N739">
        <v>1</v>
      </c>
      <c r="O739">
        <v>1675</v>
      </c>
    </row>
    <row r="740" spans="1:15" x14ac:dyDescent="0.25">
      <c r="A740" t="str">
        <f>"10/21/2020 18:20:26.855"</f>
        <v>10/21/2020 18:20:26.855</v>
      </c>
      <c r="B740" t="str">
        <f>"18:20:34.781"</f>
        <v>18:20:34.781</v>
      </c>
      <c r="C740" t="str">
        <f>"18:20:34.581"</f>
        <v>18:20:34.581</v>
      </c>
      <c r="D740" t="s">
        <v>302</v>
      </c>
      <c r="E740">
        <v>30.509806000000001</v>
      </c>
      <c r="F740" t="s">
        <v>303</v>
      </c>
      <c r="G740">
        <v>-89.772205</v>
      </c>
      <c r="H740">
        <v>1600</v>
      </c>
      <c r="I740">
        <v>-41</v>
      </c>
      <c r="J740">
        <v>150</v>
      </c>
      <c r="K740">
        <v>-192</v>
      </c>
      <c r="L740">
        <v>1200</v>
      </c>
      <c r="M740" t="str">
        <f t="shared" si="37"/>
        <v xml:space="preserve">N35DC   </v>
      </c>
      <c r="N740">
        <v>1</v>
      </c>
      <c r="O740">
        <v>1675</v>
      </c>
    </row>
    <row r="741" spans="1:15" x14ac:dyDescent="0.25">
      <c r="A741" t="str">
        <f>"10/21/2020 18:20:26.855"</f>
        <v>10/21/2020 18:20:26.855</v>
      </c>
      <c r="B741" t="str">
        <f>"18:20:34.781"</f>
        <v>18:20:34.781</v>
      </c>
      <c r="C741" t="str">
        <f>"18:20:34.581"</f>
        <v>18:20:34.581</v>
      </c>
      <c r="D741" t="s">
        <v>302</v>
      </c>
      <c r="E741">
        <v>30.509806000000001</v>
      </c>
      <c r="F741" t="s">
        <v>303</v>
      </c>
      <c r="G741">
        <v>-89.772205</v>
      </c>
      <c r="H741">
        <v>1600</v>
      </c>
      <c r="I741">
        <v>-41</v>
      </c>
      <c r="J741">
        <v>150</v>
      </c>
      <c r="K741">
        <v>-192</v>
      </c>
      <c r="L741">
        <v>1200</v>
      </c>
      <c r="M741" t="str">
        <f t="shared" si="37"/>
        <v xml:space="preserve">N35DC   </v>
      </c>
      <c r="N741">
        <v>1</v>
      </c>
      <c r="O741">
        <v>1675</v>
      </c>
    </row>
    <row r="742" spans="1:15" x14ac:dyDescent="0.25">
      <c r="A742" t="str">
        <f>"10/21/2020 18:20:27.918"</f>
        <v>10/21/2020 18:20:27.918</v>
      </c>
      <c r="B742" t="str">
        <f>"18:20:35.820"</f>
        <v>18:20:35.820</v>
      </c>
      <c r="C742" t="str">
        <f>"18:20:35.620"</f>
        <v>18:20:35.620</v>
      </c>
      <c r="D742" t="s">
        <v>304</v>
      </c>
      <c r="E742">
        <v>30.510577999999999</v>
      </c>
      <c r="F742" t="s">
        <v>305</v>
      </c>
      <c r="G742">
        <v>-89.772463000000002</v>
      </c>
      <c r="H742">
        <v>1600</v>
      </c>
      <c r="I742">
        <v>-41</v>
      </c>
      <c r="J742">
        <v>150</v>
      </c>
      <c r="K742">
        <v>-192</v>
      </c>
      <c r="L742">
        <v>1200</v>
      </c>
      <c r="M742" t="str">
        <f t="shared" si="37"/>
        <v xml:space="preserve">N35DC   </v>
      </c>
      <c r="N742">
        <v>1</v>
      </c>
      <c r="O742">
        <v>1675</v>
      </c>
    </row>
    <row r="743" spans="1:15" x14ac:dyDescent="0.25">
      <c r="A743" t="str">
        <f>"10/21/2020 18:20:27.918"</f>
        <v>10/21/2020 18:20:27.918</v>
      </c>
      <c r="B743" t="str">
        <f>"18:20:35.820"</f>
        <v>18:20:35.820</v>
      </c>
      <c r="C743" t="str">
        <f>"18:20:35.620"</f>
        <v>18:20:35.620</v>
      </c>
      <c r="D743" t="s">
        <v>304</v>
      </c>
      <c r="E743">
        <v>30.510577999999999</v>
      </c>
      <c r="F743" t="s">
        <v>305</v>
      </c>
      <c r="G743">
        <v>-89.772463000000002</v>
      </c>
      <c r="H743">
        <v>1600</v>
      </c>
      <c r="I743">
        <v>-41</v>
      </c>
      <c r="J743">
        <v>150</v>
      </c>
      <c r="K743">
        <v>-192</v>
      </c>
      <c r="L743">
        <v>1200</v>
      </c>
      <c r="M743" t="str">
        <f t="shared" si="37"/>
        <v xml:space="preserve">N35DC   </v>
      </c>
      <c r="N743">
        <v>1</v>
      </c>
      <c r="O743">
        <v>1675</v>
      </c>
    </row>
    <row r="744" spans="1:15" x14ac:dyDescent="0.25">
      <c r="A744" t="str">
        <f>"10/21/2020 18:20:27.918"</f>
        <v>10/21/2020 18:20:27.918</v>
      </c>
      <c r="B744" t="str">
        <f>"18:20:35.820"</f>
        <v>18:20:35.820</v>
      </c>
      <c r="C744" t="str">
        <f>"18:20:35.620"</f>
        <v>18:20:35.620</v>
      </c>
      <c r="D744" t="s">
        <v>304</v>
      </c>
      <c r="E744">
        <v>30.510577999999999</v>
      </c>
      <c r="F744" t="s">
        <v>305</v>
      </c>
      <c r="G744">
        <v>-89.772463000000002</v>
      </c>
      <c r="H744">
        <v>1600</v>
      </c>
      <c r="I744">
        <v>-41</v>
      </c>
      <c r="J744">
        <v>150</v>
      </c>
      <c r="K744">
        <v>-192</v>
      </c>
      <c r="L744">
        <v>1200</v>
      </c>
      <c r="M744" t="str">
        <f t="shared" si="37"/>
        <v xml:space="preserve">N35DC   </v>
      </c>
      <c r="N744">
        <v>1</v>
      </c>
      <c r="O744">
        <v>1675</v>
      </c>
    </row>
    <row r="745" spans="1:15" x14ac:dyDescent="0.25">
      <c r="A745" t="str">
        <f>"10/21/2020 18:20:27.918"</f>
        <v>10/21/2020 18:20:27.918</v>
      </c>
      <c r="B745" t="str">
        <f>"18:20:35.820"</f>
        <v>18:20:35.820</v>
      </c>
      <c r="C745" t="str">
        <f>"18:20:35.620"</f>
        <v>18:20:35.620</v>
      </c>
      <c r="D745" t="s">
        <v>304</v>
      </c>
      <c r="E745">
        <v>30.510577999999999</v>
      </c>
      <c r="F745" t="s">
        <v>305</v>
      </c>
      <c r="G745">
        <v>-89.772463000000002</v>
      </c>
      <c r="H745">
        <v>1600</v>
      </c>
      <c r="I745">
        <v>-41</v>
      </c>
      <c r="J745">
        <v>150</v>
      </c>
      <c r="K745">
        <v>-192</v>
      </c>
      <c r="L745">
        <v>1200</v>
      </c>
      <c r="M745" t="str">
        <f t="shared" si="37"/>
        <v xml:space="preserve">N35DC   </v>
      </c>
      <c r="N745">
        <v>1</v>
      </c>
      <c r="O745">
        <v>1675</v>
      </c>
    </row>
    <row r="746" spans="1:15" x14ac:dyDescent="0.25">
      <c r="A746" t="str">
        <f>"10/21/2020 18:20:27.918"</f>
        <v>10/21/2020 18:20:27.918</v>
      </c>
      <c r="B746" t="str">
        <f>"18:20:35.820"</f>
        <v>18:20:35.820</v>
      </c>
      <c r="C746" t="str">
        <f>"18:20:35.620"</f>
        <v>18:20:35.620</v>
      </c>
      <c r="D746" t="s">
        <v>304</v>
      </c>
      <c r="E746">
        <v>30.510577999999999</v>
      </c>
      <c r="F746" t="s">
        <v>305</v>
      </c>
      <c r="G746">
        <v>-89.772463000000002</v>
      </c>
      <c r="H746">
        <v>1600</v>
      </c>
      <c r="I746">
        <v>-41</v>
      </c>
      <c r="J746">
        <v>150</v>
      </c>
      <c r="K746">
        <v>-192</v>
      </c>
      <c r="L746">
        <v>1200</v>
      </c>
      <c r="M746" t="str">
        <f t="shared" si="37"/>
        <v xml:space="preserve">N35DC   </v>
      </c>
      <c r="N746">
        <v>1</v>
      </c>
      <c r="O746">
        <v>1675</v>
      </c>
    </row>
    <row r="747" spans="1:15" x14ac:dyDescent="0.25">
      <c r="A747" t="str">
        <f>"10/21/2020 18:20:30.895"</f>
        <v>10/21/2020 18:20:30.895</v>
      </c>
      <c r="B747" t="str">
        <f>"18:20:38.836"</f>
        <v>18:20:38.836</v>
      </c>
      <c r="C747" t="str">
        <f>"18:20:38.436"</f>
        <v>18:20:38.436</v>
      </c>
      <c r="D747" t="s">
        <v>306</v>
      </c>
      <c r="E747">
        <v>30.51266</v>
      </c>
      <c r="F747" t="s">
        <v>307</v>
      </c>
      <c r="G747">
        <v>-89.773106999999996</v>
      </c>
      <c r="H747">
        <v>1600</v>
      </c>
      <c r="I747">
        <v>-42</v>
      </c>
      <c r="J747">
        <v>150</v>
      </c>
      <c r="K747">
        <v>-128</v>
      </c>
      <c r="L747">
        <v>1200</v>
      </c>
      <c r="M747" t="str">
        <f t="shared" si="37"/>
        <v xml:space="preserve">N35DC   </v>
      </c>
      <c r="N747">
        <v>1</v>
      </c>
      <c r="O747">
        <v>1675</v>
      </c>
    </row>
    <row r="748" spans="1:15" x14ac:dyDescent="0.25">
      <c r="A748" t="str">
        <f>"10/21/2020 18:20:30.895"</f>
        <v>10/21/2020 18:20:30.895</v>
      </c>
      <c r="B748" t="str">
        <f>"18:20:38.836"</f>
        <v>18:20:38.836</v>
      </c>
      <c r="C748" t="str">
        <f>"18:20:38.436"</f>
        <v>18:20:38.436</v>
      </c>
      <c r="D748" t="s">
        <v>306</v>
      </c>
      <c r="E748">
        <v>30.51266</v>
      </c>
      <c r="F748" t="s">
        <v>307</v>
      </c>
      <c r="G748">
        <v>-89.773106999999996</v>
      </c>
      <c r="H748">
        <v>1600</v>
      </c>
      <c r="I748">
        <v>-42</v>
      </c>
      <c r="J748">
        <v>150</v>
      </c>
      <c r="K748">
        <v>-128</v>
      </c>
      <c r="L748">
        <v>1200</v>
      </c>
      <c r="M748" t="str">
        <f t="shared" si="37"/>
        <v xml:space="preserve">N35DC   </v>
      </c>
      <c r="N748">
        <v>1</v>
      </c>
      <c r="O748">
        <v>1675</v>
      </c>
    </row>
    <row r="749" spans="1:15" x14ac:dyDescent="0.25">
      <c r="A749" t="str">
        <f>"10/21/2020 18:20:30.895"</f>
        <v>10/21/2020 18:20:30.895</v>
      </c>
      <c r="B749" t="str">
        <f>"18:20:38.836"</f>
        <v>18:20:38.836</v>
      </c>
      <c r="C749" t="str">
        <f>"18:20:38.436"</f>
        <v>18:20:38.436</v>
      </c>
      <c r="D749" t="s">
        <v>306</v>
      </c>
      <c r="E749">
        <v>30.51266</v>
      </c>
      <c r="F749" t="s">
        <v>307</v>
      </c>
      <c r="G749">
        <v>-89.773106999999996</v>
      </c>
      <c r="H749">
        <v>1600</v>
      </c>
      <c r="I749">
        <v>-42</v>
      </c>
      <c r="J749">
        <v>150</v>
      </c>
      <c r="K749">
        <v>-128</v>
      </c>
      <c r="L749">
        <v>1200</v>
      </c>
      <c r="M749" t="str">
        <f t="shared" si="37"/>
        <v xml:space="preserve">N35DC   </v>
      </c>
      <c r="N749">
        <v>1</v>
      </c>
      <c r="O749">
        <v>1675</v>
      </c>
    </row>
    <row r="750" spans="1:15" x14ac:dyDescent="0.25">
      <c r="A750" t="str">
        <f>"10/21/2020 18:20:30.895"</f>
        <v>10/21/2020 18:20:30.895</v>
      </c>
      <c r="B750" t="str">
        <f>"18:20:38.836"</f>
        <v>18:20:38.836</v>
      </c>
      <c r="C750" t="str">
        <f>"18:20:38.436"</f>
        <v>18:20:38.436</v>
      </c>
      <c r="D750" t="s">
        <v>306</v>
      </c>
      <c r="E750">
        <v>30.51266</v>
      </c>
      <c r="F750" t="s">
        <v>307</v>
      </c>
      <c r="G750">
        <v>-89.773106999999996</v>
      </c>
      <c r="H750">
        <v>1600</v>
      </c>
      <c r="I750">
        <v>-42</v>
      </c>
      <c r="J750">
        <v>150</v>
      </c>
      <c r="K750">
        <v>-128</v>
      </c>
      <c r="L750">
        <v>1200</v>
      </c>
      <c r="M750" t="str">
        <f t="shared" si="37"/>
        <v xml:space="preserve">N35DC   </v>
      </c>
      <c r="N750">
        <v>1</v>
      </c>
      <c r="O750">
        <v>1675</v>
      </c>
    </row>
    <row r="751" spans="1:15" x14ac:dyDescent="0.25">
      <c r="A751" t="str">
        <f>"10/21/2020 18:20:30.895"</f>
        <v>10/21/2020 18:20:30.895</v>
      </c>
      <c r="B751" t="str">
        <f>"18:20:38.836"</f>
        <v>18:20:38.836</v>
      </c>
      <c r="C751" t="str">
        <f>"18:20:38.436"</f>
        <v>18:20:38.436</v>
      </c>
      <c r="D751" t="s">
        <v>306</v>
      </c>
      <c r="E751">
        <v>30.51266</v>
      </c>
      <c r="F751" t="s">
        <v>307</v>
      </c>
      <c r="G751">
        <v>-89.773106999999996</v>
      </c>
      <c r="H751">
        <v>1600</v>
      </c>
      <c r="I751">
        <v>-42</v>
      </c>
      <c r="J751">
        <v>150</v>
      </c>
      <c r="K751">
        <v>-128</v>
      </c>
      <c r="L751">
        <v>1200</v>
      </c>
      <c r="M751" t="str">
        <f t="shared" si="37"/>
        <v xml:space="preserve">N35DC   </v>
      </c>
      <c r="N751">
        <v>1</v>
      </c>
      <c r="O751">
        <v>1675</v>
      </c>
    </row>
    <row r="752" spans="1:15" x14ac:dyDescent="0.25">
      <c r="A752" t="str">
        <f>"10/21/2020 18:20:31.913"</f>
        <v>10/21/2020 18:20:31.913</v>
      </c>
      <c r="B752" t="str">
        <f>"18:20:39.852"</f>
        <v>18:20:39.852</v>
      </c>
      <c r="C752" t="str">
        <f>"18:20:39.352"</f>
        <v>18:20:39.352</v>
      </c>
      <c r="D752" t="s">
        <v>308</v>
      </c>
      <c r="E752">
        <v>30.513368</v>
      </c>
      <c r="F752" t="s">
        <v>309</v>
      </c>
      <c r="G752">
        <v>-89.773342999999997</v>
      </c>
      <c r="H752">
        <v>1600</v>
      </c>
      <c r="I752">
        <v>-42</v>
      </c>
      <c r="J752">
        <v>150</v>
      </c>
      <c r="K752">
        <v>0</v>
      </c>
      <c r="L752">
        <v>1200</v>
      </c>
      <c r="M752" t="str">
        <f t="shared" si="37"/>
        <v xml:space="preserve">N35DC   </v>
      </c>
      <c r="N752">
        <v>1</v>
      </c>
      <c r="O752">
        <v>1675</v>
      </c>
    </row>
    <row r="753" spans="1:15" x14ac:dyDescent="0.25">
      <c r="A753" t="str">
        <f>"10/21/2020 18:20:31.913"</f>
        <v>10/21/2020 18:20:31.913</v>
      </c>
      <c r="B753" t="str">
        <f>"18:20:39.852"</f>
        <v>18:20:39.852</v>
      </c>
      <c r="C753" t="str">
        <f>"18:20:39.352"</f>
        <v>18:20:39.352</v>
      </c>
      <c r="D753" t="s">
        <v>308</v>
      </c>
      <c r="E753">
        <v>30.513368</v>
      </c>
      <c r="F753" t="s">
        <v>309</v>
      </c>
      <c r="G753">
        <v>-89.773342999999997</v>
      </c>
      <c r="H753">
        <v>1600</v>
      </c>
      <c r="I753">
        <v>-42</v>
      </c>
      <c r="J753">
        <v>150</v>
      </c>
      <c r="K753">
        <v>0</v>
      </c>
      <c r="L753">
        <v>1200</v>
      </c>
      <c r="M753" t="str">
        <f t="shared" si="37"/>
        <v xml:space="preserve">N35DC   </v>
      </c>
      <c r="N753">
        <v>1</v>
      </c>
      <c r="O753">
        <v>1675</v>
      </c>
    </row>
    <row r="754" spans="1:15" x14ac:dyDescent="0.25">
      <c r="A754" t="str">
        <f>"10/21/2020 18:20:31.913"</f>
        <v>10/21/2020 18:20:31.913</v>
      </c>
      <c r="B754" t="str">
        <f>"18:20:39.852"</f>
        <v>18:20:39.852</v>
      </c>
      <c r="C754" t="str">
        <f>"18:20:39.352"</f>
        <v>18:20:39.352</v>
      </c>
      <c r="D754" t="s">
        <v>308</v>
      </c>
      <c r="E754">
        <v>30.513368</v>
      </c>
      <c r="F754" t="s">
        <v>309</v>
      </c>
      <c r="G754">
        <v>-89.773342999999997</v>
      </c>
      <c r="H754">
        <v>1600</v>
      </c>
      <c r="I754">
        <v>-42</v>
      </c>
      <c r="J754">
        <v>150</v>
      </c>
      <c r="K754">
        <v>0</v>
      </c>
      <c r="L754">
        <v>1200</v>
      </c>
      <c r="M754" t="str">
        <f t="shared" si="37"/>
        <v xml:space="preserve">N35DC   </v>
      </c>
      <c r="N754">
        <v>1</v>
      </c>
      <c r="O754">
        <v>1675</v>
      </c>
    </row>
    <row r="755" spans="1:15" x14ac:dyDescent="0.25">
      <c r="A755" t="str">
        <f>"10/21/2020 18:20:31.913"</f>
        <v>10/21/2020 18:20:31.913</v>
      </c>
      <c r="B755" t="str">
        <f>"18:20:39.852"</f>
        <v>18:20:39.852</v>
      </c>
      <c r="C755" t="str">
        <f>"18:20:39.352"</f>
        <v>18:20:39.352</v>
      </c>
      <c r="D755" t="s">
        <v>308</v>
      </c>
      <c r="E755">
        <v>30.513368</v>
      </c>
      <c r="F755" t="s">
        <v>309</v>
      </c>
      <c r="G755">
        <v>-89.773342999999997</v>
      </c>
      <c r="H755">
        <v>1600</v>
      </c>
      <c r="I755">
        <v>-42</v>
      </c>
      <c r="J755">
        <v>150</v>
      </c>
      <c r="K755">
        <v>0</v>
      </c>
      <c r="L755">
        <v>1200</v>
      </c>
      <c r="M755" t="str">
        <f t="shared" si="37"/>
        <v xml:space="preserve">N35DC   </v>
      </c>
      <c r="N755">
        <v>1</v>
      </c>
      <c r="O755">
        <v>1675</v>
      </c>
    </row>
    <row r="756" spans="1:15" x14ac:dyDescent="0.25">
      <c r="A756" t="str">
        <f>"10/21/2020 18:20:31.913"</f>
        <v>10/21/2020 18:20:31.913</v>
      </c>
      <c r="B756" t="str">
        <f>"18:20:39.852"</f>
        <v>18:20:39.852</v>
      </c>
      <c r="C756" t="str">
        <f>"18:20:39.352"</f>
        <v>18:20:39.352</v>
      </c>
      <c r="D756" t="s">
        <v>308</v>
      </c>
      <c r="E756">
        <v>30.513368</v>
      </c>
      <c r="F756" t="s">
        <v>309</v>
      </c>
      <c r="G756">
        <v>-89.773342999999997</v>
      </c>
      <c r="H756">
        <v>1600</v>
      </c>
      <c r="I756">
        <v>-42</v>
      </c>
      <c r="J756">
        <v>150</v>
      </c>
      <c r="K756">
        <v>0</v>
      </c>
      <c r="L756">
        <v>1200</v>
      </c>
      <c r="M756" t="str">
        <f t="shared" si="37"/>
        <v xml:space="preserve">N35DC   </v>
      </c>
      <c r="N756">
        <v>1</v>
      </c>
      <c r="O756">
        <v>1675</v>
      </c>
    </row>
    <row r="757" spans="1:15" x14ac:dyDescent="0.25">
      <c r="A757" t="str">
        <f>"10/21/2020 18:20:33.970"</f>
        <v>10/21/2020 18:20:33.970</v>
      </c>
      <c r="B757" t="str">
        <f>"18:20:41.906"</f>
        <v>18:20:41.906</v>
      </c>
      <c r="C757" t="str">
        <f>"18:20:41.406"</f>
        <v>18:20:41.406</v>
      </c>
      <c r="D757" t="s">
        <v>310</v>
      </c>
      <c r="E757">
        <v>30.514762000000001</v>
      </c>
      <c r="F757" t="s">
        <v>311</v>
      </c>
      <c r="G757">
        <v>-89.773792999999998</v>
      </c>
      <c r="H757">
        <v>1600</v>
      </c>
      <c r="I757">
        <v>-44</v>
      </c>
      <c r="J757">
        <v>149</v>
      </c>
      <c r="K757">
        <v>128</v>
      </c>
      <c r="L757">
        <v>1200</v>
      </c>
      <c r="M757" t="str">
        <f t="shared" si="37"/>
        <v xml:space="preserve">N35DC   </v>
      </c>
      <c r="N757">
        <v>1</v>
      </c>
      <c r="O757">
        <v>1675</v>
      </c>
    </row>
    <row r="758" spans="1:15" x14ac:dyDescent="0.25">
      <c r="A758" t="str">
        <f>"10/21/2020 18:20:33.970"</f>
        <v>10/21/2020 18:20:33.970</v>
      </c>
      <c r="B758" t="str">
        <f>"18:20:41.906"</f>
        <v>18:20:41.906</v>
      </c>
      <c r="C758" t="str">
        <f>"18:20:41.406"</f>
        <v>18:20:41.406</v>
      </c>
      <c r="D758" t="s">
        <v>310</v>
      </c>
      <c r="E758">
        <v>30.514762000000001</v>
      </c>
      <c r="F758" t="s">
        <v>311</v>
      </c>
      <c r="G758">
        <v>-89.773792999999998</v>
      </c>
      <c r="H758">
        <v>1600</v>
      </c>
      <c r="I758">
        <v>-44</v>
      </c>
      <c r="J758">
        <v>149</v>
      </c>
      <c r="K758">
        <v>128</v>
      </c>
      <c r="L758">
        <v>1200</v>
      </c>
      <c r="M758" t="str">
        <f t="shared" si="37"/>
        <v xml:space="preserve">N35DC   </v>
      </c>
      <c r="N758">
        <v>1</v>
      </c>
      <c r="O758">
        <v>1675</v>
      </c>
    </row>
    <row r="759" spans="1:15" x14ac:dyDescent="0.25">
      <c r="A759" t="str">
        <f>"10/21/2020 18:20:33.970"</f>
        <v>10/21/2020 18:20:33.970</v>
      </c>
      <c r="B759" t="str">
        <f>"18:20:41.906"</f>
        <v>18:20:41.906</v>
      </c>
      <c r="C759" t="str">
        <f>"18:20:41.406"</f>
        <v>18:20:41.406</v>
      </c>
      <c r="D759" t="s">
        <v>310</v>
      </c>
      <c r="E759">
        <v>30.514762000000001</v>
      </c>
      <c r="F759" t="s">
        <v>311</v>
      </c>
      <c r="G759">
        <v>-89.773792999999998</v>
      </c>
      <c r="H759">
        <v>1600</v>
      </c>
      <c r="I759">
        <v>-44</v>
      </c>
      <c r="J759">
        <v>149</v>
      </c>
      <c r="K759">
        <v>128</v>
      </c>
      <c r="L759">
        <v>1200</v>
      </c>
      <c r="M759" t="str">
        <f t="shared" si="37"/>
        <v xml:space="preserve">N35DC   </v>
      </c>
      <c r="N759">
        <v>1</v>
      </c>
      <c r="O759">
        <v>1675</v>
      </c>
    </row>
    <row r="760" spans="1:15" x14ac:dyDescent="0.25">
      <c r="A760" t="str">
        <f>"10/21/2020 18:20:33.970"</f>
        <v>10/21/2020 18:20:33.970</v>
      </c>
      <c r="B760" t="str">
        <f>"18:20:41.906"</f>
        <v>18:20:41.906</v>
      </c>
      <c r="C760" t="str">
        <f>"18:20:41.406"</f>
        <v>18:20:41.406</v>
      </c>
      <c r="D760" t="s">
        <v>310</v>
      </c>
      <c r="E760">
        <v>30.514762000000001</v>
      </c>
      <c r="F760" t="s">
        <v>311</v>
      </c>
      <c r="G760">
        <v>-89.773792999999998</v>
      </c>
      <c r="H760">
        <v>1600</v>
      </c>
      <c r="I760">
        <v>-44</v>
      </c>
      <c r="J760">
        <v>149</v>
      </c>
      <c r="K760">
        <v>128</v>
      </c>
      <c r="L760">
        <v>1200</v>
      </c>
      <c r="M760" t="str">
        <f t="shared" si="37"/>
        <v xml:space="preserve">N35DC   </v>
      </c>
      <c r="N760">
        <v>1</v>
      </c>
      <c r="O760">
        <v>1675</v>
      </c>
    </row>
    <row r="761" spans="1:15" x14ac:dyDescent="0.25">
      <c r="A761" t="str">
        <f>"10/21/2020 18:20:33.970"</f>
        <v>10/21/2020 18:20:33.970</v>
      </c>
      <c r="B761" t="str">
        <f>"18:20:41.906"</f>
        <v>18:20:41.906</v>
      </c>
      <c r="C761" t="str">
        <f>"18:20:41.406"</f>
        <v>18:20:41.406</v>
      </c>
      <c r="D761" t="s">
        <v>310</v>
      </c>
      <c r="E761">
        <v>30.514762000000001</v>
      </c>
      <c r="F761" t="s">
        <v>311</v>
      </c>
      <c r="G761">
        <v>-89.773792999999998</v>
      </c>
      <c r="H761">
        <v>1600</v>
      </c>
      <c r="I761">
        <v>-44</v>
      </c>
      <c r="J761">
        <v>149</v>
      </c>
      <c r="K761">
        <v>128</v>
      </c>
      <c r="L761">
        <v>1200</v>
      </c>
      <c r="M761" t="str">
        <f t="shared" si="37"/>
        <v xml:space="preserve">N35DC   </v>
      </c>
      <c r="N761">
        <v>1</v>
      </c>
      <c r="O761">
        <v>1675</v>
      </c>
    </row>
    <row r="762" spans="1:15" x14ac:dyDescent="0.25">
      <c r="A762" t="str">
        <f>"10/21/2020 18:20:34.893"</f>
        <v>10/21/2020 18:20:34.893</v>
      </c>
      <c r="B762" t="str">
        <f>"18:20:42.820"</f>
        <v>18:20:42.820</v>
      </c>
      <c r="C762" t="str">
        <f>"18:20:42.520"</f>
        <v>18:20:42.520</v>
      </c>
      <c r="D762" t="s">
        <v>312</v>
      </c>
      <c r="E762">
        <v>30.515405999999999</v>
      </c>
      <c r="F762" t="s">
        <v>313</v>
      </c>
      <c r="G762">
        <v>-89.774028999999999</v>
      </c>
      <c r="H762">
        <v>1600</v>
      </c>
      <c r="I762">
        <v>-44</v>
      </c>
      <c r="J762">
        <v>149</v>
      </c>
      <c r="K762">
        <v>64</v>
      </c>
      <c r="L762">
        <v>1200</v>
      </c>
      <c r="M762" t="str">
        <f t="shared" si="37"/>
        <v xml:space="preserve">N35DC   </v>
      </c>
      <c r="N762">
        <v>1</v>
      </c>
      <c r="O762">
        <v>1675</v>
      </c>
    </row>
    <row r="763" spans="1:15" x14ac:dyDescent="0.25">
      <c r="A763" t="str">
        <f>"10/21/2020 18:20:34.893"</f>
        <v>10/21/2020 18:20:34.893</v>
      </c>
      <c r="B763" t="str">
        <f>"18:20:42.820"</f>
        <v>18:20:42.820</v>
      </c>
      <c r="C763" t="str">
        <f>"18:20:42.520"</f>
        <v>18:20:42.520</v>
      </c>
      <c r="D763" t="s">
        <v>312</v>
      </c>
      <c r="E763">
        <v>30.515405999999999</v>
      </c>
      <c r="F763" t="s">
        <v>313</v>
      </c>
      <c r="G763">
        <v>-89.774028999999999</v>
      </c>
      <c r="H763">
        <v>1600</v>
      </c>
      <c r="I763">
        <v>-44</v>
      </c>
      <c r="J763">
        <v>149</v>
      </c>
      <c r="K763">
        <v>64</v>
      </c>
      <c r="L763">
        <v>1200</v>
      </c>
      <c r="M763" t="str">
        <f t="shared" si="37"/>
        <v xml:space="preserve">N35DC   </v>
      </c>
      <c r="N763">
        <v>1</v>
      </c>
      <c r="O763">
        <v>1675</v>
      </c>
    </row>
    <row r="764" spans="1:15" x14ac:dyDescent="0.25">
      <c r="A764" t="str">
        <f>"10/21/2020 18:20:34.893"</f>
        <v>10/21/2020 18:20:34.893</v>
      </c>
      <c r="B764" t="str">
        <f>"18:20:42.820"</f>
        <v>18:20:42.820</v>
      </c>
      <c r="C764" t="str">
        <f>"18:20:42.520"</f>
        <v>18:20:42.520</v>
      </c>
      <c r="D764" t="s">
        <v>312</v>
      </c>
      <c r="E764">
        <v>30.515405999999999</v>
      </c>
      <c r="F764" t="s">
        <v>313</v>
      </c>
      <c r="G764">
        <v>-89.774028999999999</v>
      </c>
      <c r="H764">
        <v>1600</v>
      </c>
      <c r="I764">
        <v>-44</v>
      </c>
      <c r="J764">
        <v>149</v>
      </c>
      <c r="K764">
        <v>64</v>
      </c>
      <c r="L764">
        <v>1200</v>
      </c>
      <c r="M764" t="str">
        <f t="shared" si="37"/>
        <v xml:space="preserve">N35DC   </v>
      </c>
      <c r="N764">
        <v>1</v>
      </c>
      <c r="O764">
        <v>1675</v>
      </c>
    </row>
    <row r="765" spans="1:15" x14ac:dyDescent="0.25">
      <c r="A765" t="str">
        <f>"10/21/2020 18:20:34.893"</f>
        <v>10/21/2020 18:20:34.893</v>
      </c>
      <c r="B765" t="str">
        <f>"18:20:42.820"</f>
        <v>18:20:42.820</v>
      </c>
      <c r="C765" t="str">
        <f>"18:20:42.520"</f>
        <v>18:20:42.520</v>
      </c>
      <c r="D765" t="s">
        <v>312</v>
      </c>
      <c r="E765">
        <v>30.515405999999999</v>
      </c>
      <c r="F765" t="s">
        <v>313</v>
      </c>
      <c r="G765">
        <v>-89.774028999999999</v>
      </c>
      <c r="H765">
        <v>1600</v>
      </c>
      <c r="I765">
        <v>-44</v>
      </c>
      <c r="J765">
        <v>149</v>
      </c>
      <c r="K765">
        <v>64</v>
      </c>
      <c r="L765">
        <v>1200</v>
      </c>
      <c r="M765" t="str">
        <f t="shared" si="37"/>
        <v xml:space="preserve">N35DC   </v>
      </c>
      <c r="N765">
        <v>1</v>
      </c>
      <c r="O765">
        <v>1675</v>
      </c>
    </row>
    <row r="766" spans="1:15" x14ac:dyDescent="0.25">
      <c r="A766" t="str">
        <f>"10/21/2020 18:20:34.893"</f>
        <v>10/21/2020 18:20:34.893</v>
      </c>
      <c r="B766" t="str">
        <f>"18:20:42.820"</f>
        <v>18:20:42.820</v>
      </c>
      <c r="C766" t="str">
        <f>"18:20:42.520"</f>
        <v>18:20:42.520</v>
      </c>
      <c r="D766" t="s">
        <v>312</v>
      </c>
      <c r="E766">
        <v>30.515405999999999</v>
      </c>
      <c r="F766" t="s">
        <v>313</v>
      </c>
      <c r="G766">
        <v>-89.774028999999999</v>
      </c>
      <c r="H766">
        <v>1600</v>
      </c>
      <c r="I766">
        <v>-44</v>
      </c>
      <c r="J766">
        <v>149</v>
      </c>
      <c r="K766">
        <v>64</v>
      </c>
      <c r="L766">
        <v>1200</v>
      </c>
      <c r="M766" t="str">
        <f t="shared" si="37"/>
        <v xml:space="preserve">N35DC   </v>
      </c>
      <c r="N766">
        <v>1</v>
      </c>
      <c r="O766">
        <v>1675</v>
      </c>
    </row>
    <row r="767" spans="1:15" x14ac:dyDescent="0.25">
      <c r="A767" t="str">
        <f>"10/21/2020 18:20:37.922"</f>
        <v>10/21/2020 18:20:37.922</v>
      </c>
      <c r="B767" t="str">
        <f>"18:20:45.867"</f>
        <v>18:20:45.867</v>
      </c>
      <c r="C767" t="str">
        <f>"18:20:45.467"</f>
        <v>18:20:45.467</v>
      </c>
      <c r="D767" t="s">
        <v>314</v>
      </c>
      <c r="E767">
        <v>30.517509</v>
      </c>
      <c r="F767" t="s">
        <v>315</v>
      </c>
      <c r="G767">
        <v>-89.774780000000007</v>
      </c>
      <c r="H767">
        <v>1600</v>
      </c>
      <c r="I767">
        <v>-45</v>
      </c>
      <c r="J767">
        <v>148</v>
      </c>
      <c r="K767">
        <v>64</v>
      </c>
      <c r="L767">
        <v>1200</v>
      </c>
      <c r="M767" t="str">
        <f t="shared" si="37"/>
        <v xml:space="preserve">N35DC   </v>
      </c>
      <c r="N767">
        <v>1</v>
      </c>
      <c r="O767">
        <v>1675</v>
      </c>
    </row>
    <row r="768" spans="1:15" x14ac:dyDescent="0.25">
      <c r="A768" t="str">
        <f>"10/21/2020 18:20:37.922"</f>
        <v>10/21/2020 18:20:37.922</v>
      </c>
      <c r="B768" t="str">
        <f>"18:20:45.867"</f>
        <v>18:20:45.867</v>
      </c>
      <c r="C768" t="str">
        <f>"18:20:45.467"</f>
        <v>18:20:45.467</v>
      </c>
      <c r="D768" t="s">
        <v>314</v>
      </c>
      <c r="E768">
        <v>30.517509</v>
      </c>
      <c r="F768" t="s">
        <v>315</v>
      </c>
      <c r="G768">
        <v>-89.774780000000007</v>
      </c>
      <c r="H768">
        <v>1600</v>
      </c>
      <c r="I768">
        <v>-45</v>
      </c>
      <c r="J768">
        <v>148</v>
      </c>
      <c r="K768">
        <v>64</v>
      </c>
      <c r="L768">
        <v>1200</v>
      </c>
      <c r="M768" t="str">
        <f t="shared" si="37"/>
        <v xml:space="preserve">N35DC   </v>
      </c>
      <c r="N768">
        <v>1</v>
      </c>
      <c r="O768">
        <v>1675</v>
      </c>
    </row>
    <row r="769" spans="1:15" x14ac:dyDescent="0.25">
      <c r="A769" t="str">
        <f>"10/21/2020 18:20:37.922"</f>
        <v>10/21/2020 18:20:37.922</v>
      </c>
      <c r="B769" t="str">
        <f>"18:20:45.867"</f>
        <v>18:20:45.867</v>
      </c>
      <c r="C769" t="str">
        <f>"18:20:45.467"</f>
        <v>18:20:45.467</v>
      </c>
      <c r="D769" t="s">
        <v>314</v>
      </c>
      <c r="E769">
        <v>30.517509</v>
      </c>
      <c r="F769" t="s">
        <v>315</v>
      </c>
      <c r="G769">
        <v>-89.774780000000007</v>
      </c>
      <c r="H769">
        <v>1600</v>
      </c>
      <c r="I769">
        <v>-45</v>
      </c>
      <c r="J769">
        <v>148</v>
      </c>
      <c r="K769">
        <v>64</v>
      </c>
      <c r="L769">
        <v>1200</v>
      </c>
      <c r="M769" t="str">
        <f t="shared" si="37"/>
        <v xml:space="preserve">N35DC   </v>
      </c>
      <c r="N769">
        <v>1</v>
      </c>
      <c r="O769">
        <v>1675</v>
      </c>
    </row>
    <row r="770" spans="1:15" x14ac:dyDescent="0.25">
      <c r="A770" t="str">
        <f>"10/21/2020 18:20:37.922"</f>
        <v>10/21/2020 18:20:37.922</v>
      </c>
      <c r="B770" t="str">
        <f>"18:20:45.867"</f>
        <v>18:20:45.867</v>
      </c>
      <c r="C770" t="str">
        <f>"18:20:45.467"</f>
        <v>18:20:45.467</v>
      </c>
      <c r="D770" t="s">
        <v>314</v>
      </c>
      <c r="E770">
        <v>30.517509</v>
      </c>
      <c r="F770" t="s">
        <v>315</v>
      </c>
      <c r="G770">
        <v>-89.774780000000007</v>
      </c>
      <c r="H770">
        <v>1600</v>
      </c>
      <c r="I770">
        <v>-45</v>
      </c>
      <c r="J770">
        <v>148</v>
      </c>
      <c r="K770">
        <v>64</v>
      </c>
      <c r="L770">
        <v>1200</v>
      </c>
      <c r="M770" t="str">
        <f t="shared" si="37"/>
        <v xml:space="preserve">N35DC   </v>
      </c>
      <c r="N770">
        <v>1</v>
      </c>
      <c r="O770">
        <v>1675</v>
      </c>
    </row>
    <row r="771" spans="1:15" x14ac:dyDescent="0.25">
      <c r="A771" t="str">
        <f>"10/21/2020 18:20:37.922"</f>
        <v>10/21/2020 18:20:37.922</v>
      </c>
      <c r="B771" t="str">
        <f>"18:20:45.867"</f>
        <v>18:20:45.867</v>
      </c>
      <c r="C771" t="str">
        <f>"18:20:45.467"</f>
        <v>18:20:45.467</v>
      </c>
      <c r="D771" t="s">
        <v>314</v>
      </c>
      <c r="E771">
        <v>30.517509</v>
      </c>
      <c r="F771" t="s">
        <v>315</v>
      </c>
      <c r="G771">
        <v>-89.774780000000007</v>
      </c>
      <c r="H771">
        <v>1600</v>
      </c>
      <c r="I771">
        <v>-45</v>
      </c>
      <c r="J771">
        <v>148</v>
      </c>
      <c r="K771">
        <v>64</v>
      </c>
      <c r="L771">
        <v>1200</v>
      </c>
      <c r="M771" t="str">
        <f t="shared" si="37"/>
        <v xml:space="preserve">N35DC   </v>
      </c>
      <c r="N771">
        <v>1</v>
      </c>
      <c r="O771">
        <v>1675</v>
      </c>
    </row>
    <row r="772" spans="1:15" x14ac:dyDescent="0.25">
      <c r="A772" t="str">
        <f>"10/21/2020 18:20:39.953"</f>
        <v>10/21/2020 18:20:39.953</v>
      </c>
      <c r="B772" t="str">
        <f t="shared" ref="B772:C776" si="38">"18:20:47.891"</f>
        <v>18:20:47.891</v>
      </c>
      <c r="C772" t="str">
        <f t="shared" si="38"/>
        <v>18:20:47.891</v>
      </c>
      <c r="D772" t="s">
        <v>316</v>
      </c>
      <c r="E772">
        <v>30.518903999999999</v>
      </c>
      <c r="F772" t="s">
        <v>317</v>
      </c>
      <c r="G772">
        <v>-89.775273999999996</v>
      </c>
      <c r="H772">
        <v>1600</v>
      </c>
      <c r="I772">
        <v>-48</v>
      </c>
      <c r="J772">
        <v>147</v>
      </c>
      <c r="K772">
        <v>128</v>
      </c>
      <c r="L772">
        <v>1200</v>
      </c>
      <c r="M772" t="str">
        <f t="shared" si="37"/>
        <v xml:space="preserve">N35DC   </v>
      </c>
      <c r="N772">
        <v>1</v>
      </c>
      <c r="O772">
        <v>1700</v>
      </c>
    </row>
    <row r="773" spans="1:15" x14ac:dyDescent="0.25">
      <c r="A773" t="str">
        <f>"10/21/2020 18:20:39.953"</f>
        <v>10/21/2020 18:20:39.953</v>
      </c>
      <c r="B773" t="str">
        <f t="shared" si="38"/>
        <v>18:20:47.891</v>
      </c>
      <c r="C773" t="str">
        <f t="shared" si="38"/>
        <v>18:20:47.891</v>
      </c>
      <c r="D773" t="s">
        <v>316</v>
      </c>
      <c r="E773">
        <v>30.518903999999999</v>
      </c>
      <c r="F773" t="s">
        <v>317</v>
      </c>
      <c r="G773">
        <v>-89.775273999999996</v>
      </c>
      <c r="H773">
        <v>1600</v>
      </c>
      <c r="I773">
        <v>-48</v>
      </c>
      <c r="J773">
        <v>147</v>
      </c>
      <c r="K773">
        <v>128</v>
      </c>
      <c r="L773">
        <v>1200</v>
      </c>
      <c r="M773" t="str">
        <f t="shared" si="37"/>
        <v xml:space="preserve">N35DC   </v>
      </c>
      <c r="N773">
        <v>1</v>
      </c>
      <c r="O773">
        <v>1700</v>
      </c>
    </row>
    <row r="774" spans="1:15" x14ac:dyDescent="0.25">
      <c r="A774" t="str">
        <f>"10/21/2020 18:20:39.953"</f>
        <v>10/21/2020 18:20:39.953</v>
      </c>
      <c r="B774" t="str">
        <f t="shared" si="38"/>
        <v>18:20:47.891</v>
      </c>
      <c r="C774" t="str">
        <f t="shared" si="38"/>
        <v>18:20:47.891</v>
      </c>
      <c r="D774" t="s">
        <v>316</v>
      </c>
      <c r="E774">
        <v>30.518903999999999</v>
      </c>
      <c r="F774" t="s">
        <v>317</v>
      </c>
      <c r="G774">
        <v>-89.775273999999996</v>
      </c>
      <c r="H774">
        <v>1600</v>
      </c>
      <c r="I774">
        <v>-48</v>
      </c>
      <c r="J774">
        <v>147</v>
      </c>
      <c r="K774">
        <v>128</v>
      </c>
      <c r="L774">
        <v>1200</v>
      </c>
      <c r="M774" t="str">
        <f t="shared" si="37"/>
        <v xml:space="preserve">N35DC   </v>
      </c>
      <c r="N774">
        <v>1</v>
      </c>
      <c r="O774">
        <v>1700</v>
      </c>
    </row>
    <row r="775" spans="1:15" x14ac:dyDescent="0.25">
      <c r="A775" t="str">
        <f>"10/21/2020 18:20:39.953"</f>
        <v>10/21/2020 18:20:39.953</v>
      </c>
      <c r="B775" t="str">
        <f t="shared" si="38"/>
        <v>18:20:47.891</v>
      </c>
      <c r="C775" t="str">
        <f t="shared" si="38"/>
        <v>18:20:47.891</v>
      </c>
      <c r="D775" t="s">
        <v>316</v>
      </c>
      <c r="E775">
        <v>30.518903999999999</v>
      </c>
      <c r="F775" t="s">
        <v>317</v>
      </c>
      <c r="G775">
        <v>-89.775273999999996</v>
      </c>
      <c r="H775">
        <v>1600</v>
      </c>
      <c r="I775">
        <v>-48</v>
      </c>
      <c r="J775">
        <v>147</v>
      </c>
      <c r="K775">
        <v>128</v>
      </c>
      <c r="L775">
        <v>1200</v>
      </c>
      <c r="M775" t="str">
        <f t="shared" ref="M775:M838" si="39">"N35DC   "</f>
        <v xml:space="preserve">N35DC   </v>
      </c>
      <c r="N775">
        <v>1</v>
      </c>
      <c r="O775">
        <v>1700</v>
      </c>
    </row>
    <row r="776" spans="1:15" x14ac:dyDescent="0.25">
      <c r="A776" t="str">
        <f>"10/21/2020 18:20:39.953"</f>
        <v>10/21/2020 18:20:39.953</v>
      </c>
      <c r="B776" t="str">
        <f t="shared" si="38"/>
        <v>18:20:47.891</v>
      </c>
      <c r="C776" t="str">
        <f t="shared" si="38"/>
        <v>18:20:47.891</v>
      </c>
      <c r="D776" t="s">
        <v>316</v>
      </c>
      <c r="E776">
        <v>30.518903999999999</v>
      </c>
      <c r="F776" t="s">
        <v>317</v>
      </c>
      <c r="G776">
        <v>-89.775273999999996</v>
      </c>
      <c r="H776">
        <v>1600</v>
      </c>
      <c r="I776">
        <v>-48</v>
      </c>
      <c r="J776">
        <v>147</v>
      </c>
      <c r="K776">
        <v>128</v>
      </c>
      <c r="L776">
        <v>1200</v>
      </c>
      <c r="M776" t="str">
        <f t="shared" si="39"/>
        <v xml:space="preserve">N35DC   </v>
      </c>
      <c r="N776">
        <v>1</v>
      </c>
      <c r="O776">
        <v>1700</v>
      </c>
    </row>
    <row r="777" spans="1:15" x14ac:dyDescent="0.25">
      <c r="A777" t="str">
        <f>"10/21/2020 18:20:40.938"</f>
        <v>10/21/2020 18:20:40.938</v>
      </c>
      <c r="B777" t="str">
        <f>"18:20:48.867"</f>
        <v>18:20:48.867</v>
      </c>
      <c r="C777" t="str">
        <f>"18:20:48.367"</f>
        <v>18:20:48.367</v>
      </c>
      <c r="D777" t="s">
        <v>318</v>
      </c>
      <c r="E777">
        <v>30.519569000000001</v>
      </c>
      <c r="F777" t="s">
        <v>319</v>
      </c>
      <c r="G777">
        <v>-89.775531000000001</v>
      </c>
      <c r="H777">
        <v>1600</v>
      </c>
      <c r="I777">
        <v>-49</v>
      </c>
      <c r="J777">
        <v>147</v>
      </c>
      <c r="K777">
        <v>128</v>
      </c>
      <c r="L777">
        <v>1200</v>
      </c>
      <c r="M777" t="str">
        <f t="shared" si="39"/>
        <v xml:space="preserve">N35DC   </v>
      </c>
      <c r="N777">
        <v>1</v>
      </c>
      <c r="O777">
        <v>1700</v>
      </c>
    </row>
    <row r="778" spans="1:15" x14ac:dyDescent="0.25">
      <c r="A778" t="str">
        <f>"10/21/2020 18:20:40.938"</f>
        <v>10/21/2020 18:20:40.938</v>
      </c>
      <c r="B778" t="str">
        <f>"18:20:48.867"</f>
        <v>18:20:48.867</v>
      </c>
      <c r="C778" t="str">
        <f>"18:20:48.367"</f>
        <v>18:20:48.367</v>
      </c>
      <c r="D778" t="s">
        <v>318</v>
      </c>
      <c r="E778">
        <v>30.519569000000001</v>
      </c>
      <c r="F778" t="s">
        <v>319</v>
      </c>
      <c r="G778">
        <v>-89.775531000000001</v>
      </c>
      <c r="H778">
        <v>1600</v>
      </c>
      <c r="I778">
        <v>-49</v>
      </c>
      <c r="J778">
        <v>147</v>
      </c>
      <c r="K778">
        <v>128</v>
      </c>
      <c r="L778">
        <v>1200</v>
      </c>
      <c r="M778" t="str">
        <f t="shared" si="39"/>
        <v xml:space="preserve">N35DC   </v>
      </c>
      <c r="N778">
        <v>1</v>
      </c>
      <c r="O778">
        <v>1700</v>
      </c>
    </row>
    <row r="779" spans="1:15" x14ac:dyDescent="0.25">
      <c r="A779" t="str">
        <f>"10/21/2020 18:20:40.938"</f>
        <v>10/21/2020 18:20:40.938</v>
      </c>
      <c r="B779" t="str">
        <f>"18:20:48.867"</f>
        <v>18:20:48.867</v>
      </c>
      <c r="C779" t="str">
        <f>"18:20:48.367"</f>
        <v>18:20:48.367</v>
      </c>
      <c r="D779" t="s">
        <v>318</v>
      </c>
      <c r="E779">
        <v>30.519569000000001</v>
      </c>
      <c r="F779" t="s">
        <v>319</v>
      </c>
      <c r="G779">
        <v>-89.775531000000001</v>
      </c>
      <c r="H779">
        <v>1600</v>
      </c>
      <c r="I779">
        <v>-49</v>
      </c>
      <c r="J779">
        <v>147</v>
      </c>
      <c r="K779">
        <v>128</v>
      </c>
      <c r="L779">
        <v>1200</v>
      </c>
      <c r="M779" t="str">
        <f t="shared" si="39"/>
        <v xml:space="preserve">N35DC   </v>
      </c>
      <c r="N779">
        <v>1</v>
      </c>
      <c r="O779">
        <v>1700</v>
      </c>
    </row>
    <row r="780" spans="1:15" x14ac:dyDescent="0.25">
      <c r="A780" t="str">
        <f>"10/21/2020 18:20:40.938"</f>
        <v>10/21/2020 18:20:40.938</v>
      </c>
      <c r="B780" t="str">
        <f>"18:20:48.867"</f>
        <v>18:20:48.867</v>
      </c>
      <c r="C780" t="str">
        <f>"18:20:48.367"</f>
        <v>18:20:48.367</v>
      </c>
      <c r="D780" t="s">
        <v>318</v>
      </c>
      <c r="E780">
        <v>30.519569000000001</v>
      </c>
      <c r="F780" t="s">
        <v>319</v>
      </c>
      <c r="G780">
        <v>-89.775531000000001</v>
      </c>
      <c r="H780">
        <v>1600</v>
      </c>
      <c r="I780">
        <v>-49</v>
      </c>
      <c r="J780">
        <v>147</v>
      </c>
      <c r="K780">
        <v>128</v>
      </c>
      <c r="L780">
        <v>1200</v>
      </c>
      <c r="M780" t="str">
        <f t="shared" si="39"/>
        <v xml:space="preserve">N35DC   </v>
      </c>
      <c r="N780">
        <v>1</v>
      </c>
      <c r="O780">
        <v>1700</v>
      </c>
    </row>
    <row r="781" spans="1:15" x14ac:dyDescent="0.25">
      <c r="A781" t="str">
        <f>"10/21/2020 18:20:40.938"</f>
        <v>10/21/2020 18:20:40.938</v>
      </c>
      <c r="B781" t="str">
        <f>"18:20:48.867"</f>
        <v>18:20:48.867</v>
      </c>
      <c r="C781" t="str">
        <f>"18:20:48.367"</f>
        <v>18:20:48.367</v>
      </c>
      <c r="D781" t="s">
        <v>318</v>
      </c>
      <c r="E781">
        <v>30.519569000000001</v>
      </c>
      <c r="F781" t="s">
        <v>319</v>
      </c>
      <c r="G781">
        <v>-89.775531000000001</v>
      </c>
      <c r="H781">
        <v>1600</v>
      </c>
      <c r="I781">
        <v>-49</v>
      </c>
      <c r="J781">
        <v>147</v>
      </c>
      <c r="K781">
        <v>128</v>
      </c>
      <c r="L781">
        <v>1200</v>
      </c>
      <c r="M781" t="str">
        <f t="shared" si="39"/>
        <v xml:space="preserve">N35DC   </v>
      </c>
      <c r="N781">
        <v>1</v>
      </c>
      <c r="O781">
        <v>1700</v>
      </c>
    </row>
    <row r="782" spans="1:15" x14ac:dyDescent="0.25">
      <c r="A782" t="str">
        <f>"10/21/2020 18:20:46.819"</f>
        <v>10/21/2020 18:20:46.819</v>
      </c>
      <c r="B782" t="str">
        <f>"18:20:54.758"</f>
        <v>18:20:54.758</v>
      </c>
      <c r="C782" t="str">
        <f>"18:20:54.558"</f>
        <v>18:20:54.558</v>
      </c>
      <c r="D782" t="s">
        <v>320</v>
      </c>
      <c r="E782">
        <v>30.523409999999998</v>
      </c>
      <c r="F782" t="s">
        <v>321</v>
      </c>
      <c r="G782">
        <v>-89.777462</v>
      </c>
      <c r="H782">
        <v>1600</v>
      </c>
      <c r="I782">
        <v>-72</v>
      </c>
      <c r="J782">
        <v>138</v>
      </c>
      <c r="K782">
        <v>-256</v>
      </c>
      <c r="L782">
        <v>1200</v>
      </c>
      <c r="M782" t="str">
        <f t="shared" si="39"/>
        <v xml:space="preserve">N35DC   </v>
      </c>
      <c r="N782">
        <v>1</v>
      </c>
      <c r="O782">
        <v>1700</v>
      </c>
    </row>
    <row r="783" spans="1:15" x14ac:dyDescent="0.25">
      <c r="A783" t="str">
        <f>"10/21/2020 18:20:46.819"</f>
        <v>10/21/2020 18:20:46.819</v>
      </c>
      <c r="B783" t="str">
        <f>"18:20:54.758"</f>
        <v>18:20:54.758</v>
      </c>
      <c r="C783" t="str">
        <f>"18:20:54.558"</f>
        <v>18:20:54.558</v>
      </c>
      <c r="D783" t="s">
        <v>320</v>
      </c>
      <c r="E783">
        <v>30.523409999999998</v>
      </c>
      <c r="F783" t="s">
        <v>321</v>
      </c>
      <c r="G783">
        <v>-89.777462</v>
      </c>
      <c r="H783">
        <v>1600</v>
      </c>
      <c r="I783">
        <v>-72</v>
      </c>
      <c r="J783">
        <v>138</v>
      </c>
      <c r="K783">
        <v>-256</v>
      </c>
      <c r="L783">
        <v>1200</v>
      </c>
      <c r="M783" t="str">
        <f t="shared" si="39"/>
        <v xml:space="preserve">N35DC   </v>
      </c>
      <c r="N783">
        <v>1</v>
      </c>
      <c r="O783">
        <v>1700</v>
      </c>
    </row>
    <row r="784" spans="1:15" x14ac:dyDescent="0.25">
      <c r="A784" t="str">
        <f>"10/21/2020 18:20:46.819"</f>
        <v>10/21/2020 18:20:46.819</v>
      </c>
      <c r="B784" t="str">
        <f>"18:20:54.758"</f>
        <v>18:20:54.758</v>
      </c>
      <c r="C784" t="str">
        <f>"18:20:54.558"</f>
        <v>18:20:54.558</v>
      </c>
      <c r="D784" t="s">
        <v>320</v>
      </c>
      <c r="E784">
        <v>30.523409999999998</v>
      </c>
      <c r="F784" t="s">
        <v>321</v>
      </c>
      <c r="G784">
        <v>-89.777462</v>
      </c>
      <c r="H784">
        <v>1600</v>
      </c>
      <c r="I784">
        <v>-72</v>
      </c>
      <c r="J784">
        <v>138</v>
      </c>
      <c r="K784">
        <v>-256</v>
      </c>
      <c r="L784">
        <v>1200</v>
      </c>
      <c r="M784" t="str">
        <f t="shared" si="39"/>
        <v xml:space="preserve">N35DC   </v>
      </c>
      <c r="N784">
        <v>1</v>
      </c>
      <c r="O784">
        <v>1700</v>
      </c>
    </row>
    <row r="785" spans="1:15" x14ac:dyDescent="0.25">
      <c r="A785" t="str">
        <f>"10/21/2020 18:20:46.819"</f>
        <v>10/21/2020 18:20:46.819</v>
      </c>
      <c r="B785" t="str">
        <f>"18:20:54.758"</f>
        <v>18:20:54.758</v>
      </c>
      <c r="C785" t="str">
        <f>"18:20:54.558"</f>
        <v>18:20:54.558</v>
      </c>
      <c r="D785" t="s">
        <v>320</v>
      </c>
      <c r="E785">
        <v>30.523409999999998</v>
      </c>
      <c r="F785" t="s">
        <v>321</v>
      </c>
      <c r="G785">
        <v>-89.777462</v>
      </c>
      <c r="H785">
        <v>1600</v>
      </c>
      <c r="I785">
        <v>-72</v>
      </c>
      <c r="J785">
        <v>138</v>
      </c>
      <c r="K785">
        <v>-256</v>
      </c>
      <c r="L785">
        <v>1200</v>
      </c>
      <c r="M785" t="str">
        <f t="shared" si="39"/>
        <v xml:space="preserve">N35DC   </v>
      </c>
      <c r="N785">
        <v>1</v>
      </c>
      <c r="O785">
        <v>1700</v>
      </c>
    </row>
    <row r="786" spans="1:15" x14ac:dyDescent="0.25">
      <c r="A786" t="str">
        <f>"10/21/2020 18:20:46.819"</f>
        <v>10/21/2020 18:20:46.819</v>
      </c>
      <c r="B786" t="str">
        <f>"18:20:54.758"</f>
        <v>18:20:54.758</v>
      </c>
      <c r="C786" t="str">
        <f>"18:20:54.558"</f>
        <v>18:20:54.558</v>
      </c>
      <c r="D786" t="s">
        <v>320</v>
      </c>
      <c r="E786">
        <v>30.523409999999998</v>
      </c>
      <c r="F786" t="s">
        <v>321</v>
      </c>
      <c r="G786">
        <v>-89.777462</v>
      </c>
      <c r="H786">
        <v>1600</v>
      </c>
      <c r="I786">
        <v>-72</v>
      </c>
      <c r="J786">
        <v>138</v>
      </c>
      <c r="K786">
        <v>-256</v>
      </c>
      <c r="L786">
        <v>1200</v>
      </c>
      <c r="M786" t="str">
        <f t="shared" si="39"/>
        <v xml:space="preserve">N35DC   </v>
      </c>
      <c r="N786">
        <v>1</v>
      </c>
      <c r="O786">
        <v>1700</v>
      </c>
    </row>
    <row r="787" spans="1:15" x14ac:dyDescent="0.25">
      <c r="A787" t="str">
        <f>"10/21/2020 18:20:47.782"</f>
        <v>10/21/2020 18:20:47.782</v>
      </c>
      <c r="B787" t="str">
        <f>"18:20:55.719"</f>
        <v>18:20:55.719</v>
      </c>
      <c r="C787" t="str">
        <f>"18:20:55.619"</f>
        <v>18:20:55.619</v>
      </c>
      <c r="D787" t="s">
        <v>322</v>
      </c>
      <c r="E787">
        <v>30.524054</v>
      </c>
      <c r="F787" t="s">
        <v>323</v>
      </c>
      <c r="G787">
        <v>-89.777912999999998</v>
      </c>
      <c r="H787">
        <v>1600</v>
      </c>
      <c r="I787">
        <v>-78</v>
      </c>
      <c r="J787">
        <v>135</v>
      </c>
      <c r="K787">
        <v>-320</v>
      </c>
      <c r="L787">
        <v>1200</v>
      </c>
      <c r="M787" t="str">
        <f t="shared" si="39"/>
        <v xml:space="preserve">N35DC   </v>
      </c>
      <c r="N787">
        <v>1</v>
      </c>
      <c r="O787">
        <v>1675</v>
      </c>
    </row>
    <row r="788" spans="1:15" x14ac:dyDescent="0.25">
      <c r="A788" t="str">
        <f>"10/21/2020 18:20:47.782"</f>
        <v>10/21/2020 18:20:47.782</v>
      </c>
      <c r="B788" t="str">
        <f>"18:20:55.719"</f>
        <v>18:20:55.719</v>
      </c>
      <c r="C788" t="str">
        <f>"18:20:55.619"</f>
        <v>18:20:55.619</v>
      </c>
      <c r="D788" t="s">
        <v>322</v>
      </c>
      <c r="E788">
        <v>30.524054</v>
      </c>
      <c r="F788" t="s">
        <v>323</v>
      </c>
      <c r="G788">
        <v>-89.777912999999998</v>
      </c>
      <c r="H788">
        <v>1600</v>
      </c>
      <c r="I788">
        <v>-78</v>
      </c>
      <c r="J788">
        <v>135</v>
      </c>
      <c r="K788">
        <v>-320</v>
      </c>
      <c r="L788">
        <v>1200</v>
      </c>
      <c r="M788" t="str">
        <f t="shared" si="39"/>
        <v xml:space="preserve">N35DC   </v>
      </c>
      <c r="N788">
        <v>1</v>
      </c>
      <c r="O788">
        <v>1675</v>
      </c>
    </row>
    <row r="789" spans="1:15" x14ac:dyDescent="0.25">
      <c r="A789" t="str">
        <f>"10/21/2020 18:20:47.782"</f>
        <v>10/21/2020 18:20:47.782</v>
      </c>
      <c r="B789" t="str">
        <f>"18:20:55.719"</f>
        <v>18:20:55.719</v>
      </c>
      <c r="C789" t="str">
        <f>"18:20:55.619"</f>
        <v>18:20:55.619</v>
      </c>
      <c r="D789" t="s">
        <v>322</v>
      </c>
      <c r="E789">
        <v>30.524054</v>
      </c>
      <c r="F789" t="s">
        <v>323</v>
      </c>
      <c r="G789">
        <v>-89.777912999999998</v>
      </c>
      <c r="H789">
        <v>1600</v>
      </c>
      <c r="I789">
        <v>-78</v>
      </c>
      <c r="J789">
        <v>135</v>
      </c>
      <c r="K789">
        <v>-320</v>
      </c>
      <c r="L789">
        <v>1200</v>
      </c>
      <c r="M789" t="str">
        <f t="shared" si="39"/>
        <v xml:space="preserve">N35DC   </v>
      </c>
      <c r="N789">
        <v>1</v>
      </c>
      <c r="O789">
        <v>1675</v>
      </c>
    </row>
    <row r="790" spans="1:15" x14ac:dyDescent="0.25">
      <c r="A790" t="str">
        <f>"10/21/2020 18:20:47.782"</f>
        <v>10/21/2020 18:20:47.782</v>
      </c>
      <c r="B790" t="str">
        <f>"18:20:55.719"</f>
        <v>18:20:55.719</v>
      </c>
      <c r="C790" t="str">
        <f>"18:20:55.619"</f>
        <v>18:20:55.619</v>
      </c>
      <c r="D790" t="s">
        <v>322</v>
      </c>
      <c r="E790">
        <v>30.524054</v>
      </c>
      <c r="F790" t="s">
        <v>323</v>
      </c>
      <c r="G790">
        <v>-89.777912999999998</v>
      </c>
      <c r="H790">
        <v>1600</v>
      </c>
      <c r="I790">
        <v>-78</v>
      </c>
      <c r="J790">
        <v>135</v>
      </c>
      <c r="K790">
        <v>-320</v>
      </c>
      <c r="L790">
        <v>1200</v>
      </c>
      <c r="M790" t="str">
        <f t="shared" si="39"/>
        <v xml:space="preserve">N35DC   </v>
      </c>
      <c r="N790">
        <v>1</v>
      </c>
      <c r="O790">
        <v>1675</v>
      </c>
    </row>
    <row r="791" spans="1:15" x14ac:dyDescent="0.25">
      <c r="A791" t="str">
        <f>"10/21/2020 18:20:47.782"</f>
        <v>10/21/2020 18:20:47.782</v>
      </c>
      <c r="B791" t="str">
        <f>"18:20:55.719"</f>
        <v>18:20:55.719</v>
      </c>
      <c r="C791" t="str">
        <f>"18:20:55.619"</f>
        <v>18:20:55.619</v>
      </c>
      <c r="D791" t="s">
        <v>322</v>
      </c>
      <c r="E791">
        <v>30.524054</v>
      </c>
      <c r="F791" t="s">
        <v>323</v>
      </c>
      <c r="G791">
        <v>-89.777912999999998</v>
      </c>
      <c r="H791">
        <v>1600</v>
      </c>
      <c r="I791">
        <v>-78</v>
      </c>
      <c r="J791">
        <v>135</v>
      </c>
      <c r="K791">
        <v>-320</v>
      </c>
      <c r="L791">
        <v>1200</v>
      </c>
      <c r="M791" t="str">
        <f t="shared" si="39"/>
        <v xml:space="preserve">N35DC   </v>
      </c>
      <c r="N791">
        <v>1</v>
      </c>
      <c r="O791">
        <v>1675</v>
      </c>
    </row>
    <row r="792" spans="1:15" x14ac:dyDescent="0.25">
      <c r="A792" t="str">
        <f>"10/21/2020 18:20:50.965"</f>
        <v>10/21/2020 18:20:50.965</v>
      </c>
      <c r="B792" t="str">
        <f>"18:20:58.898"</f>
        <v>18:20:58.898</v>
      </c>
      <c r="C792" t="str">
        <f>"18:20:58.698"</f>
        <v>18:20:58.698</v>
      </c>
      <c r="D792" t="s">
        <v>324</v>
      </c>
      <c r="E792">
        <v>30.525963000000001</v>
      </c>
      <c r="F792" t="s">
        <v>325</v>
      </c>
      <c r="G792">
        <v>-89.779351000000005</v>
      </c>
      <c r="H792">
        <v>1600</v>
      </c>
      <c r="I792">
        <v>-92</v>
      </c>
      <c r="J792">
        <v>129</v>
      </c>
      <c r="K792">
        <v>-320</v>
      </c>
      <c r="L792">
        <v>1200</v>
      </c>
      <c r="M792" t="str">
        <f t="shared" si="39"/>
        <v xml:space="preserve">N35DC   </v>
      </c>
      <c r="N792">
        <v>1</v>
      </c>
      <c r="O792">
        <v>1675</v>
      </c>
    </row>
    <row r="793" spans="1:15" x14ac:dyDescent="0.25">
      <c r="A793" t="str">
        <f>"10/21/2020 18:20:50.965"</f>
        <v>10/21/2020 18:20:50.965</v>
      </c>
      <c r="B793" t="str">
        <f>"18:20:58.898"</f>
        <v>18:20:58.898</v>
      </c>
      <c r="C793" t="str">
        <f>"18:20:58.698"</f>
        <v>18:20:58.698</v>
      </c>
      <c r="D793" t="s">
        <v>324</v>
      </c>
      <c r="E793">
        <v>30.525963000000001</v>
      </c>
      <c r="F793" t="s">
        <v>325</v>
      </c>
      <c r="G793">
        <v>-89.779351000000005</v>
      </c>
      <c r="H793">
        <v>1600</v>
      </c>
      <c r="I793">
        <v>-92</v>
      </c>
      <c r="J793">
        <v>129</v>
      </c>
      <c r="K793">
        <v>-320</v>
      </c>
      <c r="L793">
        <v>1200</v>
      </c>
      <c r="M793" t="str">
        <f t="shared" si="39"/>
        <v xml:space="preserve">N35DC   </v>
      </c>
      <c r="N793">
        <v>1</v>
      </c>
      <c r="O793">
        <v>1675</v>
      </c>
    </row>
    <row r="794" spans="1:15" x14ac:dyDescent="0.25">
      <c r="A794" t="str">
        <f>"10/21/2020 18:20:50.965"</f>
        <v>10/21/2020 18:20:50.965</v>
      </c>
      <c r="B794" t="str">
        <f>"18:20:58.898"</f>
        <v>18:20:58.898</v>
      </c>
      <c r="C794" t="str">
        <f>"18:20:58.698"</f>
        <v>18:20:58.698</v>
      </c>
      <c r="D794" t="s">
        <v>324</v>
      </c>
      <c r="E794">
        <v>30.525963000000001</v>
      </c>
      <c r="F794" t="s">
        <v>325</v>
      </c>
      <c r="G794">
        <v>-89.779351000000005</v>
      </c>
      <c r="H794">
        <v>1600</v>
      </c>
      <c r="I794">
        <v>-92</v>
      </c>
      <c r="J794">
        <v>129</v>
      </c>
      <c r="K794">
        <v>-320</v>
      </c>
      <c r="L794">
        <v>1200</v>
      </c>
      <c r="M794" t="str">
        <f t="shared" si="39"/>
        <v xml:space="preserve">N35DC   </v>
      </c>
      <c r="N794">
        <v>1</v>
      </c>
      <c r="O794">
        <v>1675</v>
      </c>
    </row>
    <row r="795" spans="1:15" x14ac:dyDescent="0.25">
      <c r="A795" t="str">
        <f>"10/21/2020 18:20:50.965"</f>
        <v>10/21/2020 18:20:50.965</v>
      </c>
      <c r="B795" t="str">
        <f>"18:20:58.898"</f>
        <v>18:20:58.898</v>
      </c>
      <c r="C795" t="str">
        <f>"18:20:58.698"</f>
        <v>18:20:58.698</v>
      </c>
      <c r="D795" t="s">
        <v>324</v>
      </c>
      <c r="E795">
        <v>30.525963000000001</v>
      </c>
      <c r="F795" t="s">
        <v>325</v>
      </c>
      <c r="G795">
        <v>-89.779351000000005</v>
      </c>
      <c r="H795">
        <v>1600</v>
      </c>
      <c r="I795">
        <v>-92</v>
      </c>
      <c r="J795">
        <v>129</v>
      </c>
      <c r="K795">
        <v>-320</v>
      </c>
      <c r="L795">
        <v>1200</v>
      </c>
      <c r="M795" t="str">
        <f t="shared" si="39"/>
        <v xml:space="preserve">N35DC   </v>
      </c>
      <c r="N795">
        <v>1</v>
      </c>
      <c r="O795">
        <v>1675</v>
      </c>
    </row>
    <row r="796" spans="1:15" x14ac:dyDescent="0.25">
      <c r="A796" t="str">
        <f>"10/21/2020 18:20:50.965"</f>
        <v>10/21/2020 18:20:50.965</v>
      </c>
      <c r="B796" t="str">
        <f>"18:20:58.898"</f>
        <v>18:20:58.898</v>
      </c>
      <c r="C796" t="str">
        <f>"18:20:58.698"</f>
        <v>18:20:58.698</v>
      </c>
      <c r="D796" t="s">
        <v>324</v>
      </c>
      <c r="E796">
        <v>30.525963000000001</v>
      </c>
      <c r="F796" t="s">
        <v>325</v>
      </c>
      <c r="G796">
        <v>-89.779351000000005</v>
      </c>
      <c r="H796">
        <v>1600</v>
      </c>
      <c r="I796">
        <v>-92</v>
      </c>
      <c r="J796">
        <v>129</v>
      </c>
      <c r="K796">
        <v>-320</v>
      </c>
      <c r="L796">
        <v>1200</v>
      </c>
      <c r="M796" t="str">
        <f t="shared" si="39"/>
        <v xml:space="preserve">N35DC   </v>
      </c>
      <c r="N796">
        <v>1</v>
      </c>
      <c r="O796">
        <v>1675</v>
      </c>
    </row>
    <row r="797" spans="1:15" x14ac:dyDescent="0.25">
      <c r="A797" t="str">
        <f>"10/21/2020 18:20:54.093"</f>
        <v>10/21/2020 18:20:54.093</v>
      </c>
      <c r="B797" t="str">
        <f>"18:21:02.031"</f>
        <v>18:21:02.031</v>
      </c>
      <c r="C797" t="str">
        <f>"18:21:01.531"</f>
        <v>18:21:01.531</v>
      </c>
      <c r="D797" t="s">
        <v>326</v>
      </c>
      <c r="E797">
        <v>30.527809000000001</v>
      </c>
      <c r="F797" t="s">
        <v>327</v>
      </c>
      <c r="G797">
        <v>-89.781088999999994</v>
      </c>
      <c r="H797">
        <v>1600</v>
      </c>
      <c r="I797">
        <v>-103</v>
      </c>
      <c r="J797">
        <v>122</v>
      </c>
      <c r="K797">
        <v>-384</v>
      </c>
      <c r="L797">
        <v>1200</v>
      </c>
      <c r="M797" t="str">
        <f t="shared" si="39"/>
        <v xml:space="preserve">N35DC   </v>
      </c>
      <c r="N797">
        <v>1</v>
      </c>
      <c r="O797">
        <v>1650</v>
      </c>
    </row>
    <row r="798" spans="1:15" x14ac:dyDescent="0.25">
      <c r="A798" t="str">
        <f>"10/21/2020 18:20:54.093"</f>
        <v>10/21/2020 18:20:54.093</v>
      </c>
      <c r="B798" t="str">
        <f>"18:21:02.031"</f>
        <v>18:21:02.031</v>
      </c>
      <c r="C798" t="str">
        <f>"18:21:01.531"</f>
        <v>18:21:01.531</v>
      </c>
      <c r="D798" t="s">
        <v>326</v>
      </c>
      <c r="E798">
        <v>30.527809000000001</v>
      </c>
      <c r="F798" t="s">
        <v>327</v>
      </c>
      <c r="G798">
        <v>-89.781088999999994</v>
      </c>
      <c r="H798">
        <v>1600</v>
      </c>
      <c r="I798">
        <v>-103</v>
      </c>
      <c r="J798">
        <v>122</v>
      </c>
      <c r="K798">
        <v>-384</v>
      </c>
      <c r="L798">
        <v>1200</v>
      </c>
      <c r="M798" t="str">
        <f t="shared" si="39"/>
        <v xml:space="preserve">N35DC   </v>
      </c>
      <c r="N798">
        <v>1</v>
      </c>
      <c r="O798">
        <v>1650</v>
      </c>
    </row>
    <row r="799" spans="1:15" x14ac:dyDescent="0.25">
      <c r="A799" t="str">
        <f>"10/21/2020 18:20:54.093"</f>
        <v>10/21/2020 18:20:54.093</v>
      </c>
      <c r="B799" t="str">
        <f>"18:21:02.031"</f>
        <v>18:21:02.031</v>
      </c>
      <c r="C799" t="str">
        <f>"18:21:01.531"</f>
        <v>18:21:01.531</v>
      </c>
      <c r="D799" t="s">
        <v>326</v>
      </c>
      <c r="E799">
        <v>30.527809000000001</v>
      </c>
      <c r="F799" t="s">
        <v>327</v>
      </c>
      <c r="G799">
        <v>-89.781088999999994</v>
      </c>
      <c r="H799">
        <v>1600</v>
      </c>
      <c r="I799">
        <v>-103</v>
      </c>
      <c r="J799">
        <v>122</v>
      </c>
      <c r="K799">
        <v>-384</v>
      </c>
      <c r="L799">
        <v>1200</v>
      </c>
      <c r="M799" t="str">
        <f t="shared" si="39"/>
        <v xml:space="preserve">N35DC   </v>
      </c>
      <c r="N799">
        <v>1</v>
      </c>
      <c r="O799">
        <v>1650</v>
      </c>
    </row>
    <row r="800" spans="1:15" x14ac:dyDescent="0.25">
      <c r="A800" t="str">
        <f>"10/21/2020 18:20:54.093"</f>
        <v>10/21/2020 18:20:54.093</v>
      </c>
      <c r="B800" t="str">
        <f>"18:21:02.031"</f>
        <v>18:21:02.031</v>
      </c>
      <c r="C800" t="str">
        <f>"18:21:01.531"</f>
        <v>18:21:01.531</v>
      </c>
      <c r="D800" t="s">
        <v>326</v>
      </c>
      <c r="E800">
        <v>30.527809000000001</v>
      </c>
      <c r="F800" t="s">
        <v>327</v>
      </c>
      <c r="G800">
        <v>-89.781088999999994</v>
      </c>
      <c r="H800">
        <v>1600</v>
      </c>
      <c r="I800">
        <v>-103</v>
      </c>
      <c r="J800">
        <v>122</v>
      </c>
      <c r="K800">
        <v>-384</v>
      </c>
      <c r="L800">
        <v>1200</v>
      </c>
      <c r="M800" t="str">
        <f t="shared" si="39"/>
        <v xml:space="preserve">N35DC   </v>
      </c>
      <c r="N800">
        <v>1</v>
      </c>
      <c r="O800">
        <v>1650</v>
      </c>
    </row>
    <row r="801" spans="1:15" x14ac:dyDescent="0.25">
      <c r="A801" t="str">
        <f>"10/21/2020 18:20:54.093"</f>
        <v>10/21/2020 18:20:54.093</v>
      </c>
      <c r="B801" t="str">
        <f>"18:21:02.031"</f>
        <v>18:21:02.031</v>
      </c>
      <c r="C801" t="str">
        <f>"18:21:01.531"</f>
        <v>18:21:01.531</v>
      </c>
      <c r="D801" t="s">
        <v>326</v>
      </c>
      <c r="E801">
        <v>30.527809000000001</v>
      </c>
      <c r="F801" t="s">
        <v>327</v>
      </c>
      <c r="G801">
        <v>-89.781088999999994</v>
      </c>
      <c r="H801">
        <v>1600</v>
      </c>
      <c r="I801">
        <v>-103</v>
      </c>
      <c r="J801">
        <v>122</v>
      </c>
      <c r="K801">
        <v>-384</v>
      </c>
      <c r="L801">
        <v>1200</v>
      </c>
      <c r="M801" t="str">
        <f t="shared" si="39"/>
        <v xml:space="preserve">N35DC   </v>
      </c>
      <c r="N801">
        <v>1</v>
      </c>
      <c r="O801">
        <v>1650</v>
      </c>
    </row>
    <row r="802" spans="1:15" x14ac:dyDescent="0.25">
      <c r="A802" t="str">
        <f>"10/21/2020 18:20:57.043"</f>
        <v>10/21/2020 18:20:57.043</v>
      </c>
      <c r="B802" t="str">
        <f t="shared" ref="B802:C806" si="40">"18:21:04.977"</f>
        <v>18:21:04.977</v>
      </c>
      <c r="C802" t="str">
        <f t="shared" si="40"/>
        <v>18:21:04.977</v>
      </c>
      <c r="D802" t="s">
        <v>328</v>
      </c>
      <c r="E802">
        <v>30.529354000000001</v>
      </c>
      <c r="F802" t="s">
        <v>329</v>
      </c>
      <c r="G802">
        <v>-89.782848000000001</v>
      </c>
      <c r="H802">
        <v>1600</v>
      </c>
      <c r="I802">
        <v>-114</v>
      </c>
      <c r="J802">
        <v>113</v>
      </c>
      <c r="K802">
        <v>128</v>
      </c>
      <c r="L802">
        <v>1200</v>
      </c>
      <c r="M802" t="str">
        <f t="shared" si="39"/>
        <v xml:space="preserve">N35DC   </v>
      </c>
      <c r="N802">
        <v>1</v>
      </c>
      <c r="O802">
        <v>1650</v>
      </c>
    </row>
    <row r="803" spans="1:15" x14ac:dyDescent="0.25">
      <c r="A803" t="str">
        <f>"10/21/2020 18:20:57.043"</f>
        <v>10/21/2020 18:20:57.043</v>
      </c>
      <c r="B803" t="str">
        <f t="shared" si="40"/>
        <v>18:21:04.977</v>
      </c>
      <c r="C803" t="str">
        <f t="shared" si="40"/>
        <v>18:21:04.977</v>
      </c>
      <c r="D803" t="s">
        <v>328</v>
      </c>
      <c r="E803">
        <v>30.529354000000001</v>
      </c>
      <c r="F803" t="s">
        <v>329</v>
      </c>
      <c r="G803">
        <v>-89.782848000000001</v>
      </c>
      <c r="H803">
        <v>1600</v>
      </c>
      <c r="I803">
        <v>-114</v>
      </c>
      <c r="J803">
        <v>113</v>
      </c>
      <c r="K803">
        <v>128</v>
      </c>
      <c r="L803">
        <v>1200</v>
      </c>
      <c r="M803" t="str">
        <f t="shared" si="39"/>
        <v xml:space="preserve">N35DC   </v>
      </c>
      <c r="N803">
        <v>1</v>
      </c>
      <c r="O803">
        <v>1650</v>
      </c>
    </row>
    <row r="804" spans="1:15" x14ac:dyDescent="0.25">
      <c r="A804" t="str">
        <f>"10/21/2020 18:20:57.043"</f>
        <v>10/21/2020 18:20:57.043</v>
      </c>
      <c r="B804" t="str">
        <f t="shared" si="40"/>
        <v>18:21:04.977</v>
      </c>
      <c r="C804" t="str">
        <f t="shared" si="40"/>
        <v>18:21:04.977</v>
      </c>
      <c r="D804" t="s">
        <v>328</v>
      </c>
      <c r="E804">
        <v>30.529354000000001</v>
      </c>
      <c r="F804" t="s">
        <v>329</v>
      </c>
      <c r="G804">
        <v>-89.782848000000001</v>
      </c>
      <c r="H804">
        <v>1600</v>
      </c>
      <c r="I804">
        <v>-114</v>
      </c>
      <c r="J804">
        <v>113</v>
      </c>
      <c r="K804">
        <v>128</v>
      </c>
      <c r="L804">
        <v>1200</v>
      </c>
      <c r="M804" t="str">
        <f t="shared" si="39"/>
        <v xml:space="preserve">N35DC   </v>
      </c>
      <c r="N804">
        <v>1</v>
      </c>
      <c r="O804">
        <v>1650</v>
      </c>
    </row>
    <row r="805" spans="1:15" x14ac:dyDescent="0.25">
      <c r="A805" t="str">
        <f>"10/21/2020 18:20:57.043"</f>
        <v>10/21/2020 18:20:57.043</v>
      </c>
      <c r="B805" t="str">
        <f t="shared" si="40"/>
        <v>18:21:04.977</v>
      </c>
      <c r="C805" t="str">
        <f t="shared" si="40"/>
        <v>18:21:04.977</v>
      </c>
      <c r="D805" t="s">
        <v>328</v>
      </c>
      <c r="E805">
        <v>30.529354000000001</v>
      </c>
      <c r="F805" t="s">
        <v>329</v>
      </c>
      <c r="G805">
        <v>-89.782848000000001</v>
      </c>
      <c r="H805">
        <v>1600</v>
      </c>
      <c r="I805">
        <v>-114</v>
      </c>
      <c r="J805">
        <v>113</v>
      </c>
      <c r="K805">
        <v>128</v>
      </c>
      <c r="L805">
        <v>1200</v>
      </c>
      <c r="M805" t="str">
        <f t="shared" si="39"/>
        <v xml:space="preserve">N35DC   </v>
      </c>
      <c r="N805">
        <v>1</v>
      </c>
      <c r="O805">
        <v>1650</v>
      </c>
    </row>
    <row r="806" spans="1:15" x14ac:dyDescent="0.25">
      <c r="A806" t="str">
        <f>"10/21/2020 18:20:57.043"</f>
        <v>10/21/2020 18:20:57.043</v>
      </c>
      <c r="B806" t="str">
        <f t="shared" si="40"/>
        <v>18:21:04.977</v>
      </c>
      <c r="C806" t="str">
        <f t="shared" si="40"/>
        <v>18:21:04.977</v>
      </c>
      <c r="D806" t="s">
        <v>328</v>
      </c>
      <c r="E806">
        <v>30.529354000000001</v>
      </c>
      <c r="F806" t="s">
        <v>329</v>
      </c>
      <c r="G806">
        <v>-89.782848000000001</v>
      </c>
      <c r="H806">
        <v>1600</v>
      </c>
      <c r="I806">
        <v>-114</v>
      </c>
      <c r="J806">
        <v>113</v>
      </c>
      <c r="K806">
        <v>128</v>
      </c>
      <c r="L806">
        <v>1200</v>
      </c>
      <c r="M806" t="str">
        <f t="shared" si="39"/>
        <v xml:space="preserve">N35DC   </v>
      </c>
      <c r="N806">
        <v>1</v>
      </c>
      <c r="O806">
        <v>1650</v>
      </c>
    </row>
    <row r="807" spans="1:15" x14ac:dyDescent="0.25">
      <c r="A807" t="str">
        <f>"10/21/2020 18:20:59.953"</f>
        <v>10/21/2020 18:20:59.953</v>
      </c>
      <c r="B807" t="str">
        <f>"18:21:07.852"</f>
        <v>18:21:07.852</v>
      </c>
      <c r="C807" t="str">
        <f>"18:21:07.552"</f>
        <v>18:21:07.552</v>
      </c>
      <c r="D807" t="s">
        <v>330</v>
      </c>
      <c r="E807">
        <v>30.530812999999998</v>
      </c>
      <c r="F807" t="s">
        <v>331</v>
      </c>
      <c r="G807">
        <v>-89.784672</v>
      </c>
      <c r="H807">
        <v>1600</v>
      </c>
      <c r="I807">
        <v>-119</v>
      </c>
      <c r="J807">
        <v>107</v>
      </c>
      <c r="K807">
        <v>512</v>
      </c>
      <c r="L807">
        <v>1200</v>
      </c>
      <c r="M807" t="str">
        <f t="shared" si="39"/>
        <v xml:space="preserve">N35DC   </v>
      </c>
      <c r="N807">
        <v>1</v>
      </c>
      <c r="O807">
        <v>1675</v>
      </c>
    </row>
    <row r="808" spans="1:15" x14ac:dyDescent="0.25">
      <c r="A808" t="str">
        <f>"10/21/2020 18:20:59.953"</f>
        <v>10/21/2020 18:20:59.953</v>
      </c>
      <c r="B808" t="str">
        <f>"18:21:07.852"</f>
        <v>18:21:07.852</v>
      </c>
      <c r="C808" t="str">
        <f>"18:21:07.552"</f>
        <v>18:21:07.552</v>
      </c>
      <c r="D808" t="s">
        <v>330</v>
      </c>
      <c r="E808">
        <v>30.530812999999998</v>
      </c>
      <c r="F808" t="s">
        <v>331</v>
      </c>
      <c r="G808">
        <v>-89.784672</v>
      </c>
      <c r="H808">
        <v>1600</v>
      </c>
      <c r="I808">
        <v>-119</v>
      </c>
      <c r="J808">
        <v>107</v>
      </c>
      <c r="K808">
        <v>512</v>
      </c>
      <c r="L808">
        <v>1200</v>
      </c>
      <c r="M808" t="str">
        <f t="shared" si="39"/>
        <v xml:space="preserve">N35DC   </v>
      </c>
      <c r="N808">
        <v>1</v>
      </c>
      <c r="O808">
        <v>1675</v>
      </c>
    </row>
    <row r="809" spans="1:15" x14ac:dyDescent="0.25">
      <c r="A809" t="str">
        <f>"10/21/2020 18:20:59.953"</f>
        <v>10/21/2020 18:20:59.953</v>
      </c>
      <c r="B809" t="str">
        <f>"18:21:07.852"</f>
        <v>18:21:07.852</v>
      </c>
      <c r="C809" t="str">
        <f>"18:21:07.552"</f>
        <v>18:21:07.552</v>
      </c>
      <c r="D809" t="s">
        <v>330</v>
      </c>
      <c r="E809">
        <v>30.530812999999998</v>
      </c>
      <c r="F809" t="s">
        <v>331</v>
      </c>
      <c r="G809">
        <v>-89.784672</v>
      </c>
      <c r="H809">
        <v>1600</v>
      </c>
      <c r="I809">
        <v>-119</v>
      </c>
      <c r="J809">
        <v>107</v>
      </c>
      <c r="K809">
        <v>512</v>
      </c>
      <c r="L809">
        <v>1200</v>
      </c>
      <c r="M809" t="str">
        <f t="shared" si="39"/>
        <v xml:space="preserve">N35DC   </v>
      </c>
      <c r="N809">
        <v>1</v>
      </c>
      <c r="O809">
        <v>1675</v>
      </c>
    </row>
    <row r="810" spans="1:15" x14ac:dyDescent="0.25">
      <c r="A810" t="str">
        <f>"10/21/2020 18:20:59.953"</f>
        <v>10/21/2020 18:20:59.953</v>
      </c>
      <c r="B810" t="str">
        <f>"18:21:07.852"</f>
        <v>18:21:07.852</v>
      </c>
      <c r="C810" t="str">
        <f>"18:21:07.552"</f>
        <v>18:21:07.552</v>
      </c>
      <c r="D810" t="s">
        <v>330</v>
      </c>
      <c r="E810">
        <v>30.530812999999998</v>
      </c>
      <c r="F810" t="s">
        <v>331</v>
      </c>
      <c r="G810">
        <v>-89.784672</v>
      </c>
      <c r="H810">
        <v>1600</v>
      </c>
      <c r="I810">
        <v>-119</v>
      </c>
      <c r="J810">
        <v>107</v>
      </c>
      <c r="K810">
        <v>512</v>
      </c>
      <c r="L810">
        <v>1200</v>
      </c>
      <c r="M810" t="str">
        <f t="shared" si="39"/>
        <v xml:space="preserve">N35DC   </v>
      </c>
      <c r="N810">
        <v>1</v>
      </c>
      <c r="O810">
        <v>1675</v>
      </c>
    </row>
    <row r="811" spans="1:15" x14ac:dyDescent="0.25">
      <c r="A811" t="str">
        <f>"10/21/2020 18:20:59.953"</f>
        <v>10/21/2020 18:20:59.953</v>
      </c>
      <c r="B811" t="str">
        <f>"18:21:07.852"</f>
        <v>18:21:07.852</v>
      </c>
      <c r="C811" t="str">
        <f>"18:21:07.552"</f>
        <v>18:21:07.552</v>
      </c>
      <c r="D811" t="s">
        <v>330</v>
      </c>
      <c r="E811">
        <v>30.530812999999998</v>
      </c>
      <c r="F811" t="s">
        <v>331</v>
      </c>
      <c r="G811">
        <v>-89.784672</v>
      </c>
      <c r="H811">
        <v>1600</v>
      </c>
      <c r="I811">
        <v>-119</v>
      </c>
      <c r="J811">
        <v>107</v>
      </c>
      <c r="K811">
        <v>512</v>
      </c>
      <c r="L811">
        <v>1200</v>
      </c>
      <c r="M811" t="str">
        <f t="shared" si="39"/>
        <v xml:space="preserve">N35DC   </v>
      </c>
      <c r="N811">
        <v>1</v>
      </c>
      <c r="O811">
        <v>1675</v>
      </c>
    </row>
    <row r="812" spans="1:15" x14ac:dyDescent="0.25">
      <c r="A812" t="str">
        <f>"10/21/2020 18:21:00.834"</f>
        <v>10/21/2020 18:21:00.834</v>
      </c>
      <c r="B812" t="str">
        <f>"18:21:08.766"</f>
        <v>18:21:08.766</v>
      </c>
      <c r="C812" t="str">
        <f>"18:21:08.566"</f>
        <v>18:21:08.566</v>
      </c>
      <c r="D812" t="s">
        <v>332</v>
      </c>
      <c r="E812">
        <v>30.531285</v>
      </c>
      <c r="F812" t="s">
        <v>333</v>
      </c>
      <c r="G812">
        <v>-89.785229999999999</v>
      </c>
      <c r="H812">
        <v>1600</v>
      </c>
      <c r="I812">
        <v>-120</v>
      </c>
      <c r="J812">
        <v>105</v>
      </c>
      <c r="K812">
        <v>576</v>
      </c>
      <c r="L812">
        <v>1200</v>
      </c>
      <c r="M812" t="str">
        <f t="shared" si="39"/>
        <v xml:space="preserve">N35DC   </v>
      </c>
      <c r="N812">
        <v>1</v>
      </c>
      <c r="O812">
        <v>1675</v>
      </c>
    </row>
    <row r="813" spans="1:15" x14ac:dyDescent="0.25">
      <c r="A813" t="str">
        <f>"10/21/2020 18:21:00.834"</f>
        <v>10/21/2020 18:21:00.834</v>
      </c>
      <c r="B813" t="str">
        <f>"18:21:08.766"</f>
        <v>18:21:08.766</v>
      </c>
      <c r="C813" t="str">
        <f>"18:21:08.566"</f>
        <v>18:21:08.566</v>
      </c>
      <c r="D813" t="s">
        <v>332</v>
      </c>
      <c r="E813">
        <v>30.531285</v>
      </c>
      <c r="F813" t="s">
        <v>333</v>
      </c>
      <c r="G813">
        <v>-89.785229999999999</v>
      </c>
      <c r="H813">
        <v>1600</v>
      </c>
      <c r="I813">
        <v>-120</v>
      </c>
      <c r="J813">
        <v>105</v>
      </c>
      <c r="K813">
        <v>576</v>
      </c>
      <c r="L813">
        <v>1200</v>
      </c>
      <c r="M813" t="str">
        <f t="shared" si="39"/>
        <v xml:space="preserve">N35DC   </v>
      </c>
      <c r="N813">
        <v>1</v>
      </c>
      <c r="O813">
        <v>1675</v>
      </c>
    </row>
    <row r="814" spans="1:15" x14ac:dyDescent="0.25">
      <c r="A814" t="str">
        <f>"10/21/2020 18:21:00.834"</f>
        <v>10/21/2020 18:21:00.834</v>
      </c>
      <c r="B814" t="str">
        <f>"18:21:08.766"</f>
        <v>18:21:08.766</v>
      </c>
      <c r="C814" t="str">
        <f>"18:21:08.566"</f>
        <v>18:21:08.566</v>
      </c>
      <c r="D814" t="s">
        <v>332</v>
      </c>
      <c r="E814">
        <v>30.531285</v>
      </c>
      <c r="F814" t="s">
        <v>333</v>
      </c>
      <c r="G814">
        <v>-89.785229999999999</v>
      </c>
      <c r="H814">
        <v>1600</v>
      </c>
      <c r="I814">
        <v>-120</v>
      </c>
      <c r="J814">
        <v>105</v>
      </c>
      <c r="K814">
        <v>576</v>
      </c>
      <c r="L814">
        <v>1200</v>
      </c>
      <c r="M814" t="str">
        <f t="shared" si="39"/>
        <v xml:space="preserve">N35DC   </v>
      </c>
      <c r="N814">
        <v>1</v>
      </c>
      <c r="O814">
        <v>1675</v>
      </c>
    </row>
    <row r="815" spans="1:15" x14ac:dyDescent="0.25">
      <c r="A815" t="str">
        <f>"10/21/2020 18:21:00.834"</f>
        <v>10/21/2020 18:21:00.834</v>
      </c>
      <c r="B815" t="str">
        <f>"18:21:08.766"</f>
        <v>18:21:08.766</v>
      </c>
      <c r="C815" t="str">
        <f>"18:21:08.566"</f>
        <v>18:21:08.566</v>
      </c>
      <c r="D815" t="s">
        <v>332</v>
      </c>
      <c r="E815">
        <v>30.531285</v>
      </c>
      <c r="F815" t="s">
        <v>333</v>
      </c>
      <c r="G815">
        <v>-89.785229999999999</v>
      </c>
      <c r="H815">
        <v>1600</v>
      </c>
      <c r="I815">
        <v>-120</v>
      </c>
      <c r="J815">
        <v>105</v>
      </c>
      <c r="K815">
        <v>576</v>
      </c>
      <c r="L815">
        <v>1200</v>
      </c>
      <c r="M815" t="str">
        <f t="shared" si="39"/>
        <v xml:space="preserve">N35DC   </v>
      </c>
      <c r="N815">
        <v>1</v>
      </c>
      <c r="O815">
        <v>1675</v>
      </c>
    </row>
    <row r="816" spans="1:15" x14ac:dyDescent="0.25">
      <c r="A816" t="str">
        <f>"10/21/2020 18:21:00.834"</f>
        <v>10/21/2020 18:21:00.834</v>
      </c>
      <c r="B816" t="str">
        <f>"18:21:08.766"</f>
        <v>18:21:08.766</v>
      </c>
      <c r="C816" t="str">
        <f>"18:21:08.566"</f>
        <v>18:21:08.566</v>
      </c>
      <c r="D816" t="s">
        <v>332</v>
      </c>
      <c r="E816">
        <v>30.531285</v>
      </c>
      <c r="F816" t="s">
        <v>333</v>
      </c>
      <c r="G816">
        <v>-89.785229999999999</v>
      </c>
      <c r="H816">
        <v>1600</v>
      </c>
      <c r="I816">
        <v>-120</v>
      </c>
      <c r="J816">
        <v>105</v>
      </c>
      <c r="K816">
        <v>576</v>
      </c>
      <c r="L816">
        <v>1200</v>
      </c>
      <c r="M816" t="str">
        <f t="shared" si="39"/>
        <v xml:space="preserve">N35DC   </v>
      </c>
      <c r="N816">
        <v>1</v>
      </c>
      <c r="O816">
        <v>1675</v>
      </c>
    </row>
    <row r="817" spans="1:15" x14ac:dyDescent="0.25">
      <c r="A817" t="str">
        <f>"10/21/2020 18:21:03.894"</f>
        <v>10/21/2020 18:21:03.894</v>
      </c>
      <c r="B817" t="str">
        <f>"18:21:11.812"</f>
        <v>18:21:11.812</v>
      </c>
      <c r="C817" t="str">
        <f>"18:21:11.512"</f>
        <v>18:21:11.512</v>
      </c>
      <c r="D817" t="s">
        <v>334</v>
      </c>
      <c r="E817">
        <v>30.532722</v>
      </c>
      <c r="F817" t="s">
        <v>155</v>
      </c>
      <c r="G817">
        <v>-89.787246999999994</v>
      </c>
      <c r="H817">
        <v>1600</v>
      </c>
      <c r="I817">
        <v>-122</v>
      </c>
      <c r="J817">
        <v>101</v>
      </c>
      <c r="K817">
        <v>448</v>
      </c>
      <c r="L817">
        <v>1200</v>
      </c>
      <c r="M817" t="str">
        <f t="shared" si="39"/>
        <v xml:space="preserve">N35DC   </v>
      </c>
      <c r="N817">
        <v>1</v>
      </c>
      <c r="O817">
        <v>1700</v>
      </c>
    </row>
    <row r="818" spans="1:15" x14ac:dyDescent="0.25">
      <c r="A818" t="str">
        <f>"10/21/2020 18:21:03.894"</f>
        <v>10/21/2020 18:21:03.894</v>
      </c>
      <c r="B818" t="str">
        <f>"18:21:11.812"</f>
        <v>18:21:11.812</v>
      </c>
      <c r="C818" t="str">
        <f>"18:21:11.512"</f>
        <v>18:21:11.512</v>
      </c>
      <c r="D818" t="s">
        <v>334</v>
      </c>
      <c r="E818">
        <v>30.532722</v>
      </c>
      <c r="F818" t="s">
        <v>155</v>
      </c>
      <c r="G818">
        <v>-89.787246999999994</v>
      </c>
      <c r="H818">
        <v>1600</v>
      </c>
      <c r="I818">
        <v>-122</v>
      </c>
      <c r="J818">
        <v>101</v>
      </c>
      <c r="K818">
        <v>448</v>
      </c>
      <c r="L818">
        <v>1200</v>
      </c>
      <c r="M818" t="str">
        <f t="shared" si="39"/>
        <v xml:space="preserve">N35DC   </v>
      </c>
      <c r="N818">
        <v>1</v>
      </c>
      <c r="O818">
        <v>1700</v>
      </c>
    </row>
    <row r="819" spans="1:15" x14ac:dyDescent="0.25">
      <c r="A819" t="str">
        <f>"10/21/2020 18:21:03.894"</f>
        <v>10/21/2020 18:21:03.894</v>
      </c>
      <c r="B819" t="str">
        <f>"18:21:11.812"</f>
        <v>18:21:11.812</v>
      </c>
      <c r="C819" t="str">
        <f>"18:21:11.512"</f>
        <v>18:21:11.512</v>
      </c>
      <c r="D819" t="s">
        <v>334</v>
      </c>
      <c r="E819">
        <v>30.532722</v>
      </c>
      <c r="F819" t="s">
        <v>155</v>
      </c>
      <c r="G819">
        <v>-89.787246999999994</v>
      </c>
      <c r="H819">
        <v>1600</v>
      </c>
      <c r="I819">
        <v>-122</v>
      </c>
      <c r="J819">
        <v>101</v>
      </c>
      <c r="K819">
        <v>448</v>
      </c>
      <c r="L819">
        <v>1200</v>
      </c>
      <c r="M819" t="str">
        <f t="shared" si="39"/>
        <v xml:space="preserve">N35DC   </v>
      </c>
      <c r="N819">
        <v>1</v>
      </c>
      <c r="O819">
        <v>1700</v>
      </c>
    </row>
    <row r="820" spans="1:15" x14ac:dyDescent="0.25">
      <c r="A820" t="str">
        <f>"10/21/2020 18:21:03.894"</f>
        <v>10/21/2020 18:21:03.894</v>
      </c>
      <c r="B820" t="str">
        <f>"18:21:11.812"</f>
        <v>18:21:11.812</v>
      </c>
      <c r="C820" t="str">
        <f>"18:21:11.512"</f>
        <v>18:21:11.512</v>
      </c>
      <c r="D820" t="s">
        <v>334</v>
      </c>
      <c r="E820">
        <v>30.532722</v>
      </c>
      <c r="F820" t="s">
        <v>155</v>
      </c>
      <c r="G820">
        <v>-89.787246999999994</v>
      </c>
      <c r="H820">
        <v>1600</v>
      </c>
      <c r="I820">
        <v>-122</v>
      </c>
      <c r="J820">
        <v>101</v>
      </c>
      <c r="K820">
        <v>448</v>
      </c>
      <c r="L820">
        <v>1200</v>
      </c>
      <c r="M820" t="str">
        <f t="shared" si="39"/>
        <v xml:space="preserve">N35DC   </v>
      </c>
      <c r="N820">
        <v>1</v>
      </c>
      <c r="O820">
        <v>1700</v>
      </c>
    </row>
    <row r="821" spans="1:15" x14ac:dyDescent="0.25">
      <c r="A821" t="str">
        <f>"10/21/2020 18:21:03.894"</f>
        <v>10/21/2020 18:21:03.894</v>
      </c>
      <c r="B821" t="str">
        <f>"18:21:11.812"</f>
        <v>18:21:11.812</v>
      </c>
      <c r="C821" t="str">
        <f>"18:21:11.512"</f>
        <v>18:21:11.512</v>
      </c>
      <c r="D821" t="s">
        <v>334</v>
      </c>
      <c r="E821">
        <v>30.532722</v>
      </c>
      <c r="F821" t="s">
        <v>155</v>
      </c>
      <c r="G821">
        <v>-89.787246999999994</v>
      </c>
      <c r="H821">
        <v>1600</v>
      </c>
      <c r="I821">
        <v>-122</v>
      </c>
      <c r="J821">
        <v>101</v>
      </c>
      <c r="K821">
        <v>448</v>
      </c>
      <c r="L821">
        <v>1200</v>
      </c>
      <c r="M821" t="str">
        <f t="shared" si="39"/>
        <v xml:space="preserve">N35DC   </v>
      </c>
      <c r="N821">
        <v>1</v>
      </c>
      <c r="O821">
        <v>1700</v>
      </c>
    </row>
    <row r="822" spans="1:15" x14ac:dyDescent="0.25">
      <c r="A822" t="str">
        <f>"10/21/2020 18:21:04.983"</f>
        <v>10/21/2020 18:21:04.983</v>
      </c>
      <c r="B822" t="str">
        <f>"18:21:12.922"</f>
        <v>18:21:12.922</v>
      </c>
      <c r="C822" t="str">
        <f>"18:21:12.622"</f>
        <v>18:21:12.622</v>
      </c>
      <c r="D822" t="s">
        <v>335</v>
      </c>
      <c r="E822">
        <v>30.533259000000001</v>
      </c>
      <c r="F822" t="s">
        <v>336</v>
      </c>
      <c r="G822">
        <v>-89.787976999999998</v>
      </c>
      <c r="H822">
        <v>1600</v>
      </c>
      <c r="I822">
        <v>-123</v>
      </c>
      <c r="J822">
        <v>100</v>
      </c>
      <c r="K822">
        <v>320</v>
      </c>
      <c r="L822">
        <v>1200</v>
      </c>
      <c r="M822" t="str">
        <f t="shared" si="39"/>
        <v xml:space="preserve">N35DC   </v>
      </c>
      <c r="N822">
        <v>1</v>
      </c>
      <c r="O822">
        <v>1700</v>
      </c>
    </row>
    <row r="823" spans="1:15" x14ac:dyDescent="0.25">
      <c r="A823" t="str">
        <f>"10/21/2020 18:21:04.983"</f>
        <v>10/21/2020 18:21:04.983</v>
      </c>
      <c r="B823" t="str">
        <f>"18:21:12.922"</f>
        <v>18:21:12.922</v>
      </c>
      <c r="C823" t="str">
        <f>"18:21:12.622"</f>
        <v>18:21:12.622</v>
      </c>
      <c r="D823" t="s">
        <v>335</v>
      </c>
      <c r="E823">
        <v>30.533259000000001</v>
      </c>
      <c r="F823" t="s">
        <v>336</v>
      </c>
      <c r="G823">
        <v>-89.787976999999998</v>
      </c>
      <c r="H823">
        <v>1600</v>
      </c>
      <c r="I823">
        <v>-123</v>
      </c>
      <c r="J823">
        <v>100</v>
      </c>
      <c r="K823">
        <v>320</v>
      </c>
      <c r="L823">
        <v>1200</v>
      </c>
      <c r="M823" t="str">
        <f t="shared" si="39"/>
        <v xml:space="preserve">N35DC   </v>
      </c>
      <c r="N823">
        <v>1</v>
      </c>
      <c r="O823">
        <v>1700</v>
      </c>
    </row>
    <row r="824" spans="1:15" x14ac:dyDescent="0.25">
      <c r="A824" t="str">
        <f>"10/21/2020 18:21:04.983"</f>
        <v>10/21/2020 18:21:04.983</v>
      </c>
      <c r="B824" t="str">
        <f>"18:21:12.922"</f>
        <v>18:21:12.922</v>
      </c>
      <c r="C824" t="str">
        <f>"18:21:12.622"</f>
        <v>18:21:12.622</v>
      </c>
      <c r="D824" t="s">
        <v>335</v>
      </c>
      <c r="E824">
        <v>30.533259000000001</v>
      </c>
      <c r="F824" t="s">
        <v>336</v>
      </c>
      <c r="G824">
        <v>-89.787976999999998</v>
      </c>
      <c r="H824">
        <v>1600</v>
      </c>
      <c r="I824">
        <v>-123</v>
      </c>
      <c r="J824">
        <v>100</v>
      </c>
      <c r="K824">
        <v>320</v>
      </c>
      <c r="L824">
        <v>1200</v>
      </c>
      <c r="M824" t="str">
        <f t="shared" si="39"/>
        <v xml:space="preserve">N35DC   </v>
      </c>
      <c r="N824">
        <v>1</v>
      </c>
      <c r="O824">
        <v>1700</v>
      </c>
    </row>
    <row r="825" spans="1:15" x14ac:dyDescent="0.25">
      <c r="A825" t="str">
        <f>"10/21/2020 18:21:04.983"</f>
        <v>10/21/2020 18:21:04.983</v>
      </c>
      <c r="B825" t="str">
        <f>"18:21:12.922"</f>
        <v>18:21:12.922</v>
      </c>
      <c r="C825" t="str">
        <f>"18:21:12.622"</f>
        <v>18:21:12.622</v>
      </c>
      <c r="D825" t="s">
        <v>335</v>
      </c>
      <c r="E825">
        <v>30.533259000000001</v>
      </c>
      <c r="F825" t="s">
        <v>336</v>
      </c>
      <c r="G825">
        <v>-89.787976999999998</v>
      </c>
      <c r="H825">
        <v>1600</v>
      </c>
      <c r="I825">
        <v>-123</v>
      </c>
      <c r="J825">
        <v>100</v>
      </c>
      <c r="K825">
        <v>320</v>
      </c>
      <c r="L825">
        <v>1200</v>
      </c>
      <c r="M825" t="str">
        <f t="shared" si="39"/>
        <v xml:space="preserve">N35DC   </v>
      </c>
      <c r="N825">
        <v>1</v>
      </c>
      <c r="O825">
        <v>1700</v>
      </c>
    </row>
    <row r="826" spans="1:15" x14ac:dyDescent="0.25">
      <c r="A826" t="str">
        <f>"10/21/2020 18:21:04.983"</f>
        <v>10/21/2020 18:21:04.983</v>
      </c>
      <c r="B826" t="str">
        <f>"18:21:12.922"</f>
        <v>18:21:12.922</v>
      </c>
      <c r="C826" t="str">
        <f>"18:21:12.622"</f>
        <v>18:21:12.622</v>
      </c>
      <c r="D826" t="s">
        <v>335</v>
      </c>
      <c r="E826">
        <v>30.533259000000001</v>
      </c>
      <c r="F826" t="s">
        <v>336</v>
      </c>
      <c r="G826">
        <v>-89.787976999999998</v>
      </c>
      <c r="H826">
        <v>1600</v>
      </c>
      <c r="I826">
        <v>-123</v>
      </c>
      <c r="J826">
        <v>100</v>
      </c>
      <c r="K826">
        <v>320</v>
      </c>
      <c r="L826">
        <v>1200</v>
      </c>
      <c r="M826" t="str">
        <f t="shared" si="39"/>
        <v xml:space="preserve">N35DC   </v>
      </c>
      <c r="N826">
        <v>1</v>
      </c>
      <c r="O826">
        <v>1700</v>
      </c>
    </row>
    <row r="827" spans="1:15" x14ac:dyDescent="0.25">
      <c r="A827" t="str">
        <f>"10/21/2020 18:21:06.980"</f>
        <v>10/21/2020 18:21:06.980</v>
      </c>
      <c r="B827" t="str">
        <f>"18:21:14.922"</f>
        <v>18:21:14.922</v>
      </c>
      <c r="C827" t="str">
        <f>"18:21:14.622"</f>
        <v>18:21:14.622</v>
      </c>
      <c r="D827" t="s">
        <v>337</v>
      </c>
      <c r="E827">
        <v>30.53416</v>
      </c>
      <c r="F827" t="s">
        <v>338</v>
      </c>
      <c r="G827">
        <v>-89.789264000000003</v>
      </c>
      <c r="H827">
        <v>1600</v>
      </c>
      <c r="I827">
        <v>-123</v>
      </c>
      <c r="J827">
        <v>99</v>
      </c>
      <c r="K827">
        <v>128</v>
      </c>
      <c r="L827">
        <v>1200</v>
      </c>
      <c r="M827" t="str">
        <f t="shared" si="39"/>
        <v xml:space="preserve">N35DC   </v>
      </c>
      <c r="N827">
        <v>1</v>
      </c>
      <c r="O827">
        <v>1725</v>
      </c>
    </row>
    <row r="828" spans="1:15" x14ac:dyDescent="0.25">
      <c r="A828" t="str">
        <f>"10/21/2020 18:21:06.980"</f>
        <v>10/21/2020 18:21:06.980</v>
      </c>
      <c r="B828" t="str">
        <f>"18:21:14.922"</f>
        <v>18:21:14.922</v>
      </c>
      <c r="C828" t="str">
        <f>"18:21:14.622"</f>
        <v>18:21:14.622</v>
      </c>
      <c r="D828" t="s">
        <v>337</v>
      </c>
      <c r="E828">
        <v>30.53416</v>
      </c>
      <c r="F828" t="s">
        <v>338</v>
      </c>
      <c r="G828">
        <v>-89.789264000000003</v>
      </c>
      <c r="H828">
        <v>1600</v>
      </c>
      <c r="I828">
        <v>-123</v>
      </c>
      <c r="J828">
        <v>99</v>
      </c>
      <c r="K828">
        <v>128</v>
      </c>
      <c r="L828">
        <v>1200</v>
      </c>
      <c r="M828" t="str">
        <f t="shared" si="39"/>
        <v xml:space="preserve">N35DC   </v>
      </c>
      <c r="N828">
        <v>1</v>
      </c>
      <c r="O828">
        <v>1725</v>
      </c>
    </row>
    <row r="829" spans="1:15" x14ac:dyDescent="0.25">
      <c r="A829" t="str">
        <f>"10/21/2020 18:21:06.980"</f>
        <v>10/21/2020 18:21:06.980</v>
      </c>
      <c r="B829" t="str">
        <f>"18:21:14.922"</f>
        <v>18:21:14.922</v>
      </c>
      <c r="C829" t="str">
        <f>"18:21:14.622"</f>
        <v>18:21:14.622</v>
      </c>
      <c r="D829" t="s">
        <v>337</v>
      </c>
      <c r="E829">
        <v>30.53416</v>
      </c>
      <c r="F829" t="s">
        <v>338</v>
      </c>
      <c r="G829">
        <v>-89.789264000000003</v>
      </c>
      <c r="H829">
        <v>1600</v>
      </c>
      <c r="I829">
        <v>-123</v>
      </c>
      <c r="J829">
        <v>99</v>
      </c>
      <c r="K829">
        <v>128</v>
      </c>
      <c r="L829">
        <v>1200</v>
      </c>
      <c r="M829" t="str">
        <f t="shared" si="39"/>
        <v xml:space="preserve">N35DC   </v>
      </c>
      <c r="N829">
        <v>1</v>
      </c>
      <c r="O829">
        <v>1725</v>
      </c>
    </row>
    <row r="830" spans="1:15" x14ac:dyDescent="0.25">
      <c r="A830" t="str">
        <f>"10/21/2020 18:21:06.980"</f>
        <v>10/21/2020 18:21:06.980</v>
      </c>
      <c r="B830" t="str">
        <f>"18:21:14.922"</f>
        <v>18:21:14.922</v>
      </c>
      <c r="C830" t="str">
        <f>"18:21:14.622"</f>
        <v>18:21:14.622</v>
      </c>
      <c r="D830" t="s">
        <v>337</v>
      </c>
      <c r="E830">
        <v>30.53416</v>
      </c>
      <c r="F830" t="s">
        <v>338</v>
      </c>
      <c r="G830">
        <v>-89.789264000000003</v>
      </c>
      <c r="H830">
        <v>1600</v>
      </c>
      <c r="I830">
        <v>-123</v>
      </c>
      <c r="J830">
        <v>99</v>
      </c>
      <c r="K830">
        <v>128</v>
      </c>
      <c r="L830">
        <v>1200</v>
      </c>
      <c r="M830" t="str">
        <f t="shared" si="39"/>
        <v xml:space="preserve">N35DC   </v>
      </c>
      <c r="N830">
        <v>1</v>
      </c>
      <c r="O830">
        <v>1725</v>
      </c>
    </row>
    <row r="831" spans="1:15" x14ac:dyDescent="0.25">
      <c r="A831" t="str">
        <f>"10/21/2020 18:21:06.980"</f>
        <v>10/21/2020 18:21:06.980</v>
      </c>
      <c r="B831" t="str">
        <f>"18:21:14.922"</f>
        <v>18:21:14.922</v>
      </c>
      <c r="C831" t="str">
        <f>"18:21:14.622"</f>
        <v>18:21:14.622</v>
      </c>
      <c r="D831" t="s">
        <v>337</v>
      </c>
      <c r="E831">
        <v>30.53416</v>
      </c>
      <c r="F831" t="s">
        <v>338</v>
      </c>
      <c r="G831">
        <v>-89.789264000000003</v>
      </c>
      <c r="H831">
        <v>1600</v>
      </c>
      <c r="I831">
        <v>-123</v>
      </c>
      <c r="J831">
        <v>99</v>
      </c>
      <c r="K831">
        <v>128</v>
      </c>
      <c r="L831">
        <v>1200</v>
      </c>
      <c r="M831" t="str">
        <f t="shared" si="39"/>
        <v xml:space="preserve">N35DC   </v>
      </c>
      <c r="N831">
        <v>1</v>
      </c>
      <c r="O831">
        <v>1725</v>
      </c>
    </row>
    <row r="832" spans="1:15" x14ac:dyDescent="0.25">
      <c r="A832" t="str">
        <f>"10/21/2020 18:21:08.017"</f>
        <v>10/21/2020 18:21:08.017</v>
      </c>
      <c r="B832" t="str">
        <f>"18:21:15.953"</f>
        <v>18:21:15.953</v>
      </c>
      <c r="C832" t="str">
        <f>"18:21:15.653"</f>
        <v>18:21:15.653</v>
      </c>
      <c r="D832" t="s">
        <v>339</v>
      </c>
      <c r="E832">
        <v>30.534631999999998</v>
      </c>
      <c r="F832" t="s">
        <v>340</v>
      </c>
      <c r="G832">
        <v>-89.789951000000002</v>
      </c>
      <c r="H832">
        <v>1600</v>
      </c>
      <c r="I832">
        <v>-123</v>
      </c>
      <c r="J832">
        <v>99</v>
      </c>
      <c r="K832">
        <v>64</v>
      </c>
      <c r="L832">
        <v>1200</v>
      </c>
      <c r="M832" t="str">
        <f t="shared" si="39"/>
        <v xml:space="preserve">N35DC   </v>
      </c>
      <c r="N832">
        <v>1</v>
      </c>
      <c r="O832">
        <v>1725</v>
      </c>
    </row>
    <row r="833" spans="1:15" x14ac:dyDescent="0.25">
      <c r="A833" t="str">
        <f>"10/21/2020 18:21:08.017"</f>
        <v>10/21/2020 18:21:08.017</v>
      </c>
      <c r="B833" t="str">
        <f>"18:21:15.953"</f>
        <v>18:21:15.953</v>
      </c>
      <c r="C833" t="str">
        <f>"18:21:15.653"</f>
        <v>18:21:15.653</v>
      </c>
      <c r="D833" t="s">
        <v>339</v>
      </c>
      <c r="E833">
        <v>30.534631999999998</v>
      </c>
      <c r="F833" t="s">
        <v>340</v>
      </c>
      <c r="G833">
        <v>-89.789951000000002</v>
      </c>
      <c r="H833">
        <v>1600</v>
      </c>
      <c r="I833">
        <v>-123</v>
      </c>
      <c r="J833">
        <v>99</v>
      </c>
      <c r="K833">
        <v>64</v>
      </c>
      <c r="L833">
        <v>1200</v>
      </c>
      <c r="M833" t="str">
        <f t="shared" si="39"/>
        <v xml:space="preserve">N35DC   </v>
      </c>
      <c r="N833">
        <v>1</v>
      </c>
      <c r="O833">
        <v>1725</v>
      </c>
    </row>
    <row r="834" spans="1:15" x14ac:dyDescent="0.25">
      <c r="A834" t="str">
        <f>"10/21/2020 18:21:08.017"</f>
        <v>10/21/2020 18:21:08.017</v>
      </c>
      <c r="B834" t="str">
        <f>"18:21:15.953"</f>
        <v>18:21:15.953</v>
      </c>
      <c r="C834" t="str">
        <f>"18:21:15.653"</f>
        <v>18:21:15.653</v>
      </c>
      <c r="D834" t="s">
        <v>339</v>
      </c>
      <c r="E834">
        <v>30.534631999999998</v>
      </c>
      <c r="F834" t="s">
        <v>340</v>
      </c>
      <c r="G834">
        <v>-89.789951000000002</v>
      </c>
      <c r="H834">
        <v>1600</v>
      </c>
      <c r="I834">
        <v>-123</v>
      </c>
      <c r="J834">
        <v>99</v>
      </c>
      <c r="K834">
        <v>64</v>
      </c>
      <c r="L834">
        <v>1200</v>
      </c>
      <c r="M834" t="str">
        <f t="shared" si="39"/>
        <v xml:space="preserve">N35DC   </v>
      </c>
      <c r="N834">
        <v>1</v>
      </c>
      <c r="O834">
        <v>1725</v>
      </c>
    </row>
    <row r="835" spans="1:15" x14ac:dyDescent="0.25">
      <c r="A835" t="str">
        <f>"10/21/2020 18:21:08.017"</f>
        <v>10/21/2020 18:21:08.017</v>
      </c>
      <c r="B835" t="str">
        <f>"18:21:15.953"</f>
        <v>18:21:15.953</v>
      </c>
      <c r="C835" t="str">
        <f>"18:21:15.653"</f>
        <v>18:21:15.653</v>
      </c>
      <c r="D835" t="s">
        <v>339</v>
      </c>
      <c r="E835">
        <v>30.534631999999998</v>
      </c>
      <c r="F835" t="s">
        <v>340</v>
      </c>
      <c r="G835">
        <v>-89.789951000000002</v>
      </c>
      <c r="H835">
        <v>1600</v>
      </c>
      <c r="I835">
        <v>-123</v>
      </c>
      <c r="J835">
        <v>99</v>
      </c>
      <c r="K835">
        <v>64</v>
      </c>
      <c r="L835">
        <v>1200</v>
      </c>
      <c r="M835" t="str">
        <f t="shared" si="39"/>
        <v xml:space="preserve">N35DC   </v>
      </c>
      <c r="N835">
        <v>1</v>
      </c>
      <c r="O835">
        <v>1725</v>
      </c>
    </row>
    <row r="836" spans="1:15" x14ac:dyDescent="0.25">
      <c r="A836" t="str">
        <f>"10/21/2020 18:21:08.017"</f>
        <v>10/21/2020 18:21:08.017</v>
      </c>
      <c r="B836" t="str">
        <f>"18:21:15.953"</f>
        <v>18:21:15.953</v>
      </c>
      <c r="C836" t="str">
        <f>"18:21:15.653"</f>
        <v>18:21:15.653</v>
      </c>
      <c r="D836" t="s">
        <v>339</v>
      </c>
      <c r="E836">
        <v>30.534631999999998</v>
      </c>
      <c r="F836" t="s">
        <v>340</v>
      </c>
      <c r="G836">
        <v>-89.789951000000002</v>
      </c>
      <c r="H836">
        <v>1600</v>
      </c>
      <c r="I836">
        <v>-123</v>
      </c>
      <c r="J836">
        <v>99</v>
      </c>
      <c r="K836">
        <v>64</v>
      </c>
      <c r="L836">
        <v>1200</v>
      </c>
      <c r="M836" t="str">
        <f t="shared" si="39"/>
        <v xml:space="preserve">N35DC   </v>
      </c>
      <c r="N836">
        <v>1</v>
      </c>
      <c r="O836">
        <v>1725</v>
      </c>
    </row>
    <row r="837" spans="1:15" x14ac:dyDescent="0.25">
      <c r="A837" t="str">
        <f>"10/21/2020 18:21:11.042"</f>
        <v>10/21/2020 18:21:11.042</v>
      </c>
      <c r="B837" t="str">
        <f>"18:21:18.984"</f>
        <v>18:21:18.984</v>
      </c>
      <c r="C837" t="str">
        <f>"18:21:18.584"</f>
        <v>18:21:18.584</v>
      </c>
      <c r="D837" t="s">
        <v>341</v>
      </c>
      <c r="E837">
        <v>30.536027000000001</v>
      </c>
      <c r="F837" t="s">
        <v>342</v>
      </c>
      <c r="G837">
        <v>-89.791967999999997</v>
      </c>
      <c r="H837">
        <v>1600</v>
      </c>
      <c r="I837">
        <v>-124</v>
      </c>
      <c r="J837">
        <v>99</v>
      </c>
      <c r="K837">
        <v>-192</v>
      </c>
      <c r="L837">
        <v>1200</v>
      </c>
      <c r="M837" t="str">
        <f t="shared" si="39"/>
        <v xml:space="preserve">N35DC   </v>
      </c>
      <c r="N837">
        <v>1</v>
      </c>
      <c r="O837">
        <v>1700</v>
      </c>
    </row>
    <row r="838" spans="1:15" x14ac:dyDescent="0.25">
      <c r="A838" t="str">
        <f>"10/21/2020 18:21:11.042"</f>
        <v>10/21/2020 18:21:11.042</v>
      </c>
      <c r="B838" t="str">
        <f>"18:21:18.984"</f>
        <v>18:21:18.984</v>
      </c>
      <c r="C838" t="str">
        <f>"18:21:18.584"</f>
        <v>18:21:18.584</v>
      </c>
      <c r="D838" t="s">
        <v>341</v>
      </c>
      <c r="E838">
        <v>30.536027000000001</v>
      </c>
      <c r="F838" t="s">
        <v>342</v>
      </c>
      <c r="G838">
        <v>-89.791967999999997</v>
      </c>
      <c r="H838">
        <v>1600</v>
      </c>
      <c r="I838">
        <v>-124</v>
      </c>
      <c r="J838">
        <v>99</v>
      </c>
      <c r="K838">
        <v>-192</v>
      </c>
      <c r="L838">
        <v>1200</v>
      </c>
      <c r="M838" t="str">
        <f t="shared" si="39"/>
        <v xml:space="preserve">N35DC   </v>
      </c>
      <c r="N838">
        <v>1</v>
      </c>
      <c r="O838">
        <v>1700</v>
      </c>
    </row>
    <row r="839" spans="1:15" x14ac:dyDescent="0.25">
      <c r="A839" t="str">
        <f>"10/21/2020 18:21:11.042"</f>
        <v>10/21/2020 18:21:11.042</v>
      </c>
      <c r="B839" t="str">
        <f>"18:21:18.984"</f>
        <v>18:21:18.984</v>
      </c>
      <c r="C839" t="str">
        <f>"18:21:18.584"</f>
        <v>18:21:18.584</v>
      </c>
      <c r="D839" t="s">
        <v>341</v>
      </c>
      <c r="E839">
        <v>30.536027000000001</v>
      </c>
      <c r="F839" t="s">
        <v>342</v>
      </c>
      <c r="G839">
        <v>-89.791967999999997</v>
      </c>
      <c r="H839">
        <v>1600</v>
      </c>
      <c r="I839">
        <v>-124</v>
      </c>
      <c r="J839">
        <v>99</v>
      </c>
      <c r="K839">
        <v>-192</v>
      </c>
      <c r="L839">
        <v>1200</v>
      </c>
      <c r="M839" t="str">
        <f t="shared" ref="M839:M902" si="41">"N35DC   "</f>
        <v xml:space="preserve">N35DC   </v>
      </c>
      <c r="N839">
        <v>1</v>
      </c>
      <c r="O839">
        <v>1700</v>
      </c>
    </row>
    <row r="840" spans="1:15" x14ac:dyDescent="0.25">
      <c r="A840" t="str">
        <f>"10/21/2020 18:21:11.042"</f>
        <v>10/21/2020 18:21:11.042</v>
      </c>
      <c r="B840" t="str">
        <f>"18:21:18.984"</f>
        <v>18:21:18.984</v>
      </c>
      <c r="C840" t="str">
        <f>"18:21:18.584"</f>
        <v>18:21:18.584</v>
      </c>
      <c r="D840" t="s">
        <v>341</v>
      </c>
      <c r="E840">
        <v>30.536027000000001</v>
      </c>
      <c r="F840" t="s">
        <v>342</v>
      </c>
      <c r="G840">
        <v>-89.791967999999997</v>
      </c>
      <c r="H840">
        <v>1600</v>
      </c>
      <c r="I840">
        <v>-124</v>
      </c>
      <c r="J840">
        <v>99</v>
      </c>
      <c r="K840">
        <v>-192</v>
      </c>
      <c r="L840">
        <v>1200</v>
      </c>
      <c r="M840" t="str">
        <f t="shared" si="41"/>
        <v xml:space="preserve">N35DC   </v>
      </c>
      <c r="N840">
        <v>1</v>
      </c>
      <c r="O840">
        <v>1700</v>
      </c>
    </row>
    <row r="841" spans="1:15" x14ac:dyDescent="0.25">
      <c r="A841" t="str">
        <f>"10/21/2020 18:21:11.042"</f>
        <v>10/21/2020 18:21:11.042</v>
      </c>
      <c r="B841" t="str">
        <f>"18:21:18.984"</f>
        <v>18:21:18.984</v>
      </c>
      <c r="C841" t="str">
        <f>"18:21:18.584"</f>
        <v>18:21:18.584</v>
      </c>
      <c r="D841" t="s">
        <v>341</v>
      </c>
      <c r="E841">
        <v>30.536027000000001</v>
      </c>
      <c r="F841" t="s">
        <v>342</v>
      </c>
      <c r="G841">
        <v>-89.791967999999997</v>
      </c>
      <c r="H841">
        <v>1600</v>
      </c>
      <c r="I841">
        <v>-124</v>
      </c>
      <c r="J841">
        <v>99</v>
      </c>
      <c r="K841">
        <v>-192</v>
      </c>
      <c r="L841">
        <v>1200</v>
      </c>
      <c r="M841" t="str">
        <f t="shared" si="41"/>
        <v xml:space="preserve">N35DC   </v>
      </c>
      <c r="N841">
        <v>1</v>
      </c>
      <c r="O841">
        <v>1700</v>
      </c>
    </row>
    <row r="842" spans="1:15" x14ac:dyDescent="0.25">
      <c r="A842" t="str">
        <f>"10/21/2020 18:21:12.118"</f>
        <v>10/21/2020 18:21:12.118</v>
      </c>
      <c r="B842" t="str">
        <f>"18:21:20.062"</f>
        <v>18:21:20.062</v>
      </c>
      <c r="C842" t="str">
        <f>"18:21:19.663"</f>
        <v>18:21:19.663</v>
      </c>
      <c r="D842" t="s">
        <v>343</v>
      </c>
      <c r="E842">
        <v>30.536498999999999</v>
      </c>
      <c r="F842" t="s">
        <v>344</v>
      </c>
      <c r="G842">
        <v>-89.792719000000005</v>
      </c>
      <c r="H842">
        <v>1600</v>
      </c>
      <c r="I842">
        <v>-124</v>
      </c>
      <c r="J842">
        <v>100</v>
      </c>
      <c r="K842">
        <v>-192</v>
      </c>
      <c r="L842">
        <v>1200</v>
      </c>
      <c r="M842" t="str">
        <f t="shared" si="41"/>
        <v xml:space="preserve">N35DC   </v>
      </c>
      <c r="N842">
        <v>1</v>
      </c>
      <c r="O842">
        <v>1700</v>
      </c>
    </row>
    <row r="843" spans="1:15" x14ac:dyDescent="0.25">
      <c r="A843" t="str">
        <f>"10/21/2020 18:21:12.118"</f>
        <v>10/21/2020 18:21:12.118</v>
      </c>
      <c r="B843" t="str">
        <f>"18:21:20.062"</f>
        <v>18:21:20.062</v>
      </c>
      <c r="C843" t="str">
        <f>"18:21:19.663"</f>
        <v>18:21:19.663</v>
      </c>
      <c r="D843" t="s">
        <v>343</v>
      </c>
      <c r="E843">
        <v>30.536498999999999</v>
      </c>
      <c r="F843" t="s">
        <v>344</v>
      </c>
      <c r="G843">
        <v>-89.792719000000005</v>
      </c>
      <c r="H843">
        <v>1600</v>
      </c>
      <c r="I843">
        <v>-124</v>
      </c>
      <c r="J843">
        <v>100</v>
      </c>
      <c r="K843">
        <v>-192</v>
      </c>
      <c r="L843">
        <v>1200</v>
      </c>
      <c r="M843" t="str">
        <f t="shared" si="41"/>
        <v xml:space="preserve">N35DC   </v>
      </c>
      <c r="N843">
        <v>1</v>
      </c>
      <c r="O843">
        <v>1700</v>
      </c>
    </row>
    <row r="844" spans="1:15" x14ac:dyDescent="0.25">
      <c r="A844" t="str">
        <f>"10/21/2020 18:21:12.118"</f>
        <v>10/21/2020 18:21:12.118</v>
      </c>
      <c r="B844" t="str">
        <f>"18:21:20.062"</f>
        <v>18:21:20.062</v>
      </c>
      <c r="C844" t="str">
        <f>"18:21:19.663"</f>
        <v>18:21:19.663</v>
      </c>
      <c r="D844" t="s">
        <v>343</v>
      </c>
      <c r="E844">
        <v>30.536498999999999</v>
      </c>
      <c r="F844" t="s">
        <v>344</v>
      </c>
      <c r="G844">
        <v>-89.792719000000005</v>
      </c>
      <c r="H844">
        <v>1600</v>
      </c>
      <c r="I844">
        <v>-124</v>
      </c>
      <c r="J844">
        <v>100</v>
      </c>
      <c r="K844">
        <v>-192</v>
      </c>
      <c r="L844">
        <v>1200</v>
      </c>
      <c r="M844" t="str">
        <f t="shared" si="41"/>
        <v xml:space="preserve">N35DC   </v>
      </c>
      <c r="N844">
        <v>1</v>
      </c>
      <c r="O844">
        <v>1700</v>
      </c>
    </row>
    <row r="845" spans="1:15" x14ac:dyDescent="0.25">
      <c r="A845" t="str">
        <f>"10/21/2020 18:21:12.118"</f>
        <v>10/21/2020 18:21:12.118</v>
      </c>
      <c r="B845" t="str">
        <f>"18:21:20.062"</f>
        <v>18:21:20.062</v>
      </c>
      <c r="C845" t="str">
        <f>"18:21:19.663"</f>
        <v>18:21:19.663</v>
      </c>
      <c r="D845" t="s">
        <v>343</v>
      </c>
      <c r="E845">
        <v>30.536498999999999</v>
      </c>
      <c r="F845" t="s">
        <v>344</v>
      </c>
      <c r="G845">
        <v>-89.792719000000005</v>
      </c>
      <c r="H845">
        <v>1600</v>
      </c>
      <c r="I845">
        <v>-124</v>
      </c>
      <c r="J845">
        <v>100</v>
      </c>
      <c r="K845">
        <v>-192</v>
      </c>
      <c r="L845">
        <v>1200</v>
      </c>
      <c r="M845" t="str">
        <f t="shared" si="41"/>
        <v xml:space="preserve">N35DC   </v>
      </c>
      <c r="N845">
        <v>1</v>
      </c>
      <c r="O845">
        <v>1700</v>
      </c>
    </row>
    <row r="846" spans="1:15" x14ac:dyDescent="0.25">
      <c r="A846" t="str">
        <f>"10/21/2020 18:21:12.118"</f>
        <v>10/21/2020 18:21:12.118</v>
      </c>
      <c r="B846" t="str">
        <f>"18:21:20.062"</f>
        <v>18:21:20.062</v>
      </c>
      <c r="C846" t="str">
        <f>"18:21:19.663"</f>
        <v>18:21:19.663</v>
      </c>
      <c r="D846" t="s">
        <v>343</v>
      </c>
      <c r="E846">
        <v>30.536498999999999</v>
      </c>
      <c r="F846" t="s">
        <v>344</v>
      </c>
      <c r="G846">
        <v>-89.792719000000005</v>
      </c>
      <c r="H846">
        <v>1600</v>
      </c>
      <c r="I846">
        <v>-124</v>
      </c>
      <c r="J846">
        <v>100</v>
      </c>
      <c r="K846">
        <v>-192</v>
      </c>
      <c r="L846">
        <v>1200</v>
      </c>
      <c r="M846" t="str">
        <f t="shared" si="41"/>
        <v xml:space="preserve">N35DC   </v>
      </c>
      <c r="N846">
        <v>1</v>
      </c>
      <c r="O846">
        <v>1700</v>
      </c>
    </row>
    <row r="847" spans="1:15" x14ac:dyDescent="0.25">
      <c r="A847" t="str">
        <f>"10/21/2020 18:21:14.210"</f>
        <v>10/21/2020 18:21:14.210</v>
      </c>
      <c r="B847" t="str">
        <f>"18:21:22.148"</f>
        <v>18:21:22.148</v>
      </c>
      <c r="C847" t="str">
        <f>"18:21:21.648"</f>
        <v>18:21:21.648</v>
      </c>
      <c r="D847" t="s">
        <v>345</v>
      </c>
      <c r="E847">
        <v>30.537507999999999</v>
      </c>
      <c r="F847" t="s">
        <v>346</v>
      </c>
      <c r="G847">
        <v>-89.794071000000002</v>
      </c>
      <c r="H847">
        <v>1600</v>
      </c>
      <c r="I847">
        <v>-123</v>
      </c>
      <c r="J847">
        <v>101</v>
      </c>
      <c r="K847">
        <v>-192</v>
      </c>
      <c r="L847">
        <v>1200</v>
      </c>
      <c r="M847" t="str">
        <f t="shared" si="41"/>
        <v xml:space="preserve">N35DC   </v>
      </c>
      <c r="N847">
        <v>1</v>
      </c>
      <c r="O847">
        <v>1700</v>
      </c>
    </row>
    <row r="848" spans="1:15" x14ac:dyDescent="0.25">
      <c r="A848" t="str">
        <f>"10/21/2020 18:21:14.210"</f>
        <v>10/21/2020 18:21:14.210</v>
      </c>
      <c r="B848" t="str">
        <f>"18:21:22.148"</f>
        <v>18:21:22.148</v>
      </c>
      <c r="C848" t="str">
        <f>"18:21:21.648"</f>
        <v>18:21:21.648</v>
      </c>
      <c r="D848" t="s">
        <v>345</v>
      </c>
      <c r="E848">
        <v>30.537507999999999</v>
      </c>
      <c r="F848" t="s">
        <v>346</v>
      </c>
      <c r="G848">
        <v>-89.794071000000002</v>
      </c>
      <c r="H848">
        <v>1600</v>
      </c>
      <c r="I848">
        <v>-123</v>
      </c>
      <c r="J848">
        <v>101</v>
      </c>
      <c r="K848">
        <v>-192</v>
      </c>
      <c r="L848">
        <v>1200</v>
      </c>
      <c r="M848" t="str">
        <f t="shared" si="41"/>
        <v xml:space="preserve">N35DC   </v>
      </c>
      <c r="N848">
        <v>1</v>
      </c>
      <c r="O848">
        <v>1700</v>
      </c>
    </row>
    <row r="849" spans="1:15" x14ac:dyDescent="0.25">
      <c r="A849" t="str">
        <f>"10/21/2020 18:21:14.210"</f>
        <v>10/21/2020 18:21:14.210</v>
      </c>
      <c r="B849" t="str">
        <f>"18:21:22.148"</f>
        <v>18:21:22.148</v>
      </c>
      <c r="C849" t="str">
        <f>"18:21:21.648"</f>
        <v>18:21:21.648</v>
      </c>
      <c r="D849" t="s">
        <v>345</v>
      </c>
      <c r="E849">
        <v>30.537507999999999</v>
      </c>
      <c r="F849" t="s">
        <v>346</v>
      </c>
      <c r="G849">
        <v>-89.794071000000002</v>
      </c>
      <c r="H849">
        <v>1600</v>
      </c>
      <c r="I849">
        <v>-123</v>
      </c>
      <c r="J849">
        <v>101</v>
      </c>
      <c r="K849">
        <v>-192</v>
      </c>
      <c r="L849">
        <v>1200</v>
      </c>
      <c r="M849" t="str">
        <f t="shared" si="41"/>
        <v xml:space="preserve">N35DC   </v>
      </c>
      <c r="N849">
        <v>1</v>
      </c>
      <c r="O849">
        <v>1700</v>
      </c>
    </row>
    <row r="850" spans="1:15" x14ac:dyDescent="0.25">
      <c r="A850" t="str">
        <f>"10/21/2020 18:21:14.210"</f>
        <v>10/21/2020 18:21:14.210</v>
      </c>
      <c r="B850" t="str">
        <f>"18:21:22.148"</f>
        <v>18:21:22.148</v>
      </c>
      <c r="C850" t="str">
        <f>"18:21:21.648"</f>
        <v>18:21:21.648</v>
      </c>
      <c r="D850" t="s">
        <v>345</v>
      </c>
      <c r="E850">
        <v>30.537507999999999</v>
      </c>
      <c r="F850" t="s">
        <v>346</v>
      </c>
      <c r="G850">
        <v>-89.794071000000002</v>
      </c>
      <c r="H850">
        <v>1600</v>
      </c>
      <c r="I850">
        <v>-123</v>
      </c>
      <c r="J850">
        <v>101</v>
      </c>
      <c r="K850">
        <v>-192</v>
      </c>
      <c r="L850">
        <v>1200</v>
      </c>
      <c r="M850" t="str">
        <f t="shared" si="41"/>
        <v xml:space="preserve">N35DC   </v>
      </c>
      <c r="N850">
        <v>1</v>
      </c>
      <c r="O850">
        <v>1700</v>
      </c>
    </row>
    <row r="851" spans="1:15" x14ac:dyDescent="0.25">
      <c r="A851" t="str">
        <f>"10/21/2020 18:21:14.210"</f>
        <v>10/21/2020 18:21:14.210</v>
      </c>
      <c r="B851" t="str">
        <f>"18:21:22.148"</f>
        <v>18:21:22.148</v>
      </c>
      <c r="C851" t="str">
        <f>"18:21:21.648"</f>
        <v>18:21:21.648</v>
      </c>
      <c r="D851" t="s">
        <v>345</v>
      </c>
      <c r="E851">
        <v>30.537507999999999</v>
      </c>
      <c r="F851" t="s">
        <v>346</v>
      </c>
      <c r="G851">
        <v>-89.794071000000002</v>
      </c>
      <c r="H851">
        <v>1600</v>
      </c>
      <c r="I851">
        <v>-123</v>
      </c>
      <c r="J851">
        <v>101</v>
      </c>
      <c r="K851">
        <v>-192</v>
      </c>
      <c r="L851">
        <v>1200</v>
      </c>
      <c r="M851" t="str">
        <f t="shared" si="41"/>
        <v xml:space="preserve">N35DC   </v>
      </c>
      <c r="N851">
        <v>1</v>
      </c>
      <c r="O851">
        <v>1700</v>
      </c>
    </row>
    <row r="852" spans="1:15" x14ac:dyDescent="0.25">
      <c r="A852" t="str">
        <f>"10/21/2020 18:21:15.094"</f>
        <v>10/21/2020 18:21:15.094</v>
      </c>
      <c r="B852" t="str">
        <f>"18:21:23.031"</f>
        <v>18:21:23.031</v>
      </c>
      <c r="C852" t="str">
        <f>"18:21:22.631"</f>
        <v>18:21:22.631</v>
      </c>
      <c r="D852" t="s">
        <v>347</v>
      </c>
      <c r="E852">
        <v>30.537894000000001</v>
      </c>
      <c r="F852" t="s">
        <v>348</v>
      </c>
      <c r="G852">
        <v>-89.794672000000006</v>
      </c>
      <c r="H852">
        <v>1600</v>
      </c>
      <c r="I852">
        <v>-122</v>
      </c>
      <c r="J852">
        <v>102</v>
      </c>
      <c r="K852">
        <v>-128</v>
      </c>
      <c r="L852">
        <v>1200</v>
      </c>
      <c r="M852" t="str">
        <f t="shared" si="41"/>
        <v xml:space="preserve">N35DC   </v>
      </c>
      <c r="N852">
        <v>1</v>
      </c>
      <c r="O852">
        <v>1700</v>
      </c>
    </row>
    <row r="853" spans="1:15" x14ac:dyDescent="0.25">
      <c r="A853" t="str">
        <f>"10/21/2020 18:21:15.094"</f>
        <v>10/21/2020 18:21:15.094</v>
      </c>
      <c r="B853" t="str">
        <f>"18:21:23.031"</f>
        <v>18:21:23.031</v>
      </c>
      <c r="C853" t="str">
        <f>"18:21:22.631"</f>
        <v>18:21:22.631</v>
      </c>
      <c r="D853" t="s">
        <v>347</v>
      </c>
      <c r="E853">
        <v>30.537894000000001</v>
      </c>
      <c r="F853" t="s">
        <v>348</v>
      </c>
      <c r="G853">
        <v>-89.794672000000006</v>
      </c>
      <c r="H853">
        <v>1600</v>
      </c>
      <c r="I853">
        <v>-122</v>
      </c>
      <c r="J853">
        <v>102</v>
      </c>
      <c r="K853">
        <v>-128</v>
      </c>
      <c r="L853">
        <v>1200</v>
      </c>
      <c r="M853" t="str">
        <f t="shared" si="41"/>
        <v xml:space="preserve">N35DC   </v>
      </c>
      <c r="N853">
        <v>1</v>
      </c>
      <c r="O853">
        <v>1700</v>
      </c>
    </row>
    <row r="854" spans="1:15" x14ac:dyDescent="0.25">
      <c r="A854" t="str">
        <f>"10/21/2020 18:21:15.094"</f>
        <v>10/21/2020 18:21:15.094</v>
      </c>
      <c r="B854" t="str">
        <f>"18:21:23.031"</f>
        <v>18:21:23.031</v>
      </c>
      <c r="C854" t="str">
        <f>"18:21:22.631"</f>
        <v>18:21:22.631</v>
      </c>
      <c r="D854" t="s">
        <v>347</v>
      </c>
      <c r="E854">
        <v>30.537894000000001</v>
      </c>
      <c r="F854" t="s">
        <v>348</v>
      </c>
      <c r="G854">
        <v>-89.794672000000006</v>
      </c>
      <c r="H854">
        <v>1600</v>
      </c>
      <c r="I854">
        <v>-122</v>
      </c>
      <c r="J854">
        <v>102</v>
      </c>
      <c r="K854">
        <v>-128</v>
      </c>
      <c r="L854">
        <v>1200</v>
      </c>
      <c r="M854" t="str">
        <f t="shared" si="41"/>
        <v xml:space="preserve">N35DC   </v>
      </c>
      <c r="N854">
        <v>1</v>
      </c>
      <c r="O854">
        <v>1700</v>
      </c>
    </row>
    <row r="855" spans="1:15" x14ac:dyDescent="0.25">
      <c r="A855" t="str">
        <f>"10/21/2020 18:21:15.094"</f>
        <v>10/21/2020 18:21:15.094</v>
      </c>
      <c r="B855" t="str">
        <f>"18:21:23.031"</f>
        <v>18:21:23.031</v>
      </c>
      <c r="C855" t="str">
        <f>"18:21:22.631"</f>
        <v>18:21:22.631</v>
      </c>
      <c r="D855" t="s">
        <v>347</v>
      </c>
      <c r="E855">
        <v>30.537894000000001</v>
      </c>
      <c r="F855" t="s">
        <v>348</v>
      </c>
      <c r="G855">
        <v>-89.794672000000006</v>
      </c>
      <c r="H855">
        <v>1600</v>
      </c>
      <c r="I855">
        <v>-122</v>
      </c>
      <c r="J855">
        <v>102</v>
      </c>
      <c r="K855">
        <v>-128</v>
      </c>
      <c r="L855">
        <v>1200</v>
      </c>
      <c r="M855" t="str">
        <f t="shared" si="41"/>
        <v xml:space="preserve">N35DC   </v>
      </c>
      <c r="N855">
        <v>1</v>
      </c>
      <c r="O855">
        <v>1700</v>
      </c>
    </row>
    <row r="856" spans="1:15" x14ac:dyDescent="0.25">
      <c r="A856" t="str">
        <f>"10/21/2020 18:21:15.094"</f>
        <v>10/21/2020 18:21:15.094</v>
      </c>
      <c r="B856" t="str">
        <f>"18:21:23.031"</f>
        <v>18:21:23.031</v>
      </c>
      <c r="C856" t="str">
        <f>"18:21:22.631"</f>
        <v>18:21:22.631</v>
      </c>
      <c r="D856" t="s">
        <v>347</v>
      </c>
      <c r="E856">
        <v>30.537894000000001</v>
      </c>
      <c r="F856" t="s">
        <v>348</v>
      </c>
      <c r="G856">
        <v>-89.794672000000006</v>
      </c>
      <c r="H856">
        <v>1600</v>
      </c>
      <c r="I856">
        <v>-122</v>
      </c>
      <c r="J856">
        <v>102</v>
      </c>
      <c r="K856">
        <v>-128</v>
      </c>
      <c r="L856">
        <v>1200</v>
      </c>
      <c r="M856" t="str">
        <f t="shared" si="41"/>
        <v xml:space="preserve">N35DC   </v>
      </c>
      <c r="N856">
        <v>1</v>
      </c>
      <c r="O856">
        <v>1700</v>
      </c>
    </row>
    <row r="857" spans="1:15" x14ac:dyDescent="0.25">
      <c r="A857" t="str">
        <f>"10/21/2020 18:21:18.260"</f>
        <v>10/21/2020 18:21:18.260</v>
      </c>
      <c r="B857" t="str">
        <f>"18:21:26.180"</f>
        <v>18:21:26.180</v>
      </c>
      <c r="C857" t="str">
        <f>"18:21:25.880"</f>
        <v>18:21:25.880</v>
      </c>
      <c r="D857" t="s">
        <v>349</v>
      </c>
      <c r="E857">
        <v>30.539439000000002</v>
      </c>
      <c r="F857" t="s">
        <v>350</v>
      </c>
      <c r="G857">
        <v>-89.796689000000001</v>
      </c>
      <c r="H857">
        <v>1600</v>
      </c>
      <c r="I857">
        <v>-120</v>
      </c>
      <c r="J857">
        <v>104</v>
      </c>
      <c r="K857">
        <v>-128</v>
      </c>
      <c r="L857">
        <v>1200</v>
      </c>
      <c r="M857" t="str">
        <f t="shared" si="41"/>
        <v xml:space="preserve">N35DC   </v>
      </c>
      <c r="N857">
        <v>1</v>
      </c>
      <c r="O857">
        <v>1700</v>
      </c>
    </row>
    <row r="858" spans="1:15" x14ac:dyDescent="0.25">
      <c r="A858" t="str">
        <f>"10/21/2020 18:21:18.260"</f>
        <v>10/21/2020 18:21:18.260</v>
      </c>
      <c r="B858" t="str">
        <f>"18:21:26.180"</f>
        <v>18:21:26.180</v>
      </c>
      <c r="C858" t="str">
        <f>"18:21:25.880"</f>
        <v>18:21:25.880</v>
      </c>
      <c r="D858" t="s">
        <v>349</v>
      </c>
      <c r="E858">
        <v>30.539439000000002</v>
      </c>
      <c r="F858" t="s">
        <v>350</v>
      </c>
      <c r="G858">
        <v>-89.796689000000001</v>
      </c>
      <c r="H858">
        <v>1600</v>
      </c>
      <c r="I858">
        <v>-120</v>
      </c>
      <c r="J858">
        <v>104</v>
      </c>
      <c r="K858">
        <v>-128</v>
      </c>
      <c r="L858">
        <v>1200</v>
      </c>
      <c r="M858" t="str">
        <f t="shared" si="41"/>
        <v xml:space="preserve">N35DC   </v>
      </c>
      <c r="N858">
        <v>1</v>
      </c>
      <c r="O858">
        <v>1700</v>
      </c>
    </row>
    <row r="859" spans="1:15" x14ac:dyDescent="0.25">
      <c r="A859" t="str">
        <f>"10/21/2020 18:21:18.260"</f>
        <v>10/21/2020 18:21:18.260</v>
      </c>
      <c r="B859" t="str">
        <f>"18:21:26.180"</f>
        <v>18:21:26.180</v>
      </c>
      <c r="C859" t="str">
        <f>"18:21:25.880"</f>
        <v>18:21:25.880</v>
      </c>
      <c r="D859" t="s">
        <v>349</v>
      </c>
      <c r="E859">
        <v>30.539439000000002</v>
      </c>
      <c r="F859" t="s">
        <v>350</v>
      </c>
      <c r="G859">
        <v>-89.796689000000001</v>
      </c>
      <c r="H859">
        <v>1600</v>
      </c>
      <c r="I859">
        <v>-120</v>
      </c>
      <c r="J859">
        <v>104</v>
      </c>
      <c r="K859">
        <v>-128</v>
      </c>
      <c r="L859">
        <v>1200</v>
      </c>
      <c r="M859" t="str">
        <f t="shared" si="41"/>
        <v xml:space="preserve">N35DC   </v>
      </c>
      <c r="N859">
        <v>1</v>
      </c>
      <c r="O859">
        <v>1700</v>
      </c>
    </row>
    <row r="860" spans="1:15" x14ac:dyDescent="0.25">
      <c r="A860" t="str">
        <f>"10/21/2020 18:21:18.260"</f>
        <v>10/21/2020 18:21:18.260</v>
      </c>
      <c r="B860" t="str">
        <f>"18:21:26.180"</f>
        <v>18:21:26.180</v>
      </c>
      <c r="C860" t="str">
        <f>"18:21:25.880"</f>
        <v>18:21:25.880</v>
      </c>
      <c r="D860" t="s">
        <v>349</v>
      </c>
      <c r="E860">
        <v>30.539439000000002</v>
      </c>
      <c r="F860" t="s">
        <v>350</v>
      </c>
      <c r="G860">
        <v>-89.796689000000001</v>
      </c>
      <c r="H860">
        <v>1600</v>
      </c>
      <c r="I860">
        <v>-120</v>
      </c>
      <c r="J860">
        <v>104</v>
      </c>
      <c r="K860">
        <v>-128</v>
      </c>
      <c r="L860">
        <v>1200</v>
      </c>
      <c r="M860" t="str">
        <f t="shared" si="41"/>
        <v xml:space="preserve">N35DC   </v>
      </c>
      <c r="N860">
        <v>1</v>
      </c>
      <c r="O860">
        <v>1700</v>
      </c>
    </row>
    <row r="861" spans="1:15" x14ac:dyDescent="0.25">
      <c r="A861" t="str">
        <f>"10/21/2020 18:21:18.260"</f>
        <v>10/21/2020 18:21:18.260</v>
      </c>
      <c r="B861" t="str">
        <f>"18:21:26.180"</f>
        <v>18:21:26.180</v>
      </c>
      <c r="C861" t="str">
        <f>"18:21:25.880"</f>
        <v>18:21:25.880</v>
      </c>
      <c r="D861" t="s">
        <v>349</v>
      </c>
      <c r="E861">
        <v>30.539439000000002</v>
      </c>
      <c r="F861" t="s">
        <v>350</v>
      </c>
      <c r="G861">
        <v>-89.796689000000001</v>
      </c>
      <c r="H861">
        <v>1600</v>
      </c>
      <c r="I861">
        <v>-120</v>
      </c>
      <c r="J861">
        <v>104</v>
      </c>
      <c r="K861">
        <v>-128</v>
      </c>
      <c r="L861">
        <v>1200</v>
      </c>
      <c r="M861" t="str">
        <f t="shared" si="41"/>
        <v xml:space="preserve">N35DC   </v>
      </c>
      <c r="N861">
        <v>1</v>
      </c>
      <c r="O861">
        <v>1700</v>
      </c>
    </row>
    <row r="862" spans="1:15" x14ac:dyDescent="0.25">
      <c r="A862" t="str">
        <f>"10/21/2020 18:21:19.135"</f>
        <v>10/21/2020 18:21:19.135</v>
      </c>
      <c r="B862" t="str">
        <f>"18:21:27.070"</f>
        <v>18:21:27.070</v>
      </c>
      <c r="C862" t="str">
        <f>"18:21:26.870"</f>
        <v>18:21:26.870</v>
      </c>
      <c r="D862" t="s">
        <v>351</v>
      </c>
      <c r="E862">
        <v>30.539846000000001</v>
      </c>
      <c r="F862" t="s">
        <v>352</v>
      </c>
      <c r="G862">
        <v>-89.797246000000001</v>
      </c>
      <c r="H862">
        <v>1600</v>
      </c>
      <c r="I862">
        <v>-120</v>
      </c>
      <c r="J862">
        <v>105</v>
      </c>
      <c r="K862">
        <v>-128</v>
      </c>
      <c r="L862">
        <v>1200</v>
      </c>
      <c r="M862" t="str">
        <f t="shared" si="41"/>
        <v xml:space="preserve">N35DC   </v>
      </c>
      <c r="N862">
        <v>1</v>
      </c>
      <c r="O862">
        <v>1700</v>
      </c>
    </row>
    <row r="863" spans="1:15" x14ac:dyDescent="0.25">
      <c r="A863" t="str">
        <f>"10/21/2020 18:21:19.135"</f>
        <v>10/21/2020 18:21:19.135</v>
      </c>
      <c r="B863" t="str">
        <f>"18:21:27.070"</f>
        <v>18:21:27.070</v>
      </c>
      <c r="C863" t="str">
        <f>"18:21:26.870"</f>
        <v>18:21:26.870</v>
      </c>
      <c r="D863" t="s">
        <v>351</v>
      </c>
      <c r="E863">
        <v>30.539846000000001</v>
      </c>
      <c r="F863" t="s">
        <v>352</v>
      </c>
      <c r="G863">
        <v>-89.797246000000001</v>
      </c>
      <c r="H863">
        <v>1600</v>
      </c>
      <c r="I863">
        <v>-120</v>
      </c>
      <c r="J863">
        <v>105</v>
      </c>
      <c r="K863">
        <v>-128</v>
      </c>
      <c r="L863">
        <v>1200</v>
      </c>
      <c r="M863" t="str">
        <f t="shared" si="41"/>
        <v xml:space="preserve">N35DC   </v>
      </c>
      <c r="N863">
        <v>1</v>
      </c>
      <c r="O863">
        <v>1700</v>
      </c>
    </row>
    <row r="864" spans="1:15" x14ac:dyDescent="0.25">
      <c r="A864" t="str">
        <f>"10/21/2020 18:21:19.135"</f>
        <v>10/21/2020 18:21:19.135</v>
      </c>
      <c r="B864" t="str">
        <f>"18:21:27.070"</f>
        <v>18:21:27.070</v>
      </c>
      <c r="C864" t="str">
        <f>"18:21:26.870"</f>
        <v>18:21:26.870</v>
      </c>
      <c r="D864" t="s">
        <v>351</v>
      </c>
      <c r="E864">
        <v>30.539846000000001</v>
      </c>
      <c r="F864" t="s">
        <v>352</v>
      </c>
      <c r="G864">
        <v>-89.797246000000001</v>
      </c>
      <c r="H864">
        <v>1600</v>
      </c>
      <c r="I864">
        <v>-120</v>
      </c>
      <c r="J864">
        <v>105</v>
      </c>
      <c r="K864">
        <v>-128</v>
      </c>
      <c r="L864">
        <v>1200</v>
      </c>
      <c r="M864" t="str">
        <f t="shared" si="41"/>
        <v xml:space="preserve">N35DC   </v>
      </c>
      <c r="N864">
        <v>1</v>
      </c>
      <c r="O864">
        <v>1700</v>
      </c>
    </row>
    <row r="865" spans="1:15" x14ac:dyDescent="0.25">
      <c r="A865" t="str">
        <f>"10/21/2020 18:21:19.135"</f>
        <v>10/21/2020 18:21:19.135</v>
      </c>
      <c r="B865" t="str">
        <f>"18:21:27.070"</f>
        <v>18:21:27.070</v>
      </c>
      <c r="C865" t="str">
        <f>"18:21:26.870"</f>
        <v>18:21:26.870</v>
      </c>
      <c r="D865" t="s">
        <v>351</v>
      </c>
      <c r="E865">
        <v>30.539846000000001</v>
      </c>
      <c r="F865" t="s">
        <v>352</v>
      </c>
      <c r="G865">
        <v>-89.797246000000001</v>
      </c>
      <c r="H865">
        <v>1600</v>
      </c>
      <c r="I865">
        <v>-120</v>
      </c>
      <c r="J865">
        <v>105</v>
      </c>
      <c r="K865">
        <v>-128</v>
      </c>
      <c r="L865">
        <v>1200</v>
      </c>
      <c r="M865" t="str">
        <f t="shared" si="41"/>
        <v xml:space="preserve">N35DC   </v>
      </c>
      <c r="N865">
        <v>1</v>
      </c>
      <c r="O865">
        <v>1700</v>
      </c>
    </row>
    <row r="866" spans="1:15" x14ac:dyDescent="0.25">
      <c r="A866" t="str">
        <f>"10/21/2020 18:21:19.135"</f>
        <v>10/21/2020 18:21:19.135</v>
      </c>
      <c r="B866" t="str">
        <f>"18:21:27.070"</f>
        <v>18:21:27.070</v>
      </c>
      <c r="C866" t="str">
        <f>"18:21:26.870"</f>
        <v>18:21:26.870</v>
      </c>
      <c r="D866" t="s">
        <v>351</v>
      </c>
      <c r="E866">
        <v>30.539846000000001</v>
      </c>
      <c r="F866" t="s">
        <v>352</v>
      </c>
      <c r="G866">
        <v>-89.797246000000001</v>
      </c>
      <c r="H866">
        <v>1600</v>
      </c>
      <c r="I866">
        <v>-120</v>
      </c>
      <c r="J866">
        <v>105</v>
      </c>
      <c r="K866">
        <v>-128</v>
      </c>
      <c r="L866">
        <v>1200</v>
      </c>
      <c r="M866" t="str">
        <f t="shared" si="41"/>
        <v xml:space="preserve">N35DC   </v>
      </c>
      <c r="N866">
        <v>1</v>
      </c>
      <c r="O866">
        <v>1700</v>
      </c>
    </row>
    <row r="867" spans="1:15" x14ac:dyDescent="0.25">
      <c r="A867" t="str">
        <f>"10/21/2020 18:21:21.057"</f>
        <v>10/21/2020 18:21:21.057</v>
      </c>
      <c r="B867" t="str">
        <f>"18:21:29.000"</f>
        <v>18:21:29.000</v>
      </c>
      <c r="C867" t="str">
        <f>"18:21:28.600"</f>
        <v>18:21:28.600</v>
      </c>
      <c r="D867" t="s">
        <v>353</v>
      </c>
      <c r="E867">
        <v>30.540790999999999</v>
      </c>
      <c r="F867" t="s">
        <v>354</v>
      </c>
      <c r="G867">
        <v>-89.798512000000002</v>
      </c>
      <c r="H867">
        <v>1600</v>
      </c>
      <c r="I867">
        <v>-119</v>
      </c>
      <c r="J867">
        <v>105</v>
      </c>
      <c r="K867">
        <v>0</v>
      </c>
      <c r="L867">
        <v>1200</v>
      </c>
      <c r="M867" t="str">
        <f t="shared" si="41"/>
        <v xml:space="preserve">N35DC   </v>
      </c>
      <c r="N867">
        <v>1</v>
      </c>
      <c r="O867">
        <v>1675</v>
      </c>
    </row>
    <row r="868" spans="1:15" x14ac:dyDescent="0.25">
      <c r="A868" t="str">
        <f>"10/21/2020 18:21:21.057"</f>
        <v>10/21/2020 18:21:21.057</v>
      </c>
      <c r="B868" t="str">
        <f>"18:21:29.000"</f>
        <v>18:21:29.000</v>
      </c>
      <c r="C868" t="str">
        <f>"18:21:28.600"</f>
        <v>18:21:28.600</v>
      </c>
      <c r="D868" t="s">
        <v>353</v>
      </c>
      <c r="E868">
        <v>30.540790999999999</v>
      </c>
      <c r="F868" t="s">
        <v>354</v>
      </c>
      <c r="G868">
        <v>-89.798512000000002</v>
      </c>
      <c r="H868">
        <v>1600</v>
      </c>
      <c r="I868">
        <v>-119</v>
      </c>
      <c r="J868">
        <v>105</v>
      </c>
      <c r="K868">
        <v>0</v>
      </c>
      <c r="L868">
        <v>1200</v>
      </c>
      <c r="M868" t="str">
        <f t="shared" si="41"/>
        <v xml:space="preserve">N35DC   </v>
      </c>
      <c r="N868">
        <v>1</v>
      </c>
      <c r="O868">
        <v>1675</v>
      </c>
    </row>
    <row r="869" spans="1:15" x14ac:dyDescent="0.25">
      <c r="A869" t="str">
        <f>"10/21/2020 18:21:21.057"</f>
        <v>10/21/2020 18:21:21.057</v>
      </c>
      <c r="B869" t="str">
        <f>"18:21:29.000"</f>
        <v>18:21:29.000</v>
      </c>
      <c r="C869" t="str">
        <f>"18:21:28.600"</f>
        <v>18:21:28.600</v>
      </c>
      <c r="D869" t="s">
        <v>353</v>
      </c>
      <c r="E869">
        <v>30.540790999999999</v>
      </c>
      <c r="F869" t="s">
        <v>354</v>
      </c>
      <c r="G869">
        <v>-89.798512000000002</v>
      </c>
      <c r="H869">
        <v>1600</v>
      </c>
      <c r="I869">
        <v>-119</v>
      </c>
      <c r="J869">
        <v>105</v>
      </c>
      <c r="K869">
        <v>0</v>
      </c>
      <c r="L869">
        <v>1200</v>
      </c>
      <c r="M869" t="str">
        <f t="shared" si="41"/>
        <v xml:space="preserve">N35DC   </v>
      </c>
      <c r="N869">
        <v>1</v>
      </c>
      <c r="O869">
        <v>1675</v>
      </c>
    </row>
    <row r="870" spans="1:15" x14ac:dyDescent="0.25">
      <c r="A870" t="str">
        <f>"10/21/2020 18:21:21.057"</f>
        <v>10/21/2020 18:21:21.057</v>
      </c>
      <c r="B870" t="str">
        <f>"18:21:29.000"</f>
        <v>18:21:29.000</v>
      </c>
      <c r="C870" t="str">
        <f>"18:21:28.600"</f>
        <v>18:21:28.600</v>
      </c>
      <c r="D870" t="s">
        <v>353</v>
      </c>
      <c r="E870">
        <v>30.540790999999999</v>
      </c>
      <c r="F870" t="s">
        <v>354</v>
      </c>
      <c r="G870">
        <v>-89.798512000000002</v>
      </c>
      <c r="H870">
        <v>1600</v>
      </c>
      <c r="I870">
        <v>-119</v>
      </c>
      <c r="J870">
        <v>105</v>
      </c>
      <c r="K870">
        <v>0</v>
      </c>
      <c r="L870">
        <v>1200</v>
      </c>
      <c r="M870" t="str">
        <f t="shared" si="41"/>
        <v xml:space="preserve">N35DC   </v>
      </c>
      <c r="N870">
        <v>1</v>
      </c>
      <c r="O870">
        <v>1675</v>
      </c>
    </row>
    <row r="871" spans="1:15" x14ac:dyDescent="0.25">
      <c r="A871" t="str">
        <f>"10/21/2020 18:21:21.057"</f>
        <v>10/21/2020 18:21:21.057</v>
      </c>
      <c r="B871" t="str">
        <f>"18:21:29.000"</f>
        <v>18:21:29.000</v>
      </c>
      <c r="C871" t="str">
        <f>"18:21:28.600"</f>
        <v>18:21:28.600</v>
      </c>
      <c r="D871" t="s">
        <v>353</v>
      </c>
      <c r="E871">
        <v>30.540790999999999</v>
      </c>
      <c r="F871" t="s">
        <v>354</v>
      </c>
      <c r="G871">
        <v>-89.798512000000002</v>
      </c>
      <c r="H871">
        <v>1600</v>
      </c>
      <c r="I871">
        <v>-119</v>
      </c>
      <c r="J871">
        <v>105</v>
      </c>
      <c r="K871">
        <v>0</v>
      </c>
      <c r="L871">
        <v>1200</v>
      </c>
      <c r="M871" t="str">
        <f t="shared" si="41"/>
        <v xml:space="preserve">N35DC   </v>
      </c>
      <c r="N871">
        <v>1</v>
      </c>
      <c r="O871">
        <v>1675</v>
      </c>
    </row>
    <row r="872" spans="1:15" x14ac:dyDescent="0.25">
      <c r="A872" t="str">
        <f>"10/21/2020 18:21:22.069"</f>
        <v>10/21/2020 18:21:22.069</v>
      </c>
      <c r="B872" t="str">
        <f>"18:21:30.008"</f>
        <v>18:21:30.008</v>
      </c>
      <c r="C872" t="str">
        <f>"18:21:29.608"</f>
        <v>18:21:29.608</v>
      </c>
      <c r="D872" t="s">
        <v>355</v>
      </c>
      <c r="E872">
        <v>30.541305999999999</v>
      </c>
      <c r="F872" t="s">
        <v>356</v>
      </c>
      <c r="G872">
        <v>-89.799113000000006</v>
      </c>
      <c r="H872">
        <v>1600</v>
      </c>
      <c r="I872">
        <v>-119</v>
      </c>
      <c r="J872">
        <v>106</v>
      </c>
      <c r="K872">
        <v>192</v>
      </c>
      <c r="L872">
        <v>1200</v>
      </c>
      <c r="M872" t="str">
        <f t="shared" si="41"/>
        <v xml:space="preserve">N35DC   </v>
      </c>
      <c r="N872">
        <v>1</v>
      </c>
      <c r="O872">
        <v>1675</v>
      </c>
    </row>
    <row r="873" spans="1:15" x14ac:dyDescent="0.25">
      <c r="A873" t="str">
        <f>"10/21/2020 18:21:22.069"</f>
        <v>10/21/2020 18:21:22.069</v>
      </c>
      <c r="B873" t="str">
        <f>"18:21:30.008"</f>
        <v>18:21:30.008</v>
      </c>
      <c r="C873" t="str">
        <f>"18:21:29.608"</f>
        <v>18:21:29.608</v>
      </c>
      <c r="D873" t="s">
        <v>355</v>
      </c>
      <c r="E873">
        <v>30.541305999999999</v>
      </c>
      <c r="F873" t="s">
        <v>356</v>
      </c>
      <c r="G873">
        <v>-89.799113000000006</v>
      </c>
      <c r="H873">
        <v>1600</v>
      </c>
      <c r="I873">
        <v>-119</v>
      </c>
      <c r="J873">
        <v>106</v>
      </c>
      <c r="K873">
        <v>192</v>
      </c>
      <c r="L873">
        <v>1200</v>
      </c>
      <c r="M873" t="str">
        <f t="shared" si="41"/>
        <v xml:space="preserve">N35DC   </v>
      </c>
      <c r="N873">
        <v>1</v>
      </c>
      <c r="O873">
        <v>1675</v>
      </c>
    </row>
    <row r="874" spans="1:15" x14ac:dyDescent="0.25">
      <c r="A874" t="str">
        <f>"10/21/2020 18:21:22.069"</f>
        <v>10/21/2020 18:21:22.069</v>
      </c>
      <c r="B874" t="str">
        <f>"18:21:30.008"</f>
        <v>18:21:30.008</v>
      </c>
      <c r="C874" t="str">
        <f>"18:21:29.608"</f>
        <v>18:21:29.608</v>
      </c>
      <c r="D874" t="s">
        <v>355</v>
      </c>
      <c r="E874">
        <v>30.541305999999999</v>
      </c>
      <c r="F874" t="s">
        <v>356</v>
      </c>
      <c r="G874">
        <v>-89.799113000000006</v>
      </c>
      <c r="H874">
        <v>1600</v>
      </c>
      <c r="I874">
        <v>-119</v>
      </c>
      <c r="J874">
        <v>106</v>
      </c>
      <c r="K874">
        <v>192</v>
      </c>
      <c r="L874">
        <v>1200</v>
      </c>
      <c r="M874" t="str">
        <f t="shared" si="41"/>
        <v xml:space="preserve">N35DC   </v>
      </c>
      <c r="N874">
        <v>1</v>
      </c>
      <c r="O874">
        <v>1675</v>
      </c>
    </row>
    <row r="875" spans="1:15" x14ac:dyDescent="0.25">
      <c r="A875" t="str">
        <f>"10/21/2020 18:21:22.069"</f>
        <v>10/21/2020 18:21:22.069</v>
      </c>
      <c r="B875" t="str">
        <f>"18:21:30.008"</f>
        <v>18:21:30.008</v>
      </c>
      <c r="C875" t="str">
        <f>"18:21:29.608"</f>
        <v>18:21:29.608</v>
      </c>
      <c r="D875" t="s">
        <v>355</v>
      </c>
      <c r="E875">
        <v>30.541305999999999</v>
      </c>
      <c r="F875" t="s">
        <v>356</v>
      </c>
      <c r="G875">
        <v>-89.799113000000006</v>
      </c>
      <c r="H875">
        <v>1600</v>
      </c>
      <c r="I875">
        <v>-119</v>
      </c>
      <c r="J875">
        <v>106</v>
      </c>
      <c r="K875">
        <v>192</v>
      </c>
      <c r="L875">
        <v>1200</v>
      </c>
      <c r="M875" t="str">
        <f t="shared" si="41"/>
        <v xml:space="preserve">N35DC   </v>
      </c>
      <c r="N875">
        <v>1</v>
      </c>
      <c r="O875">
        <v>1675</v>
      </c>
    </row>
    <row r="876" spans="1:15" x14ac:dyDescent="0.25">
      <c r="A876" t="str">
        <f>"10/21/2020 18:21:22.069"</f>
        <v>10/21/2020 18:21:22.069</v>
      </c>
      <c r="B876" t="str">
        <f>"18:21:30.008"</f>
        <v>18:21:30.008</v>
      </c>
      <c r="C876" t="str">
        <f>"18:21:29.608"</f>
        <v>18:21:29.608</v>
      </c>
      <c r="D876" t="s">
        <v>355</v>
      </c>
      <c r="E876">
        <v>30.541305999999999</v>
      </c>
      <c r="F876" t="s">
        <v>356</v>
      </c>
      <c r="G876">
        <v>-89.799113000000006</v>
      </c>
      <c r="H876">
        <v>1600</v>
      </c>
      <c r="I876">
        <v>-119</v>
      </c>
      <c r="J876">
        <v>106</v>
      </c>
      <c r="K876">
        <v>192</v>
      </c>
      <c r="L876">
        <v>1200</v>
      </c>
      <c r="M876" t="str">
        <f t="shared" si="41"/>
        <v xml:space="preserve">N35DC   </v>
      </c>
      <c r="N876">
        <v>1</v>
      </c>
      <c r="O876">
        <v>1675</v>
      </c>
    </row>
    <row r="877" spans="1:15" x14ac:dyDescent="0.25">
      <c r="A877" t="str">
        <f>"10/21/2020 18:21:25.233"</f>
        <v>10/21/2020 18:21:25.233</v>
      </c>
      <c r="B877" t="str">
        <f t="shared" ref="B877:C881" si="42">"18:21:33.203"</f>
        <v>18:21:33.203</v>
      </c>
      <c r="C877" t="str">
        <f t="shared" si="42"/>
        <v>18:21:33.203</v>
      </c>
      <c r="D877" t="s">
        <v>357</v>
      </c>
      <c r="E877">
        <v>30.542871999999999</v>
      </c>
      <c r="F877" t="s">
        <v>358</v>
      </c>
      <c r="G877">
        <v>-89.801173000000006</v>
      </c>
      <c r="H877">
        <v>1600</v>
      </c>
      <c r="I877">
        <v>-116</v>
      </c>
      <c r="J877">
        <v>108</v>
      </c>
      <c r="K877">
        <v>64</v>
      </c>
      <c r="L877">
        <v>1200</v>
      </c>
      <c r="M877" t="str">
        <f t="shared" si="41"/>
        <v xml:space="preserve">N35DC   </v>
      </c>
      <c r="N877">
        <v>1</v>
      </c>
      <c r="O877">
        <v>1700</v>
      </c>
    </row>
    <row r="878" spans="1:15" x14ac:dyDescent="0.25">
      <c r="A878" t="str">
        <f>"10/21/2020 18:21:25.233"</f>
        <v>10/21/2020 18:21:25.233</v>
      </c>
      <c r="B878" t="str">
        <f t="shared" si="42"/>
        <v>18:21:33.203</v>
      </c>
      <c r="C878" t="str">
        <f t="shared" si="42"/>
        <v>18:21:33.203</v>
      </c>
      <c r="D878" t="s">
        <v>357</v>
      </c>
      <c r="E878">
        <v>30.542871999999999</v>
      </c>
      <c r="F878" t="s">
        <v>358</v>
      </c>
      <c r="G878">
        <v>-89.801173000000006</v>
      </c>
      <c r="H878">
        <v>1600</v>
      </c>
      <c r="I878">
        <v>-116</v>
      </c>
      <c r="J878">
        <v>108</v>
      </c>
      <c r="K878">
        <v>64</v>
      </c>
      <c r="L878">
        <v>1200</v>
      </c>
      <c r="M878" t="str">
        <f t="shared" si="41"/>
        <v xml:space="preserve">N35DC   </v>
      </c>
      <c r="N878">
        <v>1</v>
      </c>
      <c r="O878">
        <v>1700</v>
      </c>
    </row>
    <row r="879" spans="1:15" x14ac:dyDescent="0.25">
      <c r="A879" t="str">
        <f>"10/21/2020 18:21:25.233"</f>
        <v>10/21/2020 18:21:25.233</v>
      </c>
      <c r="B879" t="str">
        <f t="shared" si="42"/>
        <v>18:21:33.203</v>
      </c>
      <c r="C879" t="str">
        <f t="shared" si="42"/>
        <v>18:21:33.203</v>
      </c>
      <c r="D879" t="s">
        <v>357</v>
      </c>
      <c r="E879">
        <v>30.542871999999999</v>
      </c>
      <c r="F879" t="s">
        <v>358</v>
      </c>
      <c r="G879">
        <v>-89.801173000000006</v>
      </c>
      <c r="H879">
        <v>1600</v>
      </c>
      <c r="I879">
        <v>-116</v>
      </c>
      <c r="J879">
        <v>108</v>
      </c>
      <c r="K879">
        <v>64</v>
      </c>
      <c r="L879">
        <v>1200</v>
      </c>
      <c r="M879" t="str">
        <f t="shared" si="41"/>
        <v xml:space="preserve">N35DC   </v>
      </c>
      <c r="N879">
        <v>1</v>
      </c>
      <c r="O879">
        <v>1700</v>
      </c>
    </row>
    <row r="880" spans="1:15" x14ac:dyDescent="0.25">
      <c r="A880" t="str">
        <f>"10/21/2020 18:21:25.233"</f>
        <v>10/21/2020 18:21:25.233</v>
      </c>
      <c r="B880" t="str">
        <f t="shared" si="42"/>
        <v>18:21:33.203</v>
      </c>
      <c r="C880" t="str">
        <f t="shared" si="42"/>
        <v>18:21:33.203</v>
      </c>
      <c r="D880" t="s">
        <v>357</v>
      </c>
      <c r="E880">
        <v>30.542871999999999</v>
      </c>
      <c r="F880" t="s">
        <v>358</v>
      </c>
      <c r="G880">
        <v>-89.801173000000006</v>
      </c>
      <c r="H880">
        <v>1600</v>
      </c>
      <c r="I880">
        <v>-116</v>
      </c>
      <c r="J880">
        <v>108</v>
      </c>
      <c r="K880">
        <v>64</v>
      </c>
      <c r="L880">
        <v>1200</v>
      </c>
      <c r="M880" t="str">
        <f t="shared" si="41"/>
        <v xml:space="preserve">N35DC   </v>
      </c>
      <c r="N880">
        <v>1</v>
      </c>
      <c r="O880">
        <v>1700</v>
      </c>
    </row>
    <row r="881" spans="1:15" x14ac:dyDescent="0.25">
      <c r="A881" t="str">
        <f>"10/21/2020 18:21:25.233"</f>
        <v>10/21/2020 18:21:25.233</v>
      </c>
      <c r="B881" t="str">
        <f t="shared" si="42"/>
        <v>18:21:33.203</v>
      </c>
      <c r="C881" t="str">
        <f t="shared" si="42"/>
        <v>18:21:33.203</v>
      </c>
      <c r="D881" t="s">
        <v>357</v>
      </c>
      <c r="E881">
        <v>30.542871999999999</v>
      </c>
      <c r="F881" t="s">
        <v>358</v>
      </c>
      <c r="G881">
        <v>-89.801173000000006</v>
      </c>
      <c r="H881">
        <v>1600</v>
      </c>
      <c r="I881">
        <v>-116</v>
      </c>
      <c r="J881">
        <v>108</v>
      </c>
      <c r="K881">
        <v>64</v>
      </c>
      <c r="L881">
        <v>1200</v>
      </c>
      <c r="M881" t="str">
        <f t="shared" si="41"/>
        <v xml:space="preserve">N35DC   </v>
      </c>
      <c r="N881">
        <v>1</v>
      </c>
      <c r="O881">
        <v>1700</v>
      </c>
    </row>
    <row r="882" spans="1:15" x14ac:dyDescent="0.25">
      <c r="A882" t="str">
        <f>"10/21/2020 18:21:28.041"</f>
        <v>10/21/2020 18:21:28.041</v>
      </c>
      <c r="B882" t="str">
        <f>"18:21:35.992"</f>
        <v>18:21:35.992</v>
      </c>
      <c r="C882" t="str">
        <f>"18:21:35.692"</f>
        <v>18:21:35.692</v>
      </c>
      <c r="D882" t="s">
        <v>359</v>
      </c>
      <c r="E882">
        <v>30.544288000000002</v>
      </c>
      <c r="F882" t="s">
        <v>360</v>
      </c>
      <c r="G882">
        <v>-89.802847</v>
      </c>
      <c r="H882">
        <v>1600</v>
      </c>
      <c r="I882">
        <v>-115</v>
      </c>
      <c r="J882">
        <v>109</v>
      </c>
      <c r="K882">
        <v>128</v>
      </c>
      <c r="L882">
        <v>1200</v>
      </c>
      <c r="M882" t="str">
        <f t="shared" si="41"/>
        <v xml:space="preserve">N35DC   </v>
      </c>
      <c r="N882">
        <v>1</v>
      </c>
      <c r="O882">
        <v>1700</v>
      </c>
    </row>
    <row r="883" spans="1:15" x14ac:dyDescent="0.25">
      <c r="A883" t="str">
        <f>"10/21/2020 18:21:28.041"</f>
        <v>10/21/2020 18:21:28.041</v>
      </c>
      <c r="B883" t="str">
        <f>"18:21:35.992"</f>
        <v>18:21:35.992</v>
      </c>
      <c r="C883" t="str">
        <f>"18:21:35.692"</f>
        <v>18:21:35.692</v>
      </c>
      <c r="D883" t="s">
        <v>359</v>
      </c>
      <c r="E883">
        <v>30.544288000000002</v>
      </c>
      <c r="F883" t="s">
        <v>360</v>
      </c>
      <c r="G883">
        <v>-89.802847</v>
      </c>
      <c r="H883">
        <v>1600</v>
      </c>
      <c r="I883">
        <v>-115</v>
      </c>
      <c r="J883">
        <v>109</v>
      </c>
      <c r="K883">
        <v>128</v>
      </c>
      <c r="L883">
        <v>1200</v>
      </c>
      <c r="M883" t="str">
        <f t="shared" si="41"/>
        <v xml:space="preserve">N35DC   </v>
      </c>
      <c r="N883">
        <v>1</v>
      </c>
      <c r="O883">
        <v>1700</v>
      </c>
    </row>
    <row r="884" spans="1:15" x14ac:dyDescent="0.25">
      <c r="A884" t="str">
        <f>"10/21/2020 18:21:28.041"</f>
        <v>10/21/2020 18:21:28.041</v>
      </c>
      <c r="B884" t="str">
        <f>"18:21:35.992"</f>
        <v>18:21:35.992</v>
      </c>
      <c r="C884" t="str">
        <f>"18:21:35.692"</f>
        <v>18:21:35.692</v>
      </c>
      <c r="D884" t="s">
        <v>359</v>
      </c>
      <c r="E884">
        <v>30.544288000000002</v>
      </c>
      <c r="F884" t="s">
        <v>360</v>
      </c>
      <c r="G884">
        <v>-89.802847</v>
      </c>
      <c r="H884">
        <v>1600</v>
      </c>
      <c r="I884">
        <v>-115</v>
      </c>
      <c r="J884">
        <v>109</v>
      </c>
      <c r="K884">
        <v>128</v>
      </c>
      <c r="L884">
        <v>1200</v>
      </c>
      <c r="M884" t="str">
        <f t="shared" si="41"/>
        <v xml:space="preserve">N35DC   </v>
      </c>
      <c r="N884">
        <v>1</v>
      </c>
      <c r="O884">
        <v>1700</v>
      </c>
    </row>
    <row r="885" spans="1:15" x14ac:dyDescent="0.25">
      <c r="A885" t="str">
        <f>"10/21/2020 18:21:28.041"</f>
        <v>10/21/2020 18:21:28.041</v>
      </c>
      <c r="B885" t="str">
        <f>"18:21:35.992"</f>
        <v>18:21:35.992</v>
      </c>
      <c r="C885" t="str">
        <f>"18:21:35.692"</f>
        <v>18:21:35.692</v>
      </c>
      <c r="D885" t="s">
        <v>359</v>
      </c>
      <c r="E885">
        <v>30.544288000000002</v>
      </c>
      <c r="F885" t="s">
        <v>360</v>
      </c>
      <c r="G885">
        <v>-89.802847</v>
      </c>
      <c r="H885">
        <v>1600</v>
      </c>
      <c r="I885">
        <v>-115</v>
      </c>
      <c r="J885">
        <v>109</v>
      </c>
      <c r="K885">
        <v>128</v>
      </c>
      <c r="L885">
        <v>1200</v>
      </c>
      <c r="M885" t="str">
        <f t="shared" si="41"/>
        <v xml:space="preserve">N35DC   </v>
      </c>
      <c r="N885">
        <v>1</v>
      </c>
      <c r="O885">
        <v>1700</v>
      </c>
    </row>
    <row r="886" spans="1:15" x14ac:dyDescent="0.25">
      <c r="A886" t="str">
        <f>"10/21/2020 18:21:28.041"</f>
        <v>10/21/2020 18:21:28.041</v>
      </c>
      <c r="B886" t="str">
        <f>"18:21:35.992"</f>
        <v>18:21:35.992</v>
      </c>
      <c r="C886" t="str">
        <f>"18:21:35.692"</f>
        <v>18:21:35.692</v>
      </c>
      <c r="D886" t="s">
        <v>359</v>
      </c>
      <c r="E886">
        <v>30.544288000000002</v>
      </c>
      <c r="F886" t="s">
        <v>360</v>
      </c>
      <c r="G886">
        <v>-89.802847</v>
      </c>
      <c r="H886">
        <v>1600</v>
      </c>
      <c r="I886">
        <v>-115</v>
      </c>
      <c r="J886">
        <v>109</v>
      </c>
      <c r="K886">
        <v>128</v>
      </c>
      <c r="L886">
        <v>1200</v>
      </c>
      <c r="M886" t="str">
        <f t="shared" si="41"/>
        <v xml:space="preserve">N35DC   </v>
      </c>
      <c r="N886">
        <v>1</v>
      </c>
      <c r="O886">
        <v>1700</v>
      </c>
    </row>
    <row r="887" spans="1:15" x14ac:dyDescent="0.25">
      <c r="A887" t="str">
        <f>"10/21/2020 18:21:29.123"</f>
        <v>10/21/2020 18:21:29.123</v>
      </c>
      <c r="B887" t="str">
        <f>"18:21:37.070"</f>
        <v>18:21:37.070</v>
      </c>
      <c r="C887" t="str">
        <f>"18:21:36.770"</f>
        <v>18:21:36.770</v>
      </c>
      <c r="D887" t="s">
        <v>361</v>
      </c>
      <c r="E887">
        <v>30.544824999999999</v>
      </c>
      <c r="F887" t="s">
        <v>362</v>
      </c>
      <c r="G887">
        <v>-89.803511999999998</v>
      </c>
      <c r="H887">
        <v>1600</v>
      </c>
      <c r="I887">
        <v>-115</v>
      </c>
      <c r="J887">
        <v>110</v>
      </c>
      <c r="K887">
        <v>64</v>
      </c>
      <c r="L887">
        <v>1200</v>
      </c>
      <c r="M887" t="str">
        <f t="shared" si="41"/>
        <v xml:space="preserve">N35DC   </v>
      </c>
      <c r="N887">
        <v>1</v>
      </c>
      <c r="O887">
        <v>1700</v>
      </c>
    </row>
    <row r="888" spans="1:15" x14ac:dyDescent="0.25">
      <c r="A888" t="str">
        <f>"10/21/2020 18:21:29.123"</f>
        <v>10/21/2020 18:21:29.123</v>
      </c>
      <c r="B888" t="str">
        <f>"18:21:37.070"</f>
        <v>18:21:37.070</v>
      </c>
      <c r="C888" t="str">
        <f>"18:21:36.770"</f>
        <v>18:21:36.770</v>
      </c>
      <c r="D888" t="s">
        <v>361</v>
      </c>
      <c r="E888">
        <v>30.544824999999999</v>
      </c>
      <c r="F888" t="s">
        <v>362</v>
      </c>
      <c r="G888">
        <v>-89.803511999999998</v>
      </c>
      <c r="H888">
        <v>1600</v>
      </c>
      <c r="I888">
        <v>-115</v>
      </c>
      <c r="J888">
        <v>110</v>
      </c>
      <c r="K888">
        <v>64</v>
      </c>
      <c r="L888">
        <v>1200</v>
      </c>
      <c r="M888" t="str">
        <f t="shared" si="41"/>
        <v xml:space="preserve">N35DC   </v>
      </c>
      <c r="N888">
        <v>1</v>
      </c>
      <c r="O888">
        <v>1700</v>
      </c>
    </row>
    <row r="889" spans="1:15" x14ac:dyDescent="0.25">
      <c r="A889" t="str">
        <f>"10/21/2020 18:21:29.123"</f>
        <v>10/21/2020 18:21:29.123</v>
      </c>
      <c r="B889" t="str">
        <f>"18:21:37.070"</f>
        <v>18:21:37.070</v>
      </c>
      <c r="C889" t="str">
        <f>"18:21:36.770"</f>
        <v>18:21:36.770</v>
      </c>
      <c r="D889" t="s">
        <v>361</v>
      </c>
      <c r="E889">
        <v>30.544824999999999</v>
      </c>
      <c r="F889" t="s">
        <v>362</v>
      </c>
      <c r="G889">
        <v>-89.803511999999998</v>
      </c>
      <c r="H889">
        <v>1600</v>
      </c>
      <c r="I889">
        <v>-115</v>
      </c>
      <c r="J889">
        <v>110</v>
      </c>
      <c r="K889">
        <v>64</v>
      </c>
      <c r="L889">
        <v>1200</v>
      </c>
      <c r="M889" t="str">
        <f t="shared" si="41"/>
        <v xml:space="preserve">N35DC   </v>
      </c>
      <c r="N889">
        <v>1</v>
      </c>
      <c r="O889">
        <v>1700</v>
      </c>
    </row>
    <row r="890" spans="1:15" x14ac:dyDescent="0.25">
      <c r="A890" t="str">
        <f>"10/21/2020 18:21:29.123"</f>
        <v>10/21/2020 18:21:29.123</v>
      </c>
      <c r="B890" t="str">
        <f>"18:21:37.070"</f>
        <v>18:21:37.070</v>
      </c>
      <c r="C890" t="str">
        <f>"18:21:36.770"</f>
        <v>18:21:36.770</v>
      </c>
      <c r="D890" t="s">
        <v>361</v>
      </c>
      <c r="E890">
        <v>30.544824999999999</v>
      </c>
      <c r="F890" t="s">
        <v>362</v>
      </c>
      <c r="G890">
        <v>-89.803511999999998</v>
      </c>
      <c r="H890">
        <v>1600</v>
      </c>
      <c r="I890">
        <v>-115</v>
      </c>
      <c r="J890">
        <v>110</v>
      </c>
      <c r="K890">
        <v>64</v>
      </c>
      <c r="L890">
        <v>1200</v>
      </c>
      <c r="M890" t="str">
        <f t="shared" si="41"/>
        <v xml:space="preserve">N35DC   </v>
      </c>
      <c r="N890">
        <v>1</v>
      </c>
      <c r="O890">
        <v>1700</v>
      </c>
    </row>
    <row r="891" spans="1:15" x14ac:dyDescent="0.25">
      <c r="A891" t="str">
        <f>"10/21/2020 18:21:29.123"</f>
        <v>10/21/2020 18:21:29.123</v>
      </c>
      <c r="B891" t="str">
        <f>"18:21:37.070"</f>
        <v>18:21:37.070</v>
      </c>
      <c r="C891" t="str">
        <f>"18:21:36.770"</f>
        <v>18:21:36.770</v>
      </c>
      <c r="D891" t="s">
        <v>361</v>
      </c>
      <c r="E891">
        <v>30.544824999999999</v>
      </c>
      <c r="F891" t="s">
        <v>362</v>
      </c>
      <c r="G891">
        <v>-89.803511999999998</v>
      </c>
      <c r="H891">
        <v>1600</v>
      </c>
      <c r="I891">
        <v>-115</v>
      </c>
      <c r="J891">
        <v>110</v>
      </c>
      <c r="K891">
        <v>64</v>
      </c>
      <c r="L891">
        <v>1200</v>
      </c>
      <c r="M891" t="str">
        <f t="shared" si="41"/>
        <v xml:space="preserve">N35DC   </v>
      </c>
      <c r="N891">
        <v>1</v>
      </c>
      <c r="O891">
        <v>1700</v>
      </c>
    </row>
    <row r="892" spans="1:15" x14ac:dyDescent="0.25">
      <c r="A892" t="str">
        <f>"10/21/2020 18:21:31.165"</f>
        <v>10/21/2020 18:21:31.165</v>
      </c>
      <c r="B892" t="str">
        <f t="shared" ref="B892:C896" si="43">"18:21:39.109"</f>
        <v>18:21:39.109</v>
      </c>
      <c r="C892" t="str">
        <f t="shared" si="43"/>
        <v>18:21:39.109</v>
      </c>
      <c r="D892" t="s">
        <v>363</v>
      </c>
      <c r="E892">
        <v>30.545897</v>
      </c>
      <c r="F892" t="s">
        <v>364</v>
      </c>
      <c r="G892">
        <v>-89.804777999999999</v>
      </c>
      <c r="H892">
        <v>1600</v>
      </c>
      <c r="I892">
        <v>-115</v>
      </c>
      <c r="J892">
        <v>110</v>
      </c>
      <c r="K892">
        <v>0</v>
      </c>
      <c r="L892">
        <v>1200</v>
      </c>
      <c r="M892" t="str">
        <f t="shared" si="41"/>
        <v xml:space="preserve">N35DC   </v>
      </c>
      <c r="N892">
        <v>1</v>
      </c>
      <c r="O892">
        <v>1700</v>
      </c>
    </row>
    <row r="893" spans="1:15" x14ac:dyDescent="0.25">
      <c r="A893" t="str">
        <f>"10/21/2020 18:21:31.165"</f>
        <v>10/21/2020 18:21:31.165</v>
      </c>
      <c r="B893" t="str">
        <f t="shared" si="43"/>
        <v>18:21:39.109</v>
      </c>
      <c r="C893" t="str">
        <f t="shared" si="43"/>
        <v>18:21:39.109</v>
      </c>
      <c r="D893" t="s">
        <v>363</v>
      </c>
      <c r="E893">
        <v>30.545897</v>
      </c>
      <c r="F893" t="s">
        <v>364</v>
      </c>
      <c r="G893">
        <v>-89.804777999999999</v>
      </c>
      <c r="H893">
        <v>1600</v>
      </c>
      <c r="I893">
        <v>-115</v>
      </c>
      <c r="J893">
        <v>110</v>
      </c>
      <c r="K893">
        <v>0</v>
      </c>
      <c r="L893">
        <v>1200</v>
      </c>
      <c r="M893" t="str">
        <f t="shared" si="41"/>
        <v xml:space="preserve">N35DC   </v>
      </c>
      <c r="N893">
        <v>1</v>
      </c>
      <c r="O893">
        <v>1700</v>
      </c>
    </row>
    <row r="894" spans="1:15" x14ac:dyDescent="0.25">
      <c r="A894" t="str">
        <f>"10/21/2020 18:21:31.165"</f>
        <v>10/21/2020 18:21:31.165</v>
      </c>
      <c r="B894" t="str">
        <f t="shared" si="43"/>
        <v>18:21:39.109</v>
      </c>
      <c r="C894" t="str">
        <f t="shared" si="43"/>
        <v>18:21:39.109</v>
      </c>
      <c r="D894" t="s">
        <v>363</v>
      </c>
      <c r="E894">
        <v>30.545897</v>
      </c>
      <c r="F894" t="s">
        <v>364</v>
      </c>
      <c r="G894">
        <v>-89.804777999999999</v>
      </c>
      <c r="H894">
        <v>1600</v>
      </c>
      <c r="I894">
        <v>-115</v>
      </c>
      <c r="J894">
        <v>110</v>
      </c>
      <c r="K894">
        <v>0</v>
      </c>
      <c r="L894">
        <v>1200</v>
      </c>
      <c r="M894" t="str">
        <f t="shared" si="41"/>
        <v xml:space="preserve">N35DC   </v>
      </c>
      <c r="N894">
        <v>1</v>
      </c>
      <c r="O894">
        <v>1700</v>
      </c>
    </row>
    <row r="895" spans="1:15" x14ac:dyDescent="0.25">
      <c r="A895" t="str">
        <f>"10/21/2020 18:21:31.165"</f>
        <v>10/21/2020 18:21:31.165</v>
      </c>
      <c r="B895" t="str">
        <f t="shared" si="43"/>
        <v>18:21:39.109</v>
      </c>
      <c r="C895" t="str">
        <f t="shared" si="43"/>
        <v>18:21:39.109</v>
      </c>
      <c r="D895" t="s">
        <v>363</v>
      </c>
      <c r="E895">
        <v>30.545897</v>
      </c>
      <c r="F895" t="s">
        <v>364</v>
      </c>
      <c r="G895">
        <v>-89.804777999999999</v>
      </c>
      <c r="H895">
        <v>1600</v>
      </c>
      <c r="I895">
        <v>-115</v>
      </c>
      <c r="J895">
        <v>110</v>
      </c>
      <c r="K895">
        <v>0</v>
      </c>
      <c r="L895">
        <v>1200</v>
      </c>
      <c r="M895" t="str">
        <f t="shared" si="41"/>
        <v xml:space="preserve">N35DC   </v>
      </c>
      <c r="N895">
        <v>1</v>
      </c>
      <c r="O895">
        <v>1700</v>
      </c>
    </row>
    <row r="896" spans="1:15" x14ac:dyDescent="0.25">
      <c r="A896" t="str">
        <f>"10/21/2020 18:21:31.165"</f>
        <v>10/21/2020 18:21:31.165</v>
      </c>
      <c r="B896" t="str">
        <f t="shared" si="43"/>
        <v>18:21:39.109</v>
      </c>
      <c r="C896" t="str">
        <f t="shared" si="43"/>
        <v>18:21:39.109</v>
      </c>
      <c r="D896" t="s">
        <v>363</v>
      </c>
      <c r="E896">
        <v>30.545897</v>
      </c>
      <c r="F896" t="s">
        <v>364</v>
      </c>
      <c r="G896">
        <v>-89.804777999999999</v>
      </c>
      <c r="H896">
        <v>1600</v>
      </c>
      <c r="I896">
        <v>-115</v>
      </c>
      <c r="J896">
        <v>110</v>
      </c>
      <c r="K896">
        <v>0</v>
      </c>
      <c r="L896">
        <v>1200</v>
      </c>
      <c r="M896" t="str">
        <f t="shared" si="41"/>
        <v xml:space="preserve">N35DC   </v>
      </c>
      <c r="N896">
        <v>1</v>
      </c>
      <c r="O896">
        <v>1700</v>
      </c>
    </row>
    <row r="897" spans="1:15" x14ac:dyDescent="0.25">
      <c r="A897" t="str">
        <f>"10/21/2020 18:21:32.310"</f>
        <v>10/21/2020 18:21:32.310</v>
      </c>
      <c r="B897" t="str">
        <f t="shared" ref="B897:C901" si="44">"18:21:40.250"</f>
        <v>18:21:40.250</v>
      </c>
      <c r="C897" t="str">
        <f t="shared" si="44"/>
        <v>18:21:40.250</v>
      </c>
      <c r="D897" t="s">
        <v>365</v>
      </c>
      <c r="E897">
        <v>30.546455000000002</v>
      </c>
      <c r="F897" t="s">
        <v>366</v>
      </c>
      <c r="G897">
        <v>-89.805486000000002</v>
      </c>
      <c r="H897">
        <v>1600</v>
      </c>
      <c r="I897">
        <v>-115</v>
      </c>
      <c r="J897">
        <v>110</v>
      </c>
      <c r="K897">
        <v>64</v>
      </c>
      <c r="L897">
        <v>1200</v>
      </c>
      <c r="M897" t="str">
        <f t="shared" si="41"/>
        <v xml:space="preserve">N35DC   </v>
      </c>
      <c r="N897">
        <v>1</v>
      </c>
      <c r="O897">
        <v>1700</v>
      </c>
    </row>
    <row r="898" spans="1:15" x14ac:dyDescent="0.25">
      <c r="A898" t="str">
        <f>"10/21/2020 18:21:32.310"</f>
        <v>10/21/2020 18:21:32.310</v>
      </c>
      <c r="B898" t="str">
        <f t="shared" si="44"/>
        <v>18:21:40.250</v>
      </c>
      <c r="C898" t="str">
        <f t="shared" si="44"/>
        <v>18:21:40.250</v>
      </c>
      <c r="D898" t="s">
        <v>365</v>
      </c>
      <c r="E898">
        <v>30.546455000000002</v>
      </c>
      <c r="F898" t="s">
        <v>366</v>
      </c>
      <c r="G898">
        <v>-89.805486000000002</v>
      </c>
      <c r="H898">
        <v>1600</v>
      </c>
      <c r="I898">
        <v>-115</v>
      </c>
      <c r="J898">
        <v>110</v>
      </c>
      <c r="K898">
        <v>64</v>
      </c>
      <c r="L898">
        <v>1200</v>
      </c>
      <c r="M898" t="str">
        <f t="shared" si="41"/>
        <v xml:space="preserve">N35DC   </v>
      </c>
      <c r="N898">
        <v>1</v>
      </c>
      <c r="O898">
        <v>1700</v>
      </c>
    </row>
    <row r="899" spans="1:15" x14ac:dyDescent="0.25">
      <c r="A899" t="str">
        <f>"10/21/2020 18:21:32.310"</f>
        <v>10/21/2020 18:21:32.310</v>
      </c>
      <c r="B899" t="str">
        <f t="shared" si="44"/>
        <v>18:21:40.250</v>
      </c>
      <c r="C899" t="str">
        <f t="shared" si="44"/>
        <v>18:21:40.250</v>
      </c>
      <c r="D899" t="s">
        <v>365</v>
      </c>
      <c r="E899">
        <v>30.546455000000002</v>
      </c>
      <c r="F899" t="s">
        <v>366</v>
      </c>
      <c r="G899">
        <v>-89.805486000000002</v>
      </c>
      <c r="H899">
        <v>1600</v>
      </c>
      <c r="I899">
        <v>-115</v>
      </c>
      <c r="J899">
        <v>110</v>
      </c>
      <c r="K899">
        <v>64</v>
      </c>
      <c r="L899">
        <v>1200</v>
      </c>
      <c r="M899" t="str">
        <f t="shared" si="41"/>
        <v xml:space="preserve">N35DC   </v>
      </c>
      <c r="N899">
        <v>1</v>
      </c>
      <c r="O899">
        <v>1700</v>
      </c>
    </row>
    <row r="900" spans="1:15" x14ac:dyDescent="0.25">
      <c r="A900" t="str">
        <f>"10/21/2020 18:21:32.310"</f>
        <v>10/21/2020 18:21:32.310</v>
      </c>
      <c r="B900" t="str">
        <f t="shared" si="44"/>
        <v>18:21:40.250</v>
      </c>
      <c r="C900" t="str">
        <f t="shared" si="44"/>
        <v>18:21:40.250</v>
      </c>
      <c r="D900" t="s">
        <v>365</v>
      </c>
      <c r="E900">
        <v>30.546455000000002</v>
      </c>
      <c r="F900" t="s">
        <v>366</v>
      </c>
      <c r="G900">
        <v>-89.805486000000002</v>
      </c>
      <c r="H900">
        <v>1600</v>
      </c>
      <c r="I900">
        <v>-115</v>
      </c>
      <c r="J900">
        <v>110</v>
      </c>
      <c r="K900">
        <v>64</v>
      </c>
      <c r="L900">
        <v>1200</v>
      </c>
      <c r="M900" t="str">
        <f t="shared" si="41"/>
        <v xml:space="preserve">N35DC   </v>
      </c>
      <c r="N900">
        <v>1</v>
      </c>
      <c r="O900">
        <v>1700</v>
      </c>
    </row>
    <row r="901" spans="1:15" x14ac:dyDescent="0.25">
      <c r="A901" t="str">
        <f>"10/21/2020 18:21:32.310"</f>
        <v>10/21/2020 18:21:32.310</v>
      </c>
      <c r="B901" t="str">
        <f t="shared" si="44"/>
        <v>18:21:40.250</v>
      </c>
      <c r="C901" t="str">
        <f t="shared" si="44"/>
        <v>18:21:40.250</v>
      </c>
      <c r="D901" t="s">
        <v>365</v>
      </c>
      <c r="E901">
        <v>30.546455000000002</v>
      </c>
      <c r="F901" t="s">
        <v>366</v>
      </c>
      <c r="G901">
        <v>-89.805486000000002</v>
      </c>
      <c r="H901">
        <v>1600</v>
      </c>
      <c r="I901">
        <v>-115</v>
      </c>
      <c r="J901">
        <v>110</v>
      </c>
      <c r="K901">
        <v>64</v>
      </c>
      <c r="L901">
        <v>1200</v>
      </c>
      <c r="M901" t="str">
        <f t="shared" si="41"/>
        <v xml:space="preserve">N35DC   </v>
      </c>
      <c r="N901">
        <v>1</v>
      </c>
      <c r="O901">
        <v>1700</v>
      </c>
    </row>
    <row r="902" spans="1:15" x14ac:dyDescent="0.25">
      <c r="A902" t="str">
        <f>"10/21/2020 18:21:34.198"</f>
        <v>10/21/2020 18:21:34.198</v>
      </c>
      <c r="B902" t="str">
        <f>"18:21:42.141"</f>
        <v>18:21:42.141</v>
      </c>
      <c r="C902" t="str">
        <f>"18:21:41.741"</f>
        <v>18:21:41.741</v>
      </c>
      <c r="D902" t="s">
        <v>367</v>
      </c>
      <c r="E902">
        <v>30.547442</v>
      </c>
      <c r="F902" t="s">
        <v>368</v>
      </c>
      <c r="G902">
        <v>-89.806666000000007</v>
      </c>
      <c r="H902">
        <v>1600</v>
      </c>
      <c r="I902">
        <v>-114</v>
      </c>
      <c r="J902">
        <v>111</v>
      </c>
      <c r="K902">
        <v>0</v>
      </c>
      <c r="L902">
        <v>1200</v>
      </c>
      <c r="M902" t="str">
        <f t="shared" si="41"/>
        <v xml:space="preserve">N35DC   </v>
      </c>
      <c r="N902">
        <v>1</v>
      </c>
      <c r="O902">
        <v>1700</v>
      </c>
    </row>
    <row r="903" spans="1:15" x14ac:dyDescent="0.25">
      <c r="A903" t="str">
        <f>"10/21/2020 18:21:34.198"</f>
        <v>10/21/2020 18:21:34.198</v>
      </c>
      <c r="B903" t="str">
        <f>"18:21:42.141"</f>
        <v>18:21:42.141</v>
      </c>
      <c r="C903" t="str">
        <f>"18:21:41.741"</f>
        <v>18:21:41.741</v>
      </c>
      <c r="D903" t="s">
        <v>367</v>
      </c>
      <c r="E903">
        <v>30.547442</v>
      </c>
      <c r="F903" t="s">
        <v>368</v>
      </c>
      <c r="G903">
        <v>-89.806666000000007</v>
      </c>
      <c r="H903">
        <v>1600</v>
      </c>
      <c r="I903">
        <v>-114</v>
      </c>
      <c r="J903">
        <v>111</v>
      </c>
      <c r="K903">
        <v>0</v>
      </c>
      <c r="L903">
        <v>1200</v>
      </c>
      <c r="M903" t="str">
        <f t="shared" ref="M903:M966" si="45">"N35DC   "</f>
        <v xml:space="preserve">N35DC   </v>
      </c>
      <c r="N903">
        <v>1</v>
      </c>
      <c r="O903">
        <v>1700</v>
      </c>
    </row>
    <row r="904" spans="1:15" x14ac:dyDescent="0.25">
      <c r="A904" t="str">
        <f>"10/21/2020 18:21:34.198"</f>
        <v>10/21/2020 18:21:34.198</v>
      </c>
      <c r="B904" t="str">
        <f>"18:21:42.141"</f>
        <v>18:21:42.141</v>
      </c>
      <c r="C904" t="str">
        <f>"18:21:41.841"</f>
        <v>18:21:41.841</v>
      </c>
      <c r="D904" t="s">
        <v>367</v>
      </c>
      <c r="E904">
        <v>30.547442</v>
      </c>
      <c r="F904" t="s">
        <v>368</v>
      </c>
      <c r="G904">
        <v>-89.806666000000007</v>
      </c>
      <c r="H904">
        <v>1600</v>
      </c>
      <c r="I904">
        <v>-114</v>
      </c>
      <c r="J904">
        <v>111</v>
      </c>
      <c r="K904">
        <v>0</v>
      </c>
      <c r="L904">
        <v>1200</v>
      </c>
      <c r="M904" t="str">
        <f t="shared" si="45"/>
        <v xml:space="preserve">N35DC   </v>
      </c>
      <c r="N904">
        <v>1</v>
      </c>
      <c r="O904">
        <v>1700</v>
      </c>
    </row>
    <row r="905" spans="1:15" x14ac:dyDescent="0.25">
      <c r="A905" t="str">
        <f>"10/21/2020 18:21:34.198"</f>
        <v>10/21/2020 18:21:34.198</v>
      </c>
      <c r="B905" t="str">
        <f>"18:21:42.141"</f>
        <v>18:21:42.141</v>
      </c>
      <c r="C905" t="str">
        <f>"18:21:41.741"</f>
        <v>18:21:41.741</v>
      </c>
      <c r="D905" t="s">
        <v>367</v>
      </c>
      <c r="E905">
        <v>30.547442</v>
      </c>
      <c r="F905" t="s">
        <v>368</v>
      </c>
      <c r="G905">
        <v>-89.806666000000007</v>
      </c>
      <c r="H905">
        <v>1600</v>
      </c>
      <c r="I905">
        <v>-114</v>
      </c>
      <c r="J905">
        <v>111</v>
      </c>
      <c r="K905">
        <v>0</v>
      </c>
      <c r="L905">
        <v>1200</v>
      </c>
      <c r="M905" t="str">
        <f t="shared" si="45"/>
        <v xml:space="preserve">N35DC   </v>
      </c>
      <c r="N905">
        <v>1</v>
      </c>
      <c r="O905">
        <v>1700</v>
      </c>
    </row>
    <row r="906" spans="1:15" x14ac:dyDescent="0.25">
      <c r="A906" t="str">
        <f>"10/21/2020 18:21:34.198"</f>
        <v>10/21/2020 18:21:34.198</v>
      </c>
      <c r="B906" t="str">
        <f>"18:21:42.141"</f>
        <v>18:21:42.141</v>
      </c>
      <c r="C906" t="str">
        <f>"18:21:41.841"</f>
        <v>18:21:41.841</v>
      </c>
      <c r="D906" t="s">
        <v>367</v>
      </c>
      <c r="E906">
        <v>30.547442</v>
      </c>
      <c r="F906" t="s">
        <v>368</v>
      </c>
      <c r="G906">
        <v>-89.806666000000007</v>
      </c>
      <c r="H906">
        <v>1600</v>
      </c>
      <c r="I906">
        <v>-114</v>
      </c>
      <c r="J906">
        <v>111</v>
      </c>
      <c r="K906">
        <v>0</v>
      </c>
      <c r="L906">
        <v>1200</v>
      </c>
      <c r="M906" t="str">
        <f t="shared" si="45"/>
        <v xml:space="preserve">N35DC   </v>
      </c>
      <c r="N906">
        <v>1</v>
      </c>
      <c r="O906">
        <v>1700</v>
      </c>
    </row>
    <row r="907" spans="1:15" x14ac:dyDescent="0.25">
      <c r="A907" t="str">
        <f>"10/21/2020 18:21:35.115"</f>
        <v>10/21/2020 18:21:35.115</v>
      </c>
      <c r="B907" t="str">
        <f>"18:21:43.039"</f>
        <v>18:21:43.039</v>
      </c>
      <c r="C907" t="str">
        <f>"18:21:42.739"</f>
        <v>18:21:42.739</v>
      </c>
      <c r="D907" t="s">
        <v>369</v>
      </c>
      <c r="E907">
        <v>30.547915</v>
      </c>
      <c r="F907" t="s">
        <v>370</v>
      </c>
      <c r="G907">
        <v>-89.807181</v>
      </c>
      <c r="H907">
        <v>1600</v>
      </c>
      <c r="I907">
        <v>-114</v>
      </c>
      <c r="J907">
        <v>111</v>
      </c>
      <c r="K907">
        <v>0</v>
      </c>
      <c r="L907">
        <v>1200</v>
      </c>
      <c r="M907" t="str">
        <f t="shared" si="45"/>
        <v xml:space="preserve">N35DC   </v>
      </c>
      <c r="N907">
        <v>1</v>
      </c>
      <c r="O907">
        <v>1700</v>
      </c>
    </row>
    <row r="908" spans="1:15" x14ac:dyDescent="0.25">
      <c r="A908" t="str">
        <f>"10/21/2020 18:21:35.115"</f>
        <v>10/21/2020 18:21:35.115</v>
      </c>
      <c r="B908" t="str">
        <f>"18:21:43.039"</f>
        <v>18:21:43.039</v>
      </c>
      <c r="C908" t="str">
        <f>"18:21:42.739"</f>
        <v>18:21:42.739</v>
      </c>
      <c r="D908" t="s">
        <v>369</v>
      </c>
      <c r="E908">
        <v>30.547915</v>
      </c>
      <c r="F908" t="s">
        <v>370</v>
      </c>
      <c r="G908">
        <v>-89.807181</v>
      </c>
      <c r="H908">
        <v>1600</v>
      </c>
      <c r="I908">
        <v>-114</v>
      </c>
      <c r="J908">
        <v>111</v>
      </c>
      <c r="K908">
        <v>0</v>
      </c>
      <c r="L908">
        <v>1200</v>
      </c>
      <c r="M908" t="str">
        <f t="shared" si="45"/>
        <v xml:space="preserve">N35DC   </v>
      </c>
      <c r="N908">
        <v>1</v>
      </c>
      <c r="O908">
        <v>1700</v>
      </c>
    </row>
    <row r="909" spans="1:15" x14ac:dyDescent="0.25">
      <c r="A909" t="str">
        <f>"10/21/2020 18:21:35.115"</f>
        <v>10/21/2020 18:21:35.115</v>
      </c>
      <c r="B909" t="str">
        <f>"18:21:43.039"</f>
        <v>18:21:43.039</v>
      </c>
      <c r="C909" t="str">
        <f>"18:21:42.739"</f>
        <v>18:21:42.739</v>
      </c>
      <c r="D909" t="s">
        <v>369</v>
      </c>
      <c r="E909">
        <v>30.547915</v>
      </c>
      <c r="F909" t="s">
        <v>370</v>
      </c>
      <c r="G909">
        <v>-89.807181</v>
      </c>
      <c r="H909">
        <v>1600</v>
      </c>
      <c r="I909">
        <v>-114</v>
      </c>
      <c r="J909">
        <v>111</v>
      </c>
      <c r="K909">
        <v>0</v>
      </c>
      <c r="L909">
        <v>1200</v>
      </c>
      <c r="M909" t="str">
        <f t="shared" si="45"/>
        <v xml:space="preserve">N35DC   </v>
      </c>
      <c r="N909">
        <v>1</v>
      </c>
      <c r="O909">
        <v>1700</v>
      </c>
    </row>
    <row r="910" spans="1:15" x14ac:dyDescent="0.25">
      <c r="A910" t="str">
        <f>"10/21/2020 18:21:35.115"</f>
        <v>10/21/2020 18:21:35.115</v>
      </c>
      <c r="B910" t="str">
        <f>"18:21:43.039"</f>
        <v>18:21:43.039</v>
      </c>
      <c r="C910" t="str">
        <f>"18:21:42.739"</f>
        <v>18:21:42.739</v>
      </c>
      <c r="D910" t="s">
        <v>369</v>
      </c>
      <c r="E910">
        <v>30.547915</v>
      </c>
      <c r="F910" t="s">
        <v>370</v>
      </c>
      <c r="G910">
        <v>-89.807181</v>
      </c>
      <c r="H910">
        <v>1600</v>
      </c>
      <c r="I910">
        <v>-114</v>
      </c>
      <c r="J910">
        <v>111</v>
      </c>
      <c r="K910">
        <v>0</v>
      </c>
      <c r="L910">
        <v>1200</v>
      </c>
      <c r="M910" t="str">
        <f t="shared" si="45"/>
        <v xml:space="preserve">N35DC   </v>
      </c>
      <c r="N910">
        <v>1</v>
      </c>
      <c r="O910">
        <v>1700</v>
      </c>
    </row>
    <row r="911" spans="1:15" x14ac:dyDescent="0.25">
      <c r="A911" t="str">
        <f>"10/21/2020 18:21:35.115"</f>
        <v>10/21/2020 18:21:35.115</v>
      </c>
      <c r="B911" t="str">
        <f>"18:21:43.039"</f>
        <v>18:21:43.039</v>
      </c>
      <c r="C911" t="str">
        <f>"18:21:42.739"</f>
        <v>18:21:42.739</v>
      </c>
      <c r="D911" t="s">
        <v>369</v>
      </c>
      <c r="E911">
        <v>30.547915</v>
      </c>
      <c r="F911" t="s">
        <v>370</v>
      </c>
      <c r="G911">
        <v>-89.807181</v>
      </c>
      <c r="H911">
        <v>1600</v>
      </c>
      <c r="I911">
        <v>-114</v>
      </c>
      <c r="J911">
        <v>111</v>
      </c>
      <c r="K911">
        <v>0</v>
      </c>
      <c r="L911">
        <v>1200</v>
      </c>
      <c r="M911" t="str">
        <f t="shared" si="45"/>
        <v xml:space="preserve">N35DC   </v>
      </c>
      <c r="N911">
        <v>1</v>
      </c>
      <c r="O911">
        <v>1700</v>
      </c>
    </row>
    <row r="912" spans="1:15" x14ac:dyDescent="0.25">
      <c r="A912" t="str">
        <f>"10/21/2020 18:21:38.243"</f>
        <v>10/21/2020 18:21:38.243</v>
      </c>
      <c r="B912" t="str">
        <f>"18:21:46.187"</f>
        <v>18:21:46.187</v>
      </c>
      <c r="C912" t="str">
        <f>"18:21:45.887"</f>
        <v>18:21:45.887</v>
      </c>
      <c r="D912" t="s">
        <v>371</v>
      </c>
      <c r="E912">
        <v>30.549524000000002</v>
      </c>
      <c r="F912" t="s">
        <v>372</v>
      </c>
      <c r="G912">
        <v>-89.809112999999996</v>
      </c>
      <c r="H912">
        <v>1600</v>
      </c>
      <c r="I912">
        <v>-113</v>
      </c>
      <c r="J912">
        <v>112</v>
      </c>
      <c r="K912">
        <v>-128</v>
      </c>
      <c r="L912">
        <v>1200</v>
      </c>
      <c r="M912" t="str">
        <f t="shared" si="45"/>
        <v xml:space="preserve">N35DC   </v>
      </c>
      <c r="N912">
        <v>1</v>
      </c>
      <c r="O912">
        <v>1700</v>
      </c>
    </row>
    <row r="913" spans="1:15" x14ac:dyDescent="0.25">
      <c r="A913" t="str">
        <f>"10/21/2020 18:21:38.243"</f>
        <v>10/21/2020 18:21:38.243</v>
      </c>
      <c r="B913" t="str">
        <f>"18:21:46.187"</f>
        <v>18:21:46.187</v>
      </c>
      <c r="C913" t="str">
        <f>"18:21:45.887"</f>
        <v>18:21:45.887</v>
      </c>
      <c r="D913" t="s">
        <v>371</v>
      </c>
      <c r="E913">
        <v>30.549524000000002</v>
      </c>
      <c r="F913" t="s">
        <v>372</v>
      </c>
      <c r="G913">
        <v>-89.809112999999996</v>
      </c>
      <c r="H913">
        <v>1600</v>
      </c>
      <c r="I913">
        <v>-113</v>
      </c>
      <c r="J913">
        <v>112</v>
      </c>
      <c r="K913">
        <v>-128</v>
      </c>
      <c r="L913">
        <v>1200</v>
      </c>
      <c r="M913" t="str">
        <f t="shared" si="45"/>
        <v xml:space="preserve">N35DC   </v>
      </c>
      <c r="N913">
        <v>1</v>
      </c>
      <c r="O913">
        <v>1700</v>
      </c>
    </row>
    <row r="914" spans="1:15" x14ac:dyDescent="0.25">
      <c r="A914" t="str">
        <f>"10/21/2020 18:21:38.243"</f>
        <v>10/21/2020 18:21:38.243</v>
      </c>
      <c r="B914" t="str">
        <f>"18:21:46.187"</f>
        <v>18:21:46.187</v>
      </c>
      <c r="C914" t="str">
        <f>"18:21:45.887"</f>
        <v>18:21:45.887</v>
      </c>
      <c r="D914" t="s">
        <v>371</v>
      </c>
      <c r="E914">
        <v>30.549524000000002</v>
      </c>
      <c r="F914" t="s">
        <v>372</v>
      </c>
      <c r="G914">
        <v>-89.809112999999996</v>
      </c>
      <c r="H914">
        <v>1600</v>
      </c>
      <c r="I914">
        <v>-113</v>
      </c>
      <c r="J914">
        <v>112</v>
      </c>
      <c r="K914">
        <v>-128</v>
      </c>
      <c r="L914">
        <v>1200</v>
      </c>
      <c r="M914" t="str">
        <f t="shared" si="45"/>
        <v xml:space="preserve">N35DC   </v>
      </c>
      <c r="N914">
        <v>1</v>
      </c>
      <c r="O914">
        <v>1700</v>
      </c>
    </row>
    <row r="915" spans="1:15" x14ac:dyDescent="0.25">
      <c r="A915" t="str">
        <f>"10/21/2020 18:21:38.243"</f>
        <v>10/21/2020 18:21:38.243</v>
      </c>
      <c r="B915" t="str">
        <f>"18:21:46.187"</f>
        <v>18:21:46.187</v>
      </c>
      <c r="C915" t="str">
        <f>"18:21:45.887"</f>
        <v>18:21:45.887</v>
      </c>
      <c r="D915" t="s">
        <v>371</v>
      </c>
      <c r="E915">
        <v>30.549524000000002</v>
      </c>
      <c r="F915" t="s">
        <v>372</v>
      </c>
      <c r="G915">
        <v>-89.809112999999996</v>
      </c>
      <c r="H915">
        <v>1600</v>
      </c>
      <c r="I915">
        <v>-113</v>
      </c>
      <c r="J915">
        <v>112</v>
      </c>
      <c r="K915">
        <v>-128</v>
      </c>
      <c r="L915">
        <v>1200</v>
      </c>
      <c r="M915" t="str">
        <f t="shared" si="45"/>
        <v xml:space="preserve">N35DC   </v>
      </c>
      <c r="N915">
        <v>1</v>
      </c>
      <c r="O915">
        <v>1700</v>
      </c>
    </row>
    <row r="916" spans="1:15" x14ac:dyDescent="0.25">
      <c r="A916" t="str">
        <f>"10/21/2020 18:21:38.243"</f>
        <v>10/21/2020 18:21:38.243</v>
      </c>
      <c r="B916" t="str">
        <f>"18:21:46.187"</f>
        <v>18:21:46.187</v>
      </c>
      <c r="C916" t="str">
        <f>"18:21:45.887"</f>
        <v>18:21:45.887</v>
      </c>
      <c r="D916" t="s">
        <v>371</v>
      </c>
      <c r="E916">
        <v>30.549524000000002</v>
      </c>
      <c r="F916" t="s">
        <v>372</v>
      </c>
      <c r="G916">
        <v>-89.809112999999996</v>
      </c>
      <c r="H916">
        <v>1600</v>
      </c>
      <c r="I916">
        <v>-113</v>
      </c>
      <c r="J916">
        <v>112</v>
      </c>
      <c r="K916">
        <v>-128</v>
      </c>
      <c r="L916">
        <v>1200</v>
      </c>
      <c r="M916" t="str">
        <f t="shared" si="45"/>
        <v xml:space="preserve">N35DC   </v>
      </c>
      <c r="N916">
        <v>1</v>
      </c>
      <c r="O916">
        <v>1700</v>
      </c>
    </row>
    <row r="917" spans="1:15" x14ac:dyDescent="0.25">
      <c r="A917" t="str">
        <f>"10/21/2020 18:21:41.235"</f>
        <v>10/21/2020 18:21:41.235</v>
      </c>
      <c r="B917" t="str">
        <f>"18:21:49.172"</f>
        <v>18:21:49.172</v>
      </c>
      <c r="C917" t="str">
        <f>"18:21:48.872"</f>
        <v>18:21:48.872</v>
      </c>
      <c r="D917" t="s">
        <v>373</v>
      </c>
      <c r="E917">
        <v>30.551112</v>
      </c>
      <c r="F917" t="s">
        <v>374</v>
      </c>
      <c r="G917">
        <v>-89.810914999999994</v>
      </c>
      <c r="H917">
        <v>1600</v>
      </c>
      <c r="I917">
        <v>-112</v>
      </c>
      <c r="J917">
        <v>112</v>
      </c>
      <c r="K917">
        <v>0</v>
      </c>
      <c r="L917">
        <v>1200</v>
      </c>
      <c r="M917" t="str">
        <f t="shared" si="45"/>
        <v xml:space="preserve">N35DC   </v>
      </c>
      <c r="N917">
        <v>1</v>
      </c>
      <c r="O917">
        <v>1700</v>
      </c>
    </row>
    <row r="918" spans="1:15" x14ac:dyDescent="0.25">
      <c r="A918" t="str">
        <f>"10/21/2020 18:21:41.235"</f>
        <v>10/21/2020 18:21:41.235</v>
      </c>
      <c r="B918" t="str">
        <f>"18:21:49.172"</f>
        <v>18:21:49.172</v>
      </c>
      <c r="C918" t="str">
        <f>"18:21:48.872"</f>
        <v>18:21:48.872</v>
      </c>
      <c r="D918" t="s">
        <v>373</v>
      </c>
      <c r="E918">
        <v>30.551112</v>
      </c>
      <c r="F918" t="s">
        <v>374</v>
      </c>
      <c r="G918">
        <v>-89.810914999999994</v>
      </c>
      <c r="H918">
        <v>1600</v>
      </c>
      <c r="I918">
        <v>-112</v>
      </c>
      <c r="J918">
        <v>112</v>
      </c>
      <c r="K918">
        <v>0</v>
      </c>
      <c r="L918">
        <v>1200</v>
      </c>
      <c r="M918" t="str">
        <f t="shared" si="45"/>
        <v xml:space="preserve">N35DC   </v>
      </c>
      <c r="N918">
        <v>1</v>
      </c>
      <c r="O918">
        <v>1700</v>
      </c>
    </row>
    <row r="919" spans="1:15" x14ac:dyDescent="0.25">
      <c r="A919" t="str">
        <f>"10/21/2020 18:21:41.235"</f>
        <v>10/21/2020 18:21:41.235</v>
      </c>
      <c r="B919" t="str">
        <f>"18:21:49.172"</f>
        <v>18:21:49.172</v>
      </c>
      <c r="C919" t="str">
        <f>"18:21:48.872"</f>
        <v>18:21:48.872</v>
      </c>
      <c r="D919" t="s">
        <v>373</v>
      </c>
      <c r="E919">
        <v>30.551112</v>
      </c>
      <c r="F919" t="s">
        <v>374</v>
      </c>
      <c r="G919">
        <v>-89.810914999999994</v>
      </c>
      <c r="H919">
        <v>1600</v>
      </c>
      <c r="I919">
        <v>-112</v>
      </c>
      <c r="J919">
        <v>112</v>
      </c>
      <c r="K919">
        <v>0</v>
      </c>
      <c r="L919">
        <v>1200</v>
      </c>
      <c r="M919" t="str">
        <f t="shared" si="45"/>
        <v xml:space="preserve">N35DC   </v>
      </c>
      <c r="N919">
        <v>1</v>
      </c>
      <c r="O919">
        <v>1700</v>
      </c>
    </row>
    <row r="920" spans="1:15" x14ac:dyDescent="0.25">
      <c r="A920" t="str">
        <f>"10/21/2020 18:21:41.235"</f>
        <v>10/21/2020 18:21:41.235</v>
      </c>
      <c r="B920" t="str">
        <f>"18:21:49.172"</f>
        <v>18:21:49.172</v>
      </c>
      <c r="C920" t="str">
        <f>"18:21:48.872"</f>
        <v>18:21:48.872</v>
      </c>
      <c r="D920" t="s">
        <v>373</v>
      </c>
      <c r="E920">
        <v>30.551112</v>
      </c>
      <c r="F920" t="s">
        <v>374</v>
      </c>
      <c r="G920">
        <v>-89.810914999999994</v>
      </c>
      <c r="H920">
        <v>1600</v>
      </c>
      <c r="I920">
        <v>-112</v>
      </c>
      <c r="J920">
        <v>112</v>
      </c>
      <c r="K920">
        <v>0</v>
      </c>
      <c r="L920">
        <v>1200</v>
      </c>
      <c r="M920" t="str">
        <f t="shared" si="45"/>
        <v xml:space="preserve">N35DC   </v>
      </c>
      <c r="N920">
        <v>1</v>
      </c>
      <c r="O920">
        <v>1700</v>
      </c>
    </row>
    <row r="921" spans="1:15" x14ac:dyDescent="0.25">
      <c r="A921" t="str">
        <f>"10/21/2020 18:21:41.235"</f>
        <v>10/21/2020 18:21:41.235</v>
      </c>
      <c r="B921" t="str">
        <f>"18:21:49.172"</f>
        <v>18:21:49.172</v>
      </c>
      <c r="C921" t="str">
        <f>"18:21:48.872"</f>
        <v>18:21:48.872</v>
      </c>
      <c r="D921" t="s">
        <v>373</v>
      </c>
      <c r="E921">
        <v>30.551112</v>
      </c>
      <c r="F921" t="s">
        <v>374</v>
      </c>
      <c r="G921">
        <v>-89.810914999999994</v>
      </c>
      <c r="H921">
        <v>1600</v>
      </c>
      <c r="I921">
        <v>-112</v>
      </c>
      <c r="J921">
        <v>112</v>
      </c>
      <c r="K921">
        <v>0</v>
      </c>
      <c r="L921">
        <v>1200</v>
      </c>
      <c r="M921" t="str">
        <f t="shared" si="45"/>
        <v xml:space="preserve">N35DC   </v>
      </c>
      <c r="N921">
        <v>1</v>
      </c>
      <c r="O921">
        <v>1700</v>
      </c>
    </row>
    <row r="922" spans="1:15" x14ac:dyDescent="0.25">
      <c r="A922" t="str">
        <f>"10/21/2020 18:21:42.232"</f>
        <v>10/21/2020 18:21:42.232</v>
      </c>
      <c r="B922" t="str">
        <f>"18:21:50.180"</f>
        <v>18:21:50.180</v>
      </c>
      <c r="C922" t="str">
        <f>"18:21:49.880"</f>
        <v>18:21:49.880</v>
      </c>
      <c r="D922" t="s">
        <v>375</v>
      </c>
      <c r="E922">
        <v>30.551583999999998</v>
      </c>
      <c r="F922" t="s">
        <v>376</v>
      </c>
      <c r="G922">
        <v>-89.811537000000001</v>
      </c>
      <c r="H922">
        <v>1600</v>
      </c>
      <c r="I922">
        <v>-112</v>
      </c>
      <c r="J922">
        <v>113</v>
      </c>
      <c r="K922">
        <v>0</v>
      </c>
      <c r="L922">
        <v>1200</v>
      </c>
      <c r="M922" t="str">
        <f t="shared" si="45"/>
        <v xml:space="preserve">N35DC   </v>
      </c>
      <c r="N922">
        <v>1</v>
      </c>
      <c r="O922">
        <v>1700</v>
      </c>
    </row>
    <row r="923" spans="1:15" x14ac:dyDescent="0.25">
      <c r="A923" t="str">
        <f>"10/21/2020 18:21:42.232"</f>
        <v>10/21/2020 18:21:42.232</v>
      </c>
      <c r="B923" t="str">
        <f>"18:21:50.180"</f>
        <v>18:21:50.180</v>
      </c>
      <c r="C923" t="str">
        <f>"18:21:49.880"</f>
        <v>18:21:49.880</v>
      </c>
      <c r="D923" t="s">
        <v>375</v>
      </c>
      <c r="E923">
        <v>30.551583999999998</v>
      </c>
      <c r="F923" t="s">
        <v>376</v>
      </c>
      <c r="G923">
        <v>-89.811537000000001</v>
      </c>
      <c r="H923">
        <v>1600</v>
      </c>
      <c r="I923">
        <v>-112</v>
      </c>
      <c r="J923">
        <v>113</v>
      </c>
      <c r="K923">
        <v>0</v>
      </c>
      <c r="L923">
        <v>1200</v>
      </c>
      <c r="M923" t="str">
        <f t="shared" si="45"/>
        <v xml:space="preserve">N35DC   </v>
      </c>
      <c r="N923">
        <v>1</v>
      </c>
      <c r="O923">
        <v>1700</v>
      </c>
    </row>
    <row r="924" spans="1:15" x14ac:dyDescent="0.25">
      <c r="A924" t="str">
        <f>"10/21/2020 18:21:42.232"</f>
        <v>10/21/2020 18:21:42.232</v>
      </c>
      <c r="B924" t="str">
        <f>"18:21:50.180"</f>
        <v>18:21:50.180</v>
      </c>
      <c r="C924" t="str">
        <f>"18:21:49.880"</f>
        <v>18:21:49.880</v>
      </c>
      <c r="D924" t="s">
        <v>375</v>
      </c>
      <c r="E924">
        <v>30.551583999999998</v>
      </c>
      <c r="F924" t="s">
        <v>376</v>
      </c>
      <c r="G924">
        <v>-89.811537000000001</v>
      </c>
      <c r="H924">
        <v>1600</v>
      </c>
      <c r="I924">
        <v>-112</v>
      </c>
      <c r="J924">
        <v>113</v>
      </c>
      <c r="K924">
        <v>0</v>
      </c>
      <c r="L924">
        <v>1200</v>
      </c>
      <c r="M924" t="str">
        <f t="shared" si="45"/>
        <v xml:space="preserve">N35DC   </v>
      </c>
      <c r="N924">
        <v>1</v>
      </c>
      <c r="O924">
        <v>1700</v>
      </c>
    </row>
    <row r="925" spans="1:15" x14ac:dyDescent="0.25">
      <c r="A925" t="str">
        <f>"10/21/2020 18:21:42.232"</f>
        <v>10/21/2020 18:21:42.232</v>
      </c>
      <c r="B925" t="str">
        <f>"18:21:50.180"</f>
        <v>18:21:50.180</v>
      </c>
      <c r="C925" t="str">
        <f>"18:21:49.880"</f>
        <v>18:21:49.880</v>
      </c>
      <c r="D925" t="s">
        <v>375</v>
      </c>
      <c r="E925">
        <v>30.551583999999998</v>
      </c>
      <c r="F925" t="s">
        <v>376</v>
      </c>
      <c r="G925">
        <v>-89.811537000000001</v>
      </c>
      <c r="H925">
        <v>1600</v>
      </c>
      <c r="I925">
        <v>-112</v>
      </c>
      <c r="J925">
        <v>113</v>
      </c>
      <c r="K925">
        <v>0</v>
      </c>
      <c r="L925">
        <v>1200</v>
      </c>
      <c r="M925" t="str">
        <f t="shared" si="45"/>
        <v xml:space="preserve">N35DC   </v>
      </c>
      <c r="N925">
        <v>1</v>
      </c>
      <c r="O925">
        <v>1700</v>
      </c>
    </row>
    <row r="926" spans="1:15" x14ac:dyDescent="0.25">
      <c r="A926" t="str">
        <f>"10/21/2020 18:21:42.232"</f>
        <v>10/21/2020 18:21:42.232</v>
      </c>
      <c r="B926" t="str">
        <f>"18:21:50.180"</f>
        <v>18:21:50.180</v>
      </c>
      <c r="C926" t="str">
        <f>"18:21:49.880"</f>
        <v>18:21:49.880</v>
      </c>
      <c r="D926" t="s">
        <v>375</v>
      </c>
      <c r="E926">
        <v>30.551583999999998</v>
      </c>
      <c r="F926" t="s">
        <v>376</v>
      </c>
      <c r="G926">
        <v>-89.811537000000001</v>
      </c>
      <c r="H926">
        <v>1600</v>
      </c>
      <c r="I926">
        <v>-112</v>
      </c>
      <c r="J926">
        <v>113</v>
      </c>
      <c r="K926">
        <v>0</v>
      </c>
      <c r="L926">
        <v>1200</v>
      </c>
      <c r="M926" t="str">
        <f t="shared" si="45"/>
        <v xml:space="preserve">N35DC   </v>
      </c>
      <c r="N926">
        <v>1</v>
      </c>
      <c r="O926">
        <v>1700</v>
      </c>
    </row>
    <row r="927" spans="1:15" x14ac:dyDescent="0.25">
      <c r="A927" t="str">
        <f>"10/21/2020 18:21:45.228"</f>
        <v>10/21/2020 18:21:45.228</v>
      </c>
      <c r="B927" t="str">
        <f>"18:21:53.164"</f>
        <v>18:21:53.164</v>
      </c>
      <c r="C927" t="str">
        <f>"18:21:52.964"</f>
        <v>18:21:52.964</v>
      </c>
      <c r="D927" t="s">
        <v>377</v>
      </c>
      <c r="E927">
        <v>30.553172</v>
      </c>
      <c r="F927" t="s">
        <v>378</v>
      </c>
      <c r="G927">
        <v>-89.813297000000006</v>
      </c>
      <c r="H927">
        <v>1600</v>
      </c>
      <c r="I927">
        <v>-112</v>
      </c>
      <c r="J927">
        <v>112</v>
      </c>
      <c r="K927">
        <v>-128</v>
      </c>
      <c r="L927">
        <v>1200</v>
      </c>
      <c r="M927" t="str">
        <f t="shared" si="45"/>
        <v xml:space="preserve">N35DC   </v>
      </c>
      <c r="N927">
        <v>1</v>
      </c>
      <c r="O927">
        <v>1700</v>
      </c>
    </row>
    <row r="928" spans="1:15" x14ac:dyDescent="0.25">
      <c r="A928" t="str">
        <f>"10/21/2020 18:21:45.228"</f>
        <v>10/21/2020 18:21:45.228</v>
      </c>
      <c r="B928" t="str">
        <f>"18:21:53.164"</f>
        <v>18:21:53.164</v>
      </c>
      <c r="C928" t="str">
        <f>"18:21:52.964"</f>
        <v>18:21:52.964</v>
      </c>
      <c r="D928" t="s">
        <v>377</v>
      </c>
      <c r="E928">
        <v>30.553172</v>
      </c>
      <c r="F928" t="s">
        <v>378</v>
      </c>
      <c r="G928">
        <v>-89.813297000000006</v>
      </c>
      <c r="H928">
        <v>1600</v>
      </c>
      <c r="I928">
        <v>-112</v>
      </c>
      <c r="J928">
        <v>112</v>
      </c>
      <c r="K928">
        <v>-128</v>
      </c>
      <c r="L928">
        <v>1200</v>
      </c>
      <c r="M928" t="str">
        <f t="shared" si="45"/>
        <v xml:space="preserve">N35DC   </v>
      </c>
      <c r="N928">
        <v>1</v>
      </c>
      <c r="O928">
        <v>1700</v>
      </c>
    </row>
    <row r="929" spans="1:15" x14ac:dyDescent="0.25">
      <c r="A929" t="str">
        <f>"10/21/2020 18:21:45.228"</f>
        <v>10/21/2020 18:21:45.228</v>
      </c>
      <c r="B929" t="str">
        <f>"18:21:53.164"</f>
        <v>18:21:53.164</v>
      </c>
      <c r="C929" t="str">
        <f>"18:21:52.964"</f>
        <v>18:21:52.964</v>
      </c>
      <c r="D929" t="s">
        <v>377</v>
      </c>
      <c r="E929">
        <v>30.553172</v>
      </c>
      <c r="F929" t="s">
        <v>378</v>
      </c>
      <c r="G929">
        <v>-89.813297000000006</v>
      </c>
      <c r="H929">
        <v>1600</v>
      </c>
      <c r="I929">
        <v>-112</v>
      </c>
      <c r="J929">
        <v>112</v>
      </c>
      <c r="K929">
        <v>-128</v>
      </c>
      <c r="L929">
        <v>1200</v>
      </c>
      <c r="M929" t="str">
        <f t="shared" si="45"/>
        <v xml:space="preserve">N35DC   </v>
      </c>
      <c r="N929">
        <v>1</v>
      </c>
      <c r="O929">
        <v>1700</v>
      </c>
    </row>
    <row r="930" spans="1:15" x14ac:dyDescent="0.25">
      <c r="A930" t="str">
        <f>"10/21/2020 18:21:45.228"</f>
        <v>10/21/2020 18:21:45.228</v>
      </c>
      <c r="B930" t="str">
        <f>"18:21:53.164"</f>
        <v>18:21:53.164</v>
      </c>
      <c r="C930" t="str">
        <f>"18:21:52.964"</f>
        <v>18:21:52.964</v>
      </c>
      <c r="D930" t="s">
        <v>377</v>
      </c>
      <c r="E930">
        <v>30.553172</v>
      </c>
      <c r="F930" t="s">
        <v>378</v>
      </c>
      <c r="G930">
        <v>-89.813297000000006</v>
      </c>
      <c r="H930">
        <v>1600</v>
      </c>
      <c r="I930">
        <v>-112</v>
      </c>
      <c r="J930">
        <v>112</v>
      </c>
      <c r="K930">
        <v>-128</v>
      </c>
      <c r="L930">
        <v>1200</v>
      </c>
      <c r="M930" t="str">
        <f t="shared" si="45"/>
        <v xml:space="preserve">N35DC   </v>
      </c>
      <c r="N930">
        <v>1</v>
      </c>
      <c r="O930">
        <v>1700</v>
      </c>
    </row>
    <row r="931" spans="1:15" x14ac:dyDescent="0.25">
      <c r="A931" t="str">
        <f>"10/21/2020 18:21:45.228"</f>
        <v>10/21/2020 18:21:45.228</v>
      </c>
      <c r="B931" t="str">
        <f>"18:21:53.164"</f>
        <v>18:21:53.164</v>
      </c>
      <c r="C931" t="str">
        <f>"18:21:52.964"</f>
        <v>18:21:52.964</v>
      </c>
      <c r="D931" t="s">
        <v>377</v>
      </c>
      <c r="E931">
        <v>30.553172</v>
      </c>
      <c r="F931" t="s">
        <v>378</v>
      </c>
      <c r="G931">
        <v>-89.813297000000006</v>
      </c>
      <c r="H931">
        <v>1600</v>
      </c>
      <c r="I931">
        <v>-112</v>
      </c>
      <c r="J931">
        <v>112</v>
      </c>
      <c r="K931">
        <v>-128</v>
      </c>
      <c r="L931">
        <v>1200</v>
      </c>
      <c r="M931" t="str">
        <f t="shared" si="45"/>
        <v xml:space="preserve">N35DC   </v>
      </c>
      <c r="N931">
        <v>1</v>
      </c>
      <c r="O931">
        <v>1700</v>
      </c>
    </row>
    <row r="932" spans="1:15" x14ac:dyDescent="0.25">
      <c r="A932" t="str">
        <f>"10/21/2020 18:21:46.249"</f>
        <v>10/21/2020 18:21:46.249</v>
      </c>
      <c r="B932" t="str">
        <f>"18:21:54.203"</f>
        <v>18:21:54.203</v>
      </c>
      <c r="C932" t="str">
        <f>"18:21:53.803"</f>
        <v>18:21:53.803</v>
      </c>
      <c r="D932" t="s">
        <v>379</v>
      </c>
      <c r="E932">
        <v>30.553687</v>
      </c>
      <c r="F932" t="s">
        <v>380</v>
      </c>
      <c r="G932">
        <v>-89.813897999999995</v>
      </c>
      <c r="H932">
        <v>1600</v>
      </c>
      <c r="I932">
        <v>-112</v>
      </c>
      <c r="J932">
        <v>112</v>
      </c>
      <c r="K932">
        <v>-64</v>
      </c>
      <c r="L932">
        <v>1200</v>
      </c>
      <c r="M932" t="str">
        <f t="shared" si="45"/>
        <v xml:space="preserve">N35DC   </v>
      </c>
      <c r="N932">
        <v>1</v>
      </c>
      <c r="O932">
        <v>1675</v>
      </c>
    </row>
    <row r="933" spans="1:15" x14ac:dyDescent="0.25">
      <c r="A933" t="str">
        <f>"10/21/2020 18:21:46.249"</f>
        <v>10/21/2020 18:21:46.249</v>
      </c>
      <c r="B933" t="str">
        <f>"18:21:54.203"</f>
        <v>18:21:54.203</v>
      </c>
      <c r="C933" t="str">
        <f>"18:21:53.803"</f>
        <v>18:21:53.803</v>
      </c>
      <c r="D933" t="s">
        <v>379</v>
      </c>
      <c r="E933">
        <v>30.553687</v>
      </c>
      <c r="F933" t="s">
        <v>380</v>
      </c>
      <c r="G933">
        <v>-89.813897999999995</v>
      </c>
      <c r="H933">
        <v>1600</v>
      </c>
      <c r="I933">
        <v>-112</v>
      </c>
      <c r="J933">
        <v>112</v>
      </c>
      <c r="K933">
        <v>-64</v>
      </c>
      <c r="L933">
        <v>1200</v>
      </c>
      <c r="M933" t="str">
        <f t="shared" si="45"/>
        <v xml:space="preserve">N35DC   </v>
      </c>
      <c r="N933">
        <v>1</v>
      </c>
      <c r="O933">
        <v>1675</v>
      </c>
    </row>
    <row r="934" spans="1:15" x14ac:dyDescent="0.25">
      <c r="A934" t="str">
        <f>"10/21/2020 18:21:46.249"</f>
        <v>10/21/2020 18:21:46.249</v>
      </c>
      <c r="B934" t="str">
        <f>"18:21:54.203"</f>
        <v>18:21:54.203</v>
      </c>
      <c r="C934" t="str">
        <f>"18:21:53.803"</f>
        <v>18:21:53.803</v>
      </c>
      <c r="D934" t="s">
        <v>379</v>
      </c>
      <c r="E934">
        <v>30.553687</v>
      </c>
      <c r="F934" t="s">
        <v>380</v>
      </c>
      <c r="G934">
        <v>-89.813897999999995</v>
      </c>
      <c r="H934">
        <v>1600</v>
      </c>
      <c r="I934">
        <v>-112</v>
      </c>
      <c r="J934">
        <v>112</v>
      </c>
      <c r="K934">
        <v>-64</v>
      </c>
      <c r="L934">
        <v>1200</v>
      </c>
      <c r="M934" t="str">
        <f t="shared" si="45"/>
        <v xml:space="preserve">N35DC   </v>
      </c>
      <c r="N934">
        <v>1</v>
      </c>
      <c r="O934">
        <v>1675</v>
      </c>
    </row>
    <row r="935" spans="1:15" x14ac:dyDescent="0.25">
      <c r="A935" t="str">
        <f>"10/21/2020 18:21:46.249"</f>
        <v>10/21/2020 18:21:46.249</v>
      </c>
      <c r="B935" t="str">
        <f>"18:21:54.203"</f>
        <v>18:21:54.203</v>
      </c>
      <c r="C935" t="str">
        <f>"18:21:53.803"</f>
        <v>18:21:53.803</v>
      </c>
      <c r="D935" t="s">
        <v>379</v>
      </c>
      <c r="E935">
        <v>30.553687</v>
      </c>
      <c r="F935" t="s">
        <v>380</v>
      </c>
      <c r="G935">
        <v>-89.813897999999995</v>
      </c>
      <c r="H935">
        <v>1600</v>
      </c>
      <c r="I935">
        <v>-112</v>
      </c>
      <c r="J935">
        <v>112</v>
      </c>
      <c r="K935">
        <v>-64</v>
      </c>
      <c r="L935">
        <v>1200</v>
      </c>
      <c r="M935" t="str">
        <f t="shared" si="45"/>
        <v xml:space="preserve">N35DC   </v>
      </c>
      <c r="N935">
        <v>1</v>
      </c>
      <c r="O935">
        <v>1675</v>
      </c>
    </row>
    <row r="936" spans="1:15" x14ac:dyDescent="0.25">
      <c r="A936" t="str">
        <f>"10/21/2020 18:21:46.249"</f>
        <v>10/21/2020 18:21:46.249</v>
      </c>
      <c r="B936" t="str">
        <f>"18:21:54.203"</f>
        <v>18:21:54.203</v>
      </c>
      <c r="C936" t="str">
        <f>"18:21:53.803"</f>
        <v>18:21:53.803</v>
      </c>
      <c r="D936" t="s">
        <v>379</v>
      </c>
      <c r="E936">
        <v>30.553687</v>
      </c>
      <c r="F936" t="s">
        <v>380</v>
      </c>
      <c r="G936">
        <v>-89.813897999999995</v>
      </c>
      <c r="H936">
        <v>1600</v>
      </c>
      <c r="I936">
        <v>-112</v>
      </c>
      <c r="J936">
        <v>112</v>
      </c>
      <c r="K936">
        <v>-64</v>
      </c>
      <c r="L936">
        <v>1200</v>
      </c>
      <c r="M936" t="str">
        <f t="shared" si="45"/>
        <v xml:space="preserve">N35DC   </v>
      </c>
      <c r="N936">
        <v>1</v>
      </c>
      <c r="O936">
        <v>1675</v>
      </c>
    </row>
    <row r="937" spans="1:15" x14ac:dyDescent="0.25">
      <c r="A937" t="str">
        <f>"10/21/2020 18:21:48.260"</f>
        <v>10/21/2020 18:21:48.260</v>
      </c>
      <c r="B937" t="str">
        <f>"18:21:56.211"</f>
        <v>18:21:56.211</v>
      </c>
      <c r="C937" t="str">
        <f>"18:21:55.811"</f>
        <v>18:21:55.811</v>
      </c>
      <c r="D937" t="s">
        <v>381</v>
      </c>
      <c r="E937">
        <v>30.554738</v>
      </c>
      <c r="F937" t="s">
        <v>382</v>
      </c>
      <c r="G937">
        <v>-89.815099000000004</v>
      </c>
      <c r="H937">
        <v>1600</v>
      </c>
      <c r="I937">
        <v>-112</v>
      </c>
      <c r="J937">
        <v>112</v>
      </c>
      <c r="K937">
        <v>-64</v>
      </c>
      <c r="L937">
        <v>1200</v>
      </c>
      <c r="M937" t="str">
        <f t="shared" si="45"/>
        <v xml:space="preserve">N35DC   </v>
      </c>
      <c r="N937">
        <v>1</v>
      </c>
      <c r="O937">
        <v>1675</v>
      </c>
    </row>
    <row r="938" spans="1:15" x14ac:dyDescent="0.25">
      <c r="A938" t="str">
        <f>"10/21/2020 18:21:48.260"</f>
        <v>10/21/2020 18:21:48.260</v>
      </c>
      <c r="B938" t="str">
        <f>"18:21:56.211"</f>
        <v>18:21:56.211</v>
      </c>
      <c r="C938" t="str">
        <f>"18:21:55.811"</f>
        <v>18:21:55.811</v>
      </c>
      <c r="D938" t="s">
        <v>381</v>
      </c>
      <c r="E938">
        <v>30.554738</v>
      </c>
      <c r="F938" t="s">
        <v>382</v>
      </c>
      <c r="G938">
        <v>-89.815099000000004</v>
      </c>
      <c r="H938">
        <v>1600</v>
      </c>
      <c r="I938">
        <v>-112</v>
      </c>
      <c r="J938">
        <v>112</v>
      </c>
      <c r="K938">
        <v>-64</v>
      </c>
      <c r="L938">
        <v>1200</v>
      </c>
      <c r="M938" t="str">
        <f t="shared" si="45"/>
        <v xml:space="preserve">N35DC   </v>
      </c>
      <c r="N938">
        <v>1</v>
      </c>
      <c r="O938">
        <v>1675</v>
      </c>
    </row>
    <row r="939" spans="1:15" x14ac:dyDescent="0.25">
      <c r="A939" t="str">
        <f>"10/21/2020 18:21:48.260"</f>
        <v>10/21/2020 18:21:48.260</v>
      </c>
      <c r="B939" t="str">
        <f>"18:21:56.211"</f>
        <v>18:21:56.211</v>
      </c>
      <c r="C939" t="str">
        <f>"18:21:55.811"</f>
        <v>18:21:55.811</v>
      </c>
      <c r="D939" t="s">
        <v>381</v>
      </c>
      <c r="E939">
        <v>30.554738</v>
      </c>
      <c r="F939" t="s">
        <v>382</v>
      </c>
      <c r="G939">
        <v>-89.815099000000004</v>
      </c>
      <c r="H939">
        <v>1600</v>
      </c>
      <c r="I939">
        <v>-112</v>
      </c>
      <c r="J939">
        <v>112</v>
      </c>
      <c r="K939">
        <v>-64</v>
      </c>
      <c r="L939">
        <v>1200</v>
      </c>
      <c r="M939" t="str">
        <f t="shared" si="45"/>
        <v xml:space="preserve">N35DC   </v>
      </c>
      <c r="N939">
        <v>1</v>
      </c>
      <c r="O939">
        <v>1675</v>
      </c>
    </row>
    <row r="940" spans="1:15" x14ac:dyDescent="0.25">
      <c r="A940" t="str">
        <f>"10/21/2020 18:21:48.260"</f>
        <v>10/21/2020 18:21:48.260</v>
      </c>
      <c r="B940" t="str">
        <f>"18:21:56.211"</f>
        <v>18:21:56.211</v>
      </c>
      <c r="C940" t="str">
        <f>"18:21:55.811"</f>
        <v>18:21:55.811</v>
      </c>
      <c r="D940" t="s">
        <v>381</v>
      </c>
      <c r="E940">
        <v>30.554738</v>
      </c>
      <c r="F940" t="s">
        <v>382</v>
      </c>
      <c r="G940">
        <v>-89.815099000000004</v>
      </c>
      <c r="H940">
        <v>1600</v>
      </c>
      <c r="I940">
        <v>-112</v>
      </c>
      <c r="J940">
        <v>112</v>
      </c>
      <c r="K940">
        <v>-64</v>
      </c>
      <c r="L940">
        <v>1200</v>
      </c>
      <c r="M940" t="str">
        <f t="shared" si="45"/>
        <v xml:space="preserve">N35DC   </v>
      </c>
      <c r="N940">
        <v>1</v>
      </c>
      <c r="O940">
        <v>1675</v>
      </c>
    </row>
    <row r="941" spans="1:15" x14ac:dyDescent="0.25">
      <c r="A941" t="str">
        <f>"10/21/2020 18:21:48.260"</f>
        <v>10/21/2020 18:21:48.260</v>
      </c>
      <c r="B941" t="str">
        <f>"18:21:56.211"</f>
        <v>18:21:56.211</v>
      </c>
      <c r="C941" t="str">
        <f>"18:21:55.811"</f>
        <v>18:21:55.811</v>
      </c>
      <c r="D941" t="s">
        <v>381</v>
      </c>
      <c r="E941">
        <v>30.554738</v>
      </c>
      <c r="F941" t="s">
        <v>382</v>
      </c>
      <c r="G941">
        <v>-89.815099000000004</v>
      </c>
      <c r="H941">
        <v>1600</v>
      </c>
      <c r="I941">
        <v>-112</v>
      </c>
      <c r="J941">
        <v>112</v>
      </c>
      <c r="K941">
        <v>-64</v>
      </c>
      <c r="L941">
        <v>1200</v>
      </c>
      <c r="M941" t="str">
        <f t="shared" si="45"/>
        <v xml:space="preserve">N35DC   </v>
      </c>
      <c r="N941">
        <v>1</v>
      </c>
      <c r="O941">
        <v>1675</v>
      </c>
    </row>
    <row r="942" spans="1:15" x14ac:dyDescent="0.25">
      <c r="A942" t="str">
        <f>"10/21/2020 18:21:49.156"</f>
        <v>10/21/2020 18:21:49.156</v>
      </c>
      <c r="B942" t="str">
        <f>"18:21:57.094"</f>
        <v>18:21:57.094</v>
      </c>
      <c r="C942" t="str">
        <f>"18:21:56.794"</f>
        <v>18:21:56.794</v>
      </c>
      <c r="D942" t="s">
        <v>383</v>
      </c>
      <c r="E942">
        <v>30.555209999999999</v>
      </c>
      <c r="F942" t="s">
        <v>384</v>
      </c>
      <c r="G942">
        <v>-89.815657000000002</v>
      </c>
      <c r="H942">
        <v>1600</v>
      </c>
      <c r="I942">
        <v>-111</v>
      </c>
      <c r="J942">
        <v>112</v>
      </c>
      <c r="K942">
        <v>0</v>
      </c>
      <c r="L942">
        <v>1200</v>
      </c>
      <c r="M942" t="str">
        <f t="shared" si="45"/>
        <v xml:space="preserve">N35DC   </v>
      </c>
      <c r="N942">
        <v>1</v>
      </c>
      <c r="O942">
        <v>1675</v>
      </c>
    </row>
    <row r="943" spans="1:15" x14ac:dyDescent="0.25">
      <c r="A943" t="str">
        <f>"10/21/2020 18:21:49.156"</f>
        <v>10/21/2020 18:21:49.156</v>
      </c>
      <c r="B943" t="str">
        <f>"18:21:57.094"</f>
        <v>18:21:57.094</v>
      </c>
      <c r="C943" t="str">
        <f>"18:21:56.794"</f>
        <v>18:21:56.794</v>
      </c>
      <c r="D943" t="s">
        <v>383</v>
      </c>
      <c r="E943">
        <v>30.555209999999999</v>
      </c>
      <c r="F943" t="s">
        <v>384</v>
      </c>
      <c r="G943">
        <v>-89.815657000000002</v>
      </c>
      <c r="H943">
        <v>1600</v>
      </c>
      <c r="I943">
        <v>-111</v>
      </c>
      <c r="J943">
        <v>112</v>
      </c>
      <c r="K943">
        <v>0</v>
      </c>
      <c r="L943">
        <v>1200</v>
      </c>
      <c r="M943" t="str">
        <f t="shared" si="45"/>
        <v xml:space="preserve">N35DC   </v>
      </c>
      <c r="N943">
        <v>1</v>
      </c>
      <c r="O943">
        <v>1675</v>
      </c>
    </row>
    <row r="944" spans="1:15" x14ac:dyDescent="0.25">
      <c r="A944" t="str">
        <f>"10/21/2020 18:21:49.156"</f>
        <v>10/21/2020 18:21:49.156</v>
      </c>
      <c r="B944" t="str">
        <f>"18:21:57.094"</f>
        <v>18:21:57.094</v>
      </c>
      <c r="C944" t="str">
        <f>"18:21:56.794"</f>
        <v>18:21:56.794</v>
      </c>
      <c r="D944" t="s">
        <v>383</v>
      </c>
      <c r="E944">
        <v>30.555209999999999</v>
      </c>
      <c r="F944" t="s">
        <v>384</v>
      </c>
      <c r="G944">
        <v>-89.815657000000002</v>
      </c>
      <c r="H944">
        <v>1600</v>
      </c>
      <c r="I944">
        <v>-111</v>
      </c>
      <c r="J944">
        <v>112</v>
      </c>
      <c r="K944">
        <v>0</v>
      </c>
      <c r="L944">
        <v>1200</v>
      </c>
      <c r="M944" t="str">
        <f t="shared" si="45"/>
        <v xml:space="preserve">N35DC   </v>
      </c>
      <c r="N944">
        <v>1</v>
      </c>
      <c r="O944">
        <v>1675</v>
      </c>
    </row>
    <row r="945" spans="1:15" x14ac:dyDescent="0.25">
      <c r="A945" t="str">
        <f>"10/21/2020 18:21:49.156"</f>
        <v>10/21/2020 18:21:49.156</v>
      </c>
      <c r="B945" t="str">
        <f>"18:21:57.094"</f>
        <v>18:21:57.094</v>
      </c>
      <c r="C945" t="str">
        <f>"18:21:56.794"</f>
        <v>18:21:56.794</v>
      </c>
      <c r="D945" t="s">
        <v>383</v>
      </c>
      <c r="E945">
        <v>30.555209999999999</v>
      </c>
      <c r="F945" t="s">
        <v>384</v>
      </c>
      <c r="G945">
        <v>-89.815657000000002</v>
      </c>
      <c r="H945">
        <v>1600</v>
      </c>
      <c r="I945">
        <v>-111</v>
      </c>
      <c r="J945">
        <v>112</v>
      </c>
      <c r="K945">
        <v>0</v>
      </c>
      <c r="L945">
        <v>1200</v>
      </c>
      <c r="M945" t="str">
        <f t="shared" si="45"/>
        <v xml:space="preserve">N35DC   </v>
      </c>
      <c r="N945">
        <v>1</v>
      </c>
      <c r="O945">
        <v>1675</v>
      </c>
    </row>
    <row r="946" spans="1:15" x14ac:dyDescent="0.25">
      <c r="A946" t="str">
        <f>"10/21/2020 18:21:49.156"</f>
        <v>10/21/2020 18:21:49.156</v>
      </c>
      <c r="B946" t="str">
        <f>"18:21:57.094"</f>
        <v>18:21:57.094</v>
      </c>
      <c r="C946" t="str">
        <f>"18:21:56.794"</f>
        <v>18:21:56.794</v>
      </c>
      <c r="D946" t="s">
        <v>383</v>
      </c>
      <c r="E946">
        <v>30.555209999999999</v>
      </c>
      <c r="F946" t="s">
        <v>384</v>
      </c>
      <c r="G946">
        <v>-89.815657000000002</v>
      </c>
      <c r="H946">
        <v>1600</v>
      </c>
      <c r="I946">
        <v>-111</v>
      </c>
      <c r="J946">
        <v>112</v>
      </c>
      <c r="K946">
        <v>0</v>
      </c>
      <c r="L946">
        <v>1200</v>
      </c>
      <c r="M946" t="str">
        <f t="shared" si="45"/>
        <v xml:space="preserve">N35DC   </v>
      </c>
      <c r="N946">
        <v>1</v>
      </c>
      <c r="O946">
        <v>1675</v>
      </c>
    </row>
    <row r="947" spans="1:15" x14ac:dyDescent="0.25">
      <c r="A947" t="str">
        <f>"10/21/2020 18:21:51.973"</f>
        <v>10/21/2020 18:21:51.973</v>
      </c>
      <c r="B947" t="str">
        <f>"18:21:59.914"</f>
        <v>18:21:59.914</v>
      </c>
      <c r="C947" t="str">
        <f>"18:21:59.714"</f>
        <v>18:21:59.714</v>
      </c>
      <c r="D947" t="s">
        <v>385</v>
      </c>
      <c r="E947">
        <v>30.556647999999999</v>
      </c>
      <c r="F947" t="s">
        <v>386</v>
      </c>
      <c r="G947">
        <v>-89.817288000000005</v>
      </c>
      <c r="H947">
        <v>1600</v>
      </c>
      <c r="I947">
        <v>-111</v>
      </c>
      <c r="J947">
        <v>113</v>
      </c>
      <c r="K947">
        <v>64</v>
      </c>
      <c r="L947">
        <v>1200</v>
      </c>
      <c r="M947" t="str">
        <f t="shared" si="45"/>
        <v xml:space="preserve">N35DC   </v>
      </c>
      <c r="N947">
        <v>1</v>
      </c>
      <c r="O947">
        <v>1700</v>
      </c>
    </row>
    <row r="948" spans="1:15" x14ac:dyDescent="0.25">
      <c r="A948" t="str">
        <f>"10/21/2020 18:21:51.973"</f>
        <v>10/21/2020 18:21:51.973</v>
      </c>
      <c r="B948" t="str">
        <f>"18:21:59.914"</f>
        <v>18:21:59.914</v>
      </c>
      <c r="C948" t="str">
        <f>"18:21:59.714"</f>
        <v>18:21:59.714</v>
      </c>
      <c r="D948" t="s">
        <v>385</v>
      </c>
      <c r="E948">
        <v>30.556647999999999</v>
      </c>
      <c r="F948" t="s">
        <v>386</v>
      </c>
      <c r="G948">
        <v>-89.817288000000005</v>
      </c>
      <c r="H948">
        <v>1600</v>
      </c>
      <c r="I948">
        <v>-111</v>
      </c>
      <c r="J948">
        <v>113</v>
      </c>
      <c r="K948">
        <v>64</v>
      </c>
      <c r="L948">
        <v>1200</v>
      </c>
      <c r="M948" t="str">
        <f t="shared" si="45"/>
        <v xml:space="preserve">N35DC   </v>
      </c>
      <c r="N948">
        <v>1</v>
      </c>
      <c r="O948">
        <v>1700</v>
      </c>
    </row>
    <row r="949" spans="1:15" x14ac:dyDescent="0.25">
      <c r="A949" t="str">
        <f>"10/21/2020 18:21:51.973"</f>
        <v>10/21/2020 18:21:51.973</v>
      </c>
      <c r="B949" t="str">
        <f>"18:21:59.914"</f>
        <v>18:21:59.914</v>
      </c>
      <c r="C949" t="str">
        <f>"18:21:59.714"</f>
        <v>18:21:59.714</v>
      </c>
      <c r="D949" t="s">
        <v>385</v>
      </c>
      <c r="E949">
        <v>30.556647999999999</v>
      </c>
      <c r="F949" t="s">
        <v>386</v>
      </c>
      <c r="G949">
        <v>-89.817288000000005</v>
      </c>
      <c r="H949">
        <v>1600</v>
      </c>
      <c r="I949">
        <v>-111</v>
      </c>
      <c r="J949">
        <v>113</v>
      </c>
      <c r="K949">
        <v>64</v>
      </c>
      <c r="L949">
        <v>1200</v>
      </c>
      <c r="M949" t="str">
        <f t="shared" si="45"/>
        <v xml:space="preserve">N35DC   </v>
      </c>
      <c r="N949">
        <v>1</v>
      </c>
      <c r="O949">
        <v>1700</v>
      </c>
    </row>
    <row r="950" spans="1:15" x14ac:dyDescent="0.25">
      <c r="A950" t="str">
        <f>"10/21/2020 18:21:51.973"</f>
        <v>10/21/2020 18:21:51.973</v>
      </c>
      <c r="B950" t="str">
        <f>"18:21:59.914"</f>
        <v>18:21:59.914</v>
      </c>
      <c r="C950" t="str">
        <f>"18:21:59.714"</f>
        <v>18:21:59.714</v>
      </c>
      <c r="D950" t="s">
        <v>385</v>
      </c>
      <c r="E950">
        <v>30.556647999999999</v>
      </c>
      <c r="F950" t="s">
        <v>386</v>
      </c>
      <c r="G950">
        <v>-89.817288000000005</v>
      </c>
      <c r="H950">
        <v>1600</v>
      </c>
      <c r="I950">
        <v>-111</v>
      </c>
      <c r="J950">
        <v>113</v>
      </c>
      <c r="K950">
        <v>64</v>
      </c>
      <c r="L950">
        <v>1200</v>
      </c>
      <c r="M950" t="str">
        <f t="shared" si="45"/>
        <v xml:space="preserve">N35DC   </v>
      </c>
      <c r="N950">
        <v>1</v>
      </c>
      <c r="O950">
        <v>1700</v>
      </c>
    </row>
    <row r="951" spans="1:15" x14ac:dyDescent="0.25">
      <c r="A951" t="str">
        <f>"10/21/2020 18:21:51.973"</f>
        <v>10/21/2020 18:21:51.973</v>
      </c>
      <c r="B951" t="str">
        <f>"18:21:59.914"</f>
        <v>18:21:59.914</v>
      </c>
      <c r="C951" t="str">
        <f>"18:21:59.714"</f>
        <v>18:21:59.714</v>
      </c>
      <c r="D951" t="s">
        <v>385</v>
      </c>
      <c r="E951">
        <v>30.556647999999999</v>
      </c>
      <c r="F951" t="s">
        <v>386</v>
      </c>
      <c r="G951">
        <v>-89.817288000000005</v>
      </c>
      <c r="H951">
        <v>1600</v>
      </c>
      <c r="I951">
        <v>-111</v>
      </c>
      <c r="J951">
        <v>113</v>
      </c>
      <c r="K951">
        <v>64</v>
      </c>
      <c r="L951">
        <v>1200</v>
      </c>
      <c r="M951" t="str">
        <f t="shared" si="45"/>
        <v xml:space="preserve">N35DC   </v>
      </c>
      <c r="N951">
        <v>1</v>
      </c>
      <c r="O951">
        <v>1700</v>
      </c>
    </row>
    <row r="952" spans="1:15" x14ac:dyDescent="0.25">
      <c r="A952" t="str">
        <f>"10/21/2020 18:21:53.145"</f>
        <v>10/21/2020 18:21:53.145</v>
      </c>
      <c r="B952" t="str">
        <f>"18:22:01.070"</f>
        <v>18:22:01.070</v>
      </c>
      <c r="C952" t="str">
        <f>"18:22:00.370"</f>
        <v>18:22:00.370</v>
      </c>
      <c r="D952" t="s">
        <v>387</v>
      </c>
      <c r="E952">
        <v>30.557313000000001</v>
      </c>
      <c r="F952" t="s">
        <v>388</v>
      </c>
      <c r="G952">
        <v>-89.818060000000003</v>
      </c>
      <c r="H952">
        <v>1600</v>
      </c>
      <c r="I952">
        <v>-111</v>
      </c>
      <c r="J952">
        <v>112</v>
      </c>
      <c r="K952">
        <v>-64</v>
      </c>
      <c r="L952">
        <v>1200</v>
      </c>
      <c r="M952" t="str">
        <f t="shared" si="45"/>
        <v xml:space="preserve">N35DC   </v>
      </c>
      <c r="N952">
        <v>1</v>
      </c>
      <c r="O952">
        <v>1700</v>
      </c>
    </row>
    <row r="953" spans="1:15" x14ac:dyDescent="0.25">
      <c r="A953" t="str">
        <f>"10/21/2020 18:21:53.145"</f>
        <v>10/21/2020 18:21:53.145</v>
      </c>
      <c r="B953" t="str">
        <f>"18:22:01.070"</f>
        <v>18:22:01.070</v>
      </c>
      <c r="C953" t="str">
        <f>"18:22:00.870"</f>
        <v>18:22:00.870</v>
      </c>
      <c r="D953" t="s">
        <v>387</v>
      </c>
      <c r="E953">
        <v>30.557313000000001</v>
      </c>
      <c r="F953" t="s">
        <v>388</v>
      </c>
      <c r="G953">
        <v>-89.818060000000003</v>
      </c>
      <c r="H953">
        <v>1600</v>
      </c>
      <c r="I953">
        <v>-111</v>
      </c>
      <c r="J953">
        <v>113</v>
      </c>
      <c r="K953">
        <v>-64</v>
      </c>
      <c r="L953">
        <v>1200</v>
      </c>
      <c r="M953" t="str">
        <f t="shared" si="45"/>
        <v xml:space="preserve">N35DC   </v>
      </c>
      <c r="N953">
        <v>1</v>
      </c>
      <c r="O953">
        <v>1675</v>
      </c>
    </row>
    <row r="954" spans="1:15" x14ac:dyDescent="0.25">
      <c r="A954" t="str">
        <f>"10/21/2020 18:21:53.145"</f>
        <v>10/21/2020 18:21:53.145</v>
      </c>
      <c r="B954" t="str">
        <f>"18:22:01.070"</f>
        <v>18:22:01.070</v>
      </c>
      <c r="C954" t="str">
        <f>"18:22:00.870"</f>
        <v>18:22:00.870</v>
      </c>
      <c r="D954" t="s">
        <v>387</v>
      </c>
      <c r="E954">
        <v>30.557313000000001</v>
      </c>
      <c r="F954" t="s">
        <v>388</v>
      </c>
      <c r="G954">
        <v>-89.818060000000003</v>
      </c>
      <c r="H954">
        <v>1600</v>
      </c>
      <c r="I954">
        <v>-111</v>
      </c>
      <c r="J954">
        <v>113</v>
      </c>
      <c r="K954">
        <v>-64</v>
      </c>
      <c r="L954">
        <v>1200</v>
      </c>
      <c r="M954" t="str">
        <f t="shared" si="45"/>
        <v xml:space="preserve">N35DC   </v>
      </c>
      <c r="N954">
        <v>1</v>
      </c>
      <c r="O954">
        <v>1675</v>
      </c>
    </row>
    <row r="955" spans="1:15" x14ac:dyDescent="0.25">
      <c r="A955" t="str">
        <f>"10/21/2020 18:21:53.145"</f>
        <v>10/21/2020 18:21:53.145</v>
      </c>
      <c r="B955" t="str">
        <f>"18:22:01.070"</f>
        <v>18:22:01.070</v>
      </c>
      <c r="C955" t="str">
        <f>"18:22:00.870"</f>
        <v>18:22:00.870</v>
      </c>
      <c r="D955" t="s">
        <v>387</v>
      </c>
      <c r="E955">
        <v>30.557313000000001</v>
      </c>
      <c r="F955" t="s">
        <v>388</v>
      </c>
      <c r="G955">
        <v>-89.818060000000003</v>
      </c>
      <c r="H955">
        <v>1600</v>
      </c>
      <c r="I955">
        <v>-111</v>
      </c>
      <c r="J955">
        <v>113</v>
      </c>
      <c r="K955">
        <v>-64</v>
      </c>
      <c r="L955">
        <v>1200</v>
      </c>
      <c r="M955" t="str">
        <f t="shared" si="45"/>
        <v xml:space="preserve">N35DC   </v>
      </c>
      <c r="N955">
        <v>1</v>
      </c>
      <c r="O955">
        <v>1675</v>
      </c>
    </row>
    <row r="956" spans="1:15" x14ac:dyDescent="0.25">
      <c r="A956" t="str">
        <f>"10/21/2020 18:21:53.145"</f>
        <v>10/21/2020 18:21:53.145</v>
      </c>
      <c r="B956" t="str">
        <f>"18:22:01.070"</f>
        <v>18:22:01.070</v>
      </c>
      <c r="C956" t="str">
        <f>"18:22:00.870"</f>
        <v>18:22:00.870</v>
      </c>
      <c r="D956" t="s">
        <v>387</v>
      </c>
      <c r="E956">
        <v>30.557313000000001</v>
      </c>
      <c r="F956" t="s">
        <v>388</v>
      </c>
      <c r="G956">
        <v>-89.818060000000003</v>
      </c>
      <c r="H956">
        <v>1600</v>
      </c>
      <c r="I956">
        <v>-111</v>
      </c>
      <c r="J956">
        <v>113</v>
      </c>
      <c r="K956">
        <v>-64</v>
      </c>
      <c r="L956">
        <v>1200</v>
      </c>
      <c r="M956" t="str">
        <f t="shared" si="45"/>
        <v xml:space="preserve">N35DC   </v>
      </c>
      <c r="N956">
        <v>1</v>
      </c>
      <c r="O956">
        <v>1675</v>
      </c>
    </row>
    <row r="957" spans="1:15" x14ac:dyDescent="0.25">
      <c r="A957" t="str">
        <f>"10/21/2020 18:21:56.195"</f>
        <v>10/21/2020 18:21:56.195</v>
      </c>
      <c r="B957" t="str">
        <f>"18:22:04.133"</f>
        <v>18:22:04.133</v>
      </c>
      <c r="C957" t="str">
        <f>"18:22:03.933"</f>
        <v>18:22:03.933</v>
      </c>
      <c r="D957" t="s">
        <v>389</v>
      </c>
      <c r="E957">
        <v>30.558879000000001</v>
      </c>
      <c r="F957" t="s">
        <v>390</v>
      </c>
      <c r="G957">
        <v>-89.819862999999998</v>
      </c>
      <c r="H957">
        <v>1600</v>
      </c>
      <c r="I957">
        <v>-114</v>
      </c>
      <c r="J957">
        <v>111</v>
      </c>
      <c r="K957">
        <v>-128</v>
      </c>
      <c r="L957">
        <v>1200</v>
      </c>
      <c r="M957" t="str">
        <f t="shared" si="45"/>
        <v xml:space="preserve">N35DC   </v>
      </c>
      <c r="N957">
        <v>1</v>
      </c>
      <c r="O957">
        <v>1675</v>
      </c>
    </row>
    <row r="958" spans="1:15" x14ac:dyDescent="0.25">
      <c r="A958" t="str">
        <f>"10/21/2020 18:21:56.195"</f>
        <v>10/21/2020 18:21:56.195</v>
      </c>
      <c r="B958" t="str">
        <f>"18:22:04.133"</f>
        <v>18:22:04.133</v>
      </c>
      <c r="C958" t="str">
        <f>"18:22:03.933"</f>
        <v>18:22:03.933</v>
      </c>
      <c r="D958" t="s">
        <v>389</v>
      </c>
      <c r="E958">
        <v>30.558879000000001</v>
      </c>
      <c r="F958" t="s">
        <v>390</v>
      </c>
      <c r="G958">
        <v>-89.819862999999998</v>
      </c>
      <c r="H958">
        <v>1600</v>
      </c>
      <c r="I958">
        <v>-114</v>
      </c>
      <c r="J958">
        <v>111</v>
      </c>
      <c r="K958">
        <v>-128</v>
      </c>
      <c r="L958">
        <v>1200</v>
      </c>
      <c r="M958" t="str">
        <f t="shared" si="45"/>
        <v xml:space="preserve">N35DC   </v>
      </c>
      <c r="N958">
        <v>1</v>
      </c>
      <c r="O958">
        <v>1675</v>
      </c>
    </row>
    <row r="959" spans="1:15" x14ac:dyDescent="0.25">
      <c r="A959" t="str">
        <f>"10/21/2020 18:21:56.195"</f>
        <v>10/21/2020 18:21:56.195</v>
      </c>
      <c r="B959" t="str">
        <f>"18:22:04.133"</f>
        <v>18:22:04.133</v>
      </c>
      <c r="C959" t="str">
        <f>"18:22:03.933"</f>
        <v>18:22:03.933</v>
      </c>
      <c r="D959" t="s">
        <v>389</v>
      </c>
      <c r="E959">
        <v>30.558879000000001</v>
      </c>
      <c r="F959" t="s">
        <v>390</v>
      </c>
      <c r="G959">
        <v>-89.819862999999998</v>
      </c>
      <c r="H959">
        <v>1600</v>
      </c>
      <c r="I959">
        <v>-114</v>
      </c>
      <c r="J959">
        <v>111</v>
      </c>
      <c r="K959">
        <v>-128</v>
      </c>
      <c r="L959">
        <v>1200</v>
      </c>
      <c r="M959" t="str">
        <f t="shared" si="45"/>
        <v xml:space="preserve">N35DC   </v>
      </c>
      <c r="N959">
        <v>1</v>
      </c>
      <c r="O959">
        <v>1675</v>
      </c>
    </row>
    <row r="960" spans="1:15" x14ac:dyDescent="0.25">
      <c r="A960" t="str">
        <f>"10/21/2020 18:21:56.195"</f>
        <v>10/21/2020 18:21:56.195</v>
      </c>
      <c r="B960" t="str">
        <f>"18:22:04.133"</f>
        <v>18:22:04.133</v>
      </c>
      <c r="C960" t="str">
        <f>"18:22:03.933"</f>
        <v>18:22:03.933</v>
      </c>
      <c r="D960" t="s">
        <v>389</v>
      </c>
      <c r="E960">
        <v>30.558879000000001</v>
      </c>
      <c r="F960" t="s">
        <v>390</v>
      </c>
      <c r="G960">
        <v>-89.819862999999998</v>
      </c>
      <c r="H960">
        <v>1600</v>
      </c>
      <c r="I960">
        <v>-114</v>
      </c>
      <c r="J960">
        <v>111</v>
      </c>
      <c r="K960">
        <v>-128</v>
      </c>
      <c r="L960">
        <v>1200</v>
      </c>
      <c r="M960" t="str">
        <f t="shared" si="45"/>
        <v xml:space="preserve">N35DC   </v>
      </c>
      <c r="N960">
        <v>1</v>
      </c>
      <c r="O960">
        <v>1675</v>
      </c>
    </row>
    <row r="961" spans="1:15" x14ac:dyDescent="0.25">
      <c r="A961" t="str">
        <f>"10/21/2020 18:21:56.195"</f>
        <v>10/21/2020 18:21:56.195</v>
      </c>
      <c r="B961" t="str">
        <f>"18:22:04.133"</f>
        <v>18:22:04.133</v>
      </c>
      <c r="C961" t="str">
        <f>"18:22:03.933"</f>
        <v>18:22:03.933</v>
      </c>
      <c r="D961" t="s">
        <v>389</v>
      </c>
      <c r="E961">
        <v>30.558879000000001</v>
      </c>
      <c r="F961" t="s">
        <v>390</v>
      </c>
      <c r="G961">
        <v>-89.819862999999998</v>
      </c>
      <c r="H961">
        <v>1600</v>
      </c>
      <c r="I961">
        <v>-114</v>
      </c>
      <c r="J961">
        <v>111</v>
      </c>
      <c r="K961">
        <v>-128</v>
      </c>
      <c r="L961">
        <v>1200</v>
      </c>
      <c r="M961" t="str">
        <f t="shared" si="45"/>
        <v xml:space="preserve">N35DC   </v>
      </c>
      <c r="N961">
        <v>1</v>
      </c>
      <c r="O961">
        <v>1675</v>
      </c>
    </row>
    <row r="962" spans="1:15" x14ac:dyDescent="0.25">
      <c r="A962" t="str">
        <f>"10/21/2020 18:21:57.223"</f>
        <v>10/21/2020 18:21:57.223</v>
      </c>
      <c r="B962" t="str">
        <f>"18:22:05.164"</f>
        <v>18:22:05.164</v>
      </c>
      <c r="C962" t="str">
        <f>"18:22:04.964"</f>
        <v>18:22:04.964</v>
      </c>
      <c r="D962" t="s">
        <v>391</v>
      </c>
      <c r="E962">
        <v>30.559436999999999</v>
      </c>
      <c r="F962" t="s">
        <v>392</v>
      </c>
      <c r="G962">
        <v>-89.820507000000006</v>
      </c>
      <c r="H962">
        <v>1600</v>
      </c>
      <c r="I962">
        <v>-114</v>
      </c>
      <c r="J962">
        <v>110</v>
      </c>
      <c r="K962">
        <v>-64</v>
      </c>
      <c r="L962">
        <v>1200</v>
      </c>
      <c r="M962" t="str">
        <f t="shared" si="45"/>
        <v xml:space="preserve">N35DC   </v>
      </c>
      <c r="N962">
        <v>1</v>
      </c>
      <c r="O962">
        <v>1675</v>
      </c>
    </row>
    <row r="963" spans="1:15" x14ac:dyDescent="0.25">
      <c r="A963" t="str">
        <f>"10/21/2020 18:21:57.223"</f>
        <v>10/21/2020 18:21:57.223</v>
      </c>
      <c r="B963" t="str">
        <f>"18:22:05.164"</f>
        <v>18:22:05.164</v>
      </c>
      <c r="C963" t="str">
        <f>"18:22:04.964"</f>
        <v>18:22:04.964</v>
      </c>
      <c r="D963" t="s">
        <v>391</v>
      </c>
      <c r="E963">
        <v>30.559436999999999</v>
      </c>
      <c r="F963" t="s">
        <v>392</v>
      </c>
      <c r="G963">
        <v>-89.820507000000006</v>
      </c>
      <c r="H963">
        <v>1600</v>
      </c>
      <c r="I963">
        <v>-114</v>
      </c>
      <c r="J963">
        <v>110</v>
      </c>
      <c r="K963">
        <v>-64</v>
      </c>
      <c r="L963">
        <v>1200</v>
      </c>
      <c r="M963" t="str">
        <f t="shared" si="45"/>
        <v xml:space="preserve">N35DC   </v>
      </c>
      <c r="N963">
        <v>1</v>
      </c>
      <c r="O963">
        <v>1675</v>
      </c>
    </row>
    <row r="964" spans="1:15" x14ac:dyDescent="0.25">
      <c r="A964" t="str">
        <f>"10/21/2020 18:21:57.223"</f>
        <v>10/21/2020 18:21:57.223</v>
      </c>
      <c r="B964" t="str">
        <f>"18:22:05.164"</f>
        <v>18:22:05.164</v>
      </c>
      <c r="C964" t="str">
        <f>"18:22:04.964"</f>
        <v>18:22:04.964</v>
      </c>
      <c r="D964" t="s">
        <v>391</v>
      </c>
      <c r="E964">
        <v>30.559436999999999</v>
      </c>
      <c r="F964" t="s">
        <v>392</v>
      </c>
      <c r="G964">
        <v>-89.820507000000006</v>
      </c>
      <c r="H964">
        <v>1600</v>
      </c>
      <c r="I964">
        <v>-114</v>
      </c>
      <c r="J964">
        <v>110</v>
      </c>
      <c r="K964">
        <v>-64</v>
      </c>
      <c r="L964">
        <v>1200</v>
      </c>
      <c r="M964" t="str">
        <f t="shared" si="45"/>
        <v xml:space="preserve">N35DC   </v>
      </c>
      <c r="N964">
        <v>1</v>
      </c>
      <c r="O964">
        <v>1675</v>
      </c>
    </row>
    <row r="965" spans="1:15" x14ac:dyDescent="0.25">
      <c r="A965" t="str">
        <f>"10/21/2020 18:21:57.223"</f>
        <v>10/21/2020 18:21:57.223</v>
      </c>
      <c r="B965" t="str">
        <f>"18:22:05.164"</f>
        <v>18:22:05.164</v>
      </c>
      <c r="C965" t="str">
        <f>"18:22:04.964"</f>
        <v>18:22:04.964</v>
      </c>
      <c r="D965" t="s">
        <v>391</v>
      </c>
      <c r="E965">
        <v>30.559436999999999</v>
      </c>
      <c r="F965" t="s">
        <v>392</v>
      </c>
      <c r="G965">
        <v>-89.820507000000006</v>
      </c>
      <c r="H965">
        <v>1600</v>
      </c>
      <c r="I965">
        <v>-114</v>
      </c>
      <c r="J965">
        <v>110</v>
      </c>
      <c r="K965">
        <v>-64</v>
      </c>
      <c r="L965">
        <v>1200</v>
      </c>
      <c r="M965" t="str">
        <f t="shared" si="45"/>
        <v xml:space="preserve">N35DC   </v>
      </c>
      <c r="N965">
        <v>1</v>
      </c>
      <c r="O965">
        <v>1675</v>
      </c>
    </row>
    <row r="966" spans="1:15" x14ac:dyDescent="0.25">
      <c r="A966" t="str">
        <f>"10/21/2020 18:21:57.223"</f>
        <v>10/21/2020 18:21:57.223</v>
      </c>
      <c r="B966" t="str">
        <f>"18:22:05.164"</f>
        <v>18:22:05.164</v>
      </c>
      <c r="C966" t="str">
        <f>"18:22:04.964"</f>
        <v>18:22:04.964</v>
      </c>
      <c r="D966" t="s">
        <v>391</v>
      </c>
      <c r="E966">
        <v>30.559436999999999</v>
      </c>
      <c r="F966" t="s">
        <v>392</v>
      </c>
      <c r="G966">
        <v>-89.820507000000006</v>
      </c>
      <c r="H966">
        <v>1600</v>
      </c>
      <c r="I966">
        <v>-114</v>
      </c>
      <c r="J966">
        <v>110</v>
      </c>
      <c r="K966">
        <v>-64</v>
      </c>
      <c r="L966">
        <v>1200</v>
      </c>
      <c r="M966" t="str">
        <f t="shared" si="45"/>
        <v xml:space="preserve">N35DC   </v>
      </c>
      <c r="N966">
        <v>1</v>
      </c>
      <c r="O966">
        <v>1675</v>
      </c>
    </row>
    <row r="967" spans="1:15" x14ac:dyDescent="0.25">
      <c r="A967" t="str">
        <f>"10/21/2020 18:21:59.348"</f>
        <v>10/21/2020 18:21:59.348</v>
      </c>
      <c r="B967" t="str">
        <f>"18:22:07.297"</f>
        <v>18:22:07.297</v>
      </c>
      <c r="C967" t="str">
        <f>"18:22:06.997"</f>
        <v>18:22:06.997</v>
      </c>
      <c r="D967" t="s">
        <v>393</v>
      </c>
      <c r="E967">
        <v>30.560489</v>
      </c>
      <c r="F967" t="s">
        <v>394</v>
      </c>
      <c r="G967">
        <v>-89.821858000000006</v>
      </c>
      <c r="H967">
        <v>1600</v>
      </c>
      <c r="I967">
        <v>-115</v>
      </c>
      <c r="J967">
        <v>110</v>
      </c>
      <c r="K967">
        <v>192</v>
      </c>
      <c r="L967">
        <v>1200</v>
      </c>
      <c r="M967" t="str">
        <f t="shared" ref="M967:M1030" si="46">"N35DC   "</f>
        <v xml:space="preserve">N35DC   </v>
      </c>
      <c r="N967">
        <v>1</v>
      </c>
      <c r="O967">
        <v>1675</v>
      </c>
    </row>
    <row r="968" spans="1:15" x14ac:dyDescent="0.25">
      <c r="A968" t="str">
        <f>"10/21/2020 18:21:59.348"</f>
        <v>10/21/2020 18:21:59.348</v>
      </c>
      <c r="B968" t="str">
        <f>"18:22:07.297"</f>
        <v>18:22:07.297</v>
      </c>
      <c r="C968" t="str">
        <f>"18:22:06.997"</f>
        <v>18:22:06.997</v>
      </c>
      <c r="D968" t="s">
        <v>393</v>
      </c>
      <c r="E968">
        <v>30.560489</v>
      </c>
      <c r="F968" t="s">
        <v>394</v>
      </c>
      <c r="G968">
        <v>-89.821858000000006</v>
      </c>
      <c r="H968">
        <v>1600</v>
      </c>
      <c r="I968">
        <v>-115</v>
      </c>
      <c r="J968">
        <v>110</v>
      </c>
      <c r="K968">
        <v>192</v>
      </c>
      <c r="L968">
        <v>1200</v>
      </c>
      <c r="M968" t="str">
        <f t="shared" si="46"/>
        <v xml:space="preserve">N35DC   </v>
      </c>
      <c r="N968">
        <v>1</v>
      </c>
      <c r="O968">
        <v>1675</v>
      </c>
    </row>
    <row r="969" spans="1:15" x14ac:dyDescent="0.25">
      <c r="A969" t="str">
        <f>"10/21/2020 18:21:59.348"</f>
        <v>10/21/2020 18:21:59.348</v>
      </c>
      <c r="B969" t="str">
        <f>"18:22:07.297"</f>
        <v>18:22:07.297</v>
      </c>
      <c r="C969" t="str">
        <f>"18:22:06.997"</f>
        <v>18:22:06.997</v>
      </c>
      <c r="D969" t="s">
        <v>393</v>
      </c>
      <c r="E969">
        <v>30.560489</v>
      </c>
      <c r="F969" t="s">
        <v>394</v>
      </c>
      <c r="G969">
        <v>-89.821858000000006</v>
      </c>
      <c r="H969">
        <v>1600</v>
      </c>
      <c r="I969">
        <v>-115</v>
      </c>
      <c r="J969">
        <v>110</v>
      </c>
      <c r="K969">
        <v>192</v>
      </c>
      <c r="L969">
        <v>1200</v>
      </c>
      <c r="M969" t="str">
        <f t="shared" si="46"/>
        <v xml:space="preserve">N35DC   </v>
      </c>
      <c r="N969">
        <v>1</v>
      </c>
      <c r="O969">
        <v>1675</v>
      </c>
    </row>
    <row r="970" spans="1:15" x14ac:dyDescent="0.25">
      <c r="A970" t="str">
        <f>"10/21/2020 18:21:59.348"</f>
        <v>10/21/2020 18:21:59.348</v>
      </c>
      <c r="B970" t="str">
        <f>"18:22:07.297"</f>
        <v>18:22:07.297</v>
      </c>
      <c r="C970" t="str">
        <f>"18:22:06.997"</f>
        <v>18:22:06.997</v>
      </c>
      <c r="D970" t="s">
        <v>393</v>
      </c>
      <c r="E970">
        <v>30.560489</v>
      </c>
      <c r="F970" t="s">
        <v>394</v>
      </c>
      <c r="G970">
        <v>-89.821858000000006</v>
      </c>
      <c r="H970">
        <v>1600</v>
      </c>
      <c r="I970">
        <v>-115</v>
      </c>
      <c r="J970">
        <v>110</v>
      </c>
      <c r="K970">
        <v>192</v>
      </c>
      <c r="L970">
        <v>1200</v>
      </c>
      <c r="M970" t="str">
        <f t="shared" si="46"/>
        <v xml:space="preserve">N35DC   </v>
      </c>
      <c r="N970">
        <v>1</v>
      </c>
      <c r="O970">
        <v>1675</v>
      </c>
    </row>
    <row r="971" spans="1:15" x14ac:dyDescent="0.25">
      <c r="A971" t="str">
        <f>"10/21/2020 18:21:59.348"</f>
        <v>10/21/2020 18:21:59.348</v>
      </c>
      <c r="B971" t="str">
        <f>"18:22:07.297"</f>
        <v>18:22:07.297</v>
      </c>
      <c r="C971" t="str">
        <f>"18:22:06.997"</f>
        <v>18:22:06.997</v>
      </c>
      <c r="D971" t="s">
        <v>393</v>
      </c>
      <c r="E971">
        <v>30.560489</v>
      </c>
      <c r="F971" t="s">
        <v>394</v>
      </c>
      <c r="G971">
        <v>-89.821858000000006</v>
      </c>
      <c r="H971">
        <v>1600</v>
      </c>
      <c r="I971">
        <v>-115</v>
      </c>
      <c r="J971">
        <v>110</v>
      </c>
      <c r="K971">
        <v>192</v>
      </c>
      <c r="L971">
        <v>1200</v>
      </c>
      <c r="M971" t="str">
        <f t="shared" si="46"/>
        <v xml:space="preserve">N35DC   </v>
      </c>
      <c r="N971">
        <v>1</v>
      </c>
      <c r="O971">
        <v>1675</v>
      </c>
    </row>
    <row r="972" spans="1:15" x14ac:dyDescent="0.25">
      <c r="A972" t="str">
        <f>"10/21/2020 18:22:00.288"</f>
        <v>10/21/2020 18:22:00.288</v>
      </c>
      <c r="B972" t="str">
        <f>"18:22:08.227"</f>
        <v>18:22:08.227</v>
      </c>
      <c r="C972" t="str">
        <f>"18:22:07.927"</f>
        <v>18:22:07.927</v>
      </c>
      <c r="D972" t="s">
        <v>395</v>
      </c>
      <c r="E972">
        <v>30.560939000000001</v>
      </c>
      <c r="F972" t="s">
        <v>396</v>
      </c>
      <c r="G972">
        <v>-89.822416000000004</v>
      </c>
      <c r="H972">
        <v>1600</v>
      </c>
      <c r="I972">
        <v>-114</v>
      </c>
      <c r="J972">
        <v>110</v>
      </c>
      <c r="K972">
        <v>128</v>
      </c>
      <c r="L972">
        <v>1200</v>
      </c>
      <c r="M972" t="str">
        <f t="shared" si="46"/>
        <v xml:space="preserve">N35DC   </v>
      </c>
      <c r="N972">
        <v>1</v>
      </c>
      <c r="O972">
        <v>1675</v>
      </c>
    </row>
    <row r="973" spans="1:15" x14ac:dyDescent="0.25">
      <c r="A973" t="str">
        <f>"10/21/2020 18:22:00.288"</f>
        <v>10/21/2020 18:22:00.288</v>
      </c>
      <c r="B973" t="str">
        <f>"18:22:08.227"</f>
        <v>18:22:08.227</v>
      </c>
      <c r="C973" t="str">
        <f>"18:22:07.927"</f>
        <v>18:22:07.927</v>
      </c>
      <c r="D973" t="s">
        <v>395</v>
      </c>
      <c r="E973">
        <v>30.560939000000001</v>
      </c>
      <c r="F973" t="s">
        <v>396</v>
      </c>
      <c r="G973">
        <v>-89.822416000000004</v>
      </c>
      <c r="H973">
        <v>1600</v>
      </c>
      <c r="I973">
        <v>-114</v>
      </c>
      <c r="J973">
        <v>110</v>
      </c>
      <c r="K973">
        <v>128</v>
      </c>
      <c r="L973">
        <v>1200</v>
      </c>
      <c r="M973" t="str">
        <f t="shared" si="46"/>
        <v xml:space="preserve">N35DC   </v>
      </c>
      <c r="N973">
        <v>1</v>
      </c>
      <c r="O973">
        <v>1675</v>
      </c>
    </row>
    <row r="974" spans="1:15" x14ac:dyDescent="0.25">
      <c r="A974" t="str">
        <f>"10/21/2020 18:22:00.288"</f>
        <v>10/21/2020 18:22:00.288</v>
      </c>
      <c r="B974" t="str">
        <f>"18:22:08.227"</f>
        <v>18:22:08.227</v>
      </c>
      <c r="C974" t="str">
        <f>"18:22:07.927"</f>
        <v>18:22:07.927</v>
      </c>
      <c r="D974" t="s">
        <v>395</v>
      </c>
      <c r="E974">
        <v>30.560939000000001</v>
      </c>
      <c r="F974" t="s">
        <v>396</v>
      </c>
      <c r="G974">
        <v>-89.822416000000004</v>
      </c>
      <c r="H974">
        <v>1600</v>
      </c>
      <c r="I974">
        <v>-114</v>
      </c>
      <c r="J974">
        <v>110</v>
      </c>
      <c r="K974">
        <v>128</v>
      </c>
      <c r="L974">
        <v>1200</v>
      </c>
      <c r="M974" t="str">
        <f t="shared" si="46"/>
        <v xml:space="preserve">N35DC   </v>
      </c>
      <c r="N974">
        <v>1</v>
      </c>
      <c r="O974">
        <v>1675</v>
      </c>
    </row>
    <row r="975" spans="1:15" x14ac:dyDescent="0.25">
      <c r="A975" t="str">
        <f>"10/21/2020 18:22:00.288"</f>
        <v>10/21/2020 18:22:00.288</v>
      </c>
      <c r="B975" t="str">
        <f>"18:22:08.227"</f>
        <v>18:22:08.227</v>
      </c>
      <c r="C975" t="str">
        <f>"18:22:07.927"</f>
        <v>18:22:07.927</v>
      </c>
      <c r="D975" t="s">
        <v>395</v>
      </c>
      <c r="E975">
        <v>30.560939000000001</v>
      </c>
      <c r="F975" t="s">
        <v>396</v>
      </c>
      <c r="G975">
        <v>-89.822416000000004</v>
      </c>
      <c r="H975">
        <v>1600</v>
      </c>
      <c r="I975">
        <v>-114</v>
      </c>
      <c r="J975">
        <v>110</v>
      </c>
      <c r="K975">
        <v>128</v>
      </c>
      <c r="L975">
        <v>1200</v>
      </c>
      <c r="M975" t="str">
        <f t="shared" si="46"/>
        <v xml:space="preserve">N35DC   </v>
      </c>
      <c r="N975">
        <v>1</v>
      </c>
      <c r="O975">
        <v>1675</v>
      </c>
    </row>
    <row r="976" spans="1:15" x14ac:dyDescent="0.25">
      <c r="A976" t="str">
        <f>"10/21/2020 18:22:00.288"</f>
        <v>10/21/2020 18:22:00.288</v>
      </c>
      <c r="B976" t="str">
        <f>"18:22:08.227"</f>
        <v>18:22:08.227</v>
      </c>
      <c r="C976" t="str">
        <f>"18:22:07.927"</f>
        <v>18:22:07.927</v>
      </c>
      <c r="D976" t="s">
        <v>395</v>
      </c>
      <c r="E976">
        <v>30.560939000000001</v>
      </c>
      <c r="F976" t="s">
        <v>396</v>
      </c>
      <c r="G976">
        <v>-89.822416000000004</v>
      </c>
      <c r="H976">
        <v>1600</v>
      </c>
      <c r="I976">
        <v>-114</v>
      </c>
      <c r="J976">
        <v>110</v>
      </c>
      <c r="K976">
        <v>128</v>
      </c>
      <c r="L976">
        <v>1200</v>
      </c>
      <c r="M976" t="str">
        <f t="shared" si="46"/>
        <v xml:space="preserve">N35DC   </v>
      </c>
      <c r="N976">
        <v>1</v>
      </c>
      <c r="O976">
        <v>1675</v>
      </c>
    </row>
    <row r="977" spans="1:15" x14ac:dyDescent="0.25">
      <c r="A977" t="str">
        <f>"10/21/2020 18:22:03.372"</f>
        <v>10/21/2020 18:22:03.372</v>
      </c>
      <c r="B977" t="str">
        <f>"18:22:11.297"</f>
        <v>18:22:11.297</v>
      </c>
      <c r="C977" t="str">
        <f>"18:22:10.797"</f>
        <v>18:22:10.797</v>
      </c>
      <c r="D977" t="s">
        <v>397</v>
      </c>
      <c r="E977">
        <v>30.562549000000001</v>
      </c>
      <c r="F977" t="s">
        <v>398</v>
      </c>
      <c r="G977">
        <v>-89.824218999999999</v>
      </c>
      <c r="H977">
        <v>1600</v>
      </c>
      <c r="I977">
        <v>-114</v>
      </c>
      <c r="J977">
        <v>110</v>
      </c>
      <c r="K977">
        <v>0</v>
      </c>
      <c r="L977">
        <v>1200</v>
      </c>
      <c r="M977" t="str">
        <f t="shared" si="46"/>
        <v xml:space="preserve">N35DC   </v>
      </c>
      <c r="N977">
        <v>1</v>
      </c>
      <c r="O977">
        <v>1700</v>
      </c>
    </row>
    <row r="978" spans="1:15" x14ac:dyDescent="0.25">
      <c r="A978" t="str">
        <f>"10/21/2020 18:22:03.372"</f>
        <v>10/21/2020 18:22:03.372</v>
      </c>
      <c r="B978" t="str">
        <f>"18:22:11.297"</f>
        <v>18:22:11.297</v>
      </c>
      <c r="C978" t="str">
        <f>"18:22:10.797"</f>
        <v>18:22:10.797</v>
      </c>
      <c r="D978" t="s">
        <v>397</v>
      </c>
      <c r="E978">
        <v>30.562549000000001</v>
      </c>
      <c r="F978" t="s">
        <v>398</v>
      </c>
      <c r="G978">
        <v>-89.824218999999999</v>
      </c>
      <c r="H978">
        <v>1600</v>
      </c>
      <c r="I978">
        <v>-114</v>
      </c>
      <c r="J978">
        <v>110</v>
      </c>
      <c r="K978">
        <v>0</v>
      </c>
      <c r="L978">
        <v>1200</v>
      </c>
      <c r="M978" t="str">
        <f t="shared" si="46"/>
        <v xml:space="preserve">N35DC   </v>
      </c>
      <c r="N978">
        <v>1</v>
      </c>
      <c r="O978">
        <v>1700</v>
      </c>
    </row>
    <row r="979" spans="1:15" x14ac:dyDescent="0.25">
      <c r="A979" t="str">
        <f>"10/21/2020 18:22:03.372"</f>
        <v>10/21/2020 18:22:03.372</v>
      </c>
      <c r="B979" t="str">
        <f>"18:22:11.297"</f>
        <v>18:22:11.297</v>
      </c>
      <c r="C979" t="str">
        <f>"18:22:10.797"</f>
        <v>18:22:10.797</v>
      </c>
      <c r="D979" t="s">
        <v>397</v>
      </c>
      <c r="E979">
        <v>30.562549000000001</v>
      </c>
      <c r="F979" t="s">
        <v>398</v>
      </c>
      <c r="G979">
        <v>-89.824218999999999</v>
      </c>
      <c r="H979">
        <v>1600</v>
      </c>
      <c r="I979">
        <v>-114</v>
      </c>
      <c r="J979">
        <v>110</v>
      </c>
      <c r="K979">
        <v>0</v>
      </c>
      <c r="L979">
        <v>1200</v>
      </c>
      <c r="M979" t="str">
        <f t="shared" si="46"/>
        <v xml:space="preserve">N35DC   </v>
      </c>
      <c r="N979">
        <v>1</v>
      </c>
      <c r="O979">
        <v>1700</v>
      </c>
    </row>
    <row r="980" spans="1:15" x14ac:dyDescent="0.25">
      <c r="A980" t="str">
        <f>"10/21/2020 18:22:03.372"</f>
        <v>10/21/2020 18:22:03.372</v>
      </c>
      <c r="B980" t="str">
        <f>"18:22:11.297"</f>
        <v>18:22:11.297</v>
      </c>
      <c r="C980" t="str">
        <f>"18:22:10.797"</f>
        <v>18:22:10.797</v>
      </c>
      <c r="D980" t="s">
        <v>397</v>
      </c>
      <c r="E980">
        <v>30.562549000000001</v>
      </c>
      <c r="F980" t="s">
        <v>398</v>
      </c>
      <c r="G980">
        <v>-89.824218999999999</v>
      </c>
      <c r="H980">
        <v>1600</v>
      </c>
      <c r="I980">
        <v>-114</v>
      </c>
      <c r="J980">
        <v>110</v>
      </c>
      <c r="K980">
        <v>0</v>
      </c>
      <c r="L980">
        <v>1200</v>
      </c>
      <c r="M980" t="str">
        <f t="shared" si="46"/>
        <v xml:space="preserve">N35DC   </v>
      </c>
      <c r="N980">
        <v>1</v>
      </c>
      <c r="O980">
        <v>1700</v>
      </c>
    </row>
    <row r="981" spans="1:15" x14ac:dyDescent="0.25">
      <c r="A981" t="str">
        <f>"10/21/2020 18:22:03.372"</f>
        <v>10/21/2020 18:22:03.372</v>
      </c>
      <c r="B981" t="str">
        <f>"18:22:11.297"</f>
        <v>18:22:11.297</v>
      </c>
      <c r="C981" t="str">
        <f>"18:22:10.797"</f>
        <v>18:22:10.797</v>
      </c>
      <c r="D981" t="s">
        <v>397</v>
      </c>
      <c r="E981">
        <v>30.562549000000001</v>
      </c>
      <c r="F981" t="s">
        <v>398</v>
      </c>
      <c r="G981">
        <v>-89.824218999999999</v>
      </c>
      <c r="H981">
        <v>1600</v>
      </c>
      <c r="I981">
        <v>-114</v>
      </c>
      <c r="J981">
        <v>110</v>
      </c>
      <c r="K981">
        <v>0</v>
      </c>
      <c r="L981">
        <v>1200</v>
      </c>
      <c r="M981" t="str">
        <f t="shared" si="46"/>
        <v xml:space="preserve">N35DC   </v>
      </c>
      <c r="N981">
        <v>1</v>
      </c>
      <c r="O981">
        <v>1700</v>
      </c>
    </row>
    <row r="982" spans="1:15" x14ac:dyDescent="0.25">
      <c r="A982" t="str">
        <f>"10/21/2020 18:22:04.365"</f>
        <v>10/21/2020 18:22:04.365</v>
      </c>
      <c r="B982" t="str">
        <f>"18:22:12.320"</f>
        <v>18:22:12.320</v>
      </c>
      <c r="C982" t="str">
        <f>"18:22:11.820"</f>
        <v>18:22:11.820</v>
      </c>
      <c r="D982" t="s">
        <v>399</v>
      </c>
      <c r="E982">
        <v>30.563041999999999</v>
      </c>
      <c r="F982" t="s">
        <v>400</v>
      </c>
      <c r="G982">
        <v>-89.824883999999997</v>
      </c>
      <c r="H982">
        <v>1600</v>
      </c>
      <c r="I982">
        <v>-114</v>
      </c>
      <c r="J982">
        <v>110</v>
      </c>
      <c r="K982">
        <v>64</v>
      </c>
      <c r="L982">
        <v>1200</v>
      </c>
      <c r="M982" t="str">
        <f t="shared" si="46"/>
        <v xml:space="preserve">N35DC   </v>
      </c>
      <c r="N982">
        <v>1</v>
      </c>
      <c r="O982">
        <v>1700</v>
      </c>
    </row>
    <row r="983" spans="1:15" x14ac:dyDescent="0.25">
      <c r="A983" t="str">
        <f>"10/21/2020 18:22:04.365"</f>
        <v>10/21/2020 18:22:04.365</v>
      </c>
      <c r="B983" t="str">
        <f>"18:22:12.320"</f>
        <v>18:22:12.320</v>
      </c>
      <c r="C983" t="str">
        <f>"18:22:11.820"</f>
        <v>18:22:11.820</v>
      </c>
      <c r="D983" t="s">
        <v>399</v>
      </c>
      <c r="E983">
        <v>30.563041999999999</v>
      </c>
      <c r="F983" t="s">
        <v>400</v>
      </c>
      <c r="G983">
        <v>-89.824883999999997</v>
      </c>
      <c r="H983">
        <v>1600</v>
      </c>
      <c r="I983">
        <v>-114</v>
      </c>
      <c r="J983">
        <v>110</v>
      </c>
      <c r="K983">
        <v>64</v>
      </c>
      <c r="L983">
        <v>1200</v>
      </c>
      <c r="M983" t="str">
        <f t="shared" si="46"/>
        <v xml:space="preserve">N35DC   </v>
      </c>
      <c r="N983">
        <v>1</v>
      </c>
      <c r="O983">
        <v>1700</v>
      </c>
    </row>
    <row r="984" spans="1:15" x14ac:dyDescent="0.25">
      <c r="A984" t="str">
        <f>"10/21/2020 18:22:04.365"</f>
        <v>10/21/2020 18:22:04.365</v>
      </c>
      <c r="B984" t="str">
        <f>"18:22:12.320"</f>
        <v>18:22:12.320</v>
      </c>
      <c r="C984" t="str">
        <f>"18:22:11.820"</f>
        <v>18:22:11.820</v>
      </c>
      <c r="D984" t="s">
        <v>399</v>
      </c>
      <c r="E984">
        <v>30.563041999999999</v>
      </c>
      <c r="F984" t="s">
        <v>400</v>
      </c>
      <c r="G984">
        <v>-89.824883999999997</v>
      </c>
      <c r="H984">
        <v>1600</v>
      </c>
      <c r="I984">
        <v>-114</v>
      </c>
      <c r="J984">
        <v>110</v>
      </c>
      <c r="K984">
        <v>64</v>
      </c>
      <c r="L984">
        <v>1200</v>
      </c>
      <c r="M984" t="str">
        <f t="shared" si="46"/>
        <v xml:space="preserve">N35DC   </v>
      </c>
      <c r="N984">
        <v>1</v>
      </c>
      <c r="O984">
        <v>1700</v>
      </c>
    </row>
    <row r="985" spans="1:15" x14ac:dyDescent="0.25">
      <c r="A985" t="str">
        <f>"10/21/2020 18:22:04.365"</f>
        <v>10/21/2020 18:22:04.365</v>
      </c>
      <c r="B985" t="str">
        <f>"18:22:12.320"</f>
        <v>18:22:12.320</v>
      </c>
      <c r="C985" t="str">
        <f>"18:22:11.820"</f>
        <v>18:22:11.820</v>
      </c>
      <c r="D985" t="s">
        <v>399</v>
      </c>
      <c r="E985">
        <v>30.563041999999999</v>
      </c>
      <c r="F985" t="s">
        <v>400</v>
      </c>
      <c r="G985">
        <v>-89.824883999999997</v>
      </c>
      <c r="H985">
        <v>1600</v>
      </c>
      <c r="I985">
        <v>-114</v>
      </c>
      <c r="J985">
        <v>110</v>
      </c>
      <c r="K985">
        <v>64</v>
      </c>
      <c r="L985">
        <v>1200</v>
      </c>
      <c r="M985" t="str">
        <f t="shared" si="46"/>
        <v xml:space="preserve">N35DC   </v>
      </c>
      <c r="N985">
        <v>1</v>
      </c>
      <c r="O985">
        <v>1700</v>
      </c>
    </row>
    <row r="986" spans="1:15" x14ac:dyDescent="0.25">
      <c r="A986" t="str">
        <f>"10/21/2020 18:22:04.365"</f>
        <v>10/21/2020 18:22:04.365</v>
      </c>
      <c r="B986" t="str">
        <f>"18:22:12.320"</f>
        <v>18:22:12.320</v>
      </c>
      <c r="C986" t="str">
        <f>"18:22:11.820"</f>
        <v>18:22:11.820</v>
      </c>
      <c r="D986" t="s">
        <v>399</v>
      </c>
      <c r="E986">
        <v>30.563041999999999</v>
      </c>
      <c r="F986" t="s">
        <v>400</v>
      </c>
      <c r="G986">
        <v>-89.824883999999997</v>
      </c>
      <c r="H986">
        <v>1600</v>
      </c>
      <c r="I986">
        <v>-114</v>
      </c>
      <c r="J986">
        <v>110</v>
      </c>
      <c r="K986">
        <v>64</v>
      </c>
      <c r="L986">
        <v>1200</v>
      </c>
      <c r="M986" t="str">
        <f t="shared" si="46"/>
        <v xml:space="preserve">N35DC   </v>
      </c>
      <c r="N986">
        <v>1</v>
      </c>
      <c r="O986">
        <v>1700</v>
      </c>
    </row>
    <row r="987" spans="1:15" x14ac:dyDescent="0.25">
      <c r="A987" t="str">
        <f>"10/21/2020 18:22:07.160"</f>
        <v>10/21/2020 18:22:07.160</v>
      </c>
      <c r="B987" t="str">
        <f>"18:22:15.109"</f>
        <v>18:22:15.109</v>
      </c>
      <c r="C987" t="str">
        <f>"18:22:14.909"</f>
        <v>18:22:14.909</v>
      </c>
      <c r="D987" t="s">
        <v>401</v>
      </c>
      <c r="E987">
        <v>30.56448</v>
      </c>
      <c r="F987" t="s">
        <v>402</v>
      </c>
      <c r="G987">
        <v>-89.826578999999995</v>
      </c>
      <c r="H987">
        <v>1600</v>
      </c>
      <c r="I987">
        <v>-113</v>
      </c>
      <c r="J987">
        <v>110</v>
      </c>
      <c r="K987">
        <v>0</v>
      </c>
      <c r="L987">
        <v>1200</v>
      </c>
      <c r="M987" t="str">
        <f t="shared" si="46"/>
        <v xml:space="preserve">N35DC   </v>
      </c>
      <c r="N987">
        <v>1</v>
      </c>
      <c r="O987">
        <v>1675</v>
      </c>
    </row>
    <row r="988" spans="1:15" x14ac:dyDescent="0.25">
      <c r="A988" t="str">
        <f>"10/21/2020 18:22:07.160"</f>
        <v>10/21/2020 18:22:07.160</v>
      </c>
      <c r="B988" t="str">
        <f>"18:22:15.109"</f>
        <v>18:22:15.109</v>
      </c>
      <c r="C988" t="str">
        <f>"18:22:14.909"</f>
        <v>18:22:14.909</v>
      </c>
      <c r="D988" t="s">
        <v>401</v>
      </c>
      <c r="E988">
        <v>30.56448</v>
      </c>
      <c r="F988" t="s">
        <v>402</v>
      </c>
      <c r="G988">
        <v>-89.826578999999995</v>
      </c>
      <c r="H988">
        <v>1600</v>
      </c>
      <c r="I988">
        <v>-113</v>
      </c>
      <c r="J988">
        <v>110</v>
      </c>
      <c r="K988">
        <v>0</v>
      </c>
      <c r="L988">
        <v>1200</v>
      </c>
      <c r="M988" t="str">
        <f t="shared" si="46"/>
        <v xml:space="preserve">N35DC   </v>
      </c>
      <c r="N988">
        <v>1</v>
      </c>
      <c r="O988">
        <v>1675</v>
      </c>
    </row>
    <row r="989" spans="1:15" x14ac:dyDescent="0.25">
      <c r="A989" t="str">
        <f>"10/21/2020 18:22:07.160"</f>
        <v>10/21/2020 18:22:07.160</v>
      </c>
      <c r="B989" t="str">
        <f>"18:22:15.109"</f>
        <v>18:22:15.109</v>
      </c>
      <c r="C989" t="str">
        <f>"18:22:14.909"</f>
        <v>18:22:14.909</v>
      </c>
      <c r="D989" t="s">
        <v>401</v>
      </c>
      <c r="E989">
        <v>30.56448</v>
      </c>
      <c r="F989" t="s">
        <v>402</v>
      </c>
      <c r="G989">
        <v>-89.826578999999995</v>
      </c>
      <c r="H989">
        <v>1600</v>
      </c>
      <c r="I989">
        <v>-113</v>
      </c>
      <c r="J989">
        <v>110</v>
      </c>
      <c r="K989">
        <v>0</v>
      </c>
      <c r="L989">
        <v>1200</v>
      </c>
      <c r="M989" t="str">
        <f t="shared" si="46"/>
        <v xml:space="preserve">N35DC   </v>
      </c>
      <c r="N989">
        <v>1</v>
      </c>
      <c r="O989">
        <v>1675</v>
      </c>
    </row>
    <row r="990" spans="1:15" x14ac:dyDescent="0.25">
      <c r="A990" t="str">
        <f>"10/21/2020 18:22:07.160"</f>
        <v>10/21/2020 18:22:07.160</v>
      </c>
      <c r="B990" t="str">
        <f>"18:22:15.109"</f>
        <v>18:22:15.109</v>
      </c>
      <c r="C990" t="str">
        <f>"18:22:14.909"</f>
        <v>18:22:14.909</v>
      </c>
      <c r="D990" t="s">
        <v>401</v>
      </c>
      <c r="E990">
        <v>30.56448</v>
      </c>
      <c r="F990" t="s">
        <v>402</v>
      </c>
      <c r="G990">
        <v>-89.826578999999995</v>
      </c>
      <c r="H990">
        <v>1600</v>
      </c>
      <c r="I990">
        <v>-113</v>
      </c>
      <c r="J990">
        <v>110</v>
      </c>
      <c r="K990">
        <v>0</v>
      </c>
      <c r="L990">
        <v>1200</v>
      </c>
      <c r="M990" t="str">
        <f t="shared" si="46"/>
        <v xml:space="preserve">N35DC   </v>
      </c>
      <c r="N990">
        <v>1</v>
      </c>
      <c r="O990">
        <v>1675</v>
      </c>
    </row>
    <row r="991" spans="1:15" x14ac:dyDescent="0.25">
      <c r="A991" t="str">
        <f>"10/21/2020 18:22:07.160"</f>
        <v>10/21/2020 18:22:07.160</v>
      </c>
      <c r="B991" t="str">
        <f>"18:22:15.109"</f>
        <v>18:22:15.109</v>
      </c>
      <c r="C991" t="str">
        <f>"18:22:14.909"</f>
        <v>18:22:14.909</v>
      </c>
      <c r="D991" t="s">
        <v>401</v>
      </c>
      <c r="E991">
        <v>30.56448</v>
      </c>
      <c r="F991" t="s">
        <v>402</v>
      </c>
      <c r="G991">
        <v>-89.826578999999995</v>
      </c>
      <c r="H991">
        <v>1600</v>
      </c>
      <c r="I991">
        <v>-113</v>
      </c>
      <c r="J991">
        <v>110</v>
      </c>
      <c r="K991">
        <v>0</v>
      </c>
      <c r="L991">
        <v>1200</v>
      </c>
      <c r="M991" t="str">
        <f t="shared" si="46"/>
        <v xml:space="preserve">N35DC   </v>
      </c>
      <c r="N991">
        <v>1</v>
      </c>
      <c r="O991">
        <v>1675</v>
      </c>
    </row>
    <row r="992" spans="1:15" x14ac:dyDescent="0.25">
      <c r="A992" t="str">
        <f>"10/21/2020 18:22:10.266"</f>
        <v>10/21/2020 18:22:10.266</v>
      </c>
      <c r="B992" t="str">
        <f>"18:22:18.195"</f>
        <v>18:22:18.195</v>
      </c>
      <c r="C992" t="str">
        <f>"18:22:17.895"</f>
        <v>18:22:17.895</v>
      </c>
      <c r="D992" t="s">
        <v>403</v>
      </c>
      <c r="E992">
        <v>30.566068000000001</v>
      </c>
      <c r="F992" t="s">
        <v>404</v>
      </c>
      <c r="G992">
        <v>-89.828446</v>
      </c>
      <c r="H992">
        <v>1600</v>
      </c>
      <c r="I992">
        <v>-112</v>
      </c>
      <c r="J992">
        <v>109</v>
      </c>
      <c r="K992">
        <v>128</v>
      </c>
      <c r="L992">
        <v>1200</v>
      </c>
      <c r="M992" t="str">
        <f t="shared" si="46"/>
        <v xml:space="preserve">N35DC   </v>
      </c>
      <c r="N992">
        <v>1</v>
      </c>
      <c r="O992">
        <v>1700</v>
      </c>
    </row>
    <row r="993" spans="1:15" x14ac:dyDescent="0.25">
      <c r="A993" t="str">
        <f>"10/21/2020 18:22:10.266"</f>
        <v>10/21/2020 18:22:10.266</v>
      </c>
      <c r="B993" t="str">
        <f>"18:22:18.195"</f>
        <v>18:22:18.195</v>
      </c>
      <c r="C993" t="str">
        <f>"18:22:17.895"</f>
        <v>18:22:17.895</v>
      </c>
      <c r="D993" t="s">
        <v>403</v>
      </c>
      <c r="E993">
        <v>30.566068000000001</v>
      </c>
      <c r="F993" t="s">
        <v>404</v>
      </c>
      <c r="G993">
        <v>-89.828446</v>
      </c>
      <c r="H993">
        <v>1600</v>
      </c>
      <c r="I993">
        <v>-112</v>
      </c>
      <c r="J993">
        <v>109</v>
      </c>
      <c r="K993">
        <v>128</v>
      </c>
      <c r="L993">
        <v>1200</v>
      </c>
      <c r="M993" t="str">
        <f t="shared" si="46"/>
        <v xml:space="preserve">N35DC   </v>
      </c>
      <c r="N993">
        <v>1</v>
      </c>
      <c r="O993">
        <v>1700</v>
      </c>
    </row>
    <row r="994" spans="1:15" x14ac:dyDescent="0.25">
      <c r="A994" t="str">
        <f>"10/21/2020 18:22:10.266"</f>
        <v>10/21/2020 18:22:10.266</v>
      </c>
      <c r="B994" t="str">
        <f>"18:22:18.195"</f>
        <v>18:22:18.195</v>
      </c>
      <c r="C994" t="str">
        <f>"18:22:17.895"</f>
        <v>18:22:17.895</v>
      </c>
      <c r="D994" t="s">
        <v>403</v>
      </c>
      <c r="E994">
        <v>30.566068000000001</v>
      </c>
      <c r="F994" t="s">
        <v>404</v>
      </c>
      <c r="G994">
        <v>-89.828446</v>
      </c>
      <c r="H994">
        <v>1600</v>
      </c>
      <c r="I994">
        <v>-112</v>
      </c>
      <c r="J994">
        <v>109</v>
      </c>
      <c r="K994">
        <v>128</v>
      </c>
      <c r="L994">
        <v>1200</v>
      </c>
      <c r="M994" t="str">
        <f t="shared" si="46"/>
        <v xml:space="preserve">N35DC   </v>
      </c>
      <c r="N994">
        <v>1</v>
      </c>
      <c r="O994">
        <v>1700</v>
      </c>
    </row>
    <row r="995" spans="1:15" x14ac:dyDescent="0.25">
      <c r="A995" t="str">
        <f>"10/21/2020 18:22:10.266"</f>
        <v>10/21/2020 18:22:10.266</v>
      </c>
      <c r="B995" t="str">
        <f>"18:22:18.195"</f>
        <v>18:22:18.195</v>
      </c>
      <c r="C995" t="str">
        <f>"18:22:17.895"</f>
        <v>18:22:17.895</v>
      </c>
      <c r="D995" t="s">
        <v>403</v>
      </c>
      <c r="E995">
        <v>30.566068000000001</v>
      </c>
      <c r="F995" t="s">
        <v>404</v>
      </c>
      <c r="G995">
        <v>-89.828446</v>
      </c>
      <c r="H995">
        <v>1600</v>
      </c>
      <c r="I995">
        <v>-112</v>
      </c>
      <c r="J995">
        <v>109</v>
      </c>
      <c r="K995">
        <v>128</v>
      </c>
      <c r="L995">
        <v>1200</v>
      </c>
      <c r="M995" t="str">
        <f t="shared" si="46"/>
        <v xml:space="preserve">N35DC   </v>
      </c>
      <c r="N995">
        <v>1</v>
      </c>
      <c r="O995">
        <v>1700</v>
      </c>
    </row>
    <row r="996" spans="1:15" x14ac:dyDescent="0.25">
      <c r="A996" t="str">
        <f>"10/21/2020 18:22:10.266"</f>
        <v>10/21/2020 18:22:10.266</v>
      </c>
      <c r="B996" t="str">
        <f>"18:22:18.195"</f>
        <v>18:22:18.195</v>
      </c>
      <c r="C996" t="str">
        <f>"18:22:17.895"</f>
        <v>18:22:17.895</v>
      </c>
      <c r="D996" t="s">
        <v>403</v>
      </c>
      <c r="E996">
        <v>30.566068000000001</v>
      </c>
      <c r="F996" t="s">
        <v>404</v>
      </c>
      <c r="G996">
        <v>-89.828446</v>
      </c>
      <c r="H996">
        <v>1600</v>
      </c>
      <c r="I996">
        <v>-112</v>
      </c>
      <c r="J996">
        <v>109</v>
      </c>
      <c r="K996">
        <v>128</v>
      </c>
      <c r="L996">
        <v>1200</v>
      </c>
      <c r="M996" t="str">
        <f t="shared" si="46"/>
        <v xml:space="preserve">N35DC   </v>
      </c>
      <c r="N996">
        <v>1</v>
      </c>
      <c r="O996">
        <v>1700</v>
      </c>
    </row>
    <row r="997" spans="1:15" x14ac:dyDescent="0.25">
      <c r="A997" t="str">
        <f>"10/21/2020 18:22:13.225"</f>
        <v>10/21/2020 18:22:13.225</v>
      </c>
      <c r="B997" t="str">
        <f>"18:22:21.164"</f>
        <v>18:22:21.164</v>
      </c>
      <c r="C997" t="str">
        <f>"18:22:20.864"</f>
        <v>18:22:20.864</v>
      </c>
      <c r="D997" t="s">
        <v>405</v>
      </c>
      <c r="E997">
        <v>30.567591</v>
      </c>
      <c r="F997" t="s">
        <v>406</v>
      </c>
      <c r="G997">
        <v>-89.830247999999997</v>
      </c>
      <c r="H997">
        <v>1600</v>
      </c>
      <c r="I997">
        <v>-111</v>
      </c>
      <c r="J997">
        <v>110</v>
      </c>
      <c r="K997">
        <v>0</v>
      </c>
      <c r="L997">
        <v>1200</v>
      </c>
      <c r="M997" t="str">
        <f t="shared" si="46"/>
        <v xml:space="preserve">N35DC   </v>
      </c>
      <c r="N997">
        <v>1</v>
      </c>
      <c r="O997">
        <v>1700</v>
      </c>
    </row>
    <row r="998" spans="1:15" x14ac:dyDescent="0.25">
      <c r="A998" t="str">
        <f>"10/21/2020 18:22:13.225"</f>
        <v>10/21/2020 18:22:13.225</v>
      </c>
      <c r="B998" t="str">
        <f>"18:22:21.164"</f>
        <v>18:22:21.164</v>
      </c>
      <c r="C998" t="str">
        <f>"18:22:20.864"</f>
        <v>18:22:20.864</v>
      </c>
      <c r="D998" t="s">
        <v>405</v>
      </c>
      <c r="E998">
        <v>30.567591</v>
      </c>
      <c r="F998" t="s">
        <v>406</v>
      </c>
      <c r="G998">
        <v>-89.830247999999997</v>
      </c>
      <c r="H998">
        <v>1600</v>
      </c>
      <c r="I998">
        <v>-111</v>
      </c>
      <c r="J998">
        <v>110</v>
      </c>
      <c r="K998">
        <v>0</v>
      </c>
      <c r="L998">
        <v>1200</v>
      </c>
      <c r="M998" t="str">
        <f t="shared" si="46"/>
        <v xml:space="preserve">N35DC   </v>
      </c>
      <c r="N998">
        <v>1</v>
      </c>
      <c r="O998">
        <v>1700</v>
      </c>
    </row>
    <row r="999" spans="1:15" x14ac:dyDescent="0.25">
      <c r="A999" t="str">
        <f>"10/21/2020 18:22:13.225"</f>
        <v>10/21/2020 18:22:13.225</v>
      </c>
      <c r="B999" t="str">
        <f>"18:22:21.164"</f>
        <v>18:22:21.164</v>
      </c>
      <c r="C999" t="str">
        <f>"18:22:20.864"</f>
        <v>18:22:20.864</v>
      </c>
      <c r="D999" t="s">
        <v>405</v>
      </c>
      <c r="E999">
        <v>30.567591</v>
      </c>
      <c r="F999" t="s">
        <v>406</v>
      </c>
      <c r="G999">
        <v>-89.830247999999997</v>
      </c>
      <c r="H999">
        <v>1600</v>
      </c>
      <c r="I999">
        <v>-111</v>
      </c>
      <c r="J999">
        <v>110</v>
      </c>
      <c r="K999">
        <v>0</v>
      </c>
      <c r="L999">
        <v>1200</v>
      </c>
      <c r="M999" t="str">
        <f t="shared" si="46"/>
        <v xml:space="preserve">N35DC   </v>
      </c>
      <c r="N999">
        <v>1</v>
      </c>
      <c r="O999">
        <v>1700</v>
      </c>
    </row>
    <row r="1000" spans="1:15" x14ac:dyDescent="0.25">
      <c r="A1000" t="str">
        <f>"10/21/2020 18:22:13.225"</f>
        <v>10/21/2020 18:22:13.225</v>
      </c>
      <c r="B1000" t="str">
        <f>"18:22:21.164"</f>
        <v>18:22:21.164</v>
      </c>
      <c r="C1000" t="str">
        <f>"18:22:20.864"</f>
        <v>18:22:20.864</v>
      </c>
      <c r="D1000" t="s">
        <v>405</v>
      </c>
      <c r="E1000">
        <v>30.567591</v>
      </c>
      <c r="F1000" t="s">
        <v>406</v>
      </c>
      <c r="G1000">
        <v>-89.830247999999997</v>
      </c>
      <c r="H1000">
        <v>1600</v>
      </c>
      <c r="I1000">
        <v>-111</v>
      </c>
      <c r="J1000">
        <v>110</v>
      </c>
      <c r="K1000">
        <v>0</v>
      </c>
      <c r="L1000">
        <v>1200</v>
      </c>
      <c r="M1000" t="str">
        <f t="shared" si="46"/>
        <v xml:space="preserve">N35DC   </v>
      </c>
      <c r="N1000">
        <v>1</v>
      </c>
      <c r="O1000">
        <v>1700</v>
      </c>
    </row>
    <row r="1001" spans="1:15" x14ac:dyDescent="0.25">
      <c r="A1001" t="str">
        <f>"10/21/2020 18:22:13.225"</f>
        <v>10/21/2020 18:22:13.225</v>
      </c>
      <c r="B1001" t="str">
        <f>"18:22:21.164"</f>
        <v>18:22:21.164</v>
      </c>
      <c r="C1001" t="str">
        <f>"18:22:20.864"</f>
        <v>18:22:20.864</v>
      </c>
      <c r="D1001" t="s">
        <v>405</v>
      </c>
      <c r="E1001">
        <v>30.567591</v>
      </c>
      <c r="F1001" t="s">
        <v>406</v>
      </c>
      <c r="G1001">
        <v>-89.830247999999997</v>
      </c>
      <c r="H1001">
        <v>1600</v>
      </c>
      <c r="I1001">
        <v>-111</v>
      </c>
      <c r="J1001">
        <v>110</v>
      </c>
      <c r="K1001">
        <v>0</v>
      </c>
      <c r="L1001">
        <v>1200</v>
      </c>
      <c r="M1001" t="str">
        <f t="shared" si="46"/>
        <v xml:space="preserve">N35DC   </v>
      </c>
      <c r="N1001">
        <v>1</v>
      </c>
      <c r="O1001">
        <v>1700</v>
      </c>
    </row>
    <row r="1002" spans="1:15" x14ac:dyDescent="0.25">
      <c r="A1002" t="str">
        <f>"10/21/2020 18:22:14.234"</f>
        <v>10/21/2020 18:22:14.234</v>
      </c>
      <c r="B1002" t="str">
        <f>"18:22:22.187"</f>
        <v>18:22:22.187</v>
      </c>
      <c r="C1002" t="str">
        <f>"18:22:21.988"</f>
        <v>18:22:21.988</v>
      </c>
      <c r="D1002" t="s">
        <v>407</v>
      </c>
      <c r="E1002">
        <v>30.568062999999999</v>
      </c>
      <c r="F1002" t="s">
        <v>408</v>
      </c>
      <c r="G1002">
        <v>-89.830805999999995</v>
      </c>
      <c r="H1002">
        <v>1600</v>
      </c>
      <c r="I1002">
        <v>-110</v>
      </c>
      <c r="J1002">
        <v>110</v>
      </c>
      <c r="K1002">
        <v>64</v>
      </c>
      <c r="L1002">
        <v>1200</v>
      </c>
      <c r="M1002" t="str">
        <f t="shared" si="46"/>
        <v xml:space="preserve">N35DC   </v>
      </c>
      <c r="N1002">
        <v>1</v>
      </c>
      <c r="O1002">
        <v>1700</v>
      </c>
    </row>
    <row r="1003" spans="1:15" x14ac:dyDescent="0.25">
      <c r="A1003" t="str">
        <f>"10/21/2020 18:22:14.234"</f>
        <v>10/21/2020 18:22:14.234</v>
      </c>
      <c r="B1003" t="str">
        <f>"18:22:22.187"</f>
        <v>18:22:22.187</v>
      </c>
      <c r="C1003" t="str">
        <f>"18:22:21.988"</f>
        <v>18:22:21.988</v>
      </c>
      <c r="D1003" t="s">
        <v>407</v>
      </c>
      <c r="E1003">
        <v>30.568062999999999</v>
      </c>
      <c r="F1003" t="s">
        <v>408</v>
      </c>
      <c r="G1003">
        <v>-89.830805999999995</v>
      </c>
      <c r="H1003">
        <v>1600</v>
      </c>
      <c r="I1003">
        <v>-110</v>
      </c>
      <c r="J1003">
        <v>110</v>
      </c>
      <c r="K1003">
        <v>64</v>
      </c>
      <c r="L1003">
        <v>1200</v>
      </c>
      <c r="M1003" t="str">
        <f t="shared" si="46"/>
        <v xml:space="preserve">N35DC   </v>
      </c>
      <c r="N1003">
        <v>1</v>
      </c>
      <c r="O1003">
        <v>1700</v>
      </c>
    </row>
    <row r="1004" spans="1:15" x14ac:dyDescent="0.25">
      <c r="A1004" t="str">
        <f>"10/21/2020 18:22:14.234"</f>
        <v>10/21/2020 18:22:14.234</v>
      </c>
      <c r="B1004" t="str">
        <f>"18:22:22.187"</f>
        <v>18:22:22.187</v>
      </c>
      <c r="C1004" t="str">
        <f>"18:22:21.988"</f>
        <v>18:22:21.988</v>
      </c>
      <c r="D1004" t="s">
        <v>407</v>
      </c>
      <c r="E1004">
        <v>30.568062999999999</v>
      </c>
      <c r="F1004" t="s">
        <v>408</v>
      </c>
      <c r="G1004">
        <v>-89.830805999999995</v>
      </c>
      <c r="H1004">
        <v>1600</v>
      </c>
      <c r="I1004">
        <v>-110</v>
      </c>
      <c r="J1004">
        <v>110</v>
      </c>
      <c r="K1004">
        <v>64</v>
      </c>
      <c r="L1004">
        <v>1200</v>
      </c>
      <c r="M1004" t="str">
        <f t="shared" si="46"/>
        <v xml:space="preserve">N35DC   </v>
      </c>
      <c r="N1004">
        <v>1</v>
      </c>
      <c r="O1004">
        <v>1700</v>
      </c>
    </row>
    <row r="1005" spans="1:15" x14ac:dyDescent="0.25">
      <c r="A1005" t="str">
        <f>"10/21/2020 18:22:14.234"</f>
        <v>10/21/2020 18:22:14.234</v>
      </c>
      <c r="B1005" t="str">
        <f>"18:22:22.187"</f>
        <v>18:22:22.187</v>
      </c>
      <c r="C1005" t="str">
        <f>"18:22:21.988"</f>
        <v>18:22:21.988</v>
      </c>
      <c r="D1005" t="s">
        <v>407</v>
      </c>
      <c r="E1005">
        <v>30.568062999999999</v>
      </c>
      <c r="F1005" t="s">
        <v>408</v>
      </c>
      <c r="G1005">
        <v>-89.830805999999995</v>
      </c>
      <c r="H1005">
        <v>1600</v>
      </c>
      <c r="I1005">
        <v>-110</v>
      </c>
      <c r="J1005">
        <v>110</v>
      </c>
      <c r="K1005">
        <v>64</v>
      </c>
      <c r="L1005">
        <v>1200</v>
      </c>
      <c r="M1005" t="str">
        <f t="shared" si="46"/>
        <v xml:space="preserve">N35DC   </v>
      </c>
      <c r="N1005">
        <v>1</v>
      </c>
      <c r="O1005">
        <v>1700</v>
      </c>
    </row>
    <row r="1006" spans="1:15" x14ac:dyDescent="0.25">
      <c r="A1006" t="str">
        <f>"10/21/2020 18:22:14.234"</f>
        <v>10/21/2020 18:22:14.234</v>
      </c>
      <c r="B1006" t="str">
        <f>"18:22:22.187"</f>
        <v>18:22:22.187</v>
      </c>
      <c r="C1006" t="str">
        <f>"18:22:21.988"</f>
        <v>18:22:21.988</v>
      </c>
      <c r="D1006" t="s">
        <v>407</v>
      </c>
      <c r="E1006">
        <v>30.568062999999999</v>
      </c>
      <c r="F1006" t="s">
        <v>408</v>
      </c>
      <c r="G1006">
        <v>-89.830805999999995</v>
      </c>
      <c r="H1006">
        <v>1600</v>
      </c>
      <c r="I1006">
        <v>-110</v>
      </c>
      <c r="J1006">
        <v>110</v>
      </c>
      <c r="K1006">
        <v>64</v>
      </c>
      <c r="L1006">
        <v>1200</v>
      </c>
      <c r="M1006" t="str">
        <f t="shared" si="46"/>
        <v xml:space="preserve">N35DC   </v>
      </c>
      <c r="N1006">
        <v>1</v>
      </c>
      <c r="O1006">
        <v>1700</v>
      </c>
    </row>
    <row r="1007" spans="1:15" x14ac:dyDescent="0.25">
      <c r="A1007" t="str">
        <f>"10/21/2020 18:22:17.472"</f>
        <v>10/21/2020 18:22:17.472</v>
      </c>
      <c r="B1007" t="str">
        <f>"18:22:25.398"</f>
        <v>18:22:25.398</v>
      </c>
      <c r="C1007" t="str">
        <f>"18:22:24.998"</f>
        <v>18:22:24.998</v>
      </c>
      <c r="D1007" t="s">
        <v>409</v>
      </c>
      <c r="E1007">
        <v>30.569737</v>
      </c>
      <c r="F1007" t="s">
        <v>410</v>
      </c>
      <c r="G1007">
        <v>-89.832673</v>
      </c>
      <c r="H1007">
        <v>1600</v>
      </c>
      <c r="I1007">
        <v>-110</v>
      </c>
      <c r="J1007">
        <v>110</v>
      </c>
      <c r="K1007">
        <v>64</v>
      </c>
      <c r="L1007">
        <v>1200</v>
      </c>
      <c r="M1007" t="str">
        <f t="shared" si="46"/>
        <v xml:space="preserve">N35DC   </v>
      </c>
      <c r="N1007">
        <v>1</v>
      </c>
      <c r="O1007">
        <v>1700</v>
      </c>
    </row>
    <row r="1008" spans="1:15" x14ac:dyDescent="0.25">
      <c r="A1008" t="str">
        <f>"10/21/2020 18:22:17.472"</f>
        <v>10/21/2020 18:22:17.472</v>
      </c>
      <c r="B1008" t="str">
        <f>"18:22:25.398"</f>
        <v>18:22:25.398</v>
      </c>
      <c r="C1008" t="str">
        <f>"18:22:24.998"</f>
        <v>18:22:24.998</v>
      </c>
      <c r="D1008" t="s">
        <v>409</v>
      </c>
      <c r="E1008">
        <v>30.569737</v>
      </c>
      <c r="F1008" t="s">
        <v>410</v>
      </c>
      <c r="G1008">
        <v>-89.832673</v>
      </c>
      <c r="H1008">
        <v>1600</v>
      </c>
      <c r="I1008">
        <v>-110</v>
      </c>
      <c r="J1008">
        <v>110</v>
      </c>
      <c r="K1008">
        <v>64</v>
      </c>
      <c r="L1008">
        <v>1200</v>
      </c>
      <c r="M1008" t="str">
        <f t="shared" si="46"/>
        <v xml:space="preserve">N35DC   </v>
      </c>
      <c r="N1008">
        <v>1</v>
      </c>
      <c r="O1008">
        <v>1700</v>
      </c>
    </row>
    <row r="1009" spans="1:15" x14ac:dyDescent="0.25">
      <c r="A1009" t="str">
        <f>"10/21/2020 18:22:17.472"</f>
        <v>10/21/2020 18:22:17.472</v>
      </c>
      <c r="B1009" t="str">
        <f>"18:22:25.398"</f>
        <v>18:22:25.398</v>
      </c>
      <c r="C1009" t="str">
        <f>"18:22:24.998"</f>
        <v>18:22:24.998</v>
      </c>
      <c r="D1009" t="s">
        <v>409</v>
      </c>
      <c r="E1009">
        <v>30.569737</v>
      </c>
      <c r="F1009" t="s">
        <v>410</v>
      </c>
      <c r="G1009">
        <v>-89.832673</v>
      </c>
      <c r="H1009">
        <v>1600</v>
      </c>
      <c r="I1009">
        <v>-110</v>
      </c>
      <c r="J1009">
        <v>110</v>
      </c>
      <c r="K1009">
        <v>64</v>
      </c>
      <c r="L1009">
        <v>1200</v>
      </c>
      <c r="M1009" t="str">
        <f t="shared" si="46"/>
        <v xml:space="preserve">N35DC   </v>
      </c>
      <c r="N1009">
        <v>1</v>
      </c>
      <c r="O1009">
        <v>1700</v>
      </c>
    </row>
    <row r="1010" spans="1:15" x14ac:dyDescent="0.25">
      <c r="A1010" t="str">
        <f>"10/21/2020 18:22:17.472"</f>
        <v>10/21/2020 18:22:17.472</v>
      </c>
      <c r="B1010" t="str">
        <f>"18:22:25.398"</f>
        <v>18:22:25.398</v>
      </c>
      <c r="C1010" t="str">
        <f>"18:22:24.998"</f>
        <v>18:22:24.998</v>
      </c>
      <c r="D1010" t="s">
        <v>409</v>
      </c>
      <c r="E1010">
        <v>30.569737</v>
      </c>
      <c r="F1010" t="s">
        <v>410</v>
      </c>
      <c r="G1010">
        <v>-89.832673</v>
      </c>
      <c r="H1010">
        <v>1600</v>
      </c>
      <c r="I1010">
        <v>-110</v>
      </c>
      <c r="J1010">
        <v>110</v>
      </c>
      <c r="K1010">
        <v>64</v>
      </c>
      <c r="L1010">
        <v>1200</v>
      </c>
      <c r="M1010" t="str">
        <f t="shared" si="46"/>
        <v xml:space="preserve">N35DC   </v>
      </c>
      <c r="N1010">
        <v>1</v>
      </c>
      <c r="O1010">
        <v>1700</v>
      </c>
    </row>
    <row r="1011" spans="1:15" x14ac:dyDescent="0.25">
      <c r="A1011" t="str">
        <f>"10/21/2020 18:22:17.472"</f>
        <v>10/21/2020 18:22:17.472</v>
      </c>
      <c r="B1011" t="str">
        <f>"18:22:25.398"</f>
        <v>18:22:25.398</v>
      </c>
      <c r="C1011" t="str">
        <f>"18:22:24.998"</f>
        <v>18:22:24.998</v>
      </c>
      <c r="D1011" t="s">
        <v>409</v>
      </c>
      <c r="E1011">
        <v>30.569737</v>
      </c>
      <c r="F1011" t="s">
        <v>410</v>
      </c>
      <c r="G1011">
        <v>-89.832673</v>
      </c>
      <c r="H1011">
        <v>1600</v>
      </c>
      <c r="I1011">
        <v>-110</v>
      </c>
      <c r="J1011">
        <v>110</v>
      </c>
      <c r="K1011">
        <v>64</v>
      </c>
      <c r="L1011">
        <v>1200</v>
      </c>
      <c r="M1011" t="str">
        <f t="shared" si="46"/>
        <v xml:space="preserve">N35DC   </v>
      </c>
      <c r="N1011">
        <v>1</v>
      </c>
      <c r="O1011">
        <v>1700</v>
      </c>
    </row>
    <row r="1012" spans="1:15" x14ac:dyDescent="0.25">
      <c r="A1012" t="str">
        <f>"10/21/2020 18:22:18.456"</f>
        <v>10/21/2020 18:22:18.456</v>
      </c>
      <c r="B1012" t="str">
        <f>"18:22:26.398"</f>
        <v>18:22:26.398</v>
      </c>
      <c r="C1012" t="str">
        <f>"18:22:26.098"</f>
        <v>18:22:26.098</v>
      </c>
      <c r="D1012" t="s">
        <v>411</v>
      </c>
      <c r="E1012">
        <v>30.570229999999999</v>
      </c>
      <c r="F1012" t="s">
        <v>412</v>
      </c>
      <c r="G1012">
        <v>-89.833316999999994</v>
      </c>
      <c r="H1012">
        <v>1600</v>
      </c>
      <c r="I1012">
        <v>-110</v>
      </c>
      <c r="J1012">
        <v>110</v>
      </c>
      <c r="K1012">
        <v>0</v>
      </c>
      <c r="L1012">
        <v>1200</v>
      </c>
      <c r="M1012" t="str">
        <f t="shared" si="46"/>
        <v xml:space="preserve">N35DC   </v>
      </c>
      <c r="N1012">
        <v>1</v>
      </c>
      <c r="O1012">
        <v>1700</v>
      </c>
    </row>
    <row r="1013" spans="1:15" x14ac:dyDescent="0.25">
      <c r="A1013" t="str">
        <f>"10/21/2020 18:22:18.456"</f>
        <v>10/21/2020 18:22:18.456</v>
      </c>
      <c r="B1013" t="str">
        <f>"18:22:26.398"</f>
        <v>18:22:26.398</v>
      </c>
      <c r="C1013" t="str">
        <f>"18:22:26.098"</f>
        <v>18:22:26.098</v>
      </c>
      <c r="D1013" t="s">
        <v>411</v>
      </c>
      <c r="E1013">
        <v>30.570229999999999</v>
      </c>
      <c r="F1013" t="s">
        <v>412</v>
      </c>
      <c r="G1013">
        <v>-89.833316999999994</v>
      </c>
      <c r="H1013">
        <v>1600</v>
      </c>
      <c r="I1013">
        <v>-110</v>
      </c>
      <c r="J1013">
        <v>110</v>
      </c>
      <c r="K1013">
        <v>0</v>
      </c>
      <c r="L1013">
        <v>1200</v>
      </c>
      <c r="M1013" t="str">
        <f t="shared" si="46"/>
        <v xml:space="preserve">N35DC   </v>
      </c>
      <c r="N1013">
        <v>1</v>
      </c>
      <c r="O1013">
        <v>1700</v>
      </c>
    </row>
    <row r="1014" spans="1:15" x14ac:dyDescent="0.25">
      <c r="A1014" t="str">
        <f>"10/21/2020 18:22:18.456"</f>
        <v>10/21/2020 18:22:18.456</v>
      </c>
      <c r="B1014" t="str">
        <f>"18:22:26.398"</f>
        <v>18:22:26.398</v>
      </c>
      <c r="C1014" t="str">
        <f>"18:22:26.098"</f>
        <v>18:22:26.098</v>
      </c>
      <c r="D1014" t="s">
        <v>411</v>
      </c>
      <c r="E1014">
        <v>30.570229999999999</v>
      </c>
      <c r="F1014" t="s">
        <v>412</v>
      </c>
      <c r="G1014">
        <v>-89.833316999999994</v>
      </c>
      <c r="H1014">
        <v>1600</v>
      </c>
      <c r="I1014">
        <v>-110</v>
      </c>
      <c r="J1014">
        <v>110</v>
      </c>
      <c r="K1014">
        <v>0</v>
      </c>
      <c r="L1014">
        <v>1200</v>
      </c>
      <c r="M1014" t="str">
        <f t="shared" si="46"/>
        <v xml:space="preserve">N35DC   </v>
      </c>
      <c r="N1014">
        <v>1</v>
      </c>
      <c r="O1014">
        <v>1700</v>
      </c>
    </row>
    <row r="1015" spans="1:15" x14ac:dyDescent="0.25">
      <c r="A1015" t="str">
        <f>"10/21/2020 18:22:18.456"</f>
        <v>10/21/2020 18:22:18.456</v>
      </c>
      <c r="B1015" t="str">
        <f>"18:22:26.398"</f>
        <v>18:22:26.398</v>
      </c>
      <c r="C1015" t="str">
        <f>"18:22:26.098"</f>
        <v>18:22:26.098</v>
      </c>
      <c r="D1015" t="s">
        <v>411</v>
      </c>
      <c r="E1015">
        <v>30.570229999999999</v>
      </c>
      <c r="F1015" t="s">
        <v>412</v>
      </c>
      <c r="G1015">
        <v>-89.833316999999994</v>
      </c>
      <c r="H1015">
        <v>1600</v>
      </c>
      <c r="I1015">
        <v>-110</v>
      </c>
      <c r="J1015">
        <v>110</v>
      </c>
      <c r="K1015">
        <v>0</v>
      </c>
      <c r="L1015">
        <v>1200</v>
      </c>
      <c r="M1015" t="str">
        <f t="shared" si="46"/>
        <v xml:space="preserve">N35DC   </v>
      </c>
      <c r="N1015">
        <v>1</v>
      </c>
      <c r="O1015">
        <v>1700</v>
      </c>
    </row>
    <row r="1016" spans="1:15" x14ac:dyDescent="0.25">
      <c r="A1016" t="str">
        <f>"10/21/2020 18:22:18.456"</f>
        <v>10/21/2020 18:22:18.456</v>
      </c>
      <c r="B1016" t="str">
        <f>"18:22:26.398"</f>
        <v>18:22:26.398</v>
      </c>
      <c r="C1016" t="str">
        <f>"18:22:26.098"</f>
        <v>18:22:26.098</v>
      </c>
      <c r="D1016" t="s">
        <v>411</v>
      </c>
      <c r="E1016">
        <v>30.570229999999999</v>
      </c>
      <c r="F1016" t="s">
        <v>412</v>
      </c>
      <c r="G1016">
        <v>-89.833316999999994</v>
      </c>
      <c r="H1016">
        <v>1600</v>
      </c>
      <c r="I1016">
        <v>-110</v>
      </c>
      <c r="J1016">
        <v>110</v>
      </c>
      <c r="K1016">
        <v>0</v>
      </c>
      <c r="L1016">
        <v>1200</v>
      </c>
      <c r="M1016" t="str">
        <f t="shared" si="46"/>
        <v xml:space="preserve">N35DC   </v>
      </c>
      <c r="N1016">
        <v>1</v>
      </c>
      <c r="O1016">
        <v>1700</v>
      </c>
    </row>
    <row r="1017" spans="1:15" x14ac:dyDescent="0.25">
      <c r="A1017" t="str">
        <f>"10/21/2020 18:22:21.443"</f>
        <v>10/21/2020 18:22:21.443</v>
      </c>
      <c r="B1017" t="str">
        <f>"18:22:29.375"</f>
        <v>18:22:29.375</v>
      </c>
      <c r="C1017" t="str">
        <f>"18:22:29.075"</f>
        <v>18:22:29.075</v>
      </c>
      <c r="D1017" t="s">
        <v>413</v>
      </c>
      <c r="E1017">
        <v>30.571732999999998</v>
      </c>
      <c r="F1017" t="s">
        <v>414</v>
      </c>
      <c r="G1017">
        <v>-89.835098000000002</v>
      </c>
      <c r="H1017">
        <v>1600</v>
      </c>
      <c r="I1017">
        <v>-112</v>
      </c>
      <c r="J1017">
        <v>110</v>
      </c>
      <c r="K1017">
        <v>0</v>
      </c>
      <c r="L1017">
        <v>1200</v>
      </c>
      <c r="M1017" t="str">
        <f t="shared" si="46"/>
        <v xml:space="preserve">N35DC   </v>
      </c>
      <c r="N1017">
        <v>1</v>
      </c>
      <c r="O1017">
        <v>1700</v>
      </c>
    </row>
    <row r="1018" spans="1:15" x14ac:dyDescent="0.25">
      <c r="A1018" t="str">
        <f>"10/21/2020 18:22:21.443"</f>
        <v>10/21/2020 18:22:21.443</v>
      </c>
      <c r="B1018" t="str">
        <f>"18:22:29.375"</f>
        <v>18:22:29.375</v>
      </c>
      <c r="C1018" t="str">
        <f>"18:22:29.075"</f>
        <v>18:22:29.075</v>
      </c>
      <c r="D1018" t="s">
        <v>413</v>
      </c>
      <c r="E1018">
        <v>30.571732999999998</v>
      </c>
      <c r="F1018" t="s">
        <v>414</v>
      </c>
      <c r="G1018">
        <v>-89.835098000000002</v>
      </c>
      <c r="H1018">
        <v>1600</v>
      </c>
      <c r="I1018">
        <v>-112</v>
      </c>
      <c r="J1018">
        <v>110</v>
      </c>
      <c r="K1018">
        <v>0</v>
      </c>
      <c r="L1018">
        <v>1200</v>
      </c>
      <c r="M1018" t="str">
        <f t="shared" si="46"/>
        <v xml:space="preserve">N35DC   </v>
      </c>
      <c r="N1018">
        <v>1</v>
      </c>
      <c r="O1018">
        <v>1700</v>
      </c>
    </row>
    <row r="1019" spans="1:15" x14ac:dyDescent="0.25">
      <c r="A1019" t="str">
        <f>"10/21/2020 18:22:21.443"</f>
        <v>10/21/2020 18:22:21.443</v>
      </c>
      <c r="B1019" t="str">
        <f>"18:22:29.375"</f>
        <v>18:22:29.375</v>
      </c>
      <c r="C1019" t="str">
        <f>"18:22:29.075"</f>
        <v>18:22:29.075</v>
      </c>
      <c r="D1019" t="s">
        <v>413</v>
      </c>
      <c r="E1019">
        <v>30.571732999999998</v>
      </c>
      <c r="F1019" t="s">
        <v>414</v>
      </c>
      <c r="G1019">
        <v>-89.835098000000002</v>
      </c>
      <c r="H1019">
        <v>1600</v>
      </c>
      <c r="I1019">
        <v>-112</v>
      </c>
      <c r="J1019">
        <v>110</v>
      </c>
      <c r="K1019">
        <v>0</v>
      </c>
      <c r="L1019">
        <v>1200</v>
      </c>
      <c r="M1019" t="str">
        <f t="shared" si="46"/>
        <v xml:space="preserve">N35DC   </v>
      </c>
      <c r="N1019">
        <v>1</v>
      </c>
      <c r="O1019">
        <v>1700</v>
      </c>
    </row>
    <row r="1020" spans="1:15" x14ac:dyDescent="0.25">
      <c r="A1020" t="str">
        <f>"10/21/2020 18:22:21.443"</f>
        <v>10/21/2020 18:22:21.443</v>
      </c>
      <c r="B1020" t="str">
        <f>"18:22:29.375"</f>
        <v>18:22:29.375</v>
      </c>
      <c r="C1020" t="str">
        <f>"18:22:29.075"</f>
        <v>18:22:29.075</v>
      </c>
      <c r="D1020" t="s">
        <v>413</v>
      </c>
      <c r="E1020">
        <v>30.571732999999998</v>
      </c>
      <c r="F1020" t="s">
        <v>414</v>
      </c>
      <c r="G1020">
        <v>-89.835098000000002</v>
      </c>
      <c r="H1020">
        <v>1600</v>
      </c>
      <c r="I1020">
        <v>-112</v>
      </c>
      <c r="J1020">
        <v>110</v>
      </c>
      <c r="K1020">
        <v>0</v>
      </c>
      <c r="L1020">
        <v>1200</v>
      </c>
      <c r="M1020" t="str">
        <f t="shared" si="46"/>
        <v xml:space="preserve">N35DC   </v>
      </c>
      <c r="N1020">
        <v>1</v>
      </c>
      <c r="O1020">
        <v>1700</v>
      </c>
    </row>
    <row r="1021" spans="1:15" x14ac:dyDescent="0.25">
      <c r="A1021" t="str">
        <f>"10/21/2020 18:22:21.443"</f>
        <v>10/21/2020 18:22:21.443</v>
      </c>
      <c r="B1021" t="str">
        <f>"18:22:29.375"</f>
        <v>18:22:29.375</v>
      </c>
      <c r="C1021" t="str">
        <f>"18:22:29.075"</f>
        <v>18:22:29.075</v>
      </c>
      <c r="D1021" t="s">
        <v>413</v>
      </c>
      <c r="E1021">
        <v>30.571732999999998</v>
      </c>
      <c r="F1021" t="s">
        <v>414</v>
      </c>
      <c r="G1021">
        <v>-89.835098000000002</v>
      </c>
      <c r="H1021">
        <v>1600</v>
      </c>
      <c r="I1021">
        <v>-112</v>
      </c>
      <c r="J1021">
        <v>110</v>
      </c>
      <c r="K1021">
        <v>0</v>
      </c>
      <c r="L1021">
        <v>1200</v>
      </c>
      <c r="M1021" t="str">
        <f t="shared" si="46"/>
        <v xml:space="preserve">N35DC   </v>
      </c>
      <c r="N1021">
        <v>1</v>
      </c>
      <c r="O1021">
        <v>1700</v>
      </c>
    </row>
    <row r="1022" spans="1:15" x14ac:dyDescent="0.25">
      <c r="A1022" t="str">
        <f>"10/21/2020 18:22:22.325"</f>
        <v>10/21/2020 18:22:22.325</v>
      </c>
      <c r="B1022" t="str">
        <f>"18:22:30.273"</f>
        <v>18:22:30.273</v>
      </c>
      <c r="C1022" t="str">
        <f>"18:22:30.073"</f>
        <v>18:22:30.073</v>
      </c>
      <c r="D1022" t="s">
        <v>415</v>
      </c>
      <c r="E1022">
        <v>30.572205</v>
      </c>
      <c r="F1022" t="s">
        <v>416</v>
      </c>
      <c r="G1022">
        <v>-89.835590999999994</v>
      </c>
      <c r="H1022">
        <v>1600</v>
      </c>
      <c r="I1022">
        <v>-112</v>
      </c>
      <c r="J1022">
        <v>110</v>
      </c>
      <c r="K1022">
        <v>-128</v>
      </c>
      <c r="L1022">
        <v>1200</v>
      </c>
      <c r="M1022" t="str">
        <f t="shared" si="46"/>
        <v xml:space="preserve">N35DC   </v>
      </c>
      <c r="N1022">
        <v>1</v>
      </c>
      <c r="O1022">
        <v>1700</v>
      </c>
    </row>
    <row r="1023" spans="1:15" x14ac:dyDescent="0.25">
      <c r="A1023" t="str">
        <f>"10/21/2020 18:22:22.325"</f>
        <v>10/21/2020 18:22:22.325</v>
      </c>
      <c r="B1023" t="str">
        <f>"18:22:30.273"</f>
        <v>18:22:30.273</v>
      </c>
      <c r="C1023" t="str">
        <f>"18:22:30.073"</f>
        <v>18:22:30.073</v>
      </c>
      <c r="D1023" t="s">
        <v>415</v>
      </c>
      <c r="E1023">
        <v>30.572205</v>
      </c>
      <c r="F1023" t="s">
        <v>416</v>
      </c>
      <c r="G1023">
        <v>-89.835590999999994</v>
      </c>
      <c r="H1023">
        <v>1600</v>
      </c>
      <c r="I1023">
        <v>-112</v>
      </c>
      <c r="J1023">
        <v>110</v>
      </c>
      <c r="K1023">
        <v>-128</v>
      </c>
      <c r="L1023">
        <v>1200</v>
      </c>
      <c r="M1023" t="str">
        <f t="shared" si="46"/>
        <v xml:space="preserve">N35DC   </v>
      </c>
      <c r="N1023">
        <v>1</v>
      </c>
      <c r="O1023">
        <v>1700</v>
      </c>
    </row>
    <row r="1024" spans="1:15" x14ac:dyDescent="0.25">
      <c r="A1024" t="str">
        <f>"10/21/2020 18:22:22.325"</f>
        <v>10/21/2020 18:22:22.325</v>
      </c>
      <c r="B1024" t="str">
        <f>"18:22:30.273"</f>
        <v>18:22:30.273</v>
      </c>
      <c r="C1024" t="str">
        <f>"18:22:30.073"</f>
        <v>18:22:30.073</v>
      </c>
      <c r="D1024" t="s">
        <v>415</v>
      </c>
      <c r="E1024">
        <v>30.572205</v>
      </c>
      <c r="F1024" t="s">
        <v>416</v>
      </c>
      <c r="G1024">
        <v>-89.835590999999994</v>
      </c>
      <c r="H1024">
        <v>1600</v>
      </c>
      <c r="I1024">
        <v>-112</v>
      </c>
      <c r="J1024">
        <v>110</v>
      </c>
      <c r="K1024">
        <v>-128</v>
      </c>
      <c r="L1024">
        <v>1200</v>
      </c>
      <c r="M1024" t="str">
        <f t="shared" si="46"/>
        <v xml:space="preserve">N35DC   </v>
      </c>
      <c r="N1024">
        <v>1</v>
      </c>
      <c r="O1024">
        <v>1700</v>
      </c>
    </row>
    <row r="1025" spans="1:15" x14ac:dyDescent="0.25">
      <c r="A1025" t="str">
        <f>"10/21/2020 18:22:22.325"</f>
        <v>10/21/2020 18:22:22.325</v>
      </c>
      <c r="B1025" t="str">
        <f>"18:22:30.273"</f>
        <v>18:22:30.273</v>
      </c>
      <c r="C1025" t="str">
        <f>"18:22:30.073"</f>
        <v>18:22:30.073</v>
      </c>
      <c r="D1025" t="s">
        <v>415</v>
      </c>
      <c r="E1025">
        <v>30.572205</v>
      </c>
      <c r="F1025" t="s">
        <v>416</v>
      </c>
      <c r="G1025">
        <v>-89.835590999999994</v>
      </c>
      <c r="H1025">
        <v>1600</v>
      </c>
      <c r="I1025">
        <v>-112</v>
      </c>
      <c r="J1025">
        <v>110</v>
      </c>
      <c r="K1025">
        <v>-128</v>
      </c>
      <c r="L1025">
        <v>1200</v>
      </c>
      <c r="M1025" t="str">
        <f t="shared" si="46"/>
        <v xml:space="preserve">N35DC   </v>
      </c>
      <c r="N1025">
        <v>1</v>
      </c>
      <c r="O1025">
        <v>1700</v>
      </c>
    </row>
    <row r="1026" spans="1:15" x14ac:dyDescent="0.25">
      <c r="A1026" t="str">
        <f>"10/21/2020 18:22:22.325"</f>
        <v>10/21/2020 18:22:22.325</v>
      </c>
      <c r="B1026" t="str">
        <f>"18:22:30.273"</f>
        <v>18:22:30.273</v>
      </c>
      <c r="C1026" t="str">
        <f>"18:22:30.073"</f>
        <v>18:22:30.073</v>
      </c>
      <c r="D1026" t="s">
        <v>415</v>
      </c>
      <c r="E1026">
        <v>30.572205</v>
      </c>
      <c r="F1026" t="s">
        <v>416</v>
      </c>
      <c r="G1026">
        <v>-89.835590999999994</v>
      </c>
      <c r="H1026">
        <v>1600</v>
      </c>
      <c r="I1026">
        <v>-112</v>
      </c>
      <c r="J1026">
        <v>110</v>
      </c>
      <c r="K1026">
        <v>-128</v>
      </c>
      <c r="L1026">
        <v>1200</v>
      </c>
      <c r="M1026" t="str">
        <f t="shared" si="46"/>
        <v xml:space="preserve">N35DC   </v>
      </c>
      <c r="N1026">
        <v>1</v>
      </c>
      <c r="O1026">
        <v>1700</v>
      </c>
    </row>
    <row r="1027" spans="1:15" x14ac:dyDescent="0.25">
      <c r="A1027" t="str">
        <f>"10/21/2020 18:22:27.348"</f>
        <v>10/21/2020 18:22:27.348</v>
      </c>
      <c r="B1027" t="str">
        <f>"18:22:35.281"</f>
        <v>18:22:35.281</v>
      </c>
      <c r="C1027" t="str">
        <f>"18:22:35.081"</f>
        <v>18:22:35.081</v>
      </c>
      <c r="D1027" t="s">
        <v>417</v>
      </c>
      <c r="E1027">
        <v>30.574757999999999</v>
      </c>
      <c r="F1027" t="s">
        <v>418</v>
      </c>
      <c r="G1027">
        <v>-89.838660000000004</v>
      </c>
      <c r="H1027">
        <v>1600</v>
      </c>
      <c r="I1027">
        <v>-114</v>
      </c>
      <c r="J1027">
        <v>109</v>
      </c>
      <c r="K1027">
        <v>0</v>
      </c>
      <c r="L1027">
        <v>1200</v>
      </c>
      <c r="M1027" t="str">
        <f t="shared" si="46"/>
        <v xml:space="preserve">N35DC   </v>
      </c>
      <c r="N1027">
        <v>1</v>
      </c>
      <c r="O1027">
        <v>1700</v>
      </c>
    </row>
    <row r="1028" spans="1:15" x14ac:dyDescent="0.25">
      <c r="A1028" t="str">
        <f>"10/21/2020 18:22:27.348"</f>
        <v>10/21/2020 18:22:27.348</v>
      </c>
      <c r="B1028" t="str">
        <f>"18:22:35.281"</f>
        <v>18:22:35.281</v>
      </c>
      <c r="C1028" t="str">
        <f>"18:22:35.081"</f>
        <v>18:22:35.081</v>
      </c>
      <c r="D1028" t="s">
        <v>417</v>
      </c>
      <c r="E1028">
        <v>30.574757999999999</v>
      </c>
      <c r="F1028" t="s">
        <v>418</v>
      </c>
      <c r="G1028">
        <v>-89.838660000000004</v>
      </c>
      <c r="H1028">
        <v>1600</v>
      </c>
      <c r="I1028">
        <v>-114</v>
      </c>
      <c r="J1028">
        <v>109</v>
      </c>
      <c r="K1028">
        <v>0</v>
      </c>
      <c r="L1028">
        <v>1200</v>
      </c>
      <c r="M1028" t="str">
        <f t="shared" si="46"/>
        <v xml:space="preserve">N35DC   </v>
      </c>
      <c r="N1028">
        <v>1</v>
      </c>
      <c r="O1028">
        <v>1700</v>
      </c>
    </row>
    <row r="1029" spans="1:15" x14ac:dyDescent="0.25">
      <c r="A1029" t="str">
        <f>"10/21/2020 18:22:27.348"</f>
        <v>10/21/2020 18:22:27.348</v>
      </c>
      <c r="B1029" t="str">
        <f>"18:22:35.281"</f>
        <v>18:22:35.281</v>
      </c>
      <c r="C1029" t="str">
        <f>"18:22:35.081"</f>
        <v>18:22:35.081</v>
      </c>
      <c r="D1029" t="s">
        <v>417</v>
      </c>
      <c r="E1029">
        <v>30.574757999999999</v>
      </c>
      <c r="F1029" t="s">
        <v>418</v>
      </c>
      <c r="G1029">
        <v>-89.838660000000004</v>
      </c>
      <c r="H1029">
        <v>1600</v>
      </c>
      <c r="I1029">
        <v>-114</v>
      </c>
      <c r="J1029">
        <v>109</v>
      </c>
      <c r="K1029">
        <v>0</v>
      </c>
      <c r="L1029">
        <v>1200</v>
      </c>
      <c r="M1029" t="str">
        <f t="shared" si="46"/>
        <v xml:space="preserve">N35DC   </v>
      </c>
      <c r="N1029">
        <v>1</v>
      </c>
      <c r="O1029">
        <v>1700</v>
      </c>
    </row>
    <row r="1030" spans="1:15" x14ac:dyDescent="0.25">
      <c r="A1030" t="str">
        <f>"10/21/2020 18:22:27.348"</f>
        <v>10/21/2020 18:22:27.348</v>
      </c>
      <c r="B1030" t="str">
        <f>"18:22:35.281"</f>
        <v>18:22:35.281</v>
      </c>
      <c r="C1030" t="str">
        <f>"18:22:35.081"</f>
        <v>18:22:35.081</v>
      </c>
      <c r="D1030" t="s">
        <v>417</v>
      </c>
      <c r="E1030">
        <v>30.574757999999999</v>
      </c>
      <c r="F1030" t="s">
        <v>418</v>
      </c>
      <c r="G1030">
        <v>-89.838660000000004</v>
      </c>
      <c r="H1030">
        <v>1600</v>
      </c>
      <c r="I1030">
        <v>-114</v>
      </c>
      <c r="J1030">
        <v>109</v>
      </c>
      <c r="K1030">
        <v>0</v>
      </c>
      <c r="L1030">
        <v>1200</v>
      </c>
      <c r="M1030" t="str">
        <f t="shared" si="46"/>
        <v xml:space="preserve">N35DC   </v>
      </c>
      <c r="N1030">
        <v>1</v>
      </c>
      <c r="O1030">
        <v>1700</v>
      </c>
    </row>
    <row r="1031" spans="1:15" x14ac:dyDescent="0.25">
      <c r="A1031" t="str">
        <f>"10/21/2020 18:22:27.348"</f>
        <v>10/21/2020 18:22:27.348</v>
      </c>
      <c r="B1031" t="str">
        <f>"18:22:35.281"</f>
        <v>18:22:35.281</v>
      </c>
      <c r="C1031" t="str">
        <f>"18:22:35.081"</f>
        <v>18:22:35.081</v>
      </c>
      <c r="D1031" t="s">
        <v>417</v>
      </c>
      <c r="E1031">
        <v>30.574757999999999</v>
      </c>
      <c r="F1031" t="s">
        <v>418</v>
      </c>
      <c r="G1031">
        <v>-89.838660000000004</v>
      </c>
      <c r="H1031">
        <v>1600</v>
      </c>
      <c r="I1031">
        <v>-114</v>
      </c>
      <c r="J1031">
        <v>109</v>
      </c>
      <c r="K1031">
        <v>0</v>
      </c>
      <c r="L1031">
        <v>1200</v>
      </c>
      <c r="M1031" t="str">
        <f t="shared" ref="M1031:M1094" si="47">"N35DC   "</f>
        <v xml:space="preserve">N35DC   </v>
      </c>
      <c r="N1031">
        <v>1</v>
      </c>
      <c r="O1031">
        <v>1700</v>
      </c>
    </row>
    <row r="1032" spans="1:15" x14ac:dyDescent="0.25">
      <c r="A1032" t="str">
        <f>"10/21/2020 18:22:30.463"</f>
        <v>10/21/2020 18:22:30.463</v>
      </c>
      <c r="B1032" t="str">
        <f>"18:22:38.414"</f>
        <v>18:22:38.414</v>
      </c>
      <c r="C1032" t="str">
        <f>"18:22:38.014"</f>
        <v>18:22:38.014</v>
      </c>
      <c r="D1032" t="s">
        <v>419</v>
      </c>
      <c r="E1032">
        <v>30.576324</v>
      </c>
      <c r="F1032" t="s">
        <v>420</v>
      </c>
      <c r="G1032">
        <v>-89.840591000000003</v>
      </c>
      <c r="H1032">
        <v>1600</v>
      </c>
      <c r="I1032">
        <v>-115</v>
      </c>
      <c r="J1032">
        <v>107</v>
      </c>
      <c r="K1032">
        <v>64</v>
      </c>
      <c r="L1032">
        <v>1200</v>
      </c>
      <c r="M1032" t="str">
        <f t="shared" si="47"/>
        <v xml:space="preserve">N35DC   </v>
      </c>
      <c r="N1032">
        <v>1</v>
      </c>
      <c r="O1032">
        <v>1700</v>
      </c>
    </row>
    <row r="1033" spans="1:15" x14ac:dyDescent="0.25">
      <c r="A1033" t="str">
        <f>"10/21/2020 18:22:30.463"</f>
        <v>10/21/2020 18:22:30.463</v>
      </c>
      <c r="B1033" t="str">
        <f>"18:22:38.414"</f>
        <v>18:22:38.414</v>
      </c>
      <c r="C1033" t="str">
        <f>"18:22:38.014"</f>
        <v>18:22:38.014</v>
      </c>
      <c r="D1033" t="s">
        <v>419</v>
      </c>
      <c r="E1033">
        <v>30.576324</v>
      </c>
      <c r="F1033" t="s">
        <v>420</v>
      </c>
      <c r="G1033">
        <v>-89.840591000000003</v>
      </c>
      <c r="H1033">
        <v>1600</v>
      </c>
      <c r="I1033">
        <v>-115</v>
      </c>
      <c r="J1033">
        <v>107</v>
      </c>
      <c r="K1033">
        <v>64</v>
      </c>
      <c r="L1033">
        <v>1200</v>
      </c>
      <c r="M1033" t="str">
        <f t="shared" si="47"/>
        <v xml:space="preserve">N35DC   </v>
      </c>
      <c r="N1033">
        <v>1</v>
      </c>
      <c r="O1033">
        <v>1700</v>
      </c>
    </row>
    <row r="1034" spans="1:15" x14ac:dyDescent="0.25">
      <c r="A1034" t="str">
        <f>"10/21/2020 18:22:30.463"</f>
        <v>10/21/2020 18:22:30.463</v>
      </c>
      <c r="B1034" t="str">
        <f>"18:22:38.414"</f>
        <v>18:22:38.414</v>
      </c>
      <c r="C1034" t="str">
        <f>"18:22:38.014"</f>
        <v>18:22:38.014</v>
      </c>
      <c r="D1034" t="s">
        <v>419</v>
      </c>
      <c r="E1034">
        <v>30.576324</v>
      </c>
      <c r="F1034" t="s">
        <v>420</v>
      </c>
      <c r="G1034">
        <v>-89.840591000000003</v>
      </c>
      <c r="H1034">
        <v>1600</v>
      </c>
      <c r="I1034">
        <v>-115</v>
      </c>
      <c r="J1034">
        <v>107</v>
      </c>
      <c r="K1034">
        <v>64</v>
      </c>
      <c r="L1034">
        <v>1200</v>
      </c>
      <c r="M1034" t="str">
        <f t="shared" si="47"/>
        <v xml:space="preserve">N35DC   </v>
      </c>
      <c r="N1034">
        <v>1</v>
      </c>
      <c r="O1034">
        <v>1700</v>
      </c>
    </row>
    <row r="1035" spans="1:15" x14ac:dyDescent="0.25">
      <c r="A1035" t="str">
        <f>"10/21/2020 18:22:30.463"</f>
        <v>10/21/2020 18:22:30.463</v>
      </c>
      <c r="B1035" t="str">
        <f>"18:22:38.414"</f>
        <v>18:22:38.414</v>
      </c>
      <c r="C1035" t="str">
        <f>"18:22:38.014"</f>
        <v>18:22:38.014</v>
      </c>
      <c r="D1035" t="s">
        <v>419</v>
      </c>
      <c r="E1035">
        <v>30.576324</v>
      </c>
      <c r="F1035" t="s">
        <v>420</v>
      </c>
      <c r="G1035">
        <v>-89.840591000000003</v>
      </c>
      <c r="H1035">
        <v>1600</v>
      </c>
      <c r="I1035">
        <v>-115</v>
      </c>
      <c r="J1035">
        <v>107</v>
      </c>
      <c r="K1035">
        <v>64</v>
      </c>
      <c r="L1035">
        <v>1200</v>
      </c>
      <c r="M1035" t="str">
        <f t="shared" si="47"/>
        <v xml:space="preserve">N35DC   </v>
      </c>
      <c r="N1035">
        <v>1</v>
      </c>
      <c r="O1035">
        <v>1700</v>
      </c>
    </row>
    <row r="1036" spans="1:15" x14ac:dyDescent="0.25">
      <c r="A1036" t="str">
        <f>"10/21/2020 18:22:30.463"</f>
        <v>10/21/2020 18:22:30.463</v>
      </c>
      <c r="B1036" t="str">
        <f>"18:22:38.414"</f>
        <v>18:22:38.414</v>
      </c>
      <c r="C1036" t="str">
        <f>"18:22:38.014"</f>
        <v>18:22:38.014</v>
      </c>
      <c r="D1036" t="s">
        <v>419</v>
      </c>
      <c r="E1036">
        <v>30.576324</v>
      </c>
      <c r="F1036" t="s">
        <v>420</v>
      </c>
      <c r="G1036">
        <v>-89.840591000000003</v>
      </c>
      <c r="H1036">
        <v>1600</v>
      </c>
      <c r="I1036">
        <v>-115</v>
      </c>
      <c r="J1036">
        <v>107</v>
      </c>
      <c r="K1036">
        <v>64</v>
      </c>
      <c r="L1036">
        <v>1200</v>
      </c>
      <c r="M1036" t="str">
        <f t="shared" si="47"/>
        <v xml:space="preserve">N35DC   </v>
      </c>
      <c r="N1036">
        <v>1</v>
      </c>
      <c r="O1036">
        <v>1700</v>
      </c>
    </row>
    <row r="1037" spans="1:15" x14ac:dyDescent="0.25">
      <c r="A1037" t="str">
        <f>"10/21/2020 18:22:31.373"</f>
        <v>10/21/2020 18:22:31.373</v>
      </c>
      <c r="B1037" t="str">
        <f>"18:22:39.312"</f>
        <v>18:22:39.312</v>
      </c>
      <c r="C1037" t="str">
        <f>"18:22:39.012"</f>
        <v>18:22:39.012</v>
      </c>
      <c r="D1037" t="s">
        <v>421</v>
      </c>
      <c r="E1037">
        <v>30.576775000000001</v>
      </c>
      <c r="F1037" t="s">
        <v>422</v>
      </c>
      <c r="G1037">
        <v>-89.841127</v>
      </c>
      <c r="H1037">
        <v>1600</v>
      </c>
      <c r="I1037">
        <v>-115</v>
      </c>
      <c r="J1037">
        <v>106</v>
      </c>
      <c r="K1037">
        <v>64</v>
      </c>
      <c r="L1037">
        <v>1200</v>
      </c>
      <c r="M1037" t="str">
        <f t="shared" si="47"/>
        <v xml:space="preserve">N35DC   </v>
      </c>
      <c r="N1037">
        <v>1</v>
      </c>
      <c r="O1037">
        <v>1700</v>
      </c>
    </row>
    <row r="1038" spans="1:15" x14ac:dyDescent="0.25">
      <c r="A1038" t="str">
        <f>"10/21/2020 18:22:31.373"</f>
        <v>10/21/2020 18:22:31.373</v>
      </c>
      <c r="B1038" t="str">
        <f>"18:22:39.312"</f>
        <v>18:22:39.312</v>
      </c>
      <c r="C1038" t="str">
        <f>"18:22:39.012"</f>
        <v>18:22:39.012</v>
      </c>
      <c r="D1038" t="s">
        <v>421</v>
      </c>
      <c r="E1038">
        <v>30.576775000000001</v>
      </c>
      <c r="F1038" t="s">
        <v>422</v>
      </c>
      <c r="G1038">
        <v>-89.841127</v>
      </c>
      <c r="H1038">
        <v>1600</v>
      </c>
      <c r="I1038">
        <v>-115</v>
      </c>
      <c r="J1038">
        <v>106</v>
      </c>
      <c r="K1038">
        <v>64</v>
      </c>
      <c r="L1038">
        <v>1200</v>
      </c>
      <c r="M1038" t="str">
        <f t="shared" si="47"/>
        <v xml:space="preserve">N35DC   </v>
      </c>
      <c r="N1038">
        <v>1</v>
      </c>
      <c r="O1038">
        <v>1700</v>
      </c>
    </row>
    <row r="1039" spans="1:15" x14ac:dyDescent="0.25">
      <c r="A1039" t="str">
        <f>"10/21/2020 18:22:31.373"</f>
        <v>10/21/2020 18:22:31.373</v>
      </c>
      <c r="B1039" t="str">
        <f>"18:22:39.312"</f>
        <v>18:22:39.312</v>
      </c>
      <c r="C1039" t="str">
        <f>"18:22:39.012"</f>
        <v>18:22:39.012</v>
      </c>
      <c r="D1039" t="s">
        <v>421</v>
      </c>
      <c r="E1039">
        <v>30.576775000000001</v>
      </c>
      <c r="F1039" t="s">
        <v>422</v>
      </c>
      <c r="G1039">
        <v>-89.841127</v>
      </c>
      <c r="H1039">
        <v>1600</v>
      </c>
      <c r="I1039">
        <v>-115</v>
      </c>
      <c r="J1039">
        <v>106</v>
      </c>
      <c r="K1039">
        <v>64</v>
      </c>
      <c r="L1039">
        <v>1200</v>
      </c>
      <c r="M1039" t="str">
        <f t="shared" si="47"/>
        <v xml:space="preserve">N35DC   </v>
      </c>
      <c r="N1039">
        <v>1</v>
      </c>
      <c r="O1039">
        <v>1700</v>
      </c>
    </row>
    <row r="1040" spans="1:15" x14ac:dyDescent="0.25">
      <c r="A1040" t="str">
        <f>"10/21/2020 18:22:31.373"</f>
        <v>10/21/2020 18:22:31.373</v>
      </c>
      <c r="B1040" t="str">
        <f>"18:22:39.312"</f>
        <v>18:22:39.312</v>
      </c>
      <c r="C1040" t="str">
        <f>"18:22:39.012"</f>
        <v>18:22:39.012</v>
      </c>
      <c r="D1040" t="s">
        <v>421</v>
      </c>
      <c r="E1040">
        <v>30.576775000000001</v>
      </c>
      <c r="F1040" t="s">
        <v>422</v>
      </c>
      <c r="G1040">
        <v>-89.841127</v>
      </c>
      <c r="H1040">
        <v>1600</v>
      </c>
      <c r="I1040">
        <v>-115</v>
      </c>
      <c r="J1040">
        <v>106</v>
      </c>
      <c r="K1040">
        <v>64</v>
      </c>
      <c r="L1040">
        <v>1200</v>
      </c>
      <c r="M1040" t="str">
        <f t="shared" si="47"/>
        <v xml:space="preserve">N35DC   </v>
      </c>
      <c r="N1040">
        <v>1</v>
      </c>
      <c r="O1040">
        <v>1700</v>
      </c>
    </row>
    <row r="1041" spans="1:15" x14ac:dyDescent="0.25">
      <c r="A1041" t="str">
        <f>"10/21/2020 18:22:31.373"</f>
        <v>10/21/2020 18:22:31.373</v>
      </c>
      <c r="B1041" t="str">
        <f>"18:22:39.312"</f>
        <v>18:22:39.312</v>
      </c>
      <c r="C1041" t="str">
        <f>"18:22:39.012"</f>
        <v>18:22:39.012</v>
      </c>
      <c r="D1041" t="s">
        <v>421</v>
      </c>
      <c r="E1041">
        <v>30.576775000000001</v>
      </c>
      <c r="F1041" t="s">
        <v>422</v>
      </c>
      <c r="G1041">
        <v>-89.841127</v>
      </c>
      <c r="H1041">
        <v>1600</v>
      </c>
      <c r="I1041">
        <v>-115</v>
      </c>
      <c r="J1041">
        <v>106</v>
      </c>
      <c r="K1041">
        <v>64</v>
      </c>
      <c r="L1041">
        <v>1200</v>
      </c>
      <c r="M1041" t="str">
        <f t="shared" si="47"/>
        <v xml:space="preserve">N35DC   </v>
      </c>
      <c r="N1041">
        <v>1</v>
      </c>
      <c r="O1041">
        <v>1700</v>
      </c>
    </row>
    <row r="1042" spans="1:15" x14ac:dyDescent="0.25">
      <c r="A1042" t="str">
        <f>"10/21/2020 18:22:35.366"</f>
        <v>10/21/2020 18:22:35.366</v>
      </c>
      <c r="B1042" t="str">
        <f>"18:22:43.289"</f>
        <v>18:22:43.289</v>
      </c>
      <c r="C1042" t="str">
        <f>"18:22:43.089"</f>
        <v>18:22:43.089</v>
      </c>
      <c r="D1042" t="s">
        <v>423</v>
      </c>
      <c r="E1042">
        <v>30.578706</v>
      </c>
      <c r="F1042" t="s">
        <v>424</v>
      </c>
      <c r="G1042">
        <v>-89.843615999999997</v>
      </c>
      <c r="H1042">
        <v>1600</v>
      </c>
      <c r="I1042">
        <v>-115</v>
      </c>
      <c r="J1042">
        <v>106</v>
      </c>
      <c r="K1042">
        <v>128</v>
      </c>
      <c r="L1042">
        <v>1200</v>
      </c>
      <c r="M1042" t="str">
        <f t="shared" si="47"/>
        <v xml:space="preserve">N35DC   </v>
      </c>
      <c r="N1042">
        <v>1</v>
      </c>
      <c r="O1042">
        <v>1700</v>
      </c>
    </row>
    <row r="1043" spans="1:15" x14ac:dyDescent="0.25">
      <c r="A1043" t="str">
        <f>"10/21/2020 18:22:35.366"</f>
        <v>10/21/2020 18:22:35.366</v>
      </c>
      <c r="B1043" t="str">
        <f>"18:22:43.289"</f>
        <v>18:22:43.289</v>
      </c>
      <c r="C1043" t="str">
        <f>"18:22:43.089"</f>
        <v>18:22:43.089</v>
      </c>
      <c r="D1043" t="s">
        <v>423</v>
      </c>
      <c r="E1043">
        <v>30.578706</v>
      </c>
      <c r="F1043" t="s">
        <v>424</v>
      </c>
      <c r="G1043">
        <v>-89.843615999999997</v>
      </c>
      <c r="H1043">
        <v>1600</v>
      </c>
      <c r="I1043">
        <v>-115</v>
      </c>
      <c r="J1043">
        <v>106</v>
      </c>
      <c r="K1043">
        <v>128</v>
      </c>
      <c r="L1043">
        <v>1200</v>
      </c>
      <c r="M1043" t="str">
        <f t="shared" si="47"/>
        <v xml:space="preserve">N35DC   </v>
      </c>
      <c r="N1043">
        <v>1</v>
      </c>
      <c r="O1043">
        <v>1700</v>
      </c>
    </row>
    <row r="1044" spans="1:15" x14ac:dyDescent="0.25">
      <c r="A1044" t="str">
        <f>"10/21/2020 18:22:35.366"</f>
        <v>10/21/2020 18:22:35.366</v>
      </c>
      <c r="B1044" t="str">
        <f>"18:22:43.289"</f>
        <v>18:22:43.289</v>
      </c>
      <c r="C1044" t="str">
        <f>"18:22:43.089"</f>
        <v>18:22:43.089</v>
      </c>
      <c r="D1044" t="s">
        <v>423</v>
      </c>
      <c r="E1044">
        <v>30.578706</v>
      </c>
      <c r="F1044" t="s">
        <v>424</v>
      </c>
      <c r="G1044">
        <v>-89.843615999999997</v>
      </c>
      <c r="H1044">
        <v>1600</v>
      </c>
      <c r="I1044">
        <v>-115</v>
      </c>
      <c r="J1044">
        <v>106</v>
      </c>
      <c r="K1044">
        <v>128</v>
      </c>
      <c r="L1044">
        <v>1200</v>
      </c>
      <c r="M1044" t="str">
        <f t="shared" si="47"/>
        <v xml:space="preserve">N35DC   </v>
      </c>
      <c r="N1044">
        <v>1</v>
      </c>
      <c r="O1044">
        <v>1700</v>
      </c>
    </row>
    <row r="1045" spans="1:15" x14ac:dyDescent="0.25">
      <c r="A1045" t="str">
        <f>"10/21/2020 18:22:35.366"</f>
        <v>10/21/2020 18:22:35.366</v>
      </c>
      <c r="B1045" t="str">
        <f>"18:22:43.289"</f>
        <v>18:22:43.289</v>
      </c>
      <c r="C1045" t="str">
        <f>"18:22:43.089"</f>
        <v>18:22:43.089</v>
      </c>
      <c r="D1045" t="s">
        <v>423</v>
      </c>
      <c r="E1045">
        <v>30.578706</v>
      </c>
      <c r="F1045" t="s">
        <v>424</v>
      </c>
      <c r="G1045">
        <v>-89.843615999999997</v>
      </c>
      <c r="H1045">
        <v>1600</v>
      </c>
      <c r="I1045">
        <v>-115</v>
      </c>
      <c r="J1045">
        <v>106</v>
      </c>
      <c r="K1045">
        <v>128</v>
      </c>
      <c r="L1045">
        <v>1200</v>
      </c>
      <c r="M1045" t="str">
        <f t="shared" si="47"/>
        <v xml:space="preserve">N35DC   </v>
      </c>
      <c r="N1045">
        <v>1</v>
      </c>
      <c r="O1045">
        <v>1700</v>
      </c>
    </row>
    <row r="1046" spans="1:15" x14ac:dyDescent="0.25">
      <c r="A1046" t="str">
        <f>"10/21/2020 18:22:35.366"</f>
        <v>10/21/2020 18:22:35.366</v>
      </c>
      <c r="B1046" t="str">
        <f>"18:22:43.289"</f>
        <v>18:22:43.289</v>
      </c>
      <c r="C1046" t="str">
        <f>"18:22:43.089"</f>
        <v>18:22:43.089</v>
      </c>
      <c r="D1046" t="s">
        <v>423</v>
      </c>
      <c r="E1046">
        <v>30.578706</v>
      </c>
      <c r="F1046" t="s">
        <v>424</v>
      </c>
      <c r="G1046">
        <v>-89.843615999999997</v>
      </c>
      <c r="H1046">
        <v>1600</v>
      </c>
      <c r="I1046">
        <v>-115</v>
      </c>
      <c r="J1046">
        <v>106</v>
      </c>
      <c r="K1046">
        <v>128</v>
      </c>
      <c r="L1046">
        <v>1200</v>
      </c>
      <c r="M1046" t="str">
        <f t="shared" si="47"/>
        <v xml:space="preserve">N35DC   </v>
      </c>
      <c r="N1046">
        <v>1</v>
      </c>
      <c r="O1046">
        <v>1700</v>
      </c>
    </row>
    <row r="1047" spans="1:15" x14ac:dyDescent="0.25">
      <c r="A1047" t="str">
        <f>"10/21/2020 18:22:38.501"</f>
        <v>10/21/2020 18:22:38.501</v>
      </c>
      <c r="B1047" t="str">
        <f>"18:22:46.422"</f>
        <v>18:22:46.422</v>
      </c>
      <c r="C1047" t="str">
        <f>"18:22:46.222"</f>
        <v>18:22:46.222</v>
      </c>
      <c r="D1047" t="s">
        <v>425</v>
      </c>
      <c r="E1047">
        <v>30.580316</v>
      </c>
      <c r="F1047" t="s">
        <v>426</v>
      </c>
      <c r="G1047">
        <v>-89.845483000000002</v>
      </c>
      <c r="H1047">
        <v>1600</v>
      </c>
      <c r="I1047">
        <v>-113</v>
      </c>
      <c r="J1047">
        <v>109</v>
      </c>
      <c r="K1047">
        <v>0</v>
      </c>
      <c r="L1047">
        <v>1200</v>
      </c>
      <c r="M1047" t="str">
        <f t="shared" si="47"/>
        <v xml:space="preserve">N35DC   </v>
      </c>
      <c r="N1047">
        <v>1</v>
      </c>
      <c r="O1047">
        <v>1700</v>
      </c>
    </row>
    <row r="1048" spans="1:15" x14ac:dyDescent="0.25">
      <c r="A1048" t="str">
        <f>"10/21/2020 18:22:38.501"</f>
        <v>10/21/2020 18:22:38.501</v>
      </c>
      <c r="B1048" t="str">
        <f>"18:22:46.422"</f>
        <v>18:22:46.422</v>
      </c>
      <c r="C1048" t="str">
        <f>"18:22:46.222"</f>
        <v>18:22:46.222</v>
      </c>
      <c r="D1048" t="s">
        <v>425</v>
      </c>
      <c r="E1048">
        <v>30.580316</v>
      </c>
      <c r="F1048" t="s">
        <v>426</v>
      </c>
      <c r="G1048">
        <v>-89.845483000000002</v>
      </c>
      <c r="H1048">
        <v>1600</v>
      </c>
      <c r="I1048">
        <v>-113</v>
      </c>
      <c r="J1048">
        <v>109</v>
      </c>
      <c r="K1048">
        <v>0</v>
      </c>
      <c r="L1048">
        <v>1200</v>
      </c>
      <c r="M1048" t="str">
        <f t="shared" si="47"/>
        <v xml:space="preserve">N35DC   </v>
      </c>
      <c r="N1048">
        <v>1</v>
      </c>
      <c r="O1048">
        <v>1700</v>
      </c>
    </row>
    <row r="1049" spans="1:15" x14ac:dyDescent="0.25">
      <c r="A1049" t="str">
        <f>"10/21/2020 18:22:38.501"</f>
        <v>10/21/2020 18:22:38.501</v>
      </c>
      <c r="B1049" t="str">
        <f>"18:22:46.422"</f>
        <v>18:22:46.422</v>
      </c>
      <c r="C1049" t="str">
        <f>"18:22:46.222"</f>
        <v>18:22:46.222</v>
      </c>
      <c r="D1049" t="s">
        <v>425</v>
      </c>
      <c r="E1049">
        <v>30.580316</v>
      </c>
      <c r="F1049" t="s">
        <v>426</v>
      </c>
      <c r="G1049">
        <v>-89.845483000000002</v>
      </c>
      <c r="H1049">
        <v>1600</v>
      </c>
      <c r="I1049">
        <v>-113</v>
      </c>
      <c r="J1049">
        <v>109</v>
      </c>
      <c r="K1049">
        <v>0</v>
      </c>
      <c r="L1049">
        <v>1200</v>
      </c>
      <c r="M1049" t="str">
        <f t="shared" si="47"/>
        <v xml:space="preserve">N35DC   </v>
      </c>
      <c r="N1049">
        <v>1</v>
      </c>
      <c r="O1049">
        <v>1700</v>
      </c>
    </row>
    <row r="1050" spans="1:15" x14ac:dyDescent="0.25">
      <c r="A1050" t="str">
        <f>"10/21/2020 18:22:38.501"</f>
        <v>10/21/2020 18:22:38.501</v>
      </c>
      <c r="B1050" t="str">
        <f>"18:22:46.422"</f>
        <v>18:22:46.422</v>
      </c>
      <c r="C1050" t="str">
        <f>"18:22:46.222"</f>
        <v>18:22:46.222</v>
      </c>
      <c r="D1050" t="s">
        <v>425</v>
      </c>
      <c r="E1050">
        <v>30.580316</v>
      </c>
      <c r="F1050" t="s">
        <v>426</v>
      </c>
      <c r="G1050">
        <v>-89.845483000000002</v>
      </c>
      <c r="H1050">
        <v>1600</v>
      </c>
      <c r="I1050">
        <v>-113</v>
      </c>
      <c r="J1050">
        <v>109</v>
      </c>
      <c r="K1050">
        <v>0</v>
      </c>
      <c r="L1050">
        <v>1200</v>
      </c>
      <c r="M1050" t="str">
        <f t="shared" si="47"/>
        <v xml:space="preserve">N35DC   </v>
      </c>
      <c r="N1050">
        <v>1</v>
      </c>
      <c r="O1050">
        <v>1700</v>
      </c>
    </row>
    <row r="1051" spans="1:15" x14ac:dyDescent="0.25">
      <c r="A1051" t="str">
        <f>"10/21/2020 18:22:38.501"</f>
        <v>10/21/2020 18:22:38.501</v>
      </c>
      <c r="B1051" t="str">
        <f>"18:22:46.422"</f>
        <v>18:22:46.422</v>
      </c>
      <c r="C1051" t="str">
        <f>"18:22:46.222"</f>
        <v>18:22:46.222</v>
      </c>
      <c r="D1051" t="s">
        <v>425</v>
      </c>
      <c r="E1051">
        <v>30.580316</v>
      </c>
      <c r="F1051" t="s">
        <v>426</v>
      </c>
      <c r="G1051">
        <v>-89.845483000000002</v>
      </c>
      <c r="H1051">
        <v>1600</v>
      </c>
      <c r="I1051">
        <v>-113</v>
      </c>
      <c r="J1051">
        <v>109</v>
      </c>
      <c r="K1051">
        <v>0</v>
      </c>
      <c r="L1051">
        <v>1200</v>
      </c>
      <c r="M1051" t="str">
        <f t="shared" si="47"/>
        <v xml:space="preserve">N35DC   </v>
      </c>
      <c r="N1051">
        <v>1</v>
      </c>
      <c r="O1051">
        <v>1700</v>
      </c>
    </row>
    <row r="1052" spans="1:15" x14ac:dyDescent="0.25">
      <c r="A1052" t="str">
        <f>"10/21/2020 18:22:39.575"</f>
        <v>10/21/2020 18:22:39.575</v>
      </c>
      <c r="B1052" t="str">
        <f>"18:22:47.523"</f>
        <v>18:22:47.523</v>
      </c>
      <c r="C1052" t="str">
        <f>"18:22:47.123"</f>
        <v>18:22:47.123</v>
      </c>
      <c r="D1052" t="s">
        <v>427</v>
      </c>
      <c r="E1052">
        <v>30.580873</v>
      </c>
      <c r="F1052" t="s">
        <v>428</v>
      </c>
      <c r="G1052">
        <v>-89.846126999999996</v>
      </c>
      <c r="H1052">
        <v>1600</v>
      </c>
      <c r="I1052">
        <v>-112</v>
      </c>
      <c r="J1052">
        <v>110</v>
      </c>
      <c r="K1052">
        <v>-256</v>
      </c>
      <c r="L1052">
        <v>1200</v>
      </c>
      <c r="M1052" t="str">
        <f t="shared" si="47"/>
        <v xml:space="preserve">N35DC   </v>
      </c>
      <c r="N1052">
        <v>1</v>
      </c>
      <c r="O1052">
        <v>1700</v>
      </c>
    </row>
    <row r="1053" spans="1:15" x14ac:dyDescent="0.25">
      <c r="A1053" t="str">
        <f>"10/21/2020 18:22:39.575"</f>
        <v>10/21/2020 18:22:39.575</v>
      </c>
      <c r="B1053" t="str">
        <f>"18:22:47.523"</f>
        <v>18:22:47.523</v>
      </c>
      <c r="C1053" t="str">
        <f>"18:22:47.123"</f>
        <v>18:22:47.123</v>
      </c>
      <c r="D1053" t="s">
        <v>427</v>
      </c>
      <c r="E1053">
        <v>30.580873</v>
      </c>
      <c r="F1053" t="s">
        <v>428</v>
      </c>
      <c r="G1053">
        <v>-89.846126999999996</v>
      </c>
      <c r="H1053">
        <v>1600</v>
      </c>
      <c r="I1053">
        <v>-112</v>
      </c>
      <c r="J1053">
        <v>110</v>
      </c>
      <c r="K1053">
        <v>-256</v>
      </c>
      <c r="L1053">
        <v>1200</v>
      </c>
      <c r="M1053" t="str">
        <f t="shared" si="47"/>
        <v xml:space="preserve">N35DC   </v>
      </c>
      <c r="N1053">
        <v>1</v>
      </c>
      <c r="O1053">
        <v>1700</v>
      </c>
    </row>
    <row r="1054" spans="1:15" x14ac:dyDescent="0.25">
      <c r="A1054" t="str">
        <f>"10/21/2020 18:22:39.575"</f>
        <v>10/21/2020 18:22:39.575</v>
      </c>
      <c r="B1054" t="str">
        <f>"18:22:47.523"</f>
        <v>18:22:47.523</v>
      </c>
      <c r="C1054" t="str">
        <f>"18:22:47.123"</f>
        <v>18:22:47.123</v>
      </c>
      <c r="D1054" t="s">
        <v>427</v>
      </c>
      <c r="E1054">
        <v>30.580873</v>
      </c>
      <c r="F1054" t="s">
        <v>428</v>
      </c>
      <c r="G1054">
        <v>-89.846126999999996</v>
      </c>
      <c r="H1054">
        <v>1600</v>
      </c>
      <c r="I1054">
        <v>-112</v>
      </c>
      <c r="J1054">
        <v>110</v>
      </c>
      <c r="K1054">
        <v>-256</v>
      </c>
      <c r="L1054">
        <v>1200</v>
      </c>
      <c r="M1054" t="str">
        <f t="shared" si="47"/>
        <v xml:space="preserve">N35DC   </v>
      </c>
      <c r="N1054">
        <v>1</v>
      </c>
      <c r="O1054">
        <v>1700</v>
      </c>
    </row>
    <row r="1055" spans="1:15" x14ac:dyDescent="0.25">
      <c r="A1055" t="str">
        <f>"10/21/2020 18:22:39.575"</f>
        <v>10/21/2020 18:22:39.575</v>
      </c>
      <c r="B1055" t="str">
        <f>"18:22:47.523"</f>
        <v>18:22:47.523</v>
      </c>
      <c r="C1055" t="str">
        <f>"18:22:47.123"</f>
        <v>18:22:47.123</v>
      </c>
      <c r="D1055" t="s">
        <v>427</v>
      </c>
      <c r="E1055">
        <v>30.580873</v>
      </c>
      <c r="F1055" t="s">
        <v>428</v>
      </c>
      <c r="G1055">
        <v>-89.846126999999996</v>
      </c>
      <c r="H1055">
        <v>1600</v>
      </c>
      <c r="I1055">
        <v>-112</v>
      </c>
      <c r="J1055">
        <v>110</v>
      </c>
      <c r="K1055">
        <v>-256</v>
      </c>
      <c r="L1055">
        <v>1200</v>
      </c>
      <c r="M1055" t="str">
        <f t="shared" si="47"/>
        <v xml:space="preserve">N35DC   </v>
      </c>
      <c r="N1055">
        <v>1</v>
      </c>
      <c r="O1055">
        <v>1700</v>
      </c>
    </row>
    <row r="1056" spans="1:15" x14ac:dyDescent="0.25">
      <c r="A1056" t="str">
        <f>"10/21/2020 18:22:39.575"</f>
        <v>10/21/2020 18:22:39.575</v>
      </c>
      <c r="B1056" t="str">
        <f>"18:22:47.523"</f>
        <v>18:22:47.523</v>
      </c>
      <c r="C1056" t="str">
        <f>"18:22:47.123"</f>
        <v>18:22:47.123</v>
      </c>
      <c r="D1056" t="s">
        <v>427</v>
      </c>
      <c r="E1056">
        <v>30.580873</v>
      </c>
      <c r="F1056" t="s">
        <v>428</v>
      </c>
      <c r="G1056">
        <v>-89.846126999999996</v>
      </c>
      <c r="H1056">
        <v>1600</v>
      </c>
      <c r="I1056">
        <v>-112</v>
      </c>
      <c r="J1056">
        <v>110</v>
      </c>
      <c r="K1056">
        <v>-256</v>
      </c>
      <c r="L1056">
        <v>1200</v>
      </c>
      <c r="M1056" t="str">
        <f t="shared" si="47"/>
        <v xml:space="preserve">N35DC   </v>
      </c>
      <c r="N1056">
        <v>1</v>
      </c>
      <c r="O1056">
        <v>1700</v>
      </c>
    </row>
    <row r="1057" spans="1:15" x14ac:dyDescent="0.25">
      <c r="A1057" t="str">
        <f>"10/21/2020 18:22:41.344"</f>
        <v>10/21/2020 18:22:41.344</v>
      </c>
      <c r="B1057" t="str">
        <f t="shared" ref="B1057:C1061" si="48">"18:22:49.305"</f>
        <v>18:22:49.305</v>
      </c>
      <c r="C1057" t="str">
        <f t="shared" si="48"/>
        <v>18:22:49.305</v>
      </c>
      <c r="D1057" t="s">
        <v>429</v>
      </c>
      <c r="E1057">
        <v>30.581775</v>
      </c>
      <c r="F1057" t="s">
        <v>430</v>
      </c>
      <c r="G1057">
        <v>-89.847221000000005</v>
      </c>
      <c r="H1057">
        <v>1600</v>
      </c>
      <c r="I1057">
        <v>-111</v>
      </c>
      <c r="J1057">
        <v>112</v>
      </c>
      <c r="K1057">
        <v>-64</v>
      </c>
      <c r="L1057">
        <v>1200</v>
      </c>
      <c r="M1057" t="str">
        <f t="shared" si="47"/>
        <v xml:space="preserve">N35DC   </v>
      </c>
      <c r="N1057">
        <v>1</v>
      </c>
      <c r="O1057">
        <v>1675</v>
      </c>
    </row>
    <row r="1058" spans="1:15" x14ac:dyDescent="0.25">
      <c r="A1058" t="str">
        <f>"10/21/2020 18:22:41.344"</f>
        <v>10/21/2020 18:22:41.344</v>
      </c>
      <c r="B1058" t="str">
        <f t="shared" si="48"/>
        <v>18:22:49.305</v>
      </c>
      <c r="C1058" t="str">
        <f t="shared" si="48"/>
        <v>18:22:49.305</v>
      </c>
      <c r="D1058" t="s">
        <v>429</v>
      </c>
      <c r="E1058">
        <v>30.581775</v>
      </c>
      <c r="F1058" t="s">
        <v>430</v>
      </c>
      <c r="G1058">
        <v>-89.847221000000005</v>
      </c>
      <c r="H1058">
        <v>1600</v>
      </c>
      <c r="I1058">
        <v>-111</v>
      </c>
      <c r="J1058">
        <v>112</v>
      </c>
      <c r="K1058">
        <v>-64</v>
      </c>
      <c r="L1058">
        <v>1200</v>
      </c>
      <c r="M1058" t="str">
        <f t="shared" si="47"/>
        <v xml:space="preserve">N35DC   </v>
      </c>
      <c r="N1058">
        <v>1</v>
      </c>
      <c r="O1058">
        <v>1675</v>
      </c>
    </row>
    <row r="1059" spans="1:15" x14ac:dyDescent="0.25">
      <c r="A1059" t="str">
        <f>"10/21/2020 18:22:41.344"</f>
        <v>10/21/2020 18:22:41.344</v>
      </c>
      <c r="B1059" t="str">
        <f t="shared" si="48"/>
        <v>18:22:49.305</v>
      </c>
      <c r="C1059" t="str">
        <f t="shared" si="48"/>
        <v>18:22:49.305</v>
      </c>
      <c r="D1059" t="s">
        <v>429</v>
      </c>
      <c r="E1059">
        <v>30.581775</v>
      </c>
      <c r="F1059" t="s">
        <v>430</v>
      </c>
      <c r="G1059">
        <v>-89.847221000000005</v>
      </c>
      <c r="H1059">
        <v>1600</v>
      </c>
      <c r="I1059">
        <v>-111</v>
      </c>
      <c r="J1059">
        <v>112</v>
      </c>
      <c r="K1059">
        <v>-64</v>
      </c>
      <c r="L1059">
        <v>1200</v>
      </c>
      <c r="M1059" t="str">
        <f t="shared" si="47"/>
        <v xml:space="preserve">N35DC   </v>
      </c>
      <c r="N1059">
        <v>1</v>
      </c>
      <c r="O1059">
        <v>1675</v>
      </c>
    </row>
    <row r="1060" spans="1:15" x14ac:dyDescent="0.25">
      <c r="A1060" t="str">
        <f>"10/21/2020 18:22:41.344"</f>
        <v>10/21/2020 18:22:41.344</v>
      </c>
      <c r="B1060" t="str">
        <f t="shared" si="48"/>
        <v>18:22:49.305</v>
      </c>
      <c r="C1060" t="str">
        <f t="shared" si="48"/>
        <v>18:22:49.305</v>
      </c>
      <c r="D1060" t="s">
        <v>429</v>
      </c>
      <c r="E1060">
        <v>30.581775</v>
      </c>
      <c r="F1060" t="s">
        <v>430</v>
      </c>
      <c r="G1060">
        <v>-89.847221000000005</v>
      </c>
      <c r="H1060">
        <v>1600</v>
      </c>
      <c r="I1060">
        <v>-111</v>
      </c>
      <c r="J1060">
        <v>112</v>
      </c>
      <c r="K1060">
        <v>-64</v>
      </c>
      <c r="L1060">
        <v>1200</v>
      </c>
      <c r="M1060" t="str">
        <f t="shared" si="47"/>
        <v xml:space="preserve">N35DC   </v>
      </c>
      <c r="N1060">
        <v>1</v>
      </c>
      <c r="O1060">
        <v>1675</v>
      </c>
    </row>
    <row r="1061" spans="1:15" x14ac:dyDescent="0.25">
      <c r="A1061" t="str">
        <f>"10/21/2020 18:22:41.344"</f>
        <v>10/21/2020 18:22:41.344</v>
      </c>
      <c r="B1061" t="str">
        <f t="shared" si="48"/>
        <v>18:22:49.305</v>
      </c>
      <c r="C1061" t="str">
        <f t="shared" si="48"/>
        <v>18:22:49.305</v>
      </c>
      <c r="D1061" t="s">
        <v>429</v>
      </c>
      <c r="E1061">
        <v>30.581775</v>
      </c>
      <c r="F1061" t="s">
        <v>430</v>
      </c>
      <c r="G1061">
        <v>-89.847221000000005</v>
      </c>
      <c r="H1061">
        <v>1600</v>
      </c>
      <c r="I1061">
        <v>-111</v>
      </c>
      <c r="J1061">
        <v>112</v>
      </c>
      <c r="K1061">
        <v>-64</v>
      </c>
      <c r="L1061">
        <v>1200</v>
      </c>
      <c r="M1061" t="str">
        <f t="shared" si="47"/>
        <v xml:space="preserve">N35DC   </v>
      </c>
      <c r="N1061">
        <v>1</v>
      </c>
      <c r="O1061">
        <v>1675</v>
      </c>
    </row>
    <row r="1062" spans="1:15" x14ac:dyDescent="0.25">
      <c r="A1062" t="str">
        <f>"10/21/2020 18:22:42.456"</f>
        <v>10/21/2020 18:22:42.456</v>
      </c>
      <c r="B1062" t="str">
        <f>"18:22:50.398"</f>
        <v>18:22:50.398</v>
      </c>
      <c r="C1062" t="str">
        <f>"18:22:50.198"</f>
        <v>18:22:50.198</v>
      </c>
      <c r="D1062" t="s">
        <v>431</v>
      </c>
      <c r="E1062">
        <v>30.582311000000001</v>
      </c>
      <c r="F1062" t="s">
        <v>432</v>
      </c>
      <c r="G1062">
        <v>-89.847864999999999</v>
      </c>
      <c r="H1062">
        <v>1600</v>
      </c>
      <c r="I1062">
        <v>-110</v>
      </c>
      <c r="J1062">
        <v>112</v>
      </c>
      <c r="K1062">
        <v>0</v>
      </c>
      <c r="L1062">
        <v>1200</v>
      </c>
      <c r="M1062" t="str">
        <f t="shared" si="47"/>
        <v xml:space="preserve">N35DC   </v>
      </c>
      <c r="N1062">
        <v>1</v>
      </c>
      <c r="O1062">
        <v>1675</v>
      </c>
    </row>
    <row r="1063" spans="1:15" x14ac:dyDescent="0.25">
      <c r="A1063" t="str">
        <f>"10/21/2020 18:22:42.456"</f>
        <v>10/21/2020 18:22:42.456</v>
      </c>
      <c r="B1063" t="str">
        <f>"18:22:50.398"</f>
        <v>18:22:50.398</v>
      </c>
      <c r="C1063" t="str">
        <f>"18:22:50.198"</f>
        <v>18:22:50.198</v>
      </c>
      <c r="D1063" t="s">
        <v>431</v>
      </c>
      <c r="E1063">
        <v>30.582311000000001</v>
      </c>
      <c r="F1063" t="s">
        <v>432</v>
      </c>
      <c r="G1063">
        <v>-89.847864999999999</v>
      </c>
      <c r="H1063">
        <v>1600</v>
      </c>
      <c r="I1063">
        <v>-110</v>
      </c>
      <c r="J1063">
        <v>112</v>
      </c>
      <c r="K1063">
        <v>0</v>
      </c>
      <c r="L1063">
        <v>1200</v>
      </c>
      <c r="M1063" t="str">
        <f t="shared" si="47"/>
        <v xml:space="preserve">N35DC   </v>
      </c>
      <c r="N1063">
        <v>1</v>
      </c>
      <c r="O1063">
        <v>1675</v>
      </c>
    </row>
    <row r="1064" spans="1:15" x14ac:dyDescent="0.25">
      <c r="A1064" t="str">
        <f>"10/21/2020 18:22:42.456"</f>
        <v>10/21/2020 18:22:42.456</v>
      </c>
      <c r="B1064" t="str">
        <f>"18:22:50.398"</f>
        <v>18:22:50.398</v>
      </c>
      <c r="C1064" t="str">
        <f>"18:22:50.198"</f>
        <v>18:22:50.198</v>
      </c>
      <c r="D1064" t="s">
        <v>431</v>
      </c>
      <c r="E1064">
        <v>30.582311000000001</v>
      </c>
      <c r="F1064" t="s">
        <v>432</v>
      </c>
      <c r="G1064">
        <v>-89.847864999999999</v>
      </c>
      <c r="H1064">
        <v>1600</v>
      </c>
      <c r="I1064">
        <v>-110</v>
      </c>
      <c r="J1064">
        <v>112</v>
      </c>
      <c r="K1064">
        <v>0</v>
      </c>
      <c r="L1064">
        <v>1200</v>
      </c>
      <c r="M1064" t="str">
        <f t="shared" si="47"/>
        <v xml:space="preserve">N35DC   </v>
      </c>
      <c r="N1064">
        <v>1</v>
      </c>
      <c r="O1064">
        <v>1675</v>
      </c>
    </row>
    <row r="1065" spans="1:15" x14ac:dyDescent="0.25">
      <c r="A1065" t="str">
        <f>"10/21/2020 18:22:42.456"</f>
        <v>10/21/2020 18:22:42.456</v>
      </c>
      <c r="B1065" t="str">
        <f>"18:22:50.398"</f>
        <v>18:22:50.398</v>
      </c>
      <c r="C1065" t="str">
        <f>"18:22:50.198"</f>
        <v>18:22:50.198</v>
      </c>
      <c r="D1065" t="s">
        <v>431</v>
      </c>
      <c r="E1065">
        <v>30.582311000000001</v>
      </c>
      <c r="F1065" t="s">
        <v>432</v>
      </c>
      <c r="G1065">
        <v>-89.847864999999999</v>
      </c>
      <c r="H1065">
        <v>1600</v>
      </c>
      <c r="I1065">
        <v>-110</v>
      </c>
      <c r="J1065">
        <v>112</v>
      </c>
      <c r="K1065">
        <v>0</v>
      </c>
      <c r="L1065">
        <v>1200</v>
      </c>
      <c r="M1065" t="str">
        <f t="shared" si="47"/>
        <v xml:space="preserve">N35DC   </v>
      </c>
      <c r="N1065">
        <v>1</v>
      </c>
      <c r="O1065">
        <v>1675</v>
      </c>
    </row>
    <row r="1066" spans="1:15" x14ac:dyDescent="0.25">
      <c r="A1066" t="str">
        <f>"10/21/2020 18:22:42.456"</f>
        <v>10/21/2020 18:22:42.456</v>
      </c>
      <c r="B1066" t="str">
        <f>"18:22:50.398"</f>
        <v>18:22:50.398</v>
      </c>
      <c r="C1066" t="str">
        <f>"18:22:50.198"</f>
        <v>18:22:50.198</v>
      </c>
      <c r="D1066" t="s">
        <v>431</v>
      </c>
      <c r="E1066">
        <v>30.582311000000001</v>
      </c>
      <c r="F1066" t="s">
        <v>432</v>
      </c>
      <c r="G1066">
        <v>-89.847864999999999</v>
      </c>
      <c r="H1066">
        <v>1600</v>
      </c>
      <c r="I1066">
        <v>-110</v>
      </c>
      <c r="J1066">
        <v>112</v>
      </c>
      <c r="K1066">
        <v>0</v>
      </c>
      <c r="L1066">
        <v>1200</v>
      </c>
      <c r="M1066" t="str">
        <f t="shared" si="47"/>
        <v xml:space="preserve">N35DC   </v>
      </c>
      <c r="N1066">
        <v>1</v>
      </c>
      <c r="O1066">
        <v>1675</v>
      </c>
    </row>
    <row r="1067" spans="1:15" x14ac:dyDescent="0.25">
      <c r="A1067" t="str">
        <f>"10/21/2020 18:22:45.586"</f>
        <v>10/21/2020 18:22:45.586</v>
      </c>
      <c r="B1067" t="str">
        <f>"18:22:53.516"</f>
        <v>18:22:53.516</v>
      </c>
      <c r="C1067" t="str">
        <f>"18:22:53.116"</f>
        <v>18:22:53.116</v>
      </c>
      <c r="D1067" t="s">
        <v>433</v>
      </c>
      <c r="E1067">
        <v>30.583984999999998</v>
      </c>
      <c r="F1067" t="s">
        <v>434</v>
      </c>
      <c r="G1067">
        <v>-89.849646000000007</v>
      </c>
      <c r="H1067">
        <v>1600</v>
      </c>
      <c r="I1067">
        <v>-109</v>
      </c>
      <c r="J1067">
        <v>115</v>
      </c>
      <c r="K1067">
        <v>-64</v>
      </c>
      <c r="L1067">
        <v>1200</v>
      </c>
      <c r="M1067" t="str">
        <f t="shared" si="47"/>
        <v xml:space="preserve">N35DC   </v>
      </c>
      <c r="N1067">
        <v>1</v>
      </c>
      <c r="O1067">
        <v>1675</v>
      </c>
    </row>
    <row r="1068" spans="1:15" x14ac:dyDescent="0.25">
      <c r="A1068" t="str">
        <f>"10/21/2020 18:22:45.586"</f>
        <v>10/21/2020 18:22:45.586</v>
      </c>
      <c r="B1068" t="str">
        <f>"18:22:53.516"</f>
        <v>18:22:53.516</v>
      </c>
      <c r="C1068" t="str">
        <f>"18:22:53.116"</f>
        <v>18:22:53.116</v>
      </c>
      <c r="D1068" t="s">
        <v>433</v>
      </c>
      <c r="E1068">
        <v>30.583984999999998</v>
      </c>
      <c r="F1068" t="s">
        <v>434</v>
      </c>
      <c r="G1068">
        <v>-89.849646000000007</v>
      </c>
      <c r="H1068">
        <v>1600</v>
      </c>
      <c r="I1068">
        <v>-109</v>
      </c>
      <c r="J1068">
        <v>115</v>
      </c>
      <c r="K1068">
        <v>-64</v>
      </c>
      <c r="L1068">
        <v>1200</v>
      </c>
      <c r="M1068" t="str">
        <f t="shared" si="47"/>
        <v xml:space="preserve">N35DC   </v>
      </c>
      <c r="N1068">
        <v>1</v>
      </c>
      <c r="O1068">
        <v>1675</v>
      </c>
    </row>
    <row r="1069" spans="1:15" x14ac:dyDescent="0.25">
      <c r="A1069" t="str">
        <f>"10/21/2020 18:22:45.586"</f>
        <v>10/21/2020 18:22:45.586</v>
      </c>
      <c r="B1069" t="str">
        <f>"18:22:53.516"</f>
        <v>18:22:53.516</v>
      </c>
      <c r="C1069" t="str">
        <f>"18:22:53.116"</f>
        <v>18:22:53.116</v>
      </c>
      <c r="D1069" t="s">
        <v>433</v>
      </c>
      <c r="E1069">
        <v>30.583984999999998</v>
      </c>
      <c r="F1069" t="s">
        <v>434</v>
      </c>
      <c r="G1069">
        <v>-89.849646000000007</v>
      </c>
      <c r="H1069">
        <v>1600</v>
      </c>
      <c r="I1069">
        <v>-109</v>
      </c>
      <c r="J1069">
        <v>115</v>
      </c>
      <c r="K1069">
        <v>-64</v>
      </c>
      <c r="L1069">
        <v>1200</v>
      </c>
      <c r="M1069" t="str">
        <f t="shared" si="47"/>
        <v xml:space="preserve">N35DC   </v>
      </c>
      <c r="N1069">
        <v>1</v>
      </c>
      <c r="O1069">
        <v>1675</v>
      </c>
    </row>
    <row r="1070" spans="1:15" x14ac:dyDescent="0.25">
      <c r="A1070" t="str">
        <f>"10/21/2020 18:22:45.586"</f>
        <v>10/21/2020 18:22:45.586</v>
      </c>
      <c r="B1070" t="str">
        <f>"18:22:53.516"</f>
        <v>18:22:53.516</v>
      </c>
      <c r="C1070" t="str">
        <f>"18:22:53.116"</f>
        <v>18:22:53.116</v>
      </c>
      <c r="D1070" t="s">
        <v>433</v>
      </c>
      <c r="E1070">
        <v>30.583984999999998</v>
      </c>
      <c r="F1070" t="s">
        <v>434</v>
      </c>
      <c r="G1070">
        <v>-89.849646000000007</v>
      </c>
      <c r="H1070">
        <v>1600</v>
      </c>
      <c r="I1070">
        <v>-109</v>
      </c>
      <c r="J1070">
        <v>115</v>
      </c>
      <c r="K1070">
        <v>-64</v>
      </c>
      <c r="L1070">
        <v>1200</v>
      </c>
      <c r="M1070" t="str">
        <f t="shared" si="47"/>
        <v xml:space="preserve">N35DC   </v>
      </c>
      <c r="N1070">
        <v>1</v>
      </c>
      <c r="O1070">
        <v>1675</v>
      </c>
    </row>
    <row r="1071" spans="1:15" x14ac:dyDescent="0.25">
      <c r="A1071" t="str">
        <f>"10/21/2020 18:22:45.586"</f>
        <v>10/21/2020 18:22:45.586</v>
      </c>
      <c r="B1071" t="str">
        <f>"18:22:53.516"</f>
        <v>18:22:53.516</v>
      </c>
      <c r="C1071" t="str">
        <f>"18:22:53.116"</f>
        <v>18:22:53.116</v>
      </c>
      <c r="D1071" t="s">
        <v>433</v>
      </c>
      <c r="E1071">
        <v>30.583984999999998</v>
      </c>
      <c r="F1071" t="s">
        <v>434</v>
      </c>
      <c r="G1071">
        <v>-89.849646000000007</v>
      </c>
      <c r="H1071">
        <v>1600</v>
      </c>
      <c r="I1071">
        <v>-109</v>
      </c>
      <c r="J1071">
        <v>115</v>
      </c>
      <c r="K1071">
        <v>-64</v>
      </c>
      <c r="L1071">
        <v>1200</v>
      </c>
      <c r="M1071" t="str">
        <f t="shared" si="47"/>
        <v xml:space="preserve">N35DC   </v>
      </c>
      <c r="N1071">
        <v>1</v>
      </c>
      <c r="O1071">
        <v>1675</v>
      </c>
    </row>
    <row r="1072" spans="1:15" x14ac:dyDescent="0.25">
      <c r="A1072" t="str">
        <f>"10/21/2020 18:22:48.494"</f>
        <v>10/21/2020 18:22:48.494</v>
      </c>
      <c r="B1072" t="str">
        <f>"18:22:56.430"</f>
        <v>18:22:56.430</v>
      </c>
      <c r="C1072" t="str">
        <f>"18:22:56.330"</f>
        <v>18:22:56.330</v>
      </c>
      <c r="D1072" t="s">
        <v>435</v>
      </c>
      <c r="E1072">
        <v>30.585529999999999</v>
      </c>
      <c r="F1072" t="s">
        <v>436</v>
      </c>
      <c r="G1072">
        <v>-89.851363000000006</v>
      </c>
      <c r="H1072">
        <v>1600</v>
      </c>
      <c r="I1072">
        <v>-108</v>
      </c>
      <c r="J1072">
        <v>115</v>
      </c>
      <c r="K1072">
        <v>128</v>
      </c>
      <c r="L1072">
        <v>1200</v>
      </c>
      <c r="M1072" t="str">
        <f t="shared" si="47"/>
        <v xml:space="preserve">N35DC   </v>
      </c>
      <c r="N1072">
        <v>1</v>
      </c>
      <c r="O1072">
        <v>1700</v>
      </c>
    </row>
    <row r="1073" spans="1:15" x14ac:dyDescent="0.25">
      <c r="A1073" t="str">
        <f>"10/21/2020 18:22:48.494"</f>
        <v>10/21/2020 18:22:48.494</v>
      </c>
      <c r="B1073" t="str">
        <f>"18:22:56.430"</f>
        <v>18:22:56.430</v>
      </c>
      <c r="C1073" t="str">
        <f>"18:22:56.330"</f>
        <v>18:22:56.330</v>
      </c>
      <c r="D1073" t="s">
        <v>435</v>
      </c>
      <c r="E1073">
        <v>30.585529999999999</v>
      </c>
      <c r="F1073" t="s">
        <v>436</v>
      </c>
      <c r="G1073">
        <v>-89.851363000000006</v>
      </c>
      <c r="H1073">
        <v>1600</v>
      </c>
      <c r="I1073">
        <v>-108</v>
      </c>
      <c r="J1073">
        <v>115</v>
      </c>
      <c r="K1073">
        <v>128</v>
      </c>
      <c r="L1073">
        <v>1200</v>
      </c>
      <c r="M1073" t="str">
        <f t="shared" si="47"/>
        <v xml:space="preserve">N35DC   </v>
      </c>
      <c r="N1073">
        <v>1</v>
      </c>
      <c r="O1073">
        <v>1700</v>
      </c>
    </row>
    <row r="1074" spans="1:15" x14ac:dyDescent="0.25">
      <c r="A1074" t="str">
        <f>"10/21/2020 18:22:48.494"</f>
        <v>10/21/2020 18:22:48.494</v>
      </c>
      <c r="B1074" t="str">
        <f>"18:22:56.430"</f>
        <v>18:22:56.430</v>
      </c>
      <c r="C1074" t="str">
        <f>"18:22:56.330"</f>
        <v>18:22:56.330</v>
      </c>
      <c r="D1074" t="s">
        <v>435</v>
      </c>
      <c r="E1074">
        <v>30.585529999999999</v>
      </c>
      <c r="F1074" t="s">
        <v>436</v>
      </c>
      <c r="G1074">
        <v>-89.851363000000006</v>
      </c>
      <c r="H1074">
        <v>1600</v>
      </c>
      <c r="I1074">
        <v>-108</v>
      </c>
      <c r="J1074">
        <v>115</v>
      </c>
      <c r="K1074">
        <v>128</v>
      </c>
      <c r="L1074">
        <v>1200</v>
      </c>
      <c r="M1074" t="str">
        <f t="shared" si="47"/>
        <v xml:space="preserve">N35DC   </v>
      </c>
      <c r="N1074">
        <v>1</v>
      </c>
      <c r="O1074">
        <v>1700</v>
      </c>
    </row>
    <row r="1075" spans="1:15" x14ac:dyDescent="0.25">
      <c r="A1075" t="str">
        <f>"10/21/2020 18:22:48.494"</f>
        <v>10/21/2020 18:22:48.494</v>
      </c>
      <c r="B1075" t="str">
        <f>"18:22:56.430"</f>
        <v>18:22:56.430</v>
      </c>
      <c r="C1075" t="str">
        <f>"18:22:56.330"</f>
        <v>18:22:56.330</v>
      </c>
      <c r="D1075" t="s">
        <v>435</v>
      </c>
      <c r="E1075">
        <v>30.585529999999999</v>
      </c>
      <c r="F1075" t="s">
        <v>436</v>
      </c>
      <c r="G1075">
        <v>-89.851363000000006</v>
      </c>
      <c r="H1075">
        <v>1600</v>
      </c>
      <c r="I1075">
        <v>-108</v>
      </c>
      <c r="J1075">
        <v>115</v>
      </c>
      <c r="K1075">
        <v>128</v>
      </c>
      <c r="L1075">
        <v>1200</v>
      </c>
      <c r="M1075" t="str">
        <f t="shared" si="47"/>
        <v xml:space="preserve">N35DC   </v>
      </c>
      <c r="N1075">
        <v>1</v>
      </c>
      <c r="O1075">
        <v>1700</v>
      </c>
    </row>
    <row r="1076" spans="1:15" x14ac:dyDescent="0.25">
      <c r="A1076" t="str">
        <f>"10/21/2020 18:22:48.494"</f>
        <v>10/21/2020 18:22:48.494</v>
      </c>
      <c r="B1076" t="str">
        <f>"18:22:56.430"</f>
        <v>18:22:56.430</v>
      </c>
      <c r="C1076" t="str">
        <f>"18:22:56.330"</f>
        <v>18:22:56.330</v>
      </c>
      <c r="D1076" t="s">
        <v>435</v>
      </c>
      <c r="E1076">
        <v>30.585529999999999</v>
      </c>
      <c r="F1076" t="s">
        <v>436</v>
      </c>
      <c r="G1076">
        <v>-89.851363000000006</v>
      </c>
      <c r="H1076">
        <v>1600</v>
      </c>
      <c r="I1076">
        <v>-108</v>
      </c>
      <c r="J1076">
        <v>115</v>
      </c>
      <c r="K1076">
        <v>128</v>
      </c>
      <c r="L1076">
        <v>1200</v>
      </c>
      <c r="M1076" t="str">
        <f t="shared" si="47"/>
        <v xml:space="preserve">N35DC   </v>
      </c>
      <c r="N1076">
        <v>1</v>
      </c>
      <c r="O1076">
        <v>1700</v>
      </c>
    </row>
    <row r="1077" spans="1:15" x14ac:dyDescent="0.25">
      <c r="A1077" t="str">
        <f>"10/21/2020 18:22:49.476"</f>
        <v>10/21/2020 18:22:49.476</v>
      </c>
      <c r="B1077" t="str">
        <f>"18:22:57.422"</f>
        <v>18:22:57.422</v>
      </c>
      <c r="C1077" t="str">
        <f>"18:22:57.322"</f>
        <v>18:22:57.322</v>
      </c>
      <c r="D1077" t="s">
        <v>437</v>
      </c>
      <c r="E1077">
        <v>30.586088</v>
      </c>
      <c r="F1077" t="s">
        <v>438</v>
      </c>
      <c r="G1077">
        <v>-89.851963999999995</v>
      </c>
      <c r="H1077">
        <v>1600</v>
      </c>
      <c r="I1077">
        <v>-108</v>
      </c>
      <c r="J1077">
        <v>115</v>
      </c>
      <c r="K1077">
        <v>64</v>
      </c>
      <c r="L1077">
        <v>1200</v>
      </c>
      <c r="M1077" t="str">
        <f t="shared" si="47"/>
        <v xml:space="preserve">N35DC   </v>
      </c>
      <c r="N1077">
        <v>1</v>
      </c>
      <c r="O1077">
        <v>1700</v>
      </c>
    </row>
    <row r="1078" spans="1:15" x14ac:dyDescent="0.25">
      <c r="A1078" t="str">
        <f>"10/21/2020 18:22:49.476"</f>
        <v>10/21/2020 18:22:49.476</v>
      </c>
      <c r="B1078" t="str">
        <f>"18:22:57.422"</f>
        <v>18:22:57.422</v>
      </c>
      <c r="C1078" t="str">
        <f>"18:22:57.322"</f>
        <v>18:22:57.322</v>
      </c>
      <c r="D1078" t="s">
        <v>437</v>
      </c>
      <c r="E1078">
        <v>30.586088</v>
      </c>
      <c r="F1078" t="s">
        <v>438</v>
      </c>
      <c r="G1078">
        <v>-89.851963999999995</v>
      </c>
      <c r="H1078">
        <v>1600</v>
      </c>
      <c r="I1078">
        <v>-108</v>
      </c>
      <c r="J1078">
        <v>115</v>
      </c>
      <c r="K1078">
        <v>64</v>
      </c>
      <c r="L1078">
        <v>1200</v>
      </c>
      <c r="M1078" t="str">
        <f t="shared" si="47"/>
        <v xml:space="preserve">N35DC   </v>
      </c>
      <c r="N1078">
        <v>1</v>
      </c>
      <c r="O1078">
        <v>1700</v>
      </c>
    </row>
    <row r="1079" spans="1:15" x14ac:dyDescent="0.25">
      <c r="A1079" t="str">
        <f>"10/21/2020 18:22:49.476"</f>
        <v>10/21/2020 18:22:49.476</v>
      </c>
      <c r="B1079" t="str">
        <f>"18:22:57.422"</f>
        <v>18:22:57.422</v>
      </c>
      <c r="C1079" t="str">
        <f>"18:22:57.322"</f>
        <v>18:22:57.322</v>
      </c>
      <c r="D1079" t="s">
        <v>437</v>
      </c>
      <c r="E1079">
        <v>30.586088</v>
      </c>
      <c r="F1079" t="s">
        <v>438</v>
      </c>
      <c r="G1079">
        <v>-89.851963999999995</v>
      </c>
      <c r="H1079">
        <v>1600</v>
      </c>
      <c r="I1079">
        <v>-108</v>
      </c>
      <c r="J1079">
        <v>115</v>
      </c>
      <c r="K1079">
        <v>64</v>
      </c>
      <c r="L1079">
        <v>1200</v>
      </c>
      <c r="M1079" t="str">
        <f t="shared" si="47"/>
        <v xml:space="preserve">N35DC   </v>
      </c>
      <c r="N1079">
        <v>1</v>
      </c>
      <c r="O1079">
        <v>1700</v>
      </c>
    </row>
    <row r="1080" spans="1:15" x14ac:dyDescent="0.25">
      <c r="A1080" t="str">
        <f>"10/21/2020 18:22:49.476"</f>
        <v>10/21/2020 18:22:49.476</v>
      </c>
      <c r="B1080" t="str">
        <f>"18:22:57.422"</f>
        <v>18:22:57.422</v>
      </c>
      <c r="C1080" t="str">
        <f>"18:22:57.322"</f>
        <v>18:22:57.322</v>
      </c>
      <c r="D1080" t="s">
        <v>437</v>
      </c>
      <c r="E1080">
        <v>30.586088</v>
      </c>
      <c r="F1080" t="s">
        <v>438</v>
      </c>
      <c r="G1080">
        <v>-89.851963999999995</v>
      </c>
      <c r="H1080">
        <v>1600</v>
      </c>
      <c r="I1080">
        <v>-108</v>
      </c>
      <c r="J1080">
        <v>115</v>
      </c>
      <c r="K1080">
        <v>64</v>
      </c>
      <c r="L1080">
        <v>1200</v>
      </c>
      <c r="M1080" t="str">
        <f t="shared" si="47"/>
        <v xml:space="preserve">N35DC   </v>
      </c>
      <c r="N1080">
        <v>1</v>
      </c>
      <c r="O1080">
        <v>1700</v>
      </c>
    </row>
    <row r="1081" spans="1:15" x14ac:dyDescent="0.25">
      <c r="A1081" t="str">
        <f>"10/21/2020 18:22:49.476"</f>
        <v>10/21/2020 18:22:49.476</v>
      </c>
      <c r="B1081" t="str">
        <f>"18:22:57.422"</f>
        <v>18:22:57.422</v>
      </c>
      <c r="C1081" t="str">
        <f>"18:22:57.322"</f>
        <v>18:22:57.322</v>
      </c>
      <c r="D1081" t="s">
        <v>437</v>
      </c>
      <c r="E1081">
        <v>30.586088</v>
      </c>
      <c r="F1081" t="s">
        <v>438</v>
      </c>
      <c r="G1081">
        <v>-89.851963999999995</v>
      </c>
      <c r="H1081">
        <v>1600</v>
      </c>
      <c r="I1081">
        <v>-108</v>
      </c>
      <c r="J1081">
        <v>115</v>
      </c>
      <c r="K1081">
        <v>64</v>
      </c>
      <c r="L1081">
        <v>1200</v>
      </c>
      <c r="M1081" t="str">
        <f t="shared" si="47"/>
        <v xml:space="preserve">N35DC   </v>
      </c>
      <c r="N1081">
        <v>1</v>
      </c>
      <c r="O1081">
        <v>1700</v>
      </c>
    </row>
    <row r="1082" spans="1:15" x14ac:dyDescent="0.25">
      <c r="A1082" t="str">
        <f>"10/21/2020 18:22:52.713"</f>
        <v>10/21/2020 18:22:52.713</v>
      </c>
      <c r="B1082" t="str">
        <f>"18:23:00.625"</f>
        <v>18:23:00.625</v>
      </c>
      <c r="C1082" t="str">
        <f>"18:23:00.225"</f>
        <v>18:23:00.225</v>
      </c>
      <c r="D1082" t="s">
        <v>439</v>
      </c>
      <c r="E1082">
        <v>30.587803999999998</v>
      </c>
      <c r="F1082" t="s">
        <v>440</v>
      </c>
      <c r="G1082">
        <v>-89.853765999999993</v>
      </c>
      <c r="H1082">
        <v>1600</v>
      </c>
      <c r="I1082">
        <v>-107</v>
      </c>
      <c r="J1082">
        <v>116</v>
      </c>
      <c r="K1082">
        <v>0</v>
      </c>
      <c r="L1082">
        <v>1200</v>
      </c>
      <c r="M1082" t="str">
        <f t="shared" si="47"/>
        <v xml:space="preserve">N35DC   </v>
      </c>
      <c r="N1082">
        <v>1</v>
      </c>
      <c r="O1082">
        <v>1700</v>
      </c>
    </row>
    <row r="1083" spans="1:15" x14ac:dyDescent="0.25">
      <c r="A1083" t="str">
        <f>"10/21/2020 18:22:52.713"</f>
        <v>10/21/2020 18:22:52.713</v>
      </c>
      <c r="B1083" t="str">
        <f>"18:23:00.625"</f>
        <v>18:23:00.625</v>
      </c>
      <c r="C1083" t="str">
        <f>"18:23:00.225"</f>
        <v>18:23:00.225</v>
      </c>
      <c r="D1083" t="s">
        <v>439</v>
      </c>
      <c r="E1083">
        <v>30.587803999999998</v>
      </c>
      <c r="F1083" t="s">
        <v>440</v>
      </c>
      <c r="G1083">
        <v>-89.853765999999993</v>
      </c>
      <c r="H1083">
        <v>1600</v>
      </c>
      <c r="I1083">
        <v>-107</v>
      </c>
      <c r="J1083">
        <v>116</v>
      </c>
      <c r="K1083">
        <v>0</v>
      </c>
      <c r="L1083">
        <v>1200</v>
      </c>
      <c r="M1083" t="str">
        <f t="shared" si="47"/>
        <v xml:space="preserve">N35DC   </v>
      </c>
      <c r="N1083">
        <v>1</v>
      </c>
      <c r="O1083">
        <v>1700</v>
      </c>
    </row>
    <row r="1084" spans="1:15" x14ac:dyDescent="0.25">
      <c r="A1084" t="str">
        <f>"10/21/2020 18:22:52.713"</f>
        <v>10/21/2020 18:22:52.713</v>
      </c>
      <c r="B1084" t="str">
        <f>"18:23:00.625"</f>
        <v>18:23:00.625</v>
      </c>
      <c r="C1084" t="str">
        <f>"18:23:00.225"</f>
        <v>18:23:00.225</v>
      </c>
      <c r="D1084" t="s">
        <v>439</v>
      </c>
      <c r="E1084">
        <v>30.587803999999998</v>
      </c>
      <c r="F1084" t="s">
        <v>440</v>
      </c>
      <c r="G1084">
        <v>-89.853765999999993</v>
      </c>
      <c r="H1084">
        <v>1600</v>
      </c>
      <c r="I1084">
        <v>-107</v>
      </c>
      <c r="J1084">
        <v>116</v>
      </c>
      <c r="K1084">
        <v>0</v>
      </c>
      <c r="L1084">
        <v>1200</v>
      </c>
      <c r="M1084" t="str">
        <f t="shared" si="47"/>
        <v xml:space="preserve">N35DC   </v>
      </c>
      <c r="N1084">
        <v>1</v>
      </c>
      <c r="O1084">
        <v>1700</v>
      </c>
    </row>
    <row r="1085" spans="1:15" x14ac:dyDescent="0.25">
      <c r="A1085" t="str">
        <f>"10/21/2020 18:22:52.713"</f>
        <v>10/21/2020 18:22:52.713</v>
      </c>
      <c r="B1085" t="str">
        <f>"18:23:00.625"</f>
        <v>18:23:00.625</v>
      </c>
      <c r="C1085" t="str">
        <f>"18:23:00.225"</f>
        <v>18:23:00.225</v>
      </c>
      <c r="D1085" t="s">
        <v>439</v>
      </c>
      <c r="E1085">
        <v>30.587803999999998</v>
      </c>
      <c r="F1085" t="s">
        <v>440</v>
      </c>
      <c r="G1085">
        <v>-89.853765999999993</v>
      </c>
      <c r="H1085">
        <v>1600</v>
      </c>
      <c r="I1085">
        <v>-107</v>
      </c>
      <c r="J1085">
        <v>116</v>
      </c>
      <c r="K1085">
        <v>0</v>
      </c>
      <c r="L1085">
        <v>1200</v>
      </c>
      <c r="M1085" t="str">
        <f t="shared" si="47"/>
        <v xml:space="preserve">N35DC   </v>
      </c>
      <c r="N1085">
        <v>1</v>
      </c>
      <c r="O1085">
        <v>1700</v>
      </c>
    </row>
    <row r="1086" spans="1:15" x14ac:dyDescent="0.25">
      <c r="A1086" t="str">
        <f>"10/21/2020 18:22:52.713"</f>
        <v>10/21/2020 18:22:52.713</v>
      </c>
      <c r="B1086" t="str">
        <f>"18:23:00.625"</f>
        <v>18:23:00.625</v>
      </c>
      <c r="C1086" t="str">
        <f>"18:23:00.225"</f>
        <v>18:23:00.225</v>
      </c>
      <c r="D1086" t="s">
        <v>439</v>
      </c>
      <c r="E1086">
        <v>30.587803999999998</v>
      </c>
      <c r="F1086" t="s">
        <v>440</v>
      </c>
      <c r="G1086">
        <v>-89.853765999999993</v>
      </c>
      <c r="H1086">
        <v>1600</v>
      </c>
      <c r="I1086">
        <v>-107</v>
      </c>
      <c r="J1086">
        <v>116</v>
      </c>
      <c r="K1086">
        <v>0</v>
      </c>
      <c r="L1086">
        <v>1200</v>
      </c>
      <c r="M1086" t="str">
        <f t="shared" si="47"/>
        <v xml:space="preserve">N35DC   </v>
      </c>
      <c r="N1086">
        <v>1</v>
      </c>
      <c r="O1086">
        <v>1700</v>
      </c>
    </row>
    <row r="1087" spans="1:15" x14ac:dyDescent="0.25">
      <c r="A1087" t="str">
        <f>"10/21/2020 18:22:53.698"</f>
        <v>10/21/2020 18:22:53.698</v>
      </c>
      <c r="B1087" t="str">
        <f>"18:23:01.617"</f>
        <v>18:23:01.617</v>
      </c>
      <c r="C1087" t="str">
        <f>"18:23:01.217"</f>
        <v>18:23:01.217</v>
      </c>
      <c r="D1087" t="s">
        <v>441</v>
      </c>
      <c r="E1087">
        <v>30.588318999999998</v>
      </c>
      <c r="F1087" t="s">
        <v>442</v>
      </c>
      <c r="G1087">
        <v>-89.854366999999996</v>
      </c>
      <c r="H1087">
        <v>1600</v>
      </c>
      <c r="I1087">
        <v>-107</v>
      </c>
      <c r="J1087">
        <v>116</v>
      </c>
      <c r="K1087">
        <v>128</v>
      </c>
      <c r="L1087">
        <v>1200</v>
      </c>
      <c r="M1087" t="str">
        <f t="shared" si="47"/>
        <v xml:space="preserve">N35DC   </v>
      </c>
      <c r="N1087">
        <v>1</v>
      </c>
      <c r="O1087">
        <v>1700</v>
      </c>
    </row>
    <row r="1088" spans="1:15" x14ac:dyDescent="0.25">
      <c r="A1088" t="str">
        <f>"10/21/2020 18:22:53.698"</f>
        <v>10/21/2020 18:22:53.698</v>
      </c>
      <c r="B1088" t="str">
        <f>"18:23:01.617"</f>
        <v>18:23:01.617</v>
      </c>
      <c r="C1088" t="str">
        <f>"18:23:01.217"</f>
        <v>18:23:01.217</v>
      </c>
      <c r="D1088" t="s">
        <v>441</v>
      </c>
      <c r="E1088">
        <v>30.588318999999998</v>
      </c>
      <c r="F1088" t="s">
        <v>442</v>
      </c>
      <c r="G1088">
        <v>-89.854366999999996</v>
      </c>
      <c r="H1088">
        <v>1600</v>
      </c>
      <c r="I1088">
        <v>-107</v>
      </c>
      <c r="J1088">
        <v>116</v>
      </c>
      <c r="K1088">
        <v>128</v>
      </c>
      <c r="L1088">
        <v>1200</v>
      </c>
      <c r="M1088" t="str">
        <f t="shared" si="47"/>
        <v xml:space="preserve">N35DC   </v>
      </c>
      <c r="N1088">
        <v>1</v>
      </c>
      <c r="O1088">
        <v>1700</v>
      </c>
    </row>
    <row r="1089" spans="1:15" x14ac:dyDescent="0.25">
      <c r="A1089" t="str">
        <f>"10/21/2020 18:22:53.698"</f>
        <v>10/21/2020 18:22:53.698</v>
      </c>
      <c r="B1089" t="str">
        <f>"18:23:01.617"</f>
        <v>18:23:01.617</v>
      </c>
      <c r="C1089" t="str">
        <f>"18:23:01.217"</f>
        <v>18:23:01.217</v>
      </c>
      <c r="D1089" t="s">
        <v>441</v>
      </c>
      <c r="E1089">
        <v>30.588318999999998</v>
      </c>
      <c r="F1089" t="s">
        <v>442</v>
      </c>
      <c r="G1089">
        <v>-89.854366999999996</v>
      </c>
      <c r="H1089">
        <v>1600</v>
      </c>
      <c r="I1089">
        <v>-107</v>
      </c>
      <c r="J1089">
        <v>116</v>
      </c>
      <c r="K1089">
        <v>128</v>
      </c>
      <c r="L1089">
        <v>1200</v>
      </c>
      <c r="M1089" t="str">
        <f t="shared" si="47"/>
        <v xml:space="preserve">N35DC   </v>
      </c>
      <c r="N1089">
        <v>1</v>
      </c>
      <c r="O1089">
        <v>1700</v>
      </c>
    </row>
    <row r="1090" spans="1:15" x14ac:dyDescent="0.25">
      <c r="A1090" t="str">
        <f>"10/21/2020 18:22:53.698"</f>
        <v>10/21/2020 18:22:53.698</v>
      </c>
      <c r="B1090" t="str">
        <f>"18:23:01.617"</f>
        <v>18:23:01.617</v>
      </c>
      <c r="C1090" t="str">
        <f>"18:23:01.217"</f>
        <v>18:23:01.217</v>
      </c>
      <c r="D1090" t="s">
        <v>441</v>
      </c>
      <c r="E1090">
        <v>30.588318999999998</v>
      </c>
      <c r="F1090" t="s">
        <v>442</v>
      </c>
      <c r="G1090">
        <v>-89.854366999999996</v>
      </c>
      <c r="H1090">
        <v>1600</v>
      </c>
      <c r="I1090">
        <v>-107</v>
      </c>
      <c r="J1090">
        <v>116</v>
      </c>
      <c r="K1090">
        <v>128</v>
      </c>
      <c r="L1090">
        <v>1200</v>
      </c>
      <c r="M1090" t="str">
        <f t="shared" si="47"/>
        <v xml:space="preserve">N35DC   </v>
      </c>
      <c r="N1090">
        <v>1</v>
      </c>
      <c r="O1090">
        <v>1700</v>
      </c>
    </row>
    <row r="1091" spans="1:15" x14ac:dyDescent="0.25">
      <c r="A1091" t="str">
        <f>"10/21/2020 18:22:53.698"</f>
        <v>10/21/2020 18:22:53.698</v>
      </c>
      <c r="B1091" t="str">
        <f>"18:23:01.617"</f>
        <v>18:23:01.617</v>
      </c>
      <c r="C1091" t="str">
        <f>"18:23:01.217"</f>
        <v>18:23:01.217</v>
      </c>
      <c r="D1091" t="s">
        <v>441</v>
      </c>
      <c r="E1091">
        <v>30.588318999999998</v>
      </c>
      <c r="F1091" t="s">
        <v>442</v>
      </c>
      <c r="G1091">
        <v>-89.854366999999996</v>
      </c>
      <c r="H1091">
        <v>1600</v>
      </c>
      <c r="I1091">
        <v>-107</v>
      </c>
      <c r="J1091">
        <v>116</v>
      </c>
      <c r="K1091">
        <v>128</v>
      </c>
      <c r="L1091">
        <v>1200</v>
      </c>
      <c r="M1091" t="str">
        <f t="shared" si="47"/>
        <v xml:space="preserve">N35DC   </v>
      </c>
      <c r="N1091">
        <v>1</v>
      </c>
      <c r="O1091">
        <v>1700</v>
      </c>
    </row>
    <row r="1092" spans="1:15" x14ac:dyDescent="0.25">
      <c r="A1092" t="str">
        <f>"10/21/2020 18:22:56.636"</f>
        <v>10/21/2020 18:22:56.636</v>
      </c>
      <c r="B1092" t="str">
        <f>"18:23:04.570"</f>
        <v>18:23:04.570</v>
      </c>
      <c r="C1092" t="str">
        <f>"18:23:04.170"</f>
        <v>18:23:04.170</v>
      </c>
      <c r="D1092" t="s">
        <v>443</v>
      </c>
      <c r="E1092">
        <v>30.589886</v>
      </c>
      <c r="F1092" t="s">
        <v>444</v>
      </c>
      <c r="G1092">
        <v>-89.856082999999998</v>
      </c>
      <c r="H1092">
        <v>1600</v>
      </c>
      <c r="I1092">
        <v>-108</v>
      </c>
      <c r="J1092">
        <v>115</v>
      </c>
      <c r="K1092">
        <v>128</v>
      </c>
      <c r="L1092">
        <v>1200</v>
      </c>
      <c r="M1092" t="str">
        <f t="shared" si="47"/>
        <v xml:space="preserve">N35DC   </v>
      </c>
      <c r="N1092">
        <v>1</v>
      </c>
      <c r="O1092">
        <v>1700</v>
      </c>
    </row>
    <row r="1093" spans="1:15" x14ac:dyDescent="0.25">
      <c r="A1093" t="str">
        <f>"10/21/2020 18:22:56.636"</f>
        <v>10/21/2020 18:22:56.636</v>
      </c>
      <c r="B1093" t="str">
        <f>"18:23:04.570"</f>
        <v>18:23:04.570</v>
      </c>
      <c r="C1093" t="str">
        <f>"18:23:04.170"</f>
        <v>18:23:04.170</v>
      </c>
      <c r="D1093" t="s">
        <v>443</v>
      </c>
      <c r="E1093">
        <v>30.589886</v>
      </c>
      <c r="F1093" t="s">
        <v>444</v>
      </c>
      <c r="G1093">
        <v>-89.856082999999998</v>
      </c>
      <c r="H1093">
        <v>1600</v>
      </c>
      <c r="I1093">
        <v>-108</v>
      </c>
      <c r="J1093">
        <v>115</v>
      </c>
      <c r="K1093">
        <v>128</v>
      </c>
      <c r="L1093">
        <v>1200</v>
      </c>
      <c r="M1093" t="str">
        <f t="shared" si="47"/>
        <v xml:space="preserve">N35DC   </v>
      </c>
      <c r="N1093">
        <v>1</v>
      </c>
      <c r="O1093">
        <v>1700</v>
      </c>
    </row>
    <row r="1094" spans="1:15" x14ac:dyDescent="0.25">
      <c r="A1094" t="str">
        <f>"10/21/2020 18:22:56.636"</f>
        <v>10/21/2020 18:22:56.636</v>
      </c>
      <c r="B1094" t="str">
        <f>"18:23:04.570"</f>
        <v>18:23:04.570</v>
      </c>
      <c r="C1094" t="str">
        <f>"18:23:04.170"</f>
        <v>18:23:04.170</v>
      </c>
      <c r="D1094" t="s">
        <v>443</v>
      </c>
      <c r="E1094">
        <v>30.589886</v>
      </c>
      <c r="F1094" t="s">
        <v>444</v>
      </c>
      <c r="G1094">
        <v>-89.856082999999998</v>
      </c>
      <c r="H1094">
        <v>1600</v>
      </c>
      <c r="I1094">
        <v>-108</v>
      </c>
      <c r="J1094">
        <v>115</v>
      </c>
      <c r="K1094">
        <v>128</v>
      </c>
      <c r="L1094">
        <v>1200</v>
      </c>
      <c r="M1094" t="str">
        <f t="shared" si="47"/>
        <v xml:space="preserve">N35DC   </v>
      </c>
      <c r="N1094">
        <v>1</v>
      </c>
      <c r="O1094">
        <v>1700</v>
      </c>
    </row>
    <row r="1095" spans="1:15" x14ac:dyDescent="0.25">
      <c r="A1095" t="str">
        <f>"10/21/2020 18:22:56.636"</f>
        <v>10/21/2020 18:22:56.636</v>
      </c>
      <c r="B1095" t="str">
        <f>"18:23:04.570"</f>
        <v>18:23:04.570</v>
      </c>
      <c r="C1095" t="str">
        <f>"18:23:04.170"</f>
        <v>18:23:04.170</v>
      </c>
      <c r="D1095" t="s">
        <v>443</v>
      </c>
      <c r="E1095">
        <v>30.589886</v>
      </c>
      <c r="F1095" t="s">
        <v>444</v>
      </c>
      <c r="G1095">
        <v>-89.856082999999998</v>
      </c>
      <c r="H1095">
        <v>1600</v>
      </c>
      <c r="I1095">
        <v>-108</v>
      </c>
      <c r="J1095">
        <v>115</v>
      </c>
      <c r="K1095">
        <v>128</v>
      </c>
      <c r="L1095">
        <v>1200</v>
      </c>
      <c r="M1095" t="str">
        <f t="shared" ref="M1095:M1158" si="49">"N35DC   "</f>
        <v xml:space="preserve">N35DC   </v>
      </c>
      <c r="N1095">
        <v>1</v>
      </c>
      <c r="O1095">
        <v>1700</v>
      </c>
    </row>
    <row r="1096" spans="1:15" x14ac:dyDescent="0.25">
      <c r="A1096" t="str">
        <f>"10/21/2020 18:22:56.636"</f>
        <v>10/21/2020 18:22:56.636</v>
      </c>
      <c r="B1096" t="str">
        <f>"18:23:04.570"</f>
        <v>18:23:04.570</v>
      </c>
      <c r="C1096" t="str">
        <f>"18:23:04.170"</f>
        <v>18:23:04.170</v>
      </c>
      <c r="D1096" t="s">
        <v>443</v>
      </c>
      <c r="E1096">
        <v>30.589886</v>
      </c>
      <c r="F1096" t="s">
        <v>444</v>
      </c>
      <c r="G1096">
        <v>-89.856082999999998</v>
      </c>
      <c r="H1096">
        <v>1600</v>
      </c>
      <c r="I1096">
        <v>-108</v>
      </c>
      <c r="J1096">
        <v>115</v>
      </c>
      <c r="K1096">
        <v>128</v>
      </c>
      <c r="L1096">
        <v>1200</v>
      </c>
      <c r="M1096" t="str">
        <f t="shared" si="49"/>
        <v xml:space="preserve">N35DC   </v>
      </c>
      <c r="N1096">
        <v>1</v>
      </c>
      <c r="O1096">
        <v>1700</v>
      </c>
    </row>
    <row r="1097" spans="1:15" x14ac:dyDescent="0.25">
      <c r="A1097" t="str">
        <f>"10/21/2020 18:22:57.474"</f>
        <v>10/21/2020 18:22:57.474</v>
      </c>
      <c r="B1097" t="str">
        <f>"18:23:05.414"</f>
        <v>18:23:05.414</v>
      </c>
      <c r="C1097" t="str">
        <f>"18:23:05.214"</f>
        <v>18:23:05.214</v>
      </c>
      <c r="D1097" t="s">
        <v>445</v>
      </c>
      <c r="E1097">
        <v>30.590357999999998</v>
      </c>
      <c r="F1097" t="s">
        <v>446</v>
      </c>
      <c r="G1097">
        <v>-89.856577000000001</v>
      </c>
      <c r="H1097">
        <v>1600</v>
      </c>
      <c r="I1097">
        <v>-109</v>
      </c>
      <c r="J1097">
        <v>114</v>
      </c>
      <c r="K1097">
        <v>64</v>
      </c>
      <c r="L1097">
        <v>1200</v>
      </c>
      <c r="M1097" t="str">
        <f t="shared" si="49"/>
        <v xml:space="preserve">N35DC   </v>
      </c>
      <c r="N1097">
        <v>1</v>
      </c>
      <c r="O1097">
        <v>1700</v>
      </c>
    </row>
    <row r="1098" spans="1:15" x14ac:dyDescent="0.25">
      <c r="A1098" t="str">
        <f>"10/21/2020 18:22:57.474"</f>
        <v>10/21/2020 18:22:57.474</v>
      </c>
      <c r="B1098" t="str">
        <f>"18:23:05.414"</f>
        <v>18:23:05.414</v>
      </c>
      <c r="C1098" t="str">
        <f>"18:23:05.214"</f>
        <v>18:23:05.214</v>
      </c>
      <c r="D1098" t="s">
        <v>445</v>
      </c>
      <c r="E1098">
        <v>30.590357999999998</v>
      </c>
      <c r="F1098" t="s">
        <v>446</v>
      </c>
      <c r="G1098">
        <v>-89.856577000000001</v>
      </c>
      <c r="H1098">
        <v>1600</v>
      </c>
      <c r="I1098">
        <v>-109</v>
      </c>
      <c r="J1098">
        <v>114</v>
      </c>
      <c r="K1098">
        <v>64</v>
      </c>
      <c r="L1098">
        <v>1200</v>
      </c>
      <c r="M1098" t="str">
        <f t="shared" si="49"/>
        <v xml:space="preserve">N35DC   </v>
      </c>
      <c r="N1098">
        <v>1</v>
      </c>
      <c r="O1098">
        <v>1700</v>
      </c>
    </row>
    <row r="1099" spans="1:15" x14ac:dyDescent="0.25">
      <c r="A1099" t="str">
        <f>"10/21/2020 18:22:57.474"</f>
        <v>10/21/2020 18:22:57.474</v>
      </c>
      <c r="B1099" t="str">
        <f>"18:23:05.414"</f>
        <v>18:23:05.414</v>
      </c>
      <c r="C1099" t="str">
        <f>"18:23:05.214"</f>
        <v>18:23:05.214</v>
      </c>
      <c r="D1099" t="s">
        <v>445</v>
      </c>
      <c r="E1099">
        <v>30.590357999999998</v>
      </c>
      <c r="F1099" t="s">
        <v>446</v>
      </c>
      <c r="G1099">
        <v>-89.856577000000001</v>
      </c>
      <c r="H1099">
        <v>1600</v>
      </c>
      <c r="I1099">
        <v>-109</v>
      </c>
      <c r="J1099">
        <v>114</v>
      </c>
      <c r="K1099">
        <v>64</v>
      </c>
      <c r="L1099">
        <v>1200</v>
      </c>
      <c r="M1099" t="str">
        <f t="shared" si="49"/>
        <v xml:space="preserve">N35DC   </v>
      </c>
      <c r="N1099">
        <v>1</v>
      </c>
      <c r="O1099">
        <v>1700</v>
      </c>
    </row>
    <row r="1100" spans="1:15" x14ac:dyDescent="0.25">
      <c r="A1100" t="str">
        <f>"10/21/2020 18:22:57.474"</f>
        <v>10/21/2020 18:22:57.474</v>
      </c>
      <c r="B1100" t="str">
        <f>"18:23:05.414"</f>
        <v>18:23:05.414</v>
      </c>
      <c r="C1100" t="str">
        <f>"18:23:05.214"</f>
        <v>18:23:05.214</v>
      </c>
      <c r="D1100" t="s">
        <v>445</v>
      </c>
      <c r="E1100">
        <v>30.590357999999998</v>
      </c>
      <c r="F1100" t="s">
        <v>446</v>
      </c>
      <c r="G1100">
        <v>-89.856577000000001</v>
      </c>
      <c r="H1100">
        <v>1600</v>
      </c>
      <c r="I1100">
        <v>-109</v>
      </c>
      <c r="J1100">
        <v>114</v>
      </c>
      <c r="K1100">
        <v>64</v>
      </c>
      <c r="L1100">
        <v>1200</v>
      </c>
      <c r="M1100" t="str">
        <f t="shared" si="49"/>
        <v xml:space="preserve">N35DC   </v>
      </c>
      <c r="N1100">
        <v>1</v>
      </c>
      <c r="O1100">
        <v>1700</v>
      </c>
    </row>
    <row r="1101" spans="1:15" x14ac:dyDescent="0.25">
      <c r="A1101" t="str">
        <f>"10/21/2020 18:22:57.474"</f>
        <v>10/21/2020 18:22:57.474</v>
      </c>
      <c r="B1101" t="str">
        <f>"18:23:05.414"</f>
        <v>18:23:05.414</v>
      </c>
      <c r="C1101" t="str">
        <f>"18:23:05.214"</f>
        <v>18:23:05.214</v>
      </c>
      <c r="D1101" t="s">
        <v>445</v>
      </c>
      <c r="E1101">
        <v>30.590357999999998</v>
      </c>
      <c r="F1101" t="s">
        <v>446</v>
      </c>
      <c r="G1101">
        <v>-89.856577000000001</v>
      </c>
      <c r="H1101">
        <v>1600</v>
      </c>
      <c r="I1101">
        <v>-109</v>
      </c>
      <c r="J1101">
        <v>114</v>
      </c>
      <c r="K1101">
        <v>64</v>
      </c>
      <c r="L1101">
        <v>1200</v>
      </c>
      <c r="M1101" t="str">
        <f t="shared" si="49"/>
        <v xml:space="preserve">N35DC   </v>
      </c>
      <c r="N1101">
        <v>1</v>
      </c>
      <c r="O1101">
        <v>1700</v>
      </c>
    </row>
    <row r="1102" spans="1:15" x14ac:dyDescent="0.25">
      <c r="A1102" t="str">
        <f>"10/21/2020 18:23:00.646"</f>
        <v>10/21/2020 18:23:00.646</v>
      </c>
      <c r="B1102" t="str">
        <f>"18:23:08.562"</f>
        <v>18:23:08.562</v>
      </c>
      <c r="C1102" t="str">
        <f>"18:23:08.462"</f>
        <v>18:23:08.462</v>
      </c>
      <c r="D1102" t="s">
        <v>447</v>
      </c>
      <c r="E1102">
        <v>30.591989000000002</v>
      </c>
      <c r="F1102" t="s">
        <v>448</v>
      </c>
      <c r="G1102">
        <v>-89.858444000000006</v>
      </c>
      <c r="H1102">
        <v>1600</v>
      </c>
      <c r="I1102">
        <v>-110</v>
      </c>
      <c r="J1102">
        <v>112</v>
      </c>
      <c r="K1102">
        <v>0</v>
      </c>
      <c r="L1102">
        <v>1200</v>
      </c>
      <c r="M1102" t="str">
        <f t="shared" si="49"/>
        <v xml:space="preserve">N35DC   </v>
      </c>
      <c r="N1102">
        <v>1</v>
      </c>
      <c r="O1102">
        <v>1700</v>
      </c>
    </row>
    <row r="1103" spans="1:15" x14ac:dyDescent="0.25">
      <c r="A1103" t="str">
        <f>"10/21/2020 18:23:00.646"</f>
        <v>10/21/2020 18:23:00.646</v>
      </c>
      <c r="B1103" t="str">
        <f>"18:23:08.562"</f>
        <v>18:23:08.562</v>
      </c>
      <c r="C1103" t="str">
        <f>"18:23:08.462"</f>
        <v>18:23:08.462</v>
      </c>
      <c r="D1103" t="s">
        <v>447</v>
      </c>
      <c r="E1103">
        <v>30.591989000000002</v>
      </c>
      <c r="F1103" t="s">
        <v>448</v>
      </c>
      <c r="G1103">
        <v>-89.858444000000006</v>
      </c>
      <c r="H1103">
        <v>1600</v>
      </c>
      <c r="I1103">
        <v>-110</v>
      </c>
      <c r="J1103">
        <v>112</v>
      </c>
      <c r="K1103">
        <v>0</v>
      </c>
      <c r="L1103">
        <v>1200</v>
      </c>
      <c r="M1103" t="str">
        <f t="shared" si="49"/>
        <v xml:space="preserve">N35DC   </v>
      </c>
      <c r="N1103">
        <v>1</v>
      </c>
      <c r="O1103">
        <v>1700</v>
      </c>
    </row>
    <row r="1104" spans="1:15" x14ac:dyDescent="0.25">
      <c r="A1104" t="str">
        <f>"10/21/2020 18:23:00.646"</f>
        <v>10/21/2020 18:23:00.646</v>
      </c>
      <c r="B1104" t="str">
        <f>"18:23:08.562"</f>
        <v>18:23:08.562</v>
      </c>
      <c r="C1104" t="str">
        <f>"18:23:08.462"</f>
        <v>18:23:08.462</v>
      </c>
      <c r="D1104" t="s">
        <v>447</v>
      </c>
      <c r="E1104">
        <v>30.591989000000002</v>
      </c>
      <c r="F1104" t="s">
        <v>448</v>
      </c>
      <c r="G1104">
        <v>-89.858444000000006</v>
      </c>
      <c r="H1104">
        <v>1600</v>
      </c>
      <c r="I1104">
        <v>-110</v>
      </c>
      <c r="J1104">
        <v>112</v>
      </c>
      <c r="K1104">
        <v>0</v>
      </c>
      <c r="L1104">
        <v>1200</v>
      </c>
      <c r="M1104" t="str">
        <f t="shared" si="49"/>
        <v xml:space="preserve">N35DC   </v>
      </c>
      <c r="N1104">
        <v>1</v>
      </c>
      <c r="O1104">
        <v>1700</v>
      </c>
    </row>
    <row r="1105" spans="1:15" x14ac:dyDescent="0.25">
      <c r="A1105" t="str">
        <f>"10/21/2020 18:23:00.646"</f>
        <v>10/21/2020 18:23:00.646</v>
      </c>
      <c r="B1105" t="str">
        <f>"18:23:08.562"</f>
        <v>18:23:08.562</v>
      </c>
      <c r="C1105" t="str">
        <f>"18:23:08.462"</f>
        <v>18:23:08.462</v>
      </c>
      <c r="D1105" t="s">
        <v>447</v>
      </c>
      <c r="E1105">
        <v>30.591989000000002</v>
      </c>
      <c r="F1105" t="s">
        <v>448</v>
      </c>
      <c r="G1105">
        <v>-89.858444000000006</v>
      </c>
      <c r="H1105">
        <v>1600</v>
      </c>
      <c r="I1105">
        <v>-110</v>
      </c>
      <c r="J1105">
        <v>112</v>
      </c>
      <c r="K1105">
        <v>0</v>
      </c>
      <c r="L1105">
        <v>1200</v>
      </c>
      <c r="M1105" t="str">
        <f t="shared" si="49"/>
        <v xml:space="preserve">N35DC   </v>
      </c>
      <c r="N1105">
        <v>1</v>
      </c>
      <c r="O1105">
        <v>1700</v>
      </c>
    </row>
    <row r="1106" spans="1:15" x14ac:dyDescent="0.25">
      <c r="A1106" t="str">
        <f>"10/21/2020 18:23:00.646"</f>
        <v>10/21/2020 18:23:00.646</v>
      </c>
      <c r="B1106" t="str">
        <f>"18:23:08.562"</f>
        <v>18:23:08.562</v>
      </c>
      <c r="C1106" t="str">
        <f>"18:23:08.462"</f>
        <v>18:23:08.462</v>
      </c>
      <c r="D1106" t="s">
        <v>447</v>
      </c>
      <c r="E1106">
        <v>30.591989000000002</v>
      </c>
      <c r="F1106" t="s">
        <v>448</v>
      </c>
      <c r="G1106">
        <v>-89.858444000000006</v>
      </c>
      <c r="H1106">
        <v>1600</v>
      </c>
      <c r="I1106">
        <v>-110</v>
      </c>
      <c r="J1106">
        <v>112</v>
      </c>
      <c r="K1106">
        <v>0</v>
      </c>
      <c r="L1106">
        <v>1200</v>
      </c>
      <c r="M1106" t="str">
        <f t="shared" si="49"/>
        <v xml:space="preserve">N35DC   </v>
      </c>
      <c r="N1106">
        <v>1</v>
      </c>
      <c r="O1106">
        <v>1700</v>
      </c>
    </row>
    <row r="1107" spans="1:15" x14ac:dyDescent="0.25">
      <c r="A1107" t="str">
        <f>"10/21/2020 18:23:03.763"</f>
        <v>10/21/2020 18:23:03.763</v>
      </c>
      <c r="B1107" t="str">
        <f>"18:23:11.711"</f>
        <v>18:23:11.711</v>
      </c>
      <c r="C1107" t="str">
        <f>"18:23:11.511"</f>
        <v>18:23:11.511</v>
      </c>
      <c r="D1107" t="s">
        <v>449</v>
      </c>
      <c r="E1107">
        <v>30.593619</v>
      </c>
      <c r="F1107" t="s">
        <v>450</v>
      </c>
      <c r="G1107">
        <v>-89.860310999999996</v>
      </c>
      <c r="H1107">
        <v>1600</v>
      </c>
      <c r="I1107">
        <v>-110</v>
      </c>
      <c r="J1107">
        <v>111</v>
      </c>
      <c r="K1107">
        <v>0</v>
      </c>
      <c r="L1107">
        <v>1200</v>
      </c>
      <c r="M1107" t="str">
        <f t="shared" si="49"/>
        <v xml:space="preserve">N35DC   </v>
      </c>
      <c r="N1107">
        <v>1</v>
      </c>
      <c r="O1107">
        <v>1700</v>
      </c>
    </row>
    <row r="1108" spans="1:15" x14ac:dyDescent="0.25">
      <c r="A1108" t="str">
        <f>"10/21/2020 18:23:03.763"</f>
        <v>10/21/2020 18:23:03.763</v>
      </c>
      <c r="B1108" t="str">
        <f>"18:23:11.711"</f>
        <v>18:23:11.711</v>
      </c>
      <c r="C1108" t="str">
        <f>"18:23:11.511"</f>
        <v>18:23:11.511</v>
      </c>
      <c r="D1108" t="s">
        <v>449</v>
      </c>
      <c r="E1108">
        <v>30.593619</v>
      </c>
      <c r="F1108" t="s">
        <v>450</v>
      </c>
      <c r="G1108">
        <v>-89.860310999999996</v>
      </c>
      <c r="H1108">
        <v>1600</v>
      </c>
      <c r="I1108">
        <v>-110</v>
      </c>
      <c r="J1108">
        <v>111</v>
      </c>
      <c r="K1108">
        <v>0</v>
      </c>
      <c r="L1108">
        <v>1200</v>
      </c>
      <c r="M1108" t="str">
        <f t="shared" si="49"/>
        <v xml:space="preserve">N35DC   </v>
      </c>
      <c r="N1108">
        <v>1</v>
      </c>
      <c r="O1108">
        <v>1700</v>
      </c>
    </row>
    <row r="1109" spans="1:15" x14ac:dyDescent="0.25">
      <c r="A1109" t="str">
        <f>"10/21/2020 18:23:03.763"</f>
        <v>10/21/2020 18:23:03.763</v>
      </c>
      <c r="B1109" t="str">
        <f>"18:23:11.711"</f>
        <v>18:23:11.711</v>
      </c>
      <c r="C1109" t="str">
        <f>"18:23:11.511"</f>
        <v>18:23:11.511</v>
      </c>
      <c r="D1109" t="s">
        <v>449</v>
      </c>
      <c r="E1109">
        <v>30.593619</v>
      </c>
      <c r="F1109" t="s">
        <v>450</v>
      </c>
      <c r="G1109">
        <v>-89.860310999999996</v>
      </c>
      <c r="H1109">
        <v>1600</v>
      </c>
      <c r="I1109">
        <v>-110</v>
      </c>
      <c r="J1109">
        <v>111</v>
      </c>
      <c r="K1109">
        <v>0</v>
      </c>
      <c r="L1109">
        <v>1200</v>
      </c>
      <c r="M1109" t="str">
        <f t="shared" si="49"/>
        <v xml:space="preserve">N35DC   </v>
      </c>
      <c r="N1109">
        <v>1</v>
      </c>
      <c r="O1109">
        <v>1700</v>
      </c>
    </row>
    <row r="1110" spans="1:15" x14ac:dyDescent="0.25">
      <c r="A1110" t="str">
        <f>"10/21/2020 18:23:03.763"</f>
        <v>10/21/2020 18:23:03.763</v>
      </c>
      <c r="B1110" t="str">
        <f>"18:23:11.711"</f>
        <v>18:23:11.711</v>
      </c>
      <c r="C1110" t="str">
        <f>"18:23:11.511"</f>
        <v>18:23:11.511</v>
      </c>
      <c r="D1110" t="s">
        <v>449</v>
      </c>
      <c r="E1110">
        <v>30.593619</v>
      </c>
      <c r="F1110" t="s">
        <v>450</v>
      </c>
      <c r="G1110">
        <v>-89.860310999999996</v>
      </c>
      <c r="H1110">
        <v>1600</v>
      </c>
      <c r="I1110">
        <v>-110</v>
      </c>
      <c r="J1110">
        <v>111</v>
      </c>
      <c r="K1110">
        <v>0</v>
      </c>
      <c r="L1110">
        <v>1200</v>
      </c>
      <c r="M1110" t="str">
        <f t="shared" si="49"/>
        <v xml:space="preserve">N35DC   </v>
      </c>
      <c r="N1110">
        <v>1</v>
      </c>
      <c r="O1110">
        <v>1700</v>
      </c>
    </row>
    <row r="1111" spans="1:15" x14ac:dyDescent="0.25">
      <c r="A1111" t="str">
        <f>"10/21/2020 18:23:03.763"</f>
        <v>10/21/2020 18:23:03.763</v>
      </c>
      <c r="B1111" t="str">
        <f>"18:23:11.711"</f>
        <v>18:23:11.711</v>
      </c>
      <c r="C1111" t="str">
        <f>"18:23:11.511"</f>
        <v>18:23:11.511</v>
      </c>
      <c r="D1111" t="s">
        <v>449</v>
      </c>
      <c r="E1111">
        <v>30.593619</v>
      </c>
      <c r="F1111" t="s">
        <v>450</v>
      </c>
      <c r="G1111">
        <v>-89.860310999999996</v>
      </c>
      <c r="H1111">
        <v>1600</v>
      </c>
      <c r="I1111">
        <v>-110</v>
      </c>
      <c r="J1111">
        <v>111</v>
      </c>
      <c r="K1111">
        <v>0</v>
      </c>
      <c r="L1111">
        <v>1200</v>
      </c>
      <c r="M1111" t="str">
        <f t="shared" si="49"/>
        <v xml:space="preserve">N35DC   </v>
      </c>
      <c r="N1111">
        <v>1</v>
      </c>
      <c r="O1111">
        <v>1700</v>
      </c>
    </row>
    <row r="1112" spans="1:15" x14ac:dyDescent="0.25">
      <c r="A1112" t="str">
        <f>"10/21/2020 18:23:04.646"</f>
        <v>10/21/2020 18:23:04.646</v>
      </c>
      <c r="B1112" t="str">
        <f t="shared" ref="B1112:C1116" si="50">"18:23:12.594"</f>
        <v>18:23:12.594</v>
      </c>
      <c r="C1112" t="str">
        <f t="shared" si="50"/>
        <v>18:23:12.594</v>
      </c>
      <c r="D1112" t="s">
        <v>451</v>
      </c>
      <c r="E1112">
        <v>30.594090999999999</v>
      </c>
      <c r="F1112" t="s">
        <v>452</v>
      </c>
      <c r="G1112">
        <v>-89.860804000000002</v>
      </c>
      <c r="H1112">
        <v>1600</v>
      </c>
      <c r="I1112">
        <v>-110</v>
      </c>
      <c r="J1112">
        <v>111</v>
      </c>
      <c r="K1112">
        <v>64</v>
      </c>
      <c r="L1112">
        <v>1200</v>
      </c>
      <c r="M1112" t="str">
        <f t="shared" si="49"/>
        <v xml:space="preserve">N35DC   </v>
      </c>
      <c r="N1112">
        <v>1</v>
      </c>
      <c r="O1112">
        <v>1700</v>
      </c>
    </row>
    <row r="1113" spans="1:15" x14ac:dyDescent="0.25">
      <c r="A1113" t="str">
        <f>"10/21/2020 18:23:04.646"</f>
        <v>10/21/2020 18:23:04.646</v>
      </c>
      <c r="B1113" t="str">
        <f t="shared" si="50"/>
        <v>18:23:12.594</v>
      </c>
      <c r="C1113" t="str">
        <f t="shared" si="50"/>
        <v>18:23:12.594</v>
      </c>
      <c r="D1113" t="s">
        <v>451</v>
      </c>
      <c r="E1113">
        <v>30.594090999999999</v>
      </c>
      <c r="F1113" t="s">
        <v>452</v>
      </c>
      <c r="G1113">
        <v>-89.860804000000002</v>
      </c>
      <c r="H1113">
        <v>1600</v>
      </c>
      <c r="I1113">
        <v>-110</v>
      </c>
      <c r="J1113">
        <v>111</v>
      </c>
      <c r="K1113">
        <v>64</v>
      </c>
      <c r="L1113">
        <v>1200</v>
      </c>
      <c r="M1113" t="str">
        <f t="shared" si="49"/>
        <v xml:space="preserve">N35DC   </v>
      </c>
      <c r="N1113">
        <v>1</v>
      </c>
      <c r="O1113">
        <v>1700</v>
      </c>
    </row>
    <row r="1114" spans="1:15" x14ac:dyDescent="0.25">
      <c r="A1114" t="str">
        <f>"10/21/2020 18:23:04.646"</f>
        <v>10/21/2020 18:23:04.646</v>
      </c>
      <c r="B1114" t="str">
        <f t="shared" si="50"/>
        <v>18:23:12.594</v>
      </c>
      <c r="C1114" t="str">
        <f t="shared" si="50"/>
        <v>18:23:12.594</v>
      </c>
      <c r="D1114" t="s">
        <v>451</v>
      </c>
      <c r="E1114">
        <v>30.594090999999999</v>
      </c>
      <c r="F1114" t="s">
        <v>452</v>
      </c>
      <c r="G1114">
        <v>-89.860804000000002</v>
      </c>
      <c r="H1114">
        <v>1600</v>
      </c>
      <c r="I1114">
        <v>-110</v>
      </c>
      <c r="J1114">
        <v>111</v>
      </c>
      <c r="K1114">
        <v>64</v>
      </c>
      <c r="L1114">
        <v>1200</v>
      </c>
      <c r="M1114" t="str">
        <f t="shared" si="49"/>
        <v xml:space="preserve">N35DC   </v>
      </c>
      <c r="N1114">
        <v>1</v>
      </c>
      <c r="O1114">
        <v>1700</v>
      </c>
    </row>
    <row r="1115" spans="1:15" x14ac:dyDescent="0.25">
      <c r="A1115" t="str">
        <f>"10/21/2020 18:23:04.646"</f>
        <v>10/21/2020 18:23:04.646</v>
      </c>
      <c r="B1115" t="str">
        <f t="shared" si="50"/>
        <v>18:23:12.594</v>
      </c>
      <c r="C1115" t="str">
        <f t="shared" si="50"/>
        <v>18:23:12.594</v>
      </c>
      <c r="D1115" t="s">
        <v>451</v>
      </c>
      <c r="E1115">
        <v>30.594090999999999</v>
      </c>
      <c r="F1115" t="s">
        <v>452</v>
      </c>
      <c r="G1115">
        <v>-89.860804000000002</v>
      </c>
      <c r="H1115">
        <v>1600</v>
      </c>
      <c r="I1115">
        <v>-110</v>
      </c>
      <c r="J1115">
        <v>111</v>
      </c>
      <c r="K1115">
        <v>64</v>
      </c>
      <c r="L1115">
        <v>1200</v>
      </c>
      <c r="M1115" t="str">
        <f t="shared" si="49"/>
        <v xml:space="preserve">N35DC   </v>
      </c>
      <c r="N1115">
        <v>1</v>
      </c>
      <c r="O1115">
        <v>1700</v>
      </c>
    </row>
    <row r="1116" spans="1:15" x14ac:dyDescent="0.25">
      <c r="A1116" t="str">
        <f>"10/21/2020 18:23:04.646"</f>
        <v>10/21/2020 18:23:04.646</v>
      </c>
      <c r="B1116" t="str">
        <f t="shared" si="50"/>
        <v>18:23:12.594</v>
      </c>
      <c r="C1116" t="str">
        <f t="shared" si="50"/>
        <v>18:23:12.594</v>
      </c>
      <c r="D1116" t="s">
        <v>451</v>
      </c>
      <c r="E1116">
        <v>30.594090999999999</v>
      </c>
      <c r="F1116" t="s">
        <v>452</v>
      </c>
      <c r="G1116">
        <v>-89.860804000000002</v>
      </c>
      <c r="H1116">
        <v>1600</v>
      </c>
      <c r="I1116">
        <v>-110</v>
      </c>
      <c r="J1116">
        <v>111</v>
      </c>
      <c r="K1116">
        <v>64</v>
      </c>
      <c r="L1116">
        <v>1200</v>
      </c>
      <c r="M1116" t="str">
        <f t="shared" si="49"/>
        <v xml:space="preserve">N35DC   </v>
      </c>
      <c r="N1116">
        <v>1</v>
      </c>
      <c r="O1116">
        <v>1700</v>
      </c>
    </row>
    <row r="1117" spans="1:15" x14ac:dyDescent="0.25">
      <c r="A1117" t="str">
        <f>"10/21/2020 18:23:07.517"</f>
        <v>10/21/2020 18:23:07.517</v>
      </c>
      <c r="B1117" t="str">
        <f>"18:23:15.492"</f>
        <v>18:23:15.492</v>
      </c>
      <c r="C1117" t="str">
        <f>"18:23:15.192"</f>
        <v>18:23:15.192</v>
      </c>
      <c r="D1117" t="s">
        <v>453</v>
      </c>
      <c r="E1117">
        <v>30.595572000000001</v>
      </c>
      <c r="F1117" t="s">
        <v>454</v>
      </c>
      <c r="G1117">
        <v>-89.862499</v>
      </c>
      <c r="H1117">
        <v>1600</v>
      </c>
      <c r="I1117">
        <v>-109</v>
      </c>
      <c r="J1117">
        <v>111</v>
      </c>
      <c r="K1117">
        <v>192</v>
      </c>
      <c r="L1117">
        <v>1200</v>
      </c>
      <c r="M1117" t="str">
        <f t="shared" si="49"/>
        <v xml:space="preserve">N35DC   </v>
      </c>
      <c r="N1117">
        <v>1</v>
      </c>
      <c r="O1117">
        <v>1700</v>
      </c>
    </row>
    <row r="1118" spans="1:15" x14ac:dyDescent="0.25">
      <c r="A1118" t="str">
        <f>"10/21/2020 18:23:07.517"</f>
        <v>10/21/2020 18:23:07.517</v>
      </c>
      <c r="B1118" t="str">
        <f>"18:23:15.492"</f>
        <v>18:23:15.492</v>
      </c>
      <c r="C1118" t="str">
        <f>"18:23:15.192"</f>
        <v>18:23:15.192</v>
      </c>
      <c r="D1118" t="s">
        <v>453</v>
      </c>
      <c r="E1118">
        <v>30.595572000000001</v>
      </c>
      <c r="F1118" t="s">
        <v>454</v>
      </c>
      <c r="G1118">
        <v>-89.862499</v>
      </c>
      <c r="H1118">
        <v>1600</v>
      </c>
      <c r="I1118">
        <v>-109</v>
      </c>
      <c r="J1118">
        <v>111</v>
      </c>
      <c r="K1118">
        <v>192</v>
      </c>
      <c r="L1118">
        <v>1200</v>
      </c>
      <c r="M1118" t="str">
        <f t="shared" si="49"/>
        <v xml:space="preserve">N35DC   </v>
      </c>
      <c r="N1118">
        <v>1</v>
      </c>
      <c r="O1118">
        <v>1700</v>
      </c>
    </row>
    <row r="1119" spans="1:15" x14ac:dyDescent="0.25">
      <c r="A1119" t="str">
        <f>"10/21/2020 18:23:07.517"</f>
        <v>10/21/2020 18:23:07.517</v>
      </c>
      <c r="B1119" t="str">
        <f>"18:23:15.492"</f>
        <v>18:23:15.492</v>
      </c>
      <c r="C1119" t="str">
        <f>"18:23:15.192"</f>
        <v>18:23:15.192</v>
      </c>
      <c r="D1119" t="s">
        <v>453</v>
      </c>
      <c r="E1119">
        <v>30.595572000000001</v>
      </c>
      <c r="F1119" t="s">
        <v>454</v>
      </c>
      <c r="G1119">
        <v>-89.862499</v>
      </c>
      <c r="H1119">
        <v>1600</v>
      </c>
      <c r="I1119">
        <v>-109</v>
      </c>
      <c r="J1119">
        <v>111</v>
      </c>
      <c r="K1119">
        <v>192</v>
      </c>
      <c r="L1119">
        <v>1200</v>
      </c>
      <c r="M1119" t="str">
        <f t="shared" si="49"/>
        <v xml:space="preserve">N35DC   </v>
      </c>
      <c r="N1119">
        <v>1</v>
      </c>
      <c r="O1119">
        <v>1700</v>
      </c>
    </row>
    <row r="1120" spans="1:15" x14ac:dyDescent="0.25">
      <c r="A1120" t="str">
        <f>"10/21/2020 18:23:07.517"</f>
        <v>10/21/2020 18:23:07.517</v>
      </c>
      <c r="B1120" t="str">
        <f>"18:23:15.492"</f>
        <v>18:23:15.492</v>
      </c>
      <c r="C1120" t="str">
        <f>"18:23:15.192"</f>
        <v>18:23:15.192</v>
      </c>
      <c r="D1120" t="s">
        <v>453</v>
      </c>
      <c r="E1120">
        <v>30.595572000000001</v>
      </c>
      <c r="F1120" t="s">
        <v>454</v>
      </c>
      <c r="G1120">
        <v>-89.862499</v>
      </c>
      <c r="H1120">
        <v>1600</v>
      </c>
      <c r="I1120">
        <v>-109</v>
      </c>
      <c r="J1120">
        <v>111</v>
      </c>
      <c r="K1120">
        <v>192</v>
      </c>
      <c r="L1120">
        <v>1200</v>
      </c>
      <c r="M1120" t="str">
        <f t="shared" si="49"/>
        <v xml:space="preserve">N35DC   </v>
      </c>
      <c r="N1120">
        <v>1</v>
      </c>
      <c r="O1120">
        <v>1700</v>
      </c>
    </row>
    <row r="1121" spans="1:15" x14ac:dyDescent="0.25">
      <c r="A1121" t="str">
        <f>"10/21/2020 18:23:07.517"</f>
        <v>10/21/2020 18:23:07.517</v>
      </c>
      <c r="B1121" t="str">
        <f>"18:23:15.492"</f>
        <v>18:23:15.492</v>
      </c>
      <c r="C1121" t="str">
        <f>"18:23:15.192"</f>
        <v>18:23:15.192</v>
      </c>
      <c r="D1121" t="s">
        <v>453</v>
      </c>
      <c r="E1121">
        <v>30.595572000000001</v>
      </c>
      <c r="F1121" t="s">
        <v>454</v>
      </c>
      <c r="G1121">
        <v>-89.862499</v>
      </c>
      <c r="H1121">
        <v>1600</v>
      </c>
      <c r="I1121">
        <v>-109</v>
      </c>
      <c r="J1121">
        <v>111</v>
      </c>
      <c r="K1121">
        <v>192</v>
      </c>
      <c r="L1121">
        <v>1200</v>
      </c>
      <c r="M1121" t="str">
        <f t="shared" si="49"/>
        <v xml:space="preserve">N35DC   </v>
      </c>
      <c r="N1121">
        <v>1</v>
      </c>
      <c r="O1121">
        <v>1700</v>
      </c>
    </row>
    <row r="1122" spans="1:15" x14ac:dyDescent="0.25">
      <c r="A1122" t="str">
        <f>"10/21/2020 18:23:08.503"</f>
        <v>10/21/2020 18:23:08.503</v>
      </c>
      <c r="B1122" t="str">
        <f>"18:23:16.437"</f>
        <v>18:23:16.437</v>
      </c>
      <c r="C1122" t="str">
        <f>"18:23:16.137"</f>
        <v>18:23:16.137</v>
      </c>
      <c r="D1122" t="s">
        <v>455</v>
      </c>
      <c r="E1122">
        <v>30.596043999999999</v>
      </c>
      <c r="F1122" t="s">
        <v>456</v>
      </c>
      <c r="G1122">
        <v>-89.863056999999998</v>
      </c>
      <c r="H1122">
        <v>1600</v>
      </c>
      <c r="I1122">
        <v>-109</v>
      </c>
      <c r="J1122">
        <v>111</v>
      </c>
      <c r="K1122">
        <v>0</v>
      </c>
      <c r="L1122">
        <v>1200</v>
      </c>
      <c r="M1122" t="str">
        <f t="shared" si="49"/>
        <v xml:space="preserve">N35DC   </v>
      </c>
      <c r="N1122">
        <v>1</v>
      </c>
      <c r="O1122">
        <v>1700</v>
      </c>
    </row>
    <row r="1123" spans="1:15" x14ac:dyDescent="0.25">
      <c r="A1123" t="str">
        <f>"10/21/2020 18:23:08.503"</f>
        <v>10/21/2020 18:23:08.503</v>
      </c>
      <c r="B1123" t="str">
        <f>"18:23:16.437"</f>
        <v>18:23:16.437</v>
      </c>
      <c r="C1123" t="str">
        <f>"18:23:16.137"</f>
        <v>18:23:16.137</v>
      </c>
      <c r="D1123" t="s">
        <v>455</v>
      </c>
      <c r="E1123">
        <v>30.596043999999999</v>
      </c>
      <c r="F1123" t="s">
        <v>456</v>
      </c>
      <c r="G1123">
        <v>-89.863056999999998</v>
      </c>
      <c r="H1123">
        <v>1600</v>
      </c>
      <c r="I1123">
        <v>-109</v>
      </c>
      <c r="J1123">
        <v>111</v>
      </c>
      <c r="K1123">
        <v>0</v>
      </c>
      <c r="L1123">
        <v>1200</v>
      </c>
      <c r="M1123" t="str">
        <f t="shared" si="49"/>
        <v xml:space="preserve">N35DC   </v>
      </c>
      <c r="N1123">
        <v>1</v>
      </c>
      <c r="O1123">
        <v>1700</v>
      </c>
    </row>
    <row r="1124" spans="1:15" x14ac:dyDescent="0.25">
      <c r="A1124" t="str">
        <f>"10/21/2020 18:23:08.503"</f>
        <v>10/21/2020 18:23:08.503</v>
      </c>
      <c r="B1124" t="str">
        <f>"18:23:16.437"</f>
        <v>18:23:16.437</v>
      </c>
      <c r="C1124" t="str">
        <f>"18:23:16.137"</f>
        <v>18:23:16.137</v>
      </c>
      <c r="D1124" t="s">
        <v>455</v>
      </c>
      <c r="E1124">
        <v>30.596043999999999</v>
      </c>
      <c r="F1124" t="s">
        <v>456</v>
      </c>
      <c r="G1124">
        <v>-89.863056999999998</v>
      </c>
      <c r="H1124">
        <v>1600</v>
      </c>
      <c r="I1124">
        <v>-109</v>
      </c>
      <c r="J1124">
        <v>111</v>
      </c>
      <c r="K1124">
        <v>0</v>
      </c>
      <c r="L1124">
        <v>1200</v>
      </c>
      <c r="M1124" t="str">
        <f t="shared" si="49"/>
        <v xml:space="preserve">N35DC   </v>
      </c>
      <c r="N1124">
        <v>1</v>
      </c>
      <c r="O1124">
        <v>1700</v>
      </c>
    </row>
    <row r="1125" spans="1:15" x14ac:dyDescent="0.25">
      <c r="A1125" t="str">
        <f>"10/21/2020 18:23:08.503"</f>
        <v>10/21/2020 18:23:08.503</v>
      </c>
      <c r="B1125" t="str">
        <f>"18:23:16.437"</f>
        <v>18:23:16.437</v>
      </c>
      <c r="C1125" t="str">
        <f>"18:23:16.137"</f>
        <v>18:23:16.137</v>
      </c>
      <c r="D1125" t="s">
        <v>455</v>
      </c>
      <c r="E1125">
        <v>30.596043999999999</v>
      </c>
      <c r="F1125" t="s">
        <v>456</v>
      </c>
      <c r="G1125">
        <v>-89.863056999999998</v>
      </c>
      <c r="H1125">
        <v>1600</v>
      </c>
      <c r="I1125">
        <v>-109</v>
      </c>
      <c r="J1125">
        <v>111</v>
      </c>
      <c r="K1125">
        <v>0</v>
      </c>
      <c r="L1125">
        <v>1200</v>
      </c>
      <c r="M1125" t="str">
        <f t="shared" si="49"/>
        <v xml:space="preserve">N35DC   </v>
      </c>
      <c r="N1125">
        <v>1</v>
      </c>
      <c r="O1125">
        <v>1700</v>
      </c>
    </row>
    <row r="1126" spans="1:15" x14ac:dyDescent="0.25">
      <c r="A1126" t="str">
        <f>"10/21/2020 18:23:08.503"</f>
        <v>10/21/2020 18:23:08.503</v>
      </c>
      <c r="B1126" t="str">
        <f>"18:23:16.437"</f>
        <v>18:23:16.437</v>
      </c>
      <c r="C1126" t="str">
        <f>"18:23:16.137"</f>
        <v>18:23:16.137</v>
      </c>
      <c r="D1126" t="s">
        <v>455</v>
      </c>
      <c r="E1126">
        <v>30.596043999999999</v>
      </c>
      <c r="F1126" t="s">
        <v>456</v>
      </c>
      <c r="G1126">
        <v>-89.863056999999998</v>
      </c>
      <c r="H1126">
        <v>1600</v>
      </c>
      <c r="I1126">
        <v>-109</v>
      </c>
      <c r="J1126">
        <v>111</v>
      </c>
      <c r="K1126">
        <v>0</v>
      </c>
      <c r="L1126">
        <v>1200</v>
      </c>
      <c r="M1126" t="str">
        <f t="shared" si="49"/>
        <v xml:space="preserve">N35DC   </v>
      </c>
      <c r="N1126">
        <v>1</v>
      </c>
      <c r="O1126">
        <v>1700</v>
      </c>
    </row>
    <row r="1127" spans="1:15" x14ac:dyDescent="0.25">
      <c r="A1127" t="str">
        <f>"10/21/2020 18:23:11.582"</f>
        <v>10/21/2020 18:23:11.582</v>
      </c>
      <c r="B1127" t="str">
        <f>"18:23:19.484"</f>
        <v>18:23:19.484</v>
      </c>
      <c r="C1127" t="str">
        <f>"18:23:19.284"</f>
        <v>18:23:19.284</v>
      </c>
      <c r="D1127" t="s">
        <v>457</v>
      </c>
      <c r="E1127">
        <v>30.597632000000001</v>
      </c>
      <c r="F1127" t="s">
        <v>458</v>
      </c>
      <c r="G1127">
        <v>-89.864817000000002</v>
      </c>
      <c r="H1127">
        <v>1600</v>
      </c>
      <c r="I1127">
        <v>-110</v>
      </c>
      <c r="J1127">
        <v>112</v>
      </c>
      <c r="K1127">
        <v>-256</v>
      </c>
      <c r="L1127">
        <v>1200</v>
      </c>
      <c r="M1127" t="str">
        <f t="shared" si="49"/>
        <v xml:space="preserve">N35DC   </v>
      </c>
      <c r="N1127">
        <v>1</v>
      </c>
      <c r="O1127">
        <v>1700</v>
      </c>
    </row>
    <row r="1128" spans="1:15" x14ac:dyDescent="0.25">
      <c r="A1128" t="str">
        <f>"10/21/2020 18:23:11.582"</f>
        <v>10/21/2020 18:23:11.582</v>
      </c>
      <c r="B1128" t="str">
        <f>"18:23:19.484"</f>
        <v>18:23:19.484</v>
      </c>
      <c r="C1128" t="str">
        <f>"18:23:19.284"</f>
        <v>18:23:19.284</v>
      </c>
      <c r="D1128" t="s">
        <v>457</v>
      </c>
      <c r="E1128">
        <v>30.597632000000001</v>
      </c>
      <c r="F1128" t="s">
        <v>458</v>
      </c>
      <c r="G1128">
        <v>-89.864817000000002</v>
      </c>
      <c r="H1128">
        <v>1600</v>
      </c>
      <c r="I1128">
        <v>-110</v>
      </c>
      <c r="J1128">
        <v>112</v>
      </c>
      <c r="K1128">
        <v>-256</v>
      </c>
      <c r="L1128">
        <v>1200</v>
      </c>
      <c r="M1128" t="str">
        <f t="shared" si="49"/>
        <v xml:space="preserve">N35DC   </v>
      </c>
      <c r="N1128">
        <v>1</v>
      </c>
      <c r="O1128">
        <v>1700</v>
      </c>
    </row>
    <row r="1129" spans="1:15" x14ac:dyDescent="0.25">
      <c r="A1129" t="str">
        <f>"10/21/2020 18:23:11.582"</f>
        <v>10/21/2020 18:23:11.582</v>
      </c>
      <c r="B1129" t="str">
        <f>"18:23:19.484"</f>
        <v>18:23:19.484</v>
      </c>
      <c r="C1129" t="str">
        <f>"18:23:19.284"</f>
        <v>18:23:19.284</v>
      </c>
      <c r="D1129" t="s">
        <v>457</v>
      </c>
      <c r="E1129">
        <v>30.597632000000001</v>
      </c>
      <c r="F1129" t="s">
        <v>458</v>
      </c>
      <c r="G1129">
        <v>-89.864817000000002</v>
      </c>
      <c r="H1129">
        <v>1600</v>
      </c>
      <c r="I1129">
        <v>-110</v>
      </c>
      <c r="J1129">
        <v>112</v>
      </c>
      <c r="K1129">
        <v>-256</v>
      </c>
      <c r="L1129">
        <v>1200</v>
      </c>
      <c r="M1129" t="str">
        <f t="shared" si="49"/>
        <v xml:space="preserve">N35DC   </v>
      </c>
      <c r="N1129">
        <v>1</v>
      </c>
      <c r="O1129">
        <v>1700</v>
      </c>
    </row>
    <row r="1130" spans="1:15" x14ac:dyDescent="0.25">
      <c r="A1130" t="str">
        <f>"10/21/2020 18:23:11.582"</f>
        <v>10/21/2020 18:23:11.582</v>
      </c>
      <c r="B1130" t="str">
        <f>"18:23:19.484"</f>
        <v>18:23:19.484</v>
      </c>
      <c r="C1130" t="str">
        <f>"18:23:19.284"</f>
        <v>18:23:19.284</v>
      </c>
      <c r="D1130" t="s">
        <v>457</v>
      </c>
      <c r="E1130">
        <v>30.597632000000001</v>
      </c>
      <c r="F1130" t="s">
        <v>458</v>
      </c>
      <c r="G1130">
        <v>-89.864817000000002</v>
      </c>
      <c r="H1130">
        <v>1600</v>
      </c>
      <c r="I1130">
        <v>-110</v>
      </c>
      <c r="J1130">
        <v>112</v>
      </c>
      <c r="K1130">
        <v>-256</v>
      </c>
      <c r="L1130">
        <v>1200</v>
      </c>
      <c r="M1130" t="str">
        <f t="shared" si="49"/>
        <v xml:space="preserve">N35DC   </v>
      </c>
      <c r="N1130">
        <v>1</v>
      </c>
      <c r="O1130">
        <v>1700</v>
      </c>
    </row>
    <row r="1131" spans="1:15" x14ac:dyDescent="0.25">
      <c r="A1131" t="str">
        <f>"10/21/2020 18:23:11.582"</f>
        <v>10/21/2020 18:23:11.582</v>
      </c>
      <c r="B1131" t="str">
        <f>"18:23:19.484"</f>
        <v>18:23:19.484</v>
      </c>
      <c r="C1131" t="str">
        <f>"18:23:19.284"</f>
        <v>18:23:19.284</v>
      </c>
      <c r="D1131" t="s">
        <v>457</v>
      </c>
      <c r="E1131">
        <v>30.597632000000001</v>
      </c>
      <c r="F1131" t="s">
        <v>458</v>
      </c>
      <c r="G1131">
        <v>-89.864817000000002</v>
      </c>
      <c r="H1131">
        <v>1600</v>
      </c>
      <c r="I1131">
        <v>-110</v>
      </c>
      <c r="J1131">
        <v>112</v>
      </c>
      <c r="K1131">
        <v>-256</v>
      </c>
      <c r="L1131">
        <v>1200</v>
      </c>
      <c r="M1131" t="str">
        <f t="shared" si="49"/>
        <v xml:space="preserve">N35DC   </v>
      </c>
      <c r="N1131">
        <v>1</v>
      </c>
      <c r="O1131">
        <v>1700</v>
      </c>
    </row>
    <row r="1132" spans="1:15" x14ac:dyDescent="0.25">
      <c r="A1132" t="str">
        <f>"10/21/2020 18:23:12.692"</f>
        <v>10/21/2020 18:23:12.692</v>
      </c>
      <c r="B1132" t="str">
        <f>"18:23:20.625"</f>
        <v>18:23:20.625</v>
      </c>
      <c r="C1132" t="str">
        <f>"18:23:20.325"</f>
        <v>18:23:20.325</v>
      </c>
      <c r="D1132" t="s">
        <v>459</v>
      </c>
      <c r="E1132">
        <v>30.598233</v>
      </c>
      <c r="F1132" t="s">
        <v>460</v>
      </c>
      <c r="G1132">
        <v>-89.865525000000005</v>
      </c>
      <c r="H1132">
        <v>1600</v>
      </c>
      <c r="I1132">
        <v>-110</v>
      </c>
      <c r="J1132">
        <v>113</v>
      </c>
      <c r="K1132">
        <v>-192</v>
      </c>
      <c r="L1132">
        <v>1200</v>
      </c>
      <c r="M1132" t="str">
        <f t="shared" si="49"/>
        <v xml:space="preserve">N35DC   </v>
      </c>
      <c r="N1132">
        <v>1</v>
      </c>
      <c r="O1132">
        <v>1675</v>
      </c>
    </row>
    <row r="1133" spans="1:15" x14ac:dyDescent="0.25">
      <c r="A1133" t="str">
        <f>"10/21/2020 18:23:12.692"</f>
        <v>10/21/2020 18:23:12.692</v>
      </c>
      <c r="B1133" t="str">
        <f>"18:23:20.625"</f>
        <v>18:23:20.625</v>
      </c>
      <c r="C1133" t="str">
        <f>"18:23:20.325"</f>
        <v>18:23:20.325</v>
      </c>
      <c r="D1133" t="s">
        <v>459</v>
      </c>
      <c r="E1133">
        <v>30.598233</v>
      </c>
      <c r="F1133" t="s">
        <v>460</v>
      </c>
      <c r="G1133">
        <v>-89.865525000000005</v>
      </c>
      <c r="H1133">
        <v>1600</v>
      </c>
      <c r="I1133">
        <v>-110</v>
      </c>
      <c r="J1133">
        <v>113</v>
      </c>
      <c r="K1133">
        <v>-192</v>
      </c>
      <c r="L1133">
        <v>1200</v>
      </c>
      <c r="M1133" t="str">
        <f t="shared" si="49"/>
        <v xml:space="preserve">N35DC   </v>
      </c>
      <c r="N1133">
        <v>1</v>
      </c>
      <c r="O1133">
        <v>1675</v>
      </c>
    </row>
    <row r="1134" spans="1:15" x14ac:dyDescent="0.25">
      <c r="A1134" t="str">
        <f>"10/21/2020 18:23:12.692"</f>
        <v>10/21/2020 18:23:12.692</v>
      </c>
      <c r="B1134" t="str">
        <f>"18:23:20.625"</f>
        <v>18:23:20.625</v>
      </c>
      <c r="C1134" t="str">
        <f>"18:23:20.325"</f>
        <v>18:23:20.325</v>
      </c>
      <c r="D1134" t="s">
        <v>459</v>
      </c>
      <c r="E1134">
        <v>30.598233</v>
      </c>
      <c r="F1134" t="s">
        <v>460</v>
      </c>
      <c r="G1134">
        <v>-89.865525000000005</v>
      </c>
      <c r="H1134">
        <v>1600</v>
      </c>
      <c r="I1134">
        <v>-110</v>
      </c>
      <c r="J1134">
        <v>113</v>
      </c>
      <c r="K1134">
        <v>-192</v>
      </c>
      <c r="L1134">
        <v>1200</v>
      </c>
      <c r="M1134" t="str">
        <f t="shared" si="49"/>
        <v xml:space="preserve">N35DC   </v>
      </c>
      <c r="N1134">
        <v>1</v>
      </c>
      <c r="O1134">
        <v>1675</v>
      </c>
    </row>
    <row r="1135" spans="1:15" x14ac:dyDescent="0.25">
      <c r="A1135" t="str">
        <f>"10/21/2020 18:23:12.692"</f>
        <v>10/21/2020 18:23:12.692</v>
      </c>
      <c r="B1135" t="str">
        <f>"18:23:20.625"</f>
        <v>18:23:20.625</v>
      </c>
      <c r="C1135" t="str">
        <f>"18:23:20.325"</f>
        <v>18:23:20.325</v>
      </c>
      <c r="D1135" t="s">
        <v>459</v>
      </c>
      <c r="E1135">
        <v>30.598233</v>
      </c>
      <c r="F1135" t="s">
        <v>460</v>
      </c>
      <c r="G1135">
        <v>-89.865525000000005</v>
      </c>
      <c r="H1135">
        <v>1600</v>
      </c>
      <c r="I1135">
        <v>-110</v>
      </c>
      <c r="J1135">
        <v>113</v>
      </c>
      <c r="K1135">
        <v>-192</v>
      </c>
      <c r="L1135">
        <v>1200</v>
      </c>
      <c r="M1135" t="str">
        <f t="shared" si="49"/>
        <v xml:space="preserve">N35DC   </v>
      </c>
      <c r="N1135">
        <v>1</v>
      </c>
      <c r="O1135">
        <v>1675</v>
      </c>
    </row>
    <row r="1136" spans="1:15" x14ac:dyDescent="0.25">
      <c r="A1136" t="str">
        <f>"10/21/2020 18:23:12.692"</f>
        <v>10/21/2020 18:23:12.692</v>
      </c>
      <c r="B1136" t="str">
        <f>"18:23:20.625"</f>
        <v>18:23:20.625</v>
      </c>
      <c r="C1136" t="str">
        <f>"18:23:20.325"</f>
        <v>18:23:20.325</v>
      </c>
      <c r="D1136" t="s">
        <v>459</v>
      </c>
      <c r="E1136">
        <v>30.598233</v>
      </c>
      <c r="F1136" t="s">
        <v>460</v>
      </c>
      <c r="G1136">
        <v>-89.865525000000005</v>
      </c>
      <c r="H1136">
        <v>1600</v>
      </c>
      <c r="I1136">
        <v>-110</v>
      </c>
      <c r="J1136">
        <v>113</v>
      </c>
      <c r="K1136">
        <v>-192</v>
      </c>
      <c r="L1136">
        <v>1200</v>
      </c>
      <c r="M1136" t="str">
        <f t="shared" si="49"/>
        <v xml:space="preserve">N35DC   </v>
      </c>
      <c r="N1136">
        <v>1</v>
      </c>
      <c r="O1136">
        <v>1675</v>
      </c>
    </row>
    <row r="1137" spans="1:15" x14ac:dyDescent="0.25">
      <c r="A1137" t="str">
        <f>"10/21/2020 18:23:15.571"</f>
        <v>10/21/2020 18:23:15.571</v>
      </c>
      <c r="B1137" t="str">
        <f>"18:23:23.516"</f>
        <v>18:23:23.516</v>
      </c>
      <c r="C1137" t="str">
        <f>"18:23:23.416"</f>
        <v>18:23:23.416</v>
      </c>
      <c r="D1137" t="s">
        <v>461</v>
      </c>
      <c r="E1137">
        <v>30.599755999999999</v>
      </c>
      <c r="F1137" t="s">
        <v>462</v>
      </c>
      <c r="G1137">
        <v>-89.867220000000003</v>
      </c>
      <c r="H1137">
        <v>1600</v>
      </c>
      <c r="I1137">
        <v>-109</v>
      </c>
      <c r="J1137">
        <v>114</v>
      </c>
      <c r="K1137">
        <v>-64</v>
      </c>
      <c r="L1137">
        <v>1200</v>
      </c>
      <c r="M1137" t="str">
        <f t="shared" si="49"/>
        <v xml:space="preserve">N35DC   </v>
      </c>
      <c r="N1137">
        <v>1</v>
      </c>
      <c r="O1137">
        <v>1675</v>
      </c>
    </row>
    <row r="1138" spans="1:15" x14ac:dyDescent="0.25">
      <c r="A1138" t="str">
        <f>"10/21/2020 18:23:15.571"</f>
        <v>10/21/2020 18:23:15.571</v>
      </c>
      <c r="B1138" t="str">
        <f>"18:23:23.516"</f>
        <v>18:23:23.516</v>
      </c>
      <c r="C1138" t="str">
        <f>"18:23:23.416"</f>
        <v>18:23:23.416</v>
      </c>
      <c r="D1138" t="s">
        <v>461</v>
      </c>
      <c r="E1138">
        <v>30.599755999999999</v>
      </c>
      <c r="F1138" t="s">
        <v>462</v>
      </c>
      <c r="G1138">
        <v>-89.867220000000003</v>
      </c>
      <c r="H1138">
        <v>1600</v>
      </c>
      <c r="I1138">
        <v>-109</v>
      </c>
      <c r="J1138">
        <v>114</v>
      </c>
      <c r="K1138">
        <v>-64</v>
      </c>
      <c r="L1138">
        <v>1200</v>
      </c>
      <c r="M1138" t="str">
        <f t="shared" si="49"/>
        <v xml:space="preserve">N35DC   </v>
      </c>
      <c r="N1138">
        <v>1</v>
      </c>
      <c r="O1138">
        <v>1675</v>
      </c>
    </row>
    <row r="1139" spans="1:15" x14ac:dyDescent="0.25">
      <c r="A1139" t="str">
        <f>"10/21/2020 18:23:15.571"</f>
        <v>10/21/2020 18:23:15.571</v>
      </c>
      <c r="B1139" t="str">
        <f>"18:23:23.516"</f>
        <v>18:23:23.516</v>
      </c>
      <c r="C1139" t="str">
        <f>"18:23:23.416"</f>
        <v>18:23:23.416</v>
      </c>
      <c r="D1139" t="s">
        <v>461</v>
      </c>
      <c r="E1139">
        <v>30.599755999999999</v>
      </c>
      <c r="F1139" t="s">
        <v>462</v>
      </c>
      <c r="G1139">
        <v>-89.867220000000003</v>
      </c>
      <c r="H1139">
        <v>1600</v>
      </c>
      <c r="I1139">
        <v>-109</v>
      </c>
      <c r="J1139">
        <v>114</v>
      </c>
      <c r="K1139">
        <v>-64</v>
      </c>
      <c r="L1139">
        <v>1200</v>
      </c>
      <c r="M1139" t="str">
        <f t="shared" si="49"/>
        <v xml:space="preserve">N35DC   </v>
      </c>
      <c r="N1139">
        <v>1</v>
      </c>
      <c r="O1139">
        <v>1675</v>
      </c>
    </row>
    <row r="1140" spans="1:15" x14ac:dyDescent="0.25">
      <c r="A1140" t="str">
        <f>"10/21/2020 18:23:15.571"</f>
        <v>10/21/2020 18:23:15.571</v>
      </c>
      <c r="B1140" t="str">
        <f>"18:23:23.516"</f>
        <v>18:23:23.516</v>
      </c>
      <c r="C1140" t="str">
        <f>"18:23:23.416"</f>
        <v>18:23:23.416</v>
      </c>
      <c r="D1140" t="s">
        <v>461</v>
      </c>
      <c r="E1140">
        <v>30.599755999999999</v>
      </c>
      <c r="F1140" t="s">
        <v>462</v>
      </c>
      <c r="G1140">
        <v>-89.867220000000003</v>
      </c>
      <c r="H1140">
        <v>1600</v>
      </c>
      <c r="I1140">
        <v>-109</v>
      </c>
      <c r="J1140">
        <v>114</v>
      </c>
      <c r="K1140">
        <v>-64</v>
      </c>
      <c r="L1140">
        <v>1200</v>
      </c>
      <c r="M1140" t="str">
        <f t="shared" si="49"/>
        <v xml:space="preserve">N35DC   </v>
      </c>
      <c r="N1140">
        <v>1</v>
      </c>
      <c r="O1140">
        <v>1675</v>
      </c>
    </row>
    <row r="1141" spans="1:15" x14ac:dyDescent="0.25">
      <c r="A1141" t="str">
        <f>"10/21/2020 18:23:15.571"</f>
        <v>10/21/2020 18:23:15.571</v>
      </c>
      <c r="B1141" t="str">
        <f>"18:23:23.516"</f>
        <v>18:23:23.516</v>
      </c>
      <c r="C1141" t="str">
        <f>"18:23:23.416"</f>
        <v>18:23:23.416</v>
      </c>
      <c r="D1141" t="s">
        <v>461</v>
      </c>
      <c r="E1141">
        <v>30.599755999999999</v>
      </c>
      <c r="F1141" t="s">
        <v>462</v>
      </c>
      <c r="G1141">
        <v>-89.867220000000003</v>
      </c>
      <c r="H1141">
        <v>1600</v>
      </c>
      <c r="I1141">
        <v>-109</v>
      </c>
      <c r="J1141">
        <v>114</v>
      </c>
      <c r="K1141">
        <v>-64</v>
      </c>
      <c r="L1141">
        <v>1200</v>
      </c>
      <c r="M1141" t="str">
        <f t="shared" si="49"/>
        <v xml:space="preserve">N35DC   </v>
      </c>
      <c r="N1141">
        <v>1</v>
      </c>
      <c r="O1141">
        <v>1675</v>
      </c>
    </row>
    <row r="1142" spans="1:15" x14ac:dyDescent="0.25">
      <c r="A1142" t="str">
        <f>"10/21/2020 18:23:16.656"</f>
        <v>10/21/2020 18:23:16.656</v>
      </c>
      <c r="B1142" t="str">
        <f>"18:23:24.578"</f>
        <v>18:23:24.578</v>
      </c>
      <c r="C1142" t="str">
        <f>"18:23:24.378"</f>
        <v>18:23:24.378</v>
      </c>
      <c r="D1142" t="s">
        <v>463</v>
      </c>
      <c r="E1142">
        <v>30.600314000000001</v>
      </c>
      <c r="F1142" t="s">
        <v>464</v>
      </c>
      <c r="G1142">
        <v>-89.867841999999996</v>
      </c>
      <c r="H1142">
        <v>1600</v>
      </c>
      <c r="I1142">
        <v>-108</v>
      </c>
      <c r="J1142">
        <v>114</v>
      </c>
      <c r="K1142">
        <v>0</v>
      </c>
      <c r="L1142">
        <v>1200</v>
      </c>
      <c r="M1142" t="str">
        <f t="shared" si="49"/>
        <v xml:space="preserve">N35DC   </v>
      </c>
      <c r="N1142">
        <v>1</v>
      </c>
      <c r="O1142">
        <v>1675</v>
      </c>
    </row>
    <row r="1143" spans="1:15" x14ac:dyDescent="0.25">
      <c r="A1143" t="str">
        <f>"10/21/2020 18:23:16.656"</f>
        <v>10/21/2020 18:23:16.656</v>
      </c>
      <c r="B1143" t="str">
        <f>"18:23:24.578"</f>
        <v>18:23:24.578</v>
      </c>
      <c r="C1143" t="str">
        <f>"18:23:24.378"</f>
        <v>18:23:24.378</v>
      </c>
      <c r="D1143" t="s">
        <v>463</v>
      </c>
      <c r="E1143">
        <v>30.600314000000001</v>
      </c>
      <c r="F1143" t="s">
        <v>464</v>
      </c>
      <c r="G1143">
        <v>-89.867841999999996</v>
      </c>
      <c r="H1143">
        <v>1600</v>
      </c>
      <c r="I1143">
        <v>-108</v>
      </c>
      <c r="J1143">
        <v>114</v>
      </c>
      <c r="K1143">
        <v>0</v>
      </c>
      <c r="L1143">
        <v>1200</v>
      </c>
      <c r="M1143" t="str">
        <f t="shared" si="49"/>
        <v xml:space="preserve">N35DC   </v>
      </c>
      <c r="N1143">
        <v>1</v>
      </c>
      <c r="O1143">
        <v>1675</v>
      </c>
    </row>
    <row r="1144" spans="1:15" x14ac:dyDescent="0.25">
      <c r="A1144" t="str">
        <f>"10/21/2020 18:23:16.656"</f>
        <v>10/21/2020 18:23:16.656</v>
      </c>
      <c r="B1144" t="str">
        <f>"18:23:24.578"</f>
        <v>18:23:24.578</v>
      </c>
      <c r="C1144" t="str">
        <f>"18:23:24.378"</f>
        <v>18:23:24.378</v>
      </c>
      <c r="D1144" t="s">
        <v>463</v>
      </c>
      <c r="E1144">
        <v>30.600314000000001</v>
      </c>
      <c r="F1144" t="s">
        <v>464</v>
      </c>
      <c r="G1144">
        <v>-89.867841999999996</v>
      </c>
      <c r="H1144">
        <v>1600</v>
      </c>
      <c r="I1144">
        <v>-108</v>
      </c>
      <c r="J1144">
        <v>114</v>
      </c>
      <c r="K1144">
        <v>0</v>
      </c>
      <c r="L1144">
        <v>1200</v>
      </c>
      <c r="M1144" t="str">
        <f t="shared" si="49"/>
        <v xml:space="preserve">N35DC   </v>
      </c>
      <c r="N1144">
        <v>1</v>
      </c>
      <c r="O1144">
        <v>1675</v>
      </c>
    </row>
    <row r="1145" spans="1:15" x14ac:dyDescent="0.25">
      <c r="A1145" t="str">
        <f>"10/21/2020 18:23:16.656"</f>
        <v>10/21/2020 18:23:16.656</v>
      </c>
      <c r="B1145" t="str">
        <f>"18:23:24.578"</f>
        <v>18:23:24.578</v>
      </c>
      <c r="C1145" t="str">
        <f>"18:23:24.378"</f>
        <v>18:23:24.378</v>
      </c>
      <c r="D1145" t="s">
        <v>463</v>
      </c>
      <c r="E1145">
        <v>30.600314000000001</v>
      </c>
      <c r="F1145" t="s">
        <v>464</v>
      </c>
      <c r="G1145">
        <v>-89.867841999999996</v>
      </c>
      <c r="H1145">
        <v>1600</v>
      </c>
      <c r="I1145">
        <v>-108</v>
      </c>
      <c r="J1145">
        <v>114</v>
      </c>
      <c r="K1145">
        <v>0</v>
      </c>
      <c r="L1145">
        <v>1200</v>
      </c>
      <c r="M1145" t="str">
        <f t="shared" si="49"/>
        <v xml:space="preserve">N35DC   </v>
      </c>
      <c r="N1145">
        <v>1</v>
      </c>
      <c r="O1145">
        <v>1675</v>
      </c>
    </row>
    <row r="1146" spans="1:15" x14ac:dyDescent="0.25">
      <c r="A1146" t="str">
        <f>"10/21/2020 18:23:16.656"</f>
        <v>10/21/2020 18:23:16.656</v>
      </c>
      <c r="B1146" t="str">
        <f>"18:23:24.578"</f>
        <v>18:23:24.578</v>
      </c>
      <c r="C1146" t="str">
        <f>"18:23:24.378"</f>
        <v>18:23:24.378</v>
      </c>
      <c r="D1146" t="s">
        <v>463</v>
      </c>
      <c r="E1146">
        <v>30.600314000000001</v>
      </c>
      <c r="F1146" t="s">
        <v>464</v>
      </c>
      <c r="G1146">
        <v>-89.867841999999996</v>
      </c>
      <c r="H1146">
        <v>1600</v>
      </c>
      <c r="I1146">
        <v>-108</v>
      </c>
      <c r="J1146">
        <v>114</v>
      </c>
      <c r="K1146">
        <v>0</v>
      </c>
      <c r="L1146">
        <v>1200</v>
      </c>
      <c r="M1146" t="str">
        <f t="shared" si="49"/>
        <v xml:space="preserve">N35DC   </v>
      </c>
      <c r="N1146">
        <v>1</v>
      </c>
      <c r="O1146">
        <v>1675</v>
      </c>
    </row>
    <row r="1147" spans="1:15" x14ac:dyDescent="0.25">
      <c r="A1147" t="str">
        <f>"10/21/2020 18:23:18.800"</f>
        <v>10/21/2020 18:23:18.800</v>
      </c>
      <c r="B1147" t="str">
        <f>"18:23:26.727"</f>
        <v>18:23:26.727</v>
      </c>
      <c r="C1147" t="str">
        <f>"18:23:26.427"</f>
        <v>18:23:26.427</v>
      </c>
      <c r="D1147" t="s">
        <v>465</v>
      </c>
      <c r="E1147">
        <v>30.601493999999999</v>
      </c>
      <c r="F1147" t="s">
        <v>466</v>
      </c>
      <c r="G1147">
        <v>-89.869044000000002</v>
      </c>
      <c r="H1147">
        <v>1600</v>
      </c>
      <c r="I1147">
        <v>-107</v>
      </c>
      <c r="J1147">
        <v>115</v>
      </c>
      <c r="K1147">
        <v>64</v>
      </c>
      <c r="L1147">
        <v>1200</v>
      </c>
      <c r="M1147" t="str">
        <f t="shared" si="49"/>
        <v xml:space="preserve">N35DC   </v>
      </c>
      <c r="N1147">
        <v>1</v>
      </c>
      <c r="O1147">
        <v>1675</v>
      </c>
    </row>
    <row r="1148" spans="1:15" x14ac:dyDescent="0.25">
      <c r="A1148" t="str">
        <f>"10/21/2020 18:23:18.800"</f>
        <v>10/21/2020 18:23:18.800</v>
      </c>
      <c r="B1148" t="str">
        <f>"18:23:26.727"</f>
        <v>18:23:26.727</v>
      </c>
      <c r="C1148" t="str">
        <f>"18:23:26.427"</f>
        <v>18:23:26.427</v>
      </c>
      <c r="D1148" t="s">
        <v>465</v>
      </c>
      <c r="E1148">
        <v>30.601493999999999</v>
      </c>
      <c r="F1148" t="s">
        <v>466</v>
      </c>
      <c r="G1148">
        <v>-89.869044000000002</v>
      </c>
      <c r="H1148">
        <v>1600</v>
      </c>
      <c r="I1148">
        <v>-107</v>
      </c>
      <c r="J1148">
        <v>115</v>
      </c>
      <c r="K1148">
        <v>64</v>
      </c>
      <c r="L1148">
        <v>1200</v>
      </c>
      <c r="M1148" t="str">
        <f t="shared" si="49"/>
        <v xml:space="preserve">N35DC   </v>
      </c>
      <c r="N1148">
        <v>1</v>
      </c>
      <c r="O1148">
        <v>1675</v>
      </c>
    </row>
    <row r="1149" spans="1:15" x14ac:dyDescent="0.25">
      <c r="A1149" t="str">
        <f>"10/21/2020 18:23:18.800"</f>
        <v>10/21/2020 18:23:18.800</v>
      </c>
      <c r="B1149" t="str">
        <f>"18:23:26.727"</f>
        <v>18:23:26.727</v>
      </c>
      <c r="C1149" t="str">
        <f>"18:23:26.427"</f>
        <v>18:23:26.427</v>
      </c>
      <c r="D1149" t="s">
        <v>465</v>
      </c>
      <c r="E1149">
        <v>30.601493999999999</v>
      </c>
      <c r="F1149" t="s">
        <v>466</v>
      </c>
      <c r="G1149">
        <v>-89.869044000000002</v>
      </c>
      <c r="H1149">
        <v>1600</v>
      </c>
      <c r="I1149">
        <v>-107</v>
      </c>
      <c r="J1149">
        <v>115</v>
      </c>
      <c r="K1149">
        <v>64</v>
      </c>
      <c r="L1149">
        <v>1200</v>
      </c>
      <c r="M1149" t="str">
        <f t="shared" si="49"/>
        <v xml:space="preserve">N35DC   </v>
      </c>
      <c r="N1149">
        <v>1</v>
      </c>
      <c r="O1149">
        <v>1675</v>
      </c>
    </row>
    <row r="1150" spans="1:15" x14ac:dyDescent="0.25">
      <c r="A1150" t="str">
        <f>"10/21/2020 18:23:18.800"</f>
        <v>10/21/2020 18:23:18.800</v>
      </c>
      <c r="B1150" t="str">
        <f>"18:23:26.727"</f>
        <v>18:23:26.727</v>
      </c>
      <c r="C1150" t="str">
        <f>"18:23:26.427"</f>
        <v>18:23:26.427</v>
      </c>
      <c r="D1150" t="s">
        <v>465</v>
      </c>
      <c r="E1150">
        <v>30.601493999999999</v>
      </c>
      <c r="F1150" t="s">
        <v>466</v>
      </c>
      <c r="G1150">
        <v>-89.869044000000002</v>
      </c>
      <c r="H1150">
        <v>1600</v>
      </c>
      <c r="I1150">
        <v>-107</v>
      </c>
      <c r="J1150">
        <v>115</v>
      </c>
      <c r="K1150">
        <v>64</v>
      </c>
      <c r="L1150">
        <v>1200</v>
      </c>
      <c r="M1150" t="str">
        <f t="shared" si="49"/>
        <v xml:space="preserve">N35DC   </v>
      </c>
      <c r="N1150">
        <v>1</v>
      </c>
      <c r="O1150">
        <v>1675</v>
      </c>
    </row>
    <row r="1151" spans="1:15" x14ac:dyDescent="0.25">
      <c r="A1151" t="str">
        <f>"10/21/2020 18:23:18.800"</f>
        <v>10/21/2020 18:23:18.800</v>
      </c>
      <c r="B1151" t="str">
        <f>"18:23:26.727"</f>
        <v>18:23:26.727</v>
      </c>
      <c r="C1151" t="str">
        <f>"18:23:26.427"</f>
        <v>18:23:26.427</v>
      </c>
      <c r="D1151" t="s">
        <v>465</v>
      </c>
      <c r="E1151">
        <v>30.601493999999999</v>
      </c>
      <c r="F1151" t="s">
        <v>466</v>
      </c>
      <c r="G1151">
        <v>-89.869044000000002</v>
      </c>
      <c r="H1151">
        <v>1600</v>
      </c>
      <c r="I1151">
        <v>-107</v>
      </c>
      <c r="J1151">
        <v>115</v>
      </c>
      <c r="K1151">
        <v>64</v>
      </c>
      <c r="L1151">
        <v>1200</v>
      </c>
      <c r="M1151" t="str">
        <f t="shared" si="49"/>
        <v xml:space="preserve">N35DC   </v>
      </c>
      <c r="N1151">
        <v>1</v>
      </c>
      <c r="O1151">
        <v>1675</v>
      </c>
    </row>
    <row r="1152" spans="1:15" x14ac:dyDescent="0.25">
      <c r="A1152" t="str">
        <f>"10/21/2020 18:23:19.711"</f>
        <v>10/21/2020 18:23:19.711</v>
      </c>
      <c r="B1152" t="str">
        <f>"18:23:27.656"</f>
        <v>18:23:27.656</v>
      </c>
      <c r="C1152" t="str">
        <f>"18:23:27.456"</f>
        <v>18:23:27.456</v>
      </c>
      <c r="D1152" t="s">
        <v>467</v>
      </c>
      <c r="E1152">
        <v>30.601966000000001</v>
      </c>
      <c r="F1152" t="s">
        <v>468</v>
      </c>
      <c r="G1152">
        <v>-89.869558999999995</v>
      </c>
      <c r="H1152">
        <v>1600</v>
      </c>
      <c r="I1152">
        <v>-105</v>
      </c>
      <c r="J1152">
        <v>116</v>
      </c>
      <c r="K1152">
        <v>192</v>
      </c>
      <c r="L1152">
        <v>1200</v>
      </c>
      <c r="M1152" t="str">
        <f t="shared" si="49"/>
        <v xml:space="preserve">N35DC   </v>
      </c>
      <c r="N1152">
        <v>1</v>
      </c>
      <c r="O1152">
        <v>1675</v>
      </c>
    </row>
    <row r="1153" spans="1:15" x14ac:dyDescent="0.25">
      <c r="A1153" t="str">
        <f>"10/21/2020 18:23:19.711"</f>
        <v>10/21/2020 18:23:19.711</v>
      </c>
      <c r="B1153" t="str">
        <f>"18:23:27.656"</f>
        <v>18:23:27.656</v>
      </c>
      <c r="C1153" t="str">
        <f>"18:23:27.456"</f>
        <v>18:23:27.456</v>
      </c>
      <c r="D1153" t="s">
        <v>467</v>
      </c>
      <c r="E1153">
        <v>30.601966000000001</v>
      </c>
      <c r="F1153" t="s">
        <v>468</v>
      </c>
      <c r="G1153">
        <v>-89.869558999999995</v>
      </c>
      <c r="H1153">
        <v>1600</v>
      </c>
      <c r="I1153">
        <v>-105</v>
      </c>
      <c r="J1153">
        <v>116</v>
      </c>
      <c r="K1153">
        <v>192</v>
      </c>
      <c r="L1153">
        <v>1200</v>
      </c>
      <c r="M1153" t="str">
        <f t="shared" si="49"/>
        <v xml:space="preserve">N35DC   </v>
      </c>
      <c r="N1153">
        <v>1</v>
      </c>
      <c r="O1153">
        <v>1675</v>
      </c>
    </row>
    <row r="1154" spans="1:15" x14ac:dyDescent="0.25">
      <c r="A1154" t="str">
        <f>"10/21/2020 18:23:19.711"</f>
        <v>10/21/2020 18:23:19.711</v>
      </c>
      <c r="B1154" t="str">
        <f>"18:23:27.656"</f>
        <v>18:23:27.656</v>
      </c>
      <c r="C1154" t="str">
        <f>"18:23:27.456"</f>
        <v>18:23:27.456</v>
      </c>
      <c r="D1154" t="s">
        <v>467</v>
      </c>
      <c r="E1154">
        <v>30.601966000000001</v>
      </c>
      <c r="F1154" t="s">
        <v>468</v>
      </c>
      <c r="G1154">
        <v>-89.869558999999995</v>
      </c>
      <c r="H1154">
        <v>1600</v>
      </c>
      <c r="I1154">
        <v>-105</v>
      </c>
      <c r="J1154">
        <v>116</v>
      </c>
      <c r="K1154">
        <v>192</v>
      </c>
      <c r="L1154">
        <v>1200</v>
      </c>
      <c r="M1154" t="str">
        <f t="shared" si="49"/>
        <v xml:space="preserve">N35DC   </v>
      </c>
      <c r="N1154">
        <v>1</v>
      </c>
      <c r="O1154">
        <v>1675</v>
      </c>
    </row>
    <row r="1155" spans="1:15" x14ac:dyDescent="0.25">
      <c r="A1155" t="str">
        <f>"10/21/2020 18:23:19.711"</f>
        <v>10/21/2020 18:23:19.711</v>
      </c>
      <c r="B1155" t="str">
        <f>"18:23:27.656"</f>
        <v>18:23:27.656</v>
      </c>
      <c r="C1155" t="str">
        <f>"18:23:27.456"</f>
        <v>18:23:27.456</v>
      </c>
      <c r="D1155" t="s">
        <v>467</v>
      </c>
      <c r="E1155">
        <v>30.601966000000001</v>
      </c>
      <c r="F1155" t="s">
        <v>468</v>
      </c>
      <c r="G1155">
        <v>-89.869558999999995</v>
      </c>
      <c r="H1155">
        <v>1600</v>
      </c>
      <c r="I1155">
        <v>-105</v>
      </c>
      <c r="J1155">
        <v>116</v>
      </c>
      <c r="K1155">
        <v>192</v>
      </c>
      <c r="L1155">
        <v>1200</v>
      </c>
      <c r="M1155" t="str">
        <f t="shared" si="49"/>
        <v xml:space="preserve">N35DC   </v>
      </c>
      <c r="N1155">
        <v>1</v>
      </c>
      <c r="O1155">
        <v>1675</v>
      </c>
    </row>
    <row r="1156" spans="1:15" x14ac:dyDescent="0.25">
      <c r="A1156" t="str">
        <f>"10/21/2020 18:23:19.711"</f>
        <v>10/21/2020 18:23:19.711</v>
      </c>
      <c r="B1156" t="str">
        <f>"18:23:27.656"</f>
        <v>18:23:27.656</v>
      </c>
      <c r="C1156" t="str">
        <f>"18:23:27.456"</f>
        <v>18:23:27.456</v>
      </c>
      <c r="D1156" t="s">
        <v>467</v>
      </c>
      <c r="E1156">
        <v>30.601966000000001</v>
      </c>
      <c r="F1156" t="s">
        <v>468</v>
      </c>
      <c r="G1156">
        <v>-89.869558999999995</v>
      </c>
      <c r="H1156">
        <v>1600</v>
      </c>
      <c r="I1156">
        <v>-105</v>
      </c>
      <c r="J1156">
        <v>116</v>
      </c>
      <c r="K1156">
        <v>192</v>
      </c>
      <c r="L1156">
        <v>1200</v>
      </c>
      <c r="M1156" t="str">
        <f t="shared" si="49"/>
        <v xml:space="preserve">N35DC   </v>
      </c>
      <c r="N1156">
        <v>1</v>
      </c>
      <c r="O1156">
        <v>1675</v>
      </c>
    </row>
    <row r="1157" spans="1:15" x14ac:dyDescent="0.25">
      <c r="A1157" t="str">
        <f>"10/21/2020 18:23:20.599"</f>
        <v>10/21/2020 18:23:20.599</v>
      </c>
      <c r="B1157" t="str">
        <f>"18:23:28.508"</f>
        <v>18:23:28.508</v>
      </c>
      <c r="C1157" t="str">
        <f>"18:23:28.208"</f>
        <v>18:23:28.208</v>
      </c>
      <c r="D1157" t="s">
        <v>469</v>
      </c>
      <c r="E1157">
        <v>30.602416999999999</v>
      </c>
      <c r="F1157" t="s">
        <v>470</v>
      </c>
      <c r="G1157">
        <v>-89.870052000000001</v>
      </c>
      <c r="H1157">
        <v>1600</v>
      </c>
      <c r="I1157">
        <v>-104</v>
      </c>
      <c r="J1157">
        <v>117</v>
      </c>
      <c r="K1157">
        <v>256</v>
      </c>
      <c r="L1157">
        <v>1200</v>
      </c>
      <c r="M1157" t="str">
        <f t="shared" si="49"/>
        <v xml:space="preserve">N35DC   </v>
      </c>
      <c r="N1157">
        <v>1</v>
      </c>
      <c r="O1157">
        <v>1675</v>
      </c>
    </row>
    <row r="1158" spans="1:15" x14ac:dyDescent="0.25">
      <c r="A1158" t="str">
        <f>"10/21/2020 18:23:20.599"</f>
        <v>10/21/2020 18:23:20.599</v>
      </c>
      <c r="B1158" t="str">
        <f>"18:23:28.508"</f>
        <v>18:23:28.508</v>
      </c>
      <c r="C1158" t="str">
        <f>"18:23:28.208"</f>
        <v>18:23:28.208</v>
      </c>
      <c r="D1158" t="s">
        <v>469</v>
      </c>
      <c r="E1158">
        <v>30.602416999999999</v>
      </c>
      <c r="F1158" t="s">
        <v>470</v>
      </c>
      <c r="G1158">
        <v>-89.870052000000001</v>
      </c>
      <c r="H1158">
        <v>1600</v>
      </c>
      <c r="I1158">
        <v>-104</v>
      </c>
      <c r="J1158">
        <v>117</v>
      </c>
      <c r="K1158">
        <v>256</v>
      </c>
      <c r="L1158">
        <v>1200</v>
      </c>
      <c r="M1158" t="str">
        <f t="shared" si="49"/>
        <v xml:space="preserve">N35DC   </v>
      </c>
      <c r="N1158">
        <v>1</v>
      </c>
      <c r="O1158">
        <v>1675</v>
      </c>
    </row>
    <row r="1159" spans="1:15" x14ac:dyDescent="0.25">
      <c r="A1159" t="str">
        <f>"10/21/2020 18:23:20.599"</f>
        <v>10/21/2020 18:23:20.599</v>
      </c>
      <c r="B1159" t="str">
        <f>"18:23:28.508"</f>
        <v>18:23:28.508</v>
      </c>
      <c r="C1159" t="str">
        <f>"18:23:28.208"</f>
        <v>18:23:28.208</v>
      </c>
      <c r="D1159" t="s">
        <v>469</v>
      </c>
      <c r="E1159">
        <v>30.602416999999999</v>
      </c>
      <c r="F1159" t="s">
        <v>470</v>
      </c>
      <c r="G1159">
        <v>-89.870052000000001</v>
      </c>
      <c r="H1159">
        <v>1600</v>
      </c>
      <c r="I1159">
        <v>-104</v>
      </c>
      <c r="J1159">
        <v>117</v>
      </c>
      <c r="K1159">
        <v>256</v>
      </c>
      <c r="L1159">
        <v>1200</v>
      </c>
      <c r="M1159" t="str">
        <f t="shared" ref="M1159:M1222" si="51">"N35DC   "</f>
        <v xml:space="preserve">N35DC   </v>
      </c>
      <c r="N1159">
        <v>1</v>
      </c>
      <c r="O1159">
        <v>1675</v>
      </c>
    </row>
    <row r="1160" spans="1:15" x14ac:dyDescent="0.25">
      <c r="A1160" t="str">
        <f>"10/21/2020 18:23:20.599"</f>
        <v>10/21/2020 18:23:20.599</v>
      </c>
      <c r="B1160" t="str">
        <f>"18:23:28.508"</f>
        <v>18:23:28.508</v>
      </c>
      <c r="C1160" t="str">
        <f>"18:23:28.208"</f>
        <v>18:23:28.208</v>
      </c>
      <c r="D1160" t="s">
        <v>469</v>
      </c>
      <c r="E1160">
        <v>30.602416999999999</v>
      </c>
      <c r="F1160" t="s">
        <v>470</v>
      </c>
      <c r="G1160">
        <v>-89.870052000000001</v>
      </c>
      <c r="H1160">
        <v>1600</v>
      </c>
      <c r="I1160">
        <v>-104</v>
      </c>
      <c r="J1160">
        <v>117</v>
      </c>
      <c r="K1160">
        <v>256</v>
      </c>
      <c r="L1160">
        <v>1200</v>
      </c>
      <c r="M1160" t="str">
        <f t="shared" si="51"/>
        <v xml:space="preserve">N35DC   </v>
      </c>
      <c r="N1160">
        <v>1</v>
      </c>
      <c r="O1160">
        <v>1675</v>
      </c>
    </row>
    <row r="1161" spans="1:15" x14ac:dyDescent="0.25">
      <c r="A1161" t="str">
        <f>"10/21/2020 18:23:20.599"</f>
        <v>10/21/2020 18:23:20.599</v>
      </c>
      <c r="B1161" t="str">
        <f>"18:23:28.508"</f>
        <v>18:23:28.508</v>
      </c>
      <c r="C1161" t="str">
        <f>"18:23:28.208"</f>
        <v>18:23:28.208</v>
      </c>
      <c r="D1161" t="s">
        <v>469</v>
      </c>
      <c r="E1161">
        <v>30.602416999999999</v>
      </c>
      <c r="F1161" t="s">
        <v>470</v>
      </c>
      <c r="G1161">
        <v>-89.870052000000001</v>
      </c>
      <c r="H1161">
        <v>1600</v>
      </c>
      <c r="I1161">
        <v>-104</v>
      </c>
      <c r="J1161">
        <v>117</v>
      </c>
      <c r="K1161">
        <v>256</v>
      </c>
      <c r="L1161">
        <v>1200</v>
      </c>
      <c r="M1161" t="str">
        <f t="shared" si="51"/>
        <v xml:space="preserve">N35DC   </v>
      </c>
      <c r="N1161">
        <v>1</v>
      </c>
      <c r="O1161">
        <v>1675</v>
      </c>
    </row>
    <row r="1162" spans="1:15" x14ac:dyDescent="0.25">
      <c r="A1162" t="str">
        <f>"10/21/2020 18:23:23.489"</f>
        <v>10/21/2020 18:23:23.489</v>
      </c>
      <c r="B1162" t="str">
        <f>"18:23:31.453"</f>
        <v>18:23:31.453</v>
      </c>
      <c r="C1162" t="str">
        <f>"18:23:31.253"</f>
        <v>18:23:31.253</v>
      </c>
      <c r="D1162" t="s">
        <v>471</v>
      </c>
      <c r="E1162">
        <v>30.604047999999999</v>
      </c>
      <c r="F1162" t="s">
        <v>472</v>
      </c>
      <c r="G1162">
        <v>-89.871618999999995</v>
      </c>
      <c r="H1162">
        <v>1600</v>
      </c>
      <c r="I1162">
        <v>-99</v>
      </c>
      <c r="J1162">
        <v>120</v>
      </c>
      <c r="K1162">
        <v>0</v>
      </c>
      <c r="L1162">
        <v>1200</v>
      </c>
      <c r="M1162" t="str">
        <f t="shared" si="51"/>
        <v xml:space="preserve">N35DC   </v>
      </c>
      <c r="N1162">
        <v>1</v>
      </c>
      <c r="O1162">
        <v>1675</v>
      </c>
    </row>
    <row r="1163" spans="1:15" x14ac:dyDescent="0.25">
      <c r="A1163" t="str">
        <f>"10/21/2020 18:23:23.489"</f>
        <v>10/21/2020 18:23:23.489</v>
      </c>
      <c r="B1163" t="str">
        <f>"18:23:31.453"</f>
        <v>18:23:31.453</v>
      </c>
      <c r="C1163" t="str">
        <f>"18:23:31.253"</f>
        <v>18:23:31.253</v>
      </c>
      <c r="D1163" t="s">
        <v>471</v>
      </c>
      <c r="E1163">
        <v>30.604047999999999</v>
      </c>
      <c r="F1163" t="s">
        <v>472</v>
      </c>
      <c r="G1163">
        <v>-89.871618999999995</v>
      </c>
      <c r="H1163">
        <v>1600</v>
      </c>
      <c r="I1163">
        <v>-99</v>
      </c>
      <c r="J1163">
        <v>120</v>
      </c>
      <c r="K1163">
        <v>0</v>
      </c>
      <c r="L1163">
        <v>1200</v>
      </c>
      <c r="M1163" t="str">
        <f t="shared" si="51"/>
        <v xml:space="preserve">N35DC   </v>
      </c>
      <c r="N1163">
        <v>1</v>
      </c>
      <c r="O1163">
        <v>1675</v>
      </c>
    </row>
    <row r="1164" spans="1:15" x14ac:dyDescent="0.25">
      <c r="A1164" t="str">
        <f>"10/21/2020 18:23:23.489"</f>
        <v>10/21/2020 18:23:23.489</v>
      </c>
      <c r="B1164" t="str">
        <f>"18:23:31.453"</f>
        <v>18:23:31.453</v>
      </c>
      <c r="C1164" t="str">
        <f>"18:23:31.253"</f>
        <v>18:23:31.253</v>
      </c>
      <c r="D1164" t="s">
        <v>471</v>
      </c>
      <c r="E1164">
        <v>30.604047999999999</v>
      </c>
      <c r="F1164" t="s">
        <v>472</v>
      </c>
      <c r="G1164">
        <v>-89.871618999999995</v>
      </c>
      <c r="H1164">
        <v>1600</v>
      </c>
      <c r="I1164">
        <v>-99</v>
      </c>
      <c r="J1164">
        <v>120</v>
      </c>
      <c r="K1164">
        <v>0</v>
      </c>
      <c r="L1164">
        <v>1200</v>
      </c>
      <c r="M1164" t="str">
        <f t="shared" si="51"/>
        <v xml:space="preserve">N35DC   </v>
      </c>
      <c r="N1164">
        <v>1</v>
      </c>
      <c r="O1164">
        <v>1675</v>
      </c>
    </row>
    <row r="1165" spans="1:15" x14ac:dyDescent="0.25">
      <c r="A1165" t="str">
        <f>"10/21/2020 18:23:23.489"</f>
        <v>10/21/2020 18:23:23.489</v>
      </c>
      <c r="B1165" t="str">
        <f>"18:23:31.453"</f>
        <v>18:23:31.453</v>
      </c>
      <c r="C1165" t="str">
        <f>"18:23:31.253"</f>
        <v>18:23:31.253</v>
      </c>
      <c r="D1165" t="s">
        <v>471</v>
      </c>
      <c r="E1165">
        <v>30.604047999999999</v>
      </c>
      <c r="F1165" t="s">
        <v>472</v>
      </c>
      <c r="G1165">
        <v>-89.871618999999995</v>
      </c>
      <c r="H1165">
        <v>1600</v>
      </c>
      <c r="I1165">
        <v>-99</v>
      </c>
      <c r="J1165">
        <v>120</v>
      </c>
      <c r="K1165">
        <v>0</v>
      </c>
      <c r="L1165">
        <v>1200</v>
      </c>
      <c r="M1165" t="str">
        <f t="shared" si="51"/>
        <v xml:space="preserve">N35DC   </v>
      </c>
      <c r="N1165">
        <v>1</v>
      </c>
      <c r="O1165">
        <v>1675</v>
      </c>
    </row>
    <row r="1166" spans="1:15" x14ac:dyDescent="0.25">
      <c r="A1166" t="str">
        <f>"10/21/2020 18:23:23.489"</f>
        <v>10/21/2020 18:23:23.489</v>
      </c>
      <c r="B1166" t="str">
        <f>"18:23:31.453"</f>
        <v>18:23:31.453</v>
      </c>
      <c r="C1166" t="str">
        <f>"18:23:31.253"</f>
        <v>18:23:31.253</v>
      </c>
      <c r="D1166" t="s">
        <v>471</v>
      </c>
      <c r="E1166">
        <v>30.604047999999999</v>
      </c>
      <c r="F1166" t="s">
        <v>472</v>
      </c>
      <c r="G1166">
        <v>-89.871618999999995</v>
      </c>
      <c r="H1166">
        <v>1600</v>
      </c>
      <c r="I1166">
        <v>-99</v>
      </c>
      <c r="J1166">
        <v>120</v>
      </c>
      <c r="K1166">
        <v>0</v>
      </c>
      <c r="L1166">
        <v>1200</v>
      </c>
      <c r="M1166" t="str">
        <f t="shared" si="51"/>
        <v xml:space="preserve">N35DC   </v>
      </c>
      <c r="N1166">
        <v>1</v>
      </c>
      <c r="O1166">
        <v>1675</v>
      </c>
    </row>
    <row r="1167" spans="1:15" x14ac:dyDescent="0.25">
      <c r="A1167" t="str">
        <f>"10/21/2020 18:23:26.742"</f>
        <v>10/21/2020 18:23:26.742</v>
      </c>
      <c r="B1167" t="str">
        <f>"18:23:34.687"</f>
        <v>18:23:34.687</v>
      </c>
      <c r="C1167" t="str">
        <f>"18:23:34.288"</f>
        <v>18:23:34.288</v>
      </c>
      <c r="D1167" t="s">
        <v>473</v>
      </c>
      <c r="E1167">
        <v>30.605915</v>
      </c>
      <c r="F1167" t="s">
        <v>474</v>
      </c>
      <c r="G1167">
        <v>-89.873271000000003</v>
      </c>
      <c r="H1167">
        <v>1600</v>
      </c>
      <c r="I1167">
        <v>-90</v>
      </c>
      <c r="J1167">
        <v>126</v>
      </c>
      <c r="K1167">
        <v>-64</v>
      </c>
      <c r="L1167">
        <v>1200</v>
      </c>
      <c r="M1167" t="str">
        <f t="shared" si="51"/>
        <v xml:space="preserve">N35DC   </v>
      </c>
      <c r="N1167">
        <v>1</v>
      </c>
      <c r="O1167">
        <v>1675</v>
      </c>
    </row>
    <row r="1168" spans="1:15" x14ac:dyDescent="0.25">
      <c r="A1168" t="str">
        <f>"10/21/2020 18:23:26.742"</f>
        <v>10/21/2020 18:23:26.742</v>
      </c>
      <c r="B1168" t="str">
        <f>"18:23:34.687"</f>
        <v>18:23:34.687</v>
      </c>
      <c r="C1168" t="str">
        <f>"18:23:34.288"</f>
        <v>18:23:34.288</v>
      </c>
      <c r="D1168" t="s">
        <v>473</v>
      </c>
      <c r="E1168">
        <v>30.605915</v>
      </c>
      <c r="F1168" t="s">
        <v>474</v>
      </c>
      <c r="G1168">
        <v>-89.873271000000003</v>
      </c>
      <c r="H1168">
        <v>1600</v>
      </c>
      <c r="I1168">
        <v>-90</v>
      </c>
      <c r="J1168">
        <v>126</v>
      </c>
      <c r="K1168">
        <v>-64</v>
      </c>
      <c r="L1168">
        <v>1200</v>
      </c>
      <c r="M1168" t="str">
        <f t="shared" si="51"/>
        <v xml:space="preserve">N35DC   </v>
      </c>
      <c r="N1168">
        <v>1</v>
      </c>
      <c r="O1168">
        <v>1675</v>
      </c>
    </row>
    <row r="1169" spans="1:15" x14ac:dyDescent="0.25">
      <c r="A1169" t="str">
        <f>"10/21/2020 18:23:26.742"</f>
        <v>10/21/2020 18:23:26.742</v>
      </c>
      <c r="B1169" t="str">
        <f>"18:23:34.687"</f>
        <v>18:23:34.687</v>
      </c>
      <c r="C1169" t="str">
        <f>"18:23:34.288"</f>
        <v>18:23:34.288</v>
      </c>
      <c r="D1169" t="s">
        <v>473</v>
      </c>
      <c r="E1169">
        <v>30.605915</v>
      </c>
      <c r="F1169" t="s">
        <v>474</v>
      </c>
      <c r="G1169">
        <v>-89.873271000000003</v>
      </c>
      <c r="H1169">
        <v>1600</v>
      </c>
      <c r="I1169">
        <v>-90</v>
      </c>
      <c r="J1169">
        <v>126</v>
      </c>
      <c r="K1169">
        <v>-64</v>
      </c>
      <c r="L1169">
        <v>1200</v>
      </c>
      <c r="M1169" t="str">
        <f t="shared" si="51"/>
        <v xml:space="preserve">N35DC   </v>
      </c>
      <c r="N1169">
        <v>1</v>
      </c>
      <c r="O1169">
        <v>1675</v>
      </c>
    </row>
    <row r="1170" spans="1:15" x14ac:dyDescent="0.25">
      <c r="A1170" t="str">
        <f>"10/21/2020 18:23:26.742"</f>
        <v>10/21/2020 18:23:26.742</v>
      </c>
      <c r="B1170" t="str">
        <f>"18:23:34.687"</f>
        <v>18:23:34.687</v>
      </c>
      <c r="C1170" t="str">
        <f>"18:23:34.288"</f>
        <v>18:23:34.288</v>
      </c>
      <c r="D1170" t="s">
        <v>473</v>
      </c>
      <c r="E1170">
        <v>30.605915</v>
      </c>
      <c r="F1170" t="s">
        <v>474</v>
      </c>
      <c r="G1170">
        <v>-89.873271000000003</v>
      </c>
      <c r="H1170">
        <v>1600</v>
      </c>
      <c r="I1170">
        <v>-90</v>
      </c>
      <c r="J1170">
        <v>126</v>
      </c>
      <c r="K1170">
        <v>-64</v>
      </c>
      <c r="L1170">
        <v>1200</v>
      </c>
      <c r="M1170" t="str">
        <f t="shared" si="51"/>
        <v xml:space="preserve">N35DC   </v>
      </c>
      <c r="N1170">
        <v>1</v>
      </c>
      <c r="O1170">
        <v>1675</v>
      </c>
    </row>
    <row r="1171" spans="1:15" x14ac:dyDescent="0.25">
      <c r="A1171" t="str">
        <f>"10/21/2020 18:23:26.742"</f>
        <v>10/21/2020 18:23:26.742</v>
      </c>
      <c r="B1171" t="str">
        <f>"18:23:34.687"</f>
        <v>18:23:34.687</v>
      </c>
      <c r="C1171" t="str">
        <f>"18:23:34.288"</f>
        <v>18:23:34.288</v>
      </c>
      <c r="D1171" t="s">
        <v>473</v>
      </c>
      <c r="E1171">
        <v>30.605915</v>
      </c>
      <c r="F1171" t="s">
        <v>474</v>
      </c>
      <c r="G1171">
        <v>-89.873271000000003</v>
      </c>
      <c r="H1171">
        <v>1600</v>
      </c>
      <c r="I1171">
        <v>-90</v>
      </c>
      <c r="J1171">
        <v>126</v>
      </c>
      <c r="K1171">
        <v>-64</v>
      </c>
      <c r="L1171">
        <v>1200</v>
      </c>
      <c r="M1171" t="str">
        <f t="shared" si="51"/>
        <v xml:space="preserve">N35DC   </v>
      </c>
      <c r="N1171">
        <v>1</v>
      </c>
      <c r="O1171">
        <v>1675</v>
      </c>
    </row>
    <row r="1172" spans="1:15" x14ac:dyDescent="0.25">
      <c r="A1172" t="str">
        <f>"10/21/2020 18:23:27.674"</f>
        <v>10/21/2020 18:23:27.674</v>
      </c>
      <c r="B1172" t="str">
        <f>"18:23:35.617"</f>
        <v>18:23:35.617</v>
      </c>
      <c r="C1172" t="str">
        <f>"18:23:35.417"</f>
        <v>18:23:35.417</v>
      </c>
      <c r="D1172" t="s">
        <v>475</v>
      </c>
      <c r="E1172">
        <v>30.606494000000001</v>
      </c>
      <c r="F1172" t="s">
        <v>476</v>
      </c>
      <c r="G1172">
        <v>-89.873656999999994</v>
      </c>
      <c r="H1172">
        <v>1600</v>
      </c>
      <c r="I1172">
        <v>-84</v>
      </c>
      <c r="J1172">
        <v>129</v>
      </c>
      <c r="K1172">
        <v>-128</v>
      </c>
      <c r="L1172">
        <v>1200</v>
      </c>
      <c r="M1172" t="str">
        <f t="shared" si="51"/>
        <v xml:space="preserve">N35DC   </v>
      </c>
      <c r="N1172">
        <v>1</v>
      </c>
      <c r="O1172">
        <v>1675</v>
      </c>
    </row>
    <row r="1173" spans="1:15" x14ac:dyDescent="0.25">
      <c r="A1173" t="str">
        <f>"10/21/2020 18:23:27.674"</f>
        <v>10/21/2020 18:23:27.674</v>
      </c>
      <c r="B1173" t="str">
        <f>"18:23:35.617"</f>
        <v>18:23:35.617</v>
      </c>
      <c r="C1173" t="str">
        <f>"18:23:35.417"</f>
        <v>18:23:35.417</v>
      </c>
      <c r="D1173" t="s">
        <v>475</v>
      </c>
      <c r="E1173">
        <v>30.606494000000001</v>
      </c>
      <c r="F1173" t="s">
        <v>476</v>
      </c>
      <c r="G1173">
        <v>-89.873656999999994</v>
      </c>
      <c r="H1173">
        <v>1600</v>
      </c>
      <c r="I1173">
        <v>-84</v>
      </c>
      <c r="J1173">
        <v>129</v>
      </c>
      <c r="K1173">
        <v>-128</v>
      </c>
      <c r="L1173">
        <v>1200</v>
      </c>
      <c r="M1173" t="str">
        <f t="shared" si="51"/>
        <v xml:space="preserve">N35DC   </v>
      </c>
      <c r="N1173">
        <v>1</v>
      </c>
      <c r="O1173">
        <v>1675</v>
      </c>
    </row>
    <row r="1174" spans="1:15" x14ac:dyDescent="0.25">
      <c r="A1174" t="str">
        <f>"10/21/2020 18:23:27.674"</f>
        <v>10/21/2020 18:23:27.674</v>
      </c>
      <c r="B1174" t="str">
        <f>"18:23:35.617"</f>
        <v>18:23:35.617</v>
      </c>
      <c r="C1174" t="str">
        <f>"18:23:35.417"</f>
        <v>18:23:35.417</v>
      </c>
      <c r="D1174" t="s">
        <v>475</v>
      </c>
      <c r="E1174">
        <v>30.606494000000001</v>
      </c>
      <c r="F1174" t="s">
        <v>476</v>
      </c>
      <c r="G1174">
        <v>-89.873656999999994</v>
      </c>
      <c r="H1174">
        <v>1600</v>
      </c>
      <c r="I1174">
        <v>-84</v>
      </c>
      <c r="J1174">
        <v>129</v>
      </c>
      <c r="K1174">
        <v>-128</v>
      </c>
      <c r="L1174">
        <v>1200</v>
      </c>
      <c r="M1174" t="str">
        <f t="shared" si="51"/>
        <v xml:space="preserve">N35DC   </v>
      </c>
      <c r="N1174">
        <v>1</v>
      </c>
      <c r="O1174">
        <v>1675</v>
      </c>
    </row>
    <row r="1175" spans="1:15" x14ac:dyDescent="0.25">
      <c r="A1175" t="str">
        <f>"10/21/2020 18:23:27.674"</f>
        <v>10/21/2020 18:23:27.674</v>
      </c>
      <c r="B1175" t="str">
        <f>"18:23:35.617"</f>
        <v>18:23:35.617</v>
      </c>
      <c r="C1175" t="str">
        <f>"18:23:35.417"</f>
        <v>18:23:35.417</v>
      </c>
      <c r="D1175" t="s">
        <v>475</v>
      </c>
      <c r="E1175">
        <v>30.606494000000001</v>
      </c>
      <c r="F1175" t="s">
        <v>476</v>
      </c>
      <c r="G1175">
        <v>-89.873656999999994</v>
      </c>
      <c r="H1175">
        <v>1600</v>
      </c>
      <c r="I1175">
        <v>-84</v>
      </c>
      <c r="J1175">
        <v>129</v>
      </c>
      <c r="K1175">
        <v>-128</v>
      </c>
      <c r="L1175">
        <v>1200</v>
      </c>
      <c r="M1175" t="str">
        <f t="shared" si="51"/>
        <v xml:space="preserve">N35DC   </v>
      </c>
      <c r="N1175">
        <v>1</v>
      </c>
      <c r="O1175">
        <v>1675</v>
      </c>
    </row>
    <row r="1176" spans="1:15" x14ac:dyDescent="0.25">
      <c r="A1176" t="str">
        <f>"10/21/2020 18:23:27.674"</f>
        <v>10/21/2020 18:23:27.674</v>
      </c>
      <c r="B1176" t="str">
        <f>"18:23:35.617"</f>
        <v>18:23:35.617</v>
      </c>
      <c r="C1176" t="str">
        <f>"18:23:35.417"</f>
        <v>18:23:35.417</v>
      </c>
      <c r="D1176" t="s">
        <v>475</v>
      </c>
      <c r="E1176">
        <v>30.606494000000001</v>
      </c>
      <c r="F1176" t="s">
        <v>476</v>
      </c>
      <c r="G1176">
        <v>-89.873656999999994</v>
      </c>
      <c r="H1176">
        <v>1600</v>
      </c>
      <c r="I1176">
        <v>-84</v>
      </c>
      <c r="J1176">
        <v>129</v>
      </c>
      <c r="K1176">
        <v>-128</v>
      </c>
      <c r="L1176">
        <v>1200</v>
      </c>
      <c r="M1176" t="str">
        <f t="shared" si="51"/>
        <v xml:space="preserve">N35DC   </v>
      </c>
      <c r="N1176">
        <v>1</v>
      </c>
      <c r="O1176">
        <v>1675</v>
      </c>
    </row>
    <row r="1177" spans="1:15" x14ac:dyDescent="0.25">
      <c r="A1177" t="str">
        <f>"10/21/2020 18:23:29.648"</f>
        <v>10/21/2020 18:23:29.648</v>
      </c>
      <c r="B1177" t="str">
        <f>"18:23:37.586"</f>
        <v>18:23:37.586</v>
      </c>
      <c r="C1177" t="str">
        <f>"18:23:37.286"</f>
        <v>18:23:37.286</v>
      </c>
      <c r="D1177" t="s">
        <v>477</v>
      </c>
      <c r="E1177">
        <v>30.607673999999999</v>
      </c>
      <c r="F1177" t="s">
        <v>478</v>
      </c>
      <c r="G1177">
        <v>-89.874472999999995</v>
      </c>
      <c r="H1177">
        <v>1600</v>
      </c>
      <c r="I1177">
        <v>-75</v>
      </c>
      <c r="J1177">
        <v>134</v>
      </c>
      <c r="K1177">
        <v>-256</v>
      </c>
      <c r="L1177">
        <v>1200</v>
      </c>
      <c r="M1177" t="str">
        <f t="shared" si="51"/>
        <v xml:space="preserve">N35DC   </v>
      </c>
      <c r="N1177">
        <v>1</v>
      </c>
      <c r="O1177">
        <v>1675</v>
      </c>
    </row>
    <row r="1178" spans="1:15" x14ac:dyDescent="0.25">
      <c r="A1178" t="str">
        <f>"10/21/2020 18:23:29.648"</f>
        <v>10/21/2020 18:23:29.648</v>
      </c>
      <c r="B1178" t="str">
        <f>"18:23:37.586"</f>
        <v>18:23:37.586</v>
      </c>
      <c r="C1178" t="str">
        <f>"18:23:37.286"</f>
        <v>18:23:37.286</v>
      </c>
      <c r="D1178" t="s">
        <v>477</v>
      </c>
      <c r="E1178">
        <v>30.607673999999999</v>
      </c>
      <c r="F1178" t="s">
        <v>478</v>
      </c>
      <c r="G1178">
        <v>-89.874472999999995</v>
      </c>
      <c r="H1178">
        <v>1600</v>
      </c>
      <c r="I1178">
        <v>-75</v>
      </c>
      <c r="J1178">
        <v>134</v>
      </c>
      <c r="K1178">
        <v>-256</v>
      </c>
      <c r="L1178">
        <v>1200</v>
      </c>
      <c r="M1178" t="str">
        <f t="shared" si="51"/>
        <v xml:space="preserve">N35DC   </v>
      </c>
      <c r="N1178">
        <v>1</v>
      </c>
      <c r="O1178">
        <v>1675</v>
      </c>
    </row>
    <row r="1179" spans="1:15" x14ac:dyDescent="0.25">
      <c r="A1179" t="str">
        <f>"10/21/2020 18:23:29.648"</f>
        <v>10/21/2020 18:23:29.648</v>
      </c>
      <c r="B1179" t="str">
        <f>"18:23:37.586"</f>
        <v>18:23:37.586</v>
      </c>
      <c r="C1179" t="str">
        <f>"18:23:37.286"</f>
        <v>18:23:37.286</v>
      </c>
      <c r="D1179" t="s">
        <v>477</v>
      </c>
      <c r="E1179">
        <v>30.607673999999999</v>
      </c>
      <c r="F1179" t="s">
        <v>478</v>
      </c>
      <c r="G1179">
        <v>-89.874472999999995</v>
      </c>
      <c r="H1179">
        <v>1600</v>
      </c>
      <c r="I1179">
        <v>-75</v>
      </c>
      <c r="J1179">
        <v>134</v>
      </c>
      <c r="K1179">
        <v>-256</v>
      </c>
      <c r="L1179">
        <v>1200</v>
      </c>
      <c r="M1179" t="str">
        <f t="shared" si="51"/>
        <v xml:space="preserve">N35DC   </v>
      </c>
      <c r="N1179">
        <v>1</v>
      </c>
      <c r="O1179">
        <v>1675</v>
      </c>
    </row>
    <row r="1180" spans="1:15" x14ac:dyDescent="0.25">
      <c r="A1180" t="str">
        <f>"10/21/2020 18:23:29.648"</f>
        <v>10/21/2020 18:23:29.648</v>
      </c>
      <c r="B1180" t="str">
        <f>"18:23:37.586"</f>
        <v>18:23:37.586</v>
      </c>
      <c r="C1180" t="str">
        <f>"18:23:37.286"</f>
        <v>18:23:37.286</v>
      </c>
      <c r="D1180" t="s">
        <v>477</v>
      </c>
      <c r="E1180">
        <v>30.607673999999999</v>
      </c>
      <c r="F1180" t="s">
        <v>478</v>
      </c>
      <c r="G1180">
        <v>-89.874472999999995</v>
      </c>
      <c r="H1180">
        <v>1600</v>
      </c>
      <c r="I1180">
        <v>-75</v>
      </c>
      <c r="J1180">
        <v>134</v>
      </c>
      <c r="K1180">
        <v>-256</v>
      </c>
      <c r="L1180">
        <v>1200</v>
      </c>
      <c r="M1180" t="str">
        <f t="shared" si="51"/>
        <v xml:space="preserve">N35DC   </v>
      </c>
      <c r="N1180">
        <v>1</v>
      </c>
      <c r="O1180">
        <v>1675</v>
      </c>
    </row>
    <row r="1181" spans="1:15" x14ac:dyDescent="0.25">
      <c r="A1181" t="str">
        <f>"10/21/2020 18:23:29.648"</f>
        <v>10/21/2020 18:23:29.648</v>
      </c>
      <c r="B1181" t="str">
        <f>"18:23:37.586"</f>
        <v>18:23:37.586</v>
      </c>
      <c r="C1181" t="str">
        <f>"18:23:37.286"</f>
        <v>18:23:37.286</v>
      </c>
      <c r="D1181" t="s">
        <v>477</v>
      </c>
      <c r="E1181">
        <v>30.607673999999999</v>
      </c>
      <c r="F1181" t="s">
        <v>478</v>
      </c>
      <c r="G1181">
        <v>-89.874472999999995</v>
      </c>
      <c r="H1181">
        <v>1600</v>
      </c>
      <c r="I1181">
        <v>-75</v>
      </c>
      <c r="J1181">
        <v>134</v>
      </c>
      <c r="K1181">
        <v>-256</v>
      </c>
      <c r="L1181">
        <v>1200</v>
      </c>
      <c r="M1181" t="str">
        <f t="shared" si="51"/>
        <v xml:space="preserve">N35DC   </v>
      </c>
      <c r="N1181">
        <v>1</v>
      </c>
      <c r="O1181">
        <v>1675</v>
      </c>
    </row>
    <row r="1182" spans="1:15" x14ac:dyDescent="0.25">
      <c r="A1182" t="str">
        <f>"10/21/2020 18:23:30.742"</f>
        <v>10/21/2020 18:23:30.742</v>
      </c>
      <c r="B1182" t="str">
        <f>"18:23:38.680"</f>
        <v>18:23:38.680</v>
      </c>
      <c r="C1182" t="str">
        <f>"18:23:38.280"</f>
        <v>18:23:38.280</v>
      </c>
      <c r="D1182" t="s">
        <v>479</v>
      </c>
      <c r="E1182">
        <v>30.608381999999999</v>
      </c>
      <c r="F1182" t="s">
        <v>480</v>
      </c>
      <c r="G1182">
        <v>-89.874859000000001</v>
      </c>
      <c r="H1182">
        <v>1600</v>
      </c>
      <c r="I1182">
        <v>-69</v>
      </c>
      <c r="J1182">
        <v>137</v>
      </c>
      <c r="K1182">
        <v>-256</v>
      </c>
      <c r="L1182">
        <v>1200</v>
      </c>
      <c r="M1182" t="str">
        <f t="shared" si="51"/>
        <v xml:space="preserve">N35DC   </v>
      </c>
      <c r="N1182">
        <v>1</v>
      </c>
      <c r="O1182">
        <v>1675</v>
      </c>
    </row>
    <row r="1183" spans="1:15" x14ac:dyDescent="0.25">
      <c r="A1183" t="str">
        <f>"10/21/2020 18:23:30.742"</f>
        <v>10/21/2020 18:23:30.742</v>
      </c>
      <c r="B1183" t="str">
        <f>"18:23:38.680"</f>
        <v>18:23:38.680</v>
      </c>
      <c r="C1183" t="str">
        <f>"18:23:38.280"</f>
        <v>18:23:38.280</v>
      </c>
      <c r="D1183" t="s">
        <v>479</v>
      </c>
      <c r="E1183">
        <v>30.608381999999999</v>
      </c>
      <c r="F1183" t="s">
        <v>480</v>
      </c>
      <c r="G1183">
        <v>-89.874859000000001</v>
      </c>
      <c r="H1183">
        <v>1600</v>
      </c>
      <c r="I1183">
        <v>-69</v>
      </c>
      <c r="J1183">
        <v>137</v>
      </c>
      <c r="K1183">
        <v>-256</v>
      </c>
      <c r="L1183">
        <v>1200</v>
      </c>
      <c r="M1183" t="str">
        <f t="shared" si="51"/>
        <v xml:space="preserve">N35DC   </v>
      </c>
      <c r="N1183">
        <v>1</v>
      </c>
      <c r="O1183">
        <v>1675</v>
      </c>
    </row>
    <row r="1184" spans="1:15" x14ac:dyDescent="0.25">
      <c r="A1184" t="str">
        <f>"10/21/2020 18:23:30.742"</f>
        <v>10/21/2020 18:23:30.742</v>
      </c>
      <c r="B1184" t="str">
        <f>"18:23:38.680"</f>
        <v>18:23:38.680</v>
      </c>
      <c r="C1184" t="str">
        <f>"18:23:38.280"</f>
        <v>18:23:38.280</v>
      </c>
      <c r="D1184" t="s">
        <v>479</v>
      </c>
      <c r="E1184">
        <v>30.608381999999999</v>
      </c>
      <c r="F1184" t="s">
        <v>480</v>
      </c>
      <c r="G1184">
        <v>-89.874859000000001</v>
      </c>
      <c r="H1184">
        <v>1600</v>
      </c>
      <c r="I1184">
        <v>-69</v>
      </c>
      <c r="J1184">
        <v>137</v>
      </c>
      <c r="K1184">
        <v>-256</v>
      </c>
      <c r="L1184">
        <v>1200</v>
      </c>
      <c r="M1184" t="str">
        <f t="shared" si="51"/>
        <v xml:space="preserve">N35DC   </v>
      </c>
      <c r="N1184">
        <v>1</v>
      </c>
      <c r="O1184">
        <v>1675</v>
      </c>
    </row>
    <row r="1185" spans="1:15" x14ac:dyDescent="0.25">
      <c r="A1185" t="str">
        <f>"10/21/2020 18:23:30.742"</f>
        <v>10/21/2020 18:23:30.742</v>
      </c>
      <c r="B1185" t="str">
        <f>"18:23:38.680"</f>
        <v>18:23:38.680</v>
      </c>
      <c r="C1185" t="str">
        <f>"18:23:38.280"</f>
        <v>18:23:38.280</v>
      </c>
      <c r="D1185" t="s">
        <v>479</v>
      </c>
      <c r="E1185">
        <v>30.608381999999999</v>
      </c>
      <c r="F1185" t="s">
        <v>480</v>
      </c>
      <c r="G1185">
        <v>-89.874859000000001</v>
      </c>
      <c r="H1185">
        <v>1600</v>
      </c>
      <c r="I1185">
        <v>-69</v>
      </c>
      <c r="J1185">
        <v>137</v>
      </c>
      <c r="K1185">
        <v>-256</v>
      </c>
      <c r="L1185">
        <v>1200</v>
      </c>
      <c r="M1185" t="str">
        <f t="shared" si="51"/>
        <v xml:space="preserve">N35DC   </v>
      </c>
      <c r="N1185">
        <v>1</v>
      </c>
      <c r="O1185">
        <v>1675</v>
      </c>
    </row>
    <row r="1186" spans="1:15" x14ac:dyDescent="0.25">
      <c r="A1186" t="str">
        <f>"10/21/2020 18:23:30.742"</f>
        <v>10/21/2020 18:23:30.742</v>
      </c>
      <c r="B1186" t="str">
        <f>"18:23:38.680"</f>
        <v>18:23:38.680</v>
      </c>
      <c r="C1186" t="str">
        <f>"18:23:38.280"</f>
        <v>18:23:38.280</v>
      </c>
      <c r="D1186" t="s">
        <v>479</v>
      </c>
      <c r="E1186">
        <v>30.608381999999999</v>
      </c>
      <c r="F1186" t="s">
        <v>480</v>
      </c>
      <c r="G1186">
        <v>-89.874859000000001</v>
      </c>
      <c r="H1186">
        <v>1600</v>
      </c>
      <c r="I1186">
        <v>-69</v>
      </c>
      <c r="J1186">
        <v>137</v>
      </c>
      <c r="K1186">
        <v>-256</v>
      </c>
      <c r="L1186">
        <v>1200</v>
      </c>
      <c r="M1186" t="str">
        <f t="shared" si="51"/>
        <v xml:space="preserve">N35DC   </v>
      </c>
      <c r="N1186">
        <v>1</v>
      </c>
      <c r="O1186">
        <v>1675</v>
      </c>
    </row>
    <row r="1187" spans="1:15" x14ac:dyDescent="0.25">
      <c r="A1187" t="str">
        <f>"10/21/2020 18:23:33.795"</f>
        <v>10/21/2020 18:23:33.795</v>
      </c>
      <c r="B1187" t="str">
        <f>"18:23:41.727"</f>
        <v>18:23:41.727</v>
      </c>
      <c r="C1187" t="str">
        <f>"18:23:41.427"</f>
        <v>18:23:41.427</v>
      </c>
      <c r="D1187" t="s">
        <v>481</v>
      </c>
      <c r="E1187">
        <v>30.610378000000001</v>
      </c>
      <c r="F1187" t="s">
        <v>482</v>
      </c>
      <c r="G1187">
        <v>-89.875803000000005</v>
      </c>
      <c r="H1187">
        <v>1600</v>
      </c>
      <c r="I1187">
        <v>-51</v>
      </c>
      <c r="J1187">
        <v>143</v>
      </c>
      <c r="K1187">
        <v>-192</v>
      </c>
      <c r="L1187">
        <v>1200</v>
      </c>
      <c r="M1187" t="str">
        <f t="shared" si="51"/>
        <v xml:space="preserve">N35DC   </v>
      </c>
      <c r="N1187">
        <v>1</v>
      </c>
      <c r="O1187">
        <v>1650</v>
      </c>
    </row>
    <row r="1188" spans="1:15" x14ac:dyDescent="0.25">
      <c r="A1188" t="str">
        <f>"10/21/2020 18:23:33.795"</f>
        <v>10/21/2020 18:23:33.795</v>
      </c>
      <c r="B1188" t="str">
        <f>"18:23:41.727"</f>
        <v>18:23:41.727</v>
      </c>
      <c r="C1188" t="str">
        <f>"18:23:41.427"</f>
        <v>18:23:41.427</v>
      </c>
      <c r="D1188" t="s">
        <v>481</v>
      </c>
      <c r="E1188">
        <v>30.610378000000001</v>
      </c>
      <c r="F1188" t="s">
        <v>482</v>
      </c>
      <c r="G1188">
        <v>-89.875803000000005</v>
      </c>
      <c r="H1188">
        <v>1600</v>
      </c>
      <c r="I1188">
        <v>-51</v>
      </c>
      <c r="J1188">
        <v>143</v>
      </c>
      <c r="K1188">
        <v>-192</v>
      </c>
      <c r="L1188">
        <v>1200</v>
      </c>
      <c r="M1188" t="str">
        <f t="shared" si="51"/>
        <v xml:space="preserve">N35DC   </v>
      </c>
      <c r="N1188">
        <v>1</v>
      </c>
      <c r="O1188">
        <v>1650</v>
      </c>
    </row>
    <row r="1189" spans="1:15" x14ac:dyDescent="0.25">
      <c r="A1189" t="str">
        <f>"10/21/2020 18:23:33.795"</f>
        <v>10/21/2020 18:23:33.795</v>
      </c>
      <c r="B1189" t="str">
        <f>"18:23:41.727"</f>
        <v>18:23:41.727</v>
      </c>
      <c r="C1189" t="str">
        <f>"18:23:41.427"</f>
        <v>18:23:41.427</v>
      </c>
      <c r="D1189" t="s">
        <v>481</v>
      </c>
      <c r="E1189">
        <v>30.610378000000001</v>
      </c>
      <c r="F1189" t="s">
        <v>482</v>
      </c>
      <c r="G1189">
        <v>-89.875803000000005</v>
      </c>
      <c r="H1189">
        <v>1600</v>
      </c>
      <c r="I1189">
        <v>-51</v>
      </c>
      <c r="J1189">
        <v>143</v>
      </c>
      <c r="K1189">
        <v>-192</v>
      </c>
      <c r="L1189">
        <v>1200</v>
      </c>
      <c r="M1189" t="str">
        <f t="shared" si="51"/>
        <v xml:space="preserve">N35DC   </v>
      </c>
      <c r="N1189">
        <v>1</v>
      </c>
      <c r="O1189">
        <v>1650</v>
      </c>
    </row>
    <row r="1190" spans="1:15" x14ac:dyDescent="0.25">
      <c r="A1190" t="str">
        <f>"10/21/2020 18:23:33.795"</f>
        <v>10/21/2020 18:23:33.795</v>
      </c>
      <c r="B1190" t="str">
        <f>"18:23:41.727"</f>
        <v>18:23:41.727</v>
      </c>
      <c r="C1190" t="str">
        <f>"18:23:41.427"</f>
        <v>18:23:41.427</v>
      </c>
      <c r="D1190" t="s">
        <v>481</v>
      </c>
      <c r="E1190">
        <v>30.610378000000001</v>
      </c>
      <c r="F1190" t="s">
        <v>482</v>
      </c>
      <c r="G1190">
        <v>-89.875803000000005</v>
      </c>
      <c r="H1190">
        <v>1600</v>
      </c>
      <c r="I1190">
        <v>-51</v>
      </c>
      <c r="J1190">
        <v>143</v>
      </c>
      <c r="K1190">
        <v>-192</v>
      </c>
      <c r="L1190">
        <v>1200</v>
      </c>
      <c r="M1190" t="str">
        <f t="shared" si="51"/>
        <v xml:space="preserve">N35DC   </v>
      </c>
      <c r="N1190">
        <v>1</v>
      </c>
      <c r="O1190">
        <v>1650</v>
      </c>
    </row>
    <row r="1191" spans="1:15" x14ac:dyDescent="0.25">
      <c r="A1191" t="str">
        <f>"10/21/2020 18:23:33.795"</f>
        <v>10/21/2020 18:23:33.795</v>
      </c>
      <c r="B1191" t="str">
        <f>"18:23:41.727"</f>
        <v>18:23:41.727</v>
      </c>
      <c r="C1191" t="str">
        <f>"18:23:41.427"</f>
        <v>18:23:41.427</v>
      </c>
      <c r="D1191" t="s">
        <v>481</v>
      </c>
      <c r="E1191">
        <v>30.610378000000001</v>
      </c>
      <c r="F1191" t="s">
        <v>482</v>
      </c>
      <c r="G1191">
        <v>-89.875803000000005</v>
      </c>
      <c r="H1191">
        <v>1600</v>
      </c>
      <c r="I1191">
        <v>-51</v>
      </c>
      <c r="J1191">
        <v>143</v>
      </c>
      <c r="K1191">
        <v>-192</v>
      </c>
      <c r="L1191">
        <v>1200</v>
      </c>
      <c r="M1191" t="str">
        <f t="shared" si="51"/>
        <v xml:space="preserve">N35DC   </v>
      </c>
      <c r="N1191">
        <v>1</v>
      </c>
      <c r="O1191">
        <v>1650</v>
      </c>
    </row>
    <row r="1192" spans="1:15" x14ac:dyDescent="0.25">
      <c r="A1192" t="str">
        <f>"10/21/2020 18:23:34.753"</f>
        <v>10/21/2020 18:23:34.753</v>
      </c>
      <c r="B1192" t="str">
        <f>"18:23:42.687"</f>
        <v>18:23:42.687</v>
      </c>
      <c r="C1192" t="str">
        <f>"18:23:42.387"</f>
        <v>18:23:42.387</v>
      </c>
      <c r="D1192" t="s">
        <v>483</v>
      </c>
      <c r="E1192">
        <v>30.611021999999998</v>
      </c>
      <c r="F1192" t="s">
        <v>484</v>
      </c>
      <c r="G1192">
        <v>-89.876018000000002</v>
      </c>
      <c r="H1192">
        <v>1600</v>
      </c>
      <c r="I1192">
        <v>-44</v>
      </c>
      <c r="J1192">
        <v>145</v>
      </c>
      <c r="K1192">
        <v>-128</v>
      </c>
      <c r="L1192">
        <v>1200</v>
      </c>
      <c r="M1192" t="str">
        <f t="shared" si="51"/>
        <v xml:space="preserve">N35DC   </v>
      </c>
      <c r="N1192">
        <v>1</v>
      </c>
      <c r="O1192">
        <v>1650</v>
      </c>
    </row>
    <row r="1193" spans="1:15" x14ac:dyDescent="0.25">
      <c r="A1193" t="str">
        <f>"10/21/2020 18:23:34.753"</f>
        <v>10/21/2020 18:23:34.753</v>
      </c>
      <c r="B1193" t="str">
        <f>"18:23:42.687"</f>
        <v>18:23:42.687</v>
      </c>
      <c r="C1193" t="str">
        <f>"18:23:42.387"</f>
        <v>18:23:42.387</v>
      </c>
      <c r="D1193" t="s">
        <v>483</v>
      </c>
      <c r="E1193">
        <v>30.611021999999998</v>
      </c>
      <c r="F1193" t="s">
        <v>484</v>
      </c>
      <c r="G1193">
        <v>-89.876018000000002</v>
      </c>
      <c r="H1193">
        <v>1600</v>
      </c>
      <c r="I1193">
        <v>-44</v>
      </c>
      <c r="J1193">
        <v>145</v>
      </c>
      <c r="K1193">
        <v>-128</v>
      </c>
      <c r="L1193">
        <v>1200</v>
      </c>
      <c r="M1193" t="str">
        <f t="shared" si="51"/>
        <v xml:space="preserve">N35DC   </v>
      </c>
      <c r="N1193">
        <v>1</v>
      </c>
      <c r="O1193">
        <v>1650</v>
      </c>
    </row>
    <row r="1194" spans="1:15" x14ac:dyDescent="0.25">
      <c r="A1194" t="str">
        <f>"10/21/2020 18:23:34.753"</f>
        <v>10/21/2020 18:23:34.753</v>
      </c>
      <c r="B1194" t="str">
        <f>"18:23:42.687"</f>
        <v>18:23:42.687</v>
      </c>
      <c r="C1194" t="str">
        <f>"18:23:42.387"</f>
        <v>18:23:42.387</v>
      </c>
      <c r="D1194" t="s">
        <v>483</v>
      </c>
      <c r="E1194">
        <v>30.611021999999998</v>
      </c>
      <c r="F1194" t="s">
        <v>484</v>
      </c>
      <c r="G1194">
        <v>-89.876018000000002</v>
      </c>
      <c r="H1194">
        <v>1600</v>
      </c>
      <c r="I1194">
        <v>-44</v>
      </c>
      <c r="J1194">
        <v>145</v>
      </c>
      <c r="K1194">
        <v>-128</v>
      </c>
      <c r="L1194">
        <v>1200</v>
      </c>
      <c r="M1194" t="str">
        <f t="shared" si="51"/>
        <v xml:space="preserve">N35DC   </v>
      </c>
      <c r="N1194">
        <v>1</v>
      </c>
      <c r="O1194">
        <v>1650</v>
      </c>
    </row>
    <row r="1195" spans="1:15" x14ac:dyDescent="0.25">
      <c r="A1195" t="str">
        <f>"10/21/2020 18:23:34.753"</f>
        <v>10/21/2020 18:23:34.753</v>
      </c>
      <c r="B1195" t="str">
        <f>"18:23:42.687"</f>
        <v>18:23:42.687</v>
      </c>
      <c r="C1195" t="str">
        <f>"18:23:42.387"</f>
        <v>18:23:42.387</v>
      </c>
      <c r="D1195" t="s">
        <v>483</v>
      </c>
      <c r="E1195">
        <v>30.611021999999998</v>
      </c>
      <c r="F1195" t="s">
        <v>484</v>
      </c>
      <c r="G1195">
        <v>-89.876018000000002</v>
      </c>
      <c r="H1195">
        <v>1600</v>
      </c>
      <c r="I1195">
        <v>-44</v>
      </c>
      <c r="J1195">
        <v>145</v>
      </c>
      <c r="K1195">
        <v>-128</v>
      </c>
      <c r="L1195">
        <v>1200</v>
      </c>
      <c r="M1195" t="str">
        <f t="shared" si="51"/>
        <v xml:space="preserve">N35DC   </v>
      </c>
      <c r="N1195">
        <v>1</v>
      </c>
      <c r="O1195">
        <v>1650</v>
      </c>
    </row>
    <row r="1196" spans="1:15" x14ac:dyDescent="0.25">
      <c r="A1196" t="str">
        <f>"10/21/2020 18:23:34.753"</f>
        <v>10/21/2020 18:23:34.753</v>
      </c>
      <c r="B1196" t="str">
        <f>"18:23:42.687"</f>
        <v>18:23:42.687</v>
      </c>
      <c r="C1196" t="str">
        <f>"18:23:42.387"</f>
        <v>18:23:42.387</v>
      </c>
      <c r="D1196" t="s">
        <v>483</v>
      </c>
      <c r="E1196">
        <v>30.611021999999998</v>
      </c>
      <c r="F1196" t="s">
        <v>484</v>
      </c>
      <c r="G1196">
        <v>-89.876018000000002</v>
      </c>
      <c r="H1196">
        <v>1600</v>
      </c>
      <c r="I1196">
        <v>-44</v>
      </c>
      <c r="J1196">
        <v>145</v>
      </c>
      <c r="K1196">
        <v>-128</v>
      </c>
      <c r="L1196">
        <v>1200</v>
      </c>
      <c r="M1196" t="str">
        <f t="shared" si="51"/>
        <v xml:space="preserve">N35DC   </v>
      </c>
      <c r="N1196">
        <v>1</v>
      </c>
      <c r="O1196">
        <v>1650</v>
      </c>
    </row>
    <row r="1197" spans="1:15" x14ac:dyDescent="0.25">
      <c r="A1197" t="str">
        <f>"10/21/2020 18:23:37.726"</f>
        <v>10/21/2020 18:23:37.726</v>
      </c>
      <c r="B1197" t="str">
        <f>"18:23:45.672"</f>
        <v>18:23:45.672</v>
      </c>
      <c r="C1197" t="str">
        <f>"18:23:45.472"</f>
        <v>18:23:45.472</v>
      </c>
      <c r="D1197" t="s">
        <v>485</v>
      </c>
      <c r="E1197">
        <v>30.613039000000001</v>
      </c>
      <c r="F1197" t="s">
        <v>486</v>
      </c>
      <c r="G1197">
        <v>-89.876510999999994</v>
      </c>
      <c r="H1197">
        <v>1600</v>
      </c>
      <c r="I1197">
        <v>-25</v>
      </c>
      <c r="J1197">
        <v>147</v>
      </c>
      <c r="K1197">
        <v>64</v>
      </c>
      <c r="L1197">
        <v>1200</v>
      </c>
      <c r="M1197" t="str">
        <f t="shared" si="51"/>
        <v xml:space="preserve">N35DC   </v>
      </c>
      <c r="N1197">
        <v>1</v>
      </c>
      <c r="O1197">
        <v>1650</v>
      </c>
    </row>
    <row r="1198" spans="1:15" x14ac:dyDescent="0.25">
      <c r="A1198" t="str">
        <f>"10/21/2020 18:23:37.726"</f>
        <v>10/21/2020 18:23:37.726</v>
      </c>
      <c r="B1198" t="str">
        <f>"18:23:45.672"</f>
        <v>18:23:45.672</v>
      </c>
      <c r="C1198" t="str">
        <f>"18:23:45.472"</f>
        <v>18:23:45.472</v>
      </c>
      <c r="D1198" t="s">
        <v>485</v>
      </c>
      <c r="E1198">
        <v>30.613039000000001</v>
      </c>
      <c r="F1198" t="s">
        <v>486</v>
      </c>
      <c r="G1198">
        <v>-89.876510999999994</v>
      </c>
      <c r="H1198">
        <v>1600</v>
      </c>
      <c r="I1198">
        <v>-25</v>
      </c>
      <c r="J1198">
        <v>147</v>
      </c>
      <c r="K1198">
        <v>64</v>
      </c>
      <c r="L1198">
        <v>1200</v>
      </c>
      <c r="M1198" t="str">
        <f t="shared" si="51"/>
        <v xml:space="preserve">N35DC   </v>
      </c>
      <c r="N1198">
        <v>1</v>
      </c>
      <c r="O1198">
        <v>1650</v>
      </c>
    </row>
    <row r="1199" spans="1:15" x14ac:dyDescent="0.25">
      <c r="A1199" t="str">
        <f>"10/21/2020 18:23:37.726"</f>
        <v>10/21/2020 18:23:37.726</v>
      </c>
      <c r="B1199" t="str">
        <f>"18:23:45.672"</f>
        <v>18:23:45.672</v>
      </c>
      <c r="C1199" t="str">
        <f>"18:23:45.472"</f>
        <v>18:23:45.472</v>
      </c>
      <c r="D1199" t="s">
        <v>485</v>
      </c>
      <c r="E1199">
        <v>30.613039000000001</v>
      </c>
      <c r="F1199" t="s">
        <v>486</v>
      </c>
      <c r="G1199">
        <v>-89.876510999999994</v>
      </c>
      <c r="H1199">
        <v>1600</v>
      </c>
      <c r="I1199">
        <v>-25</v>
      </c>
      <c r="J1199">
        <v>147</v>
      </c>
      <c r="K1199">
        <v>64</v>
      </c>
      <c r="L1199">
        <v>1200</v>
      </c>
      <c r="M1199" t="str">
        <f t="shared" si="51"/>
        <v xml:space="preserve">N35DC   </v>
      </c>
      <c r="N1199">
        <v>1</v>
      </c>
      <c r="O1199">
        <v>1650</v>
      </c>
    </row>
    <row r="1200" spans="1:15" x14ac:dyDescent="0.25">
      <c r="A1200" t="str">
        <f>"10/21/2020 18:23:37.726"</f>
        <v>10/21/2020 18:23:37.726</v>
      </c>
      <c r="B1200" t="str">
        <f>"18:23:45.672"</f>
        <v>18:23:45.672</v>
      </c>
      <c r="C1200" t="str">
        <f>"18:23:45.472"</f>
        <v>18:23:45.472</v>
      </c>
      <c r="D1200" t="s">
        <v>485</v>
      </c>
      <c r="E1200">
        <v>30.613039000000001</v>
      </c>
      <c r="F1200" t="s">
        <v>486</v>
      </c>
      <c r="G1200">
        <v>-89.876510999999994</v>
      </c>
      <c r="H1200">
        <v>1600</v>
      </c>
      <c r="I1200">
        <v>-25</v>
      </c>
      <c r="J1200">
        <v>147</v>
      </c>
      <c r="K1200">
        <v>64</v>
      </c>
      <c r="L1200">
        <v>1200</v>
      </c>
      <c r="M1200" t="str">
        <f t="shared" si="51"/>
        <v xml:space="preserve">N35DC   </v>
      </c>
      <c r="N1200">
        <v>1</v>
      </c>
      <c r="O1200">
        <v>1650</v>
      </c>
    </row>
    <row r="1201" spans="1:15" x14ac:dyDescent="0.25">
      <c r="A1201" t="str">
        <f>"10/21/2020 18:23:37.726"</f>
        <v>10/21/2020 18:23:37.726</v>
      </c>
      <c r="B1201" t="str">
        <f>"18:23:45.672"</f>
        <v>18:23:45.672</v>
      </c>
      <c r="C1201" t="str">
        <f>"18:23:45.472"</f>
        <v>18:23:45.472</v>
      </c>
      <c r="D1201" t="s">
        <v>485</v>
      </c>
      <c r="E1201">
        <v>30.613039000000001</v>
      </c>
      <c r="F1201" t="s">
        <v>486</v>
      </c>
      <c r="G1201">
        <v>-89.876510999999994</v>
      </c>
      <c r="H1201">
        <v>1600</v>
      </c>
      <c r="I1201">
        <v>-25</v>
      </c>
      <c r="J1201">
        <v>147</v>
      </c>
      <c r="K1201">
        <v>64</v>
      </c>
      <c r="L1201">
        <v>1200</v>
      </c>
      <c r="M1201" t="str">
        <f t="shared" si="51"/>
        <v xml:space="preserve">N35DC   </v>
      </c>
      <c r="N1201">
        <v>1</v>
      </c>
      <c r="O1201">
        <v>1650</v>
      </c>
    </row>
    <row r="1202" spans="1:15" x14ac:dyDescent="0.25">
      <c r="A1202" t="str">
        <f>"10/21/2020 18:23:38.752"</f>
        <v>10/21/2020 18:23:38.752</v>
      </c>
      <c r="B1202" t="str">
        <f>"18:23:46.703"</f>
        <v>18:23:46.703</v>
      </c>
      <c r="C1202" t="str">
        <f>"18:23:46.403"</f>
        <v>18:23:46.403</v>
      </c>
      <c r="D1202" t="s">
        <v>487</v>
      </c>
      <c r="E1202">
        <v>30.613768</v>
      </c>
      <c r="F1202" t="s">
        <v>488</v>
      </c>
      <c r="G1202">
        <v>-89.876617999999993</v>
      </c>
      <c r="H1202">
        <v>1600</v>
      </c>
      <c r="I1202">
        <v>-18</v>
      </c>
      <c r="J1202">
        <v>147</v>
      </c>
      <c r="K1202">
        <v>128</v>
      </c>
      <c r="L1202">
        <v>1200</v>
      </c>
      <c r="M1202" t="str">
        <f t="shared" si="51"/>
        <v xml:space="preserve">N35DC   </v>
      </c>
      <c r="N1202">
        <v>1</v>
      </c>
      <c r="O1202">
        <v>1650</v>
      </c>
    </row>
    <row r="1203" spans="1:15" x14ac:dyDescent="0.25">
      <c r="A1203" t="str">
        <f>"10/21/2020 18:23:38.752"</f>
        <v>10/21/2020 18:23:38.752</v>
      </c>
      <c r="B1203" t="str">
        <f>"18:23:46.703"</f>
        <v>18:23:46.703</v>
      </c>
      <c r="C1203" t="str">
        <f>"18:23:46.403"</f>
        <v>18:23:46.403</v>
      </c>
      <c r="D1203" t="s">
        <v>487</v>
      </c>
      <c r="E1203">
        <v>30.613768</v>
      </c>
      <c r="F1203" t="s">
        <v>488</v>
      </c>
      <c r="G1203">
        <v>-89.876617999999993</v>
      </c>
      <c r="H1203">
        <v>1600</v>
      </c>
      <c r="I1203">
        <v>-18</v>
      </c>
      <c r="J1203">
        <v>147</v>
      </c>
      <c r="K1203">
        <v>128</v>
      </c>
      <c r="L1203">
        <v>1200</v>
      </c>
      <c r="M1203" t="str">
        <f t="shared" si="51"/>
        <v xml:space="preserve">N35DC   </v>
      </c>
      <c r="N1203">
        <v>1</v>
      </c>
      <c r="O1203">
        <v>1650</v>
      </c>
    </row>
    <row r="1204" spans="1:15" x14ac:dyDescent="0.25">
      <c r="A1204" t="str">
        <f>"10/21/2020 18:23:38.752"</f>
        <v>10/21/2020 18:23:38.752</v>
      </c>
      <c r="B1204" t="str">
        <f>"18:23:46.703"</f>
        <v>18:23:46.703</v>
      </c>
      <c r="C1204" t="str">
        <f>"18:23:46.403"</f>
        <v>18:23:46.403</v>
      </c>
      <c r="D1204" t="s">
        <v>487</v>
      </c>
      <c r="E1204">
        <v>30.613768</v>
      </c>
      <c r="F1204" t="s">
        <v>488</v>
      </c>
      <c r="G1204">
        <v>-89.876617999999993</v>
      </c>
      <c r="H1204">
        <v>1600</v>
      </c>
      <c r="I1204">
        <v>-18</v>
      </c>
      <c r="J1204">
        <v>147</v>
      </c>
      <c r="K1204">
        <v>128</v>
      </c>
      <c r="L1204">
        <v>1200</v>
      </c>
      <c r="M1204" t="str">
        <f t="shared" si="51"/>
        <v xml:space="preserve">N35DC   </v>
      </c>
      <c r="N1204">
        <v>1</v>
      </c>
      <c r="O1204">
        <v>1650</v>
      </c>
    </row>
    <row r="1205" spans="1:15" x14ac:dyDescent="0.25">
      <c r="A1205" t="str">
        <f>"10/21/2020 18:23:38.752"</f>
        <v>10/21/2020 18:23:38.752</v>
      </c>
      <c r="B1205" t="str">
        <f>"18:23:46.703"</f>
        <v>18:23:46.703</v>
      </c>
      <c r="C1205" t="str">
        <f>"18:23:46.403"</f>
        <v>18:23:46.403</v>
      </c>
      <c r="D1205" t="s">
        <v>487</v>
      </c>
      <c r="E1205">
        <v>30.613768</v>
      </c>
      <c r="F1205" t="s">
        <v>488</v>
      </c>
      <c r="G1205">
        <v>-89.876617999999993</v>
      </c>
      <c r="H1205">
        <v>1600</v>
      </c>
      <c r="I1205">
        <v>-18</v>
      </c>
      <c r="J1205">
        <v>147</v>
      </c>
      <c r="K1205">
        <v>128</v>
      </c>
      <c r="L1205">
        <v>1200</v>
      </c>
      <c r="M1205" t="str">
        <f t="shared" si="51"/>
        <v xml:space="preserve">N35DC   </v>
      </c>
      <c r="N1205">
        <v>1</v>
      </c>
      <c r="O1205">
        <v>1650</v>
      </c>
    </row>
    <row r="1206" spans="1:15" x14ac:dyDescent="0.25">
      <c r="A1206" t="str">
        <f>"10/21/2020 18:23:38.752"</f>
        <v>10/21/2020 18:23:38.752</v>
      </c>
      <c r="B1206" t="str">
        <f>"18:23:46.703"</f>
        <v>18:23:46.703</v>
      </c>
      <c r="C1206" t="str">
        <f>"18:23:46.403"</f>
        <v>18:23:46.403</v>
      </c>
      <c r="D1206" t="s">
        <v>487</v>
      </c>
      <c r="E1206">
        <v>30.613768</v>
      </c>
      <c r="F1206" t="s">
        <v>488</v>
      </c>
      <c r="G1206">
        <v>-89.876617999999993</v>
      </c>
      <c r="H1206">
        <v>1600</v>
      </c>
      <c r="I1206">
        <v>-18</v>
      </c>
      <c r="J1206">
        <v>147</v>
      </c>
      <c r="K1206">
        <v>128</v>
      </c>
      <c r="L1206">
        <v>1200</v>
      </c>
      <c r="M1206" t="str">
        <f t="shared" si="51"/>
        <v xml:space="preserve">N35DC   </v>
      </c>
      <c r="N1206">
        <v>1</v>
      </c>
      <c r="O1206">
        <v>1650</v>
      </c>
    </row>
    <row r="1207" spans="1:15" x14ac:dyDescent="0.25">
      <c r="A1207" t="str">
        <f>"10/21/2020 18:23:41.945"</f>
        <v>10/21/2020 18:23:41.945</v>
      </c>
      <c r="B1207" t="str">
        <f>"18:23:49.867"</f>
        <v>18:23:49.867</v>
      </c>
      <c r="C1207" t="str">
        <f>"18:23:49.767"</f>
        <v>18:23:49.767</v>
      </c>
      <c r="D1207" t="s">
        <v>489</v>
      </c>
      <c r="E1207">
        <v>30.615914</v>
      </c>
      <c r="F1207" t="s">
        <v>490</v>
      </c>
      <c r="G1207">
        <v>-89.876683</v>
      </c>
      <c r="H1207">
        <v>1600</v>
      </c>
      <c r="I1207">
        <v>4</v>
      </c>
      <c r="J1207">
        <v>146</v>
      </c>
      <c r="K1207">
        <v>64</v>
      </c>
      <c r="L1207">
        <v>1200</v>
      </c>
      <c r="M1207" t="str">
        <f t="shared" si="51"/>
        <v xml:space="preserve">N35DC   </v>
      </c>
      <c r="N1207">
        <v>1</v>
      </c>
      <c r="O1207">
        <v>1650</v>
      </c>
    </row>
    <row r="1208" spans="1:15" x14ac:dyDescent="0.25">
      <c r="A1208" t="str">
        <f>"10/21/2020 18:23:41.945"</f>
        <v>10/21/2020 18:23:41.945</v>
      </c>
      <c r="B1208" t="str">
        <f>"18:23:49.867"</f>
        <v>18:23:49.867</v>
      </c>
      <c r="C1208" t="str">
        <f>"18:23:49.767"</f>
        <v>18:23:49.767</v>
      </c>
      <c r="D1208" t="s">
        <v>489</v>
      </c>
      <c r="E1208">
        <v>30.615914</v>
      </c>
      <c r="F1208" t="s">
        <v>490</v>
      </c>
      <c r="G1208">
        <v>-89.876683</v>
      </c>
      <c r="H1208">
        <v>1600</v>
      </c>
      <c r="I1208">
        <v>4</v>
      </c>
      <c r="J1208">
        <v>146</v>
      </c>
      <c r="K1208">
        <v>64</v>
      </c>
      <c r="L1208">
        <v>1200</v>
      </c>
      <c r="M1208" t="str">
        <f t="shared" si="51"/>
        <v xml:space="preserve">N35DC   </v>
      </c>
      <c r="N1208">
        <v>1</v>
      </c>
      <c r="O1208">
        <v>1650</v>
      </c>
    </row>
    <row r="1209" spans="1:15" x14ac:dyDescent="0.25">
      <c r="A1209" t="str">
        <f>"10/21/2020 18:23:41.945"</f>
        <v>10/21/2020 18:23:41.945</v>
      </c>
      <c r="B1209" t="str">
        <f>"18:23:49.867"</f>
        <v>18:23:49.867</v>
      </c>
      <c r="C1209" t="str">
        <f>"18:23:49.767"</f>
        <v>18:23:49.767</v>
      </c>
      <c r="D1209" t="s">
        <v>489</v>
      </c>
      <c r="E1209">
        <v>30.615914</v>
      </c>
      <c r="F1209" t="s">
        <v>490</v>
      </c>
      <c r="G1209">
        <v>-89.876683</v>
      </c>
      <c r="H1209">
        <v>1600</v>
      </c>
      <c r="I1209">
        <v>4</v>
      </c>
      <c r="J1209">
        <v>146</v>
      </c>
      <c r="K1209">
        <v>64</v>
      </c>
      <c r="L1209">
        <v>1200</v>
      </c>
      <c r="M1209" t="str">
        <f t="shared" si="51"/>
        <v xml:space="preserve">N35DC   </v>
      </c>
      <c r="N1209">
        <v>1</v>
      </c>
      <c r="O1209">
        <v>1650</v>
      </c>
    </row>
    <row r="1210" spans="1:15" x14ac:dyDescent="0.25">
      <c r="A1210" t="str">
        <f>"10/21/2020 18:23:41.945"</f>
        <v>10/21/2020 18:23:41.945</v>
      </c>
      <c r="B1210" t="str">
        <f>"18:23:49.867"</f>
        <v>18:23:49.867</v>
      </c>
      <c r="C1210" t="str">
        <f>"18:23:49.767"</f>
        <v>18:23:49.767</v>
      </c>
      <c r="D1210" t="s">
        <v>489</v>
      </c>
      <c r="E1210">
        <v>30.615914</v>
      </c>
      <c r="F1210" t="s">
        <v>490</v>
      </c>
      <c r="G1210">
        <v>-89.876683</v>
      </c>
      <c r="H1210">
        <v>1600</v>
      </c>
      <c r="I1210">
        <v>4</v>
      </c>
      <c r="J1210">
        <v>146</v>
      </c>
      <c r="K1210">
        <v>64</v>
      </c>
      <c r="L1210">
        <v>1200</v>
      </c>
      <c r="M1210" t="str">
        <f t="shared" si="51"/>
        <v xml:space="preserve">N35DC   </v>
      </c>
      <c r="N1210">
        <v>1</v>
      </c>
      <c r="O1210">
        <v>1650</v>
      </c>
    </row>
    <row r="1211" spans="1:15" x14ac:dyDescent="0.25">
      <c r="A1211" t="str">
        <f>"10/21/2020 18:23:41.945"</f>
        <v>10/21/2020 18:23:41.945</v>
      </c>
      <c r="B1211" t="str">
        <f>"18:23:49.867"</f>
        <v>18:23:49.867</v>
      </c>
      <c r="C1211" t="str">
        <f>"18:23:49.767"</f>
        <v>18:23:49.767</v>
      </c>
      <c r="D1211" t="s">
        <v>489</v>
      </c>
      <c r="E1211">
        <v>30.615914</v>
      </c>
      <c r="F1211" t="s">
        <v>490</v>
      </c>
      <c r="G1211">
        <v>-89.876683</v>
      </c>
      <c r="H1211">
        <v>1600</v>
      </c>
      <c r="I1211">
        <v>4</v>
      </c>
      <c r="J1211">
        <v>146</v>
      </c>
      <c r="K1211">
        <v>64</v>
      </c>
      <c r="L1211">
        <v>1200</v>
      </c>
      <c r="M1211" t="str">
        <f t="shared" si="51"/>
        <v xml:space="preserve">N35DC   </v>
      </c>
      <c r="N1211">
        <v>1</v>
      </c>
      <c r="O1211">
        <v>1650</v>
      </c>
    </row>
    <row r="1212" spans="1:15" x14ac:dyDescent="0.25">
      <c r="A1212" t="str">
        <f>"10/21/2020 18:23:45.023"</f>
        <v>10/21/2020 18:23:45.023</v>
      </c>
      <c r="B1212" t="str">
        <f>"18:23:52.977"</f>
        <v>18:23:52.977</v>
      </c>
      <c r="C1212" t="str">
        <f>"18:23:52.777"</f>
        <v>18:23:52.777</v>
      </c>
      <c r="D1212" t="s">
        <v>491</v>
      </c>
      <c r="E1212">
        <v>30.617974</v>
      </c>
      <c r="F1212" t="s">
        <v>492</v>
      </c>
      <c r="G1212">
        <v>-89.876403999999994</v>
      </c>
      <c r="H1212">
        <v>1600</v>
      </c>
      <c r="I1212">
        <v>25</v>
      </c>
      <c r="J1212">
        <v>141</v>
      </c>
      <c r="K1212">
        <v>64</v>
      </c>
      <c r="L1212">
        <v>1200</v>
      </c>
      <c r="M1212" t="str">
        <f t="shared" si="51"/>
        <v xml:space="preserve">N35DC   </v>
      </c>
      <c r="N1212">
        <v>1</v>
      </c>
      <c r="O1212">
        <v>1675</v>
      </c>
    </row>
    <row r="1213" spans="1:15" x14ac:dyDescent="0.25">
      <c r="A1213" t="str">
        <f>"10/21/2020 18:23:45.023"</f>
        <v>10/21/2020 18:23:45.023</v>
      </c>
      <c r="B1213" t="str">
        <f>"18:23:52.977"</f>
        <v>18:23:52.977</v>
      </c>
      <c r="C1213" t="str">
        <f>"18:23:52.777"</f>
        <v>18:23:52.777</v>
      </c>
      <c r="D1213" t="s">
        <v>491</v>
      </c>
      <c r="E1213">
        <v>30.617974</v>
      </c>
      <c r="F1213" t="s">
        <v>492</v>
      </c>
      <c r="G1213">
        <v>-89.876403999999994</v>
      </c>
      <c r="H1213">
        <v>1600</v>
      </c>
      <c r="I1213">
        <v>25</v>
      </c>
      <c r="J1213">
        <v>141</v>
      </c>
      <c r="K1213">
        <v>64</v>
      </c>
      <c r="L1213">
        <v>1200</v>
      </c>
      <c r="M1213" t="str">
        <f t="shared" si="51"/>
        <v xml:space="preserve">N35DC   </v>
      </c>
      <c r="N1213">
        <v>1</v>
      </c>
      <c r="O1213">
        <v>1675</v>
      </c>
    </row>
    <row r="1214" spans="1:15" x14ac:dyDescent="0.25">
      <c r="A1214" t="str">
        <f>"10/21/2020 18:23:45.023"</f>
        <v>10/21/2020 18:23:45.023</v>
      </c>
      <c r="B1214" t="str">
        <f>"18:23:52.977"</f>
        <v>18:23:52.977</v>
      </c>
      <c r="C1214" t="str">
        <f>"18:23:52.777"</f>
        <v>18:23:52.777</v>
      </c>
      <c r="D1214" t="s">
        <v>491</v>
      </c>
      <c r="E1214">
        <v>30.617974</v>
      </c>
      <c r="F1214" t="s">
        <v>492</v>
      </c>
      <c r="G1214">
        <v>-89.876403999999994</v>
      </c>
      <c r="H1214">
        <v>1600</v>
      </c>
      <c r="I1214">
        <v>25</v>
      </c>
      <c r="J1214">
        <v>141</v>
      </c>
      <c r="K1214">
        <v>64</v>
      </c>
      <c r="L1214">
        <v>1200</v>
      </c>
      <c r="M1214" t="str">
        <f t="shared" si="51"/>
        <v xml:space="preserve">N35DC   </v>
      </c>
      <c r="N1214">
        <v>1</v>
      </c>
      <c r="O1214">
        <v>1675</v>
      </c>
    </row>
    <row r="1215" spans="1:15" x14ac:dyDescent="0.25">
      <c r="A1215" t="str">
        <f>"10/21/2020 18:23:45.023"</f>
        <v>10/21/2020 18:23:45.023</v>
      </c>
      <c r="B1215" t="str">
        <f>"18:23:52.977"</f>
        <v>18:23:52.977</v>
      </c>
      <c r="C1215" t="str">
        <f>"18:23:52.777"</f>
        <v>18:23:52.777</v>
      </c>
      <c r="D1215" t="s">
        <v>491</v>
      </c>
      <c r="E1215">
        <v>30.617974</v>
      </c>
      <c r="F1215" t="s">
        <v>492</v>
      </c>
      <c r="G1215">
        <v>-89.876403999999994</v>
      </c>
      <c r="H1215">
        <v>1600</v>
      </c>
      <c r="I1215">
        <v>25</v>
      </c>
      <c r="J1215">
        <v>141</v>
      </c>
      <c r="K1215">
        <v>64</v>
      </c>
      <c r="L1215">
        <v>1200</v>
      </c>
      <c r="M1215" t="str">
        <f t="shared" si="51"/>
        <v xml:space="preserve">N35DC   </v>
      </c>
      <c r="N1215">
        <v>1</v>
      </c>
      <c r="O1215">
        <v>1675</v>
      </c>
    </row>
    <row r="1216" spans="1:15" x14ac:dyDescent="0.25">
      <c r="A1216" t="str">
        <f>"10/21/2020 18:23:45.023"</f>
        <v>10/21/2020 18:23:45.023</v>
      </c>
      <c r="B1216" t="str">
        <f>"18:23:52.977"</f>
        <v>18:23:52.977</v>
      </c>
      <c r="C1216" t="str">
        <f>"18:23:52.777"</f>
        <v>18:23:52.777</v>
      </c>
      <c r="D1216" t="s">
        <v>491</v>
      </c>
      <c r="E1216">
        <v>30.617974</v>
      </c>
      <c r="F1216" t="s">
        <v>492</v>
      </c>
      <c r="G1216">
        <v>-89.876403999999994</v>
      </c>
      <c r="H1216">
        <v>1600</v>
      </c>
      <c r="I1216">
        <v>25</v>
      </c>
      <c r="J1216">
        <v>141</v>
      </c>
      <c r="K1216">
        <v>64</v>
      </c>
      <c r="L1216">
        <v>1200</v>
      </c>
      <c r="M1216" t="str">
        <f t="shared" si="51"/>
        <v xml:space="preserve">N35DC   </v>
      </c>
      <c r="N1216">
        <v>1</v>
      </c>
      <c r="O1216">
        <v>1675</v>
      </c>
    </row>
    <row r="1217" spans="1:15" x14ac:dyDescent="0.25">
      <c r="A1217" t="str">
        <f>"10/21/2020 18:23:45.908"</f>
        <v>10/21/2020 18:23:45.908</v>
      </c>
      <c r="B1217" t="str">
        <f>"18:23:53.828"</f>
        <v>18:23:53.828</v>
      </c>
      <c r="C1217" t="str">
        <f>"18:23:53.328"</f>
        <v>18:23:53.328</v>
      </c>
      <c r="D1217" t="s">
        <v>493</v>
      </c>
      <c r="E1217">
        <v>30.618531999999998</v>
      </c>
      <c r="F1217" t="s">
        <v>494</v>
      </c>
      <c r="G1217">
        <v>-89.876232000000002</v>
      </c>
      <c r="H1217">
        <v>1600</v>
      </c>
      <c r="I1217">
        <v>27</v>
      </c>
      <c r="J1217">
        <v>140</v>
      </c>
      <c r="K1217">
        <v>64</v>
      </c>
      <c r="L1217">
        <v>1200</v>
      </c>
      <c r="M1217" t="str">
        <f t="shared" si="51"/>
        <v xml:space="preserve">N35DC   </v>
      </c>
      <c r="N1217">
        <v>1</v>
      </c>
      <c r="O1217">
        <v>1675</v>
      </c>
    </row>
    <row r="1218" spans="1:15" x14ac:dyDescent="0.25">
      <c r="A1218" t="str">
        <f>"10/21/2020 18:23:45.908"</f>
        <v>10/21/2020 18:23:45.908</v>
      </c>
      <c r="B1218" t="str">
        <f>"18:23:53.828"</f>
        <v>18:23:53.828</v>
      </c>
      <c r="C1218" t="str">
        <f>"18:23:53.328"</f>
        <v>18:23:53.328</v>
      </c>
      <c r="D1218" t="s">
        <v>493</v>
      </c>
      <c r="E1218">
        <v>30.618531999999998</v>
      </c>
      <c r="F1218" t="s">
        <v>494</v>
      </c>
      <c r="G1218">
        <v>-89.876232000000002</v>
      </c>
      <c r="H1218">
        <v>1600</v>
      </c>
      <c r="I1218">
        <v>27</v>
      </c>
      <c r="J1218">
        <v>140</v>
      </c>
      <c r="K1218">
        <v>64</v>
      </c>
      <c r="L1218">
        <v>1200</v>
      </c>
      <c r="M1218" t="str">
        <f t="shared" si="51"/>
        <v xml:space="preserve">N35DC   </v>
      </c>
      <c r="N1218">
        <v>1</v>
      </c>
      <c r="O1218">
        <v>1675</v>
      </c>
    </row>
    <row r="1219" spans="1:15" x14ac:dyDescent="0.25">
      <c r="A1219" t="str">
        <f>"10/21/2020 18:23:45.908"</f>
        <v>10/21/2020 18:23:45.908</v>
      </c>
      <c r="B1219" t="str">
        <f>"18:23:53.828"</f>
        <v>18:23:53.828</v>
      </c>
      <c r="C1219" t="str">
        <f>"18:23:53.328"</f>
        <v>18:23:53.328</v>
      </c>
      <c r="D1219" t="s">
        <v>493</v>
      </c>
      <c r="E1219">
        <v>30.618531999999998</v>
      </c>
      <c r="F1219" t="s">
        <v>494</v>
      </c>
      <c r="G1219">
        <v>-89.876232000000002</v>
      </c>
      <c r="H1219">
        <v>1600</v>
      </c>
      <c r="I1219">
        <v>27</v>
      </c>
      <c r="J1219">
        <v>140</v>
      </c>
      <c r="K1219">
        <v>64</v>
      </c>
      <c r="L1219">
        <v>1200</v>
      </c>
      <c r="M1219" t="str">
        <f t="shared" si="51"/>
        <v xml:space="preserve">N35DC   </v>
      </c>
      <c r="N1219">
        <v>1</v>
      </c>
      <c r="O1219">
        <v>1675</v>
      </c>
    </row>
    <row r="1220" spans="1:15" x14ac:dyDescent="0.25">
      <c r="A1220" t="str">
        <f>"10/21/2020 18:23:45.908"</f>
        <v>10/21/2020 18:23:45.908</v>
      </c>
      <c r="B1220" t="str">
        <f>"18:23:53.828"</f>
        <v>18:23:53.828</v>
      </c>
      <c r="C1220" t="str">
        <f>"18:23:53.328"</f>
        <v>18:23:53.328</v>
      </c>
      <c r="D1220" t="s">
        <v>493</v>
      </c>
      <c r="E1220">
        <v>30.618531999999998</v>
      </c>
      <c r="F1220" t="s">
        <v>494</v>
      </c>
      <c r="G1220">
        <v>-89.876232000000002</v>
      </c>
      <c r="H1220">
        <v>1600</v>
      </c>
      <c r="I1220">
        <v>27</v>
      </c>
      <c r="J1220">
        <v>140</v>
      </c>
      <c r="K1220">
        <v>64</v>
      </c>
      <c r="L1220">
        <v>1200</v>
      </c>
      <c r="M1220" t="str">
        <f t="shared" si="51"/>
        <v xml:space="preserve">N35DC   </v>
      </c>
      <c r="N1220">
        <v>1</v>
      </c>
      <c r="O1220">
        <v>1675</v>
      </c>
    </row>
    <row r="1221" spans="1:15" x14ac:dyDescent="0.25">
      <c r="A1221" t="str">
        <f>"10/21/2020 18:23:45.908"</f>
        <v>10/21/2020 18:23:45.908</v>
      </c>
      <c r="B1221" t="str">
        <f>"18:23:53.828"</f>
        <v>18:23:53.828</v>
      </c>
      <c r="C1221" t="str">
        <f>"18:23:53.328"</f>
        <v>18:23:53.328</v>
      </c>
      <c r="D1221" t="s">
        <v>493</v>
      </c>
      <c r="E1221">
        <v>30.618531999999998</v>
      </c>
      <c r="F1221" t="s">
        <v>494</v>
      </c>
      <c r="G1221">
        <v>-89.876232000000002</v>
      </c>
      <c r="H1221">
        <v>1600</v>
      </c>
      <c r="I1221">
        <v>27</v>
      </c>
      <c r="J1221">
        <v>140</v>
      </c>
      <c r="K1221">
        <v>64</v>
      </c>
      <c r="L1221">
        <v>1200</v>
      </c>
      <c r="M1221" t="str">
        <f t="shared" si="51"/>
        <v xml:space="preserve">N35DC   </v>
      </c>
      <c r="N1221">
        <v>1</v>
      </c>
      <c r="O1221">
        <v>1675</v>
      </c>
    </row>
    <row r="1222" spans="1:15" x14ac:dyDescent="0.25">
      <c r="A1222" t="str">
        <f>"10/21/2020 18:23:48.968"</f>
        <v>10/21/2020 18:23:48.968</v>
      </c>
      <c r="B1222" t="str">
        <f t="shared" ref="B1222:C1226" si="52">"18:23:56.891"</f>
        <v>18:23:56.891</v>
      </c>
      <c r="C1222" t="str">
        <f t="shared" si="52"/>
        <v>18:23:56.891</v>
      </c>
      <c r="D1222" t="s">
        <v>495</v>
      </c>
      <c r="E1222">
        <v>30.620463000000001</v>
      </c>
      <c r="F1222" t="s">
        <v>496</v>
      </c>
      <c r="G1222">
        <v>-89.875587999999993</v>
      </c>
      <c r="H1222">
        <v>1600</v>
      </c>
      <c r="I1222">
        <v>48</v>
      </c>
      <c r="J1222">
        <v>131</v>
      </c>
      <c r="K1222">
        <v>128</v>
      </c>
      <c r="L1222">
        <v>1200</v>
      </c>
      <c r="M1222" t="str">
        <f t="shared" si="51"/>
        <v xml:space="preserve">N35DC   </v>
      </c>
      <c r="N1222">
        <v>1</v>
      </c>
      <c r="O1222">
        <v>1675</v>
      </c>
    </row>
    <row r="1223" spans="1:15" x14ac:dyDescent="0.25">
      <c r="A1223" t="str">
        <f>"10/21/2020 18:23:48.968"</f>
        <v>10/21/2020 18:23:48.968</v>
      </c>
      <c r="B1223" t="str">
        <f t="shared" si="52"/>
        <v>18:23:56.891</v>
      </c>
      <c r="C1223" t="str">
        <f t="shared" si="52"/>
        <v>18:23:56.891</v>
      </c>
      <c r="D1223" t="s">
        <v>495</v>
      </c>
      <c r="E1223">
        <v>30.620463000000001</v>
      </c>
      <c r="F1223" t="s">
        <v>496</v>
      </c>
      <c r="G1223">
        <v>-89.875587999999993</v>
      </c>
      <c r="H1223">
        <v>1600</v>
      </c>
      <c r="I1223">
        <v>48</v>
      </c>
      <c r="J1223">
        <v>131</v>
      </c>
      <c r="K1223">
        <v>128</v>
      </c>
      <c r="L1223">
        <v>1200</v>
      </c>
      <c r="M1223" t="str">
        <f t="shared" ref="M1223:M1286" si="53">"N35DC   "</f>
        <v xml:space="preserve">N35DC   </v>
      </c>
      <c r="N1223">
        <v>1</v>
      </c>
      <c r="O1223">
        <v>1675</v>
      </c>
    </row>
    <row r="1224" spans="1:15" x14ac:dyDescent="0.25">
      <c r="A1224" t="str">
        <f>"10/21/2020 18:23:48.968"</f>
        <v>10/21/2020 18:23:48.968</v>
      </c>
      <c r="B1224" t="str">
        <f t="shared" si="52"/>
        <v>18:23:56.891</v>
      </c>
      <c r="C1224" t="str">
        <f t="shared" si="52"/>
        <v>18:23:56.891</v>
      </c>
      <c r="D1224" t="s">
        <v>495</v>
      </c>
      <c r="E1224">
        <v>30.620463000000001</v>
      </c>
      <c r="F1224" t="s">
        <v>496</v>
      </c>
      <c r="G1224">
        <v>-89.875587999999993</v>
      </c>
      <c r="H1224">
        <v>1600</v>
      </c>
      <c r="I1224">
        <v>48</v>
      </c>
      <c r="J1224">
        <v>131</v>
      </c>
      <c r="K1224">
        <v>128</v>
      </c>
      <c r="L1224">
        <v>1200</v>
      </c>
      <c r="M1224" t="str">
        <f t="shared" si="53"/>
        <v xml:space="preserve">N35DC   </v>
      </c>
      <c r="N1224">
        <v>1</v>
      </c>
      <c r="O1224">
        <v>1675</v>
      </c>
    </row>
    <row r="1225" spans="1:15" x14ac:dyDescent="0.25">
      <c r="A1225" t="str">
        <f>"10/21/2020 18:23:48.968"</f>
        <v>10/21/2020 18:23:48.968</v>
      </c>
      <c r="B1225" t="str">
        <f t="shared" si="52"/>
        <v>18:23:56.891</v>
      </c>
      <c r="C1225" t="str">
        <f t="shared" si="52"/>
        <v>18:23:56.891</v>
      </c>
      <c r="D1225" t="s">
        <v>495</v>
      </c>
      <c r="E1225">
        <v>30.620463000000001</v>
      </c>
      <c r="F1225" t="s">
        <v>496</v>
      </c>
      <c r="G1225">
        <v>-89.875587999999993</v>
      </c>
      <c r="H1225">
        <v>1600</v>
      </c>
      <c r="I1225">
        <v>48</v>
      </c>
      <c r="J1225">
        <v>131</v>
      </c>
      <c r="K1225">
        <v>128</v>
      </c>
      <c r="L1225">
        <v>1200</v>
      </c>
      <c r="M1225" t="str">
        <f t="shared" si="53"/>
        <v xml:space="preserve">N35DC   </v>
      </c>
      <c r="N1225">
        <v>1</v>
      </c>
      <c r="O1225">
        <v>1675</v>
      </c>
    </row>
    <row r="1226" spans="1:15" x14ac:dyDescent="0.25">
      <c r="A1226" t="str">
        <f>"10/21/2020 18:23:48.968"</f>
        <v>10/21/2020 18:23:48.968</v>
      </c>
      <c r="B1226" t="str">
        <f t="shared" si="52"/>
        <v>18:23:56.891</v>
      </c>
      <c r="C1226" t="str">
        <f t="shared" si="52"/>
        <v>18:23:56.891</v>
      </c>
      <c r="D1226" t="s">
        <v>495</v>
      </c>
      <c r="E1226">
        <v>30.620463000000001</v>
      </c>
      <c r="F1226" t="s">
        <v>496</v>
      </c>
      <c r="G1226">
        <v>-89.875587999999993</v>
      </c>
      <c r="H1226">
        <v>1600</v>
      </c>
      <c r="I1226">
        <v>48</v>
      </c>
      <c r="J1226">
        <v>131</v>
      </c>
      <c r="K1226">
        <v>128</v>
      </c>
      <c r="L1226">
        <v>1200</v>
      </c>
      <c r="M1226" t="str">
        <f t="shared" si="53"/>
        <v xml:space="preserve">N35DC   </v>
      </c>
      <c r="N1226">
        <v>1</v>
      </c>
      <c r="O1226">
        <v>1675</v>
      </c>
    </row>
    <row r="1227" spans="1:15" x14ac:dyDescent="0.25">
      <c r="A1227" t="str">
        <f>"10/21/2020 18:23:50.130"</f>
        <v>10/21/2020 18:23:50.130</v>
      </c>
      <c r="B1227" t="str">
        <f>"18:23:58.070"</f>
        <v>18:23:58.070</v>
      </c>
      <c r="C1227" t="str">
        <f>"18:23:57.970"</f>
        <v>18:23:57.970</v>
      </c>
      <c r="D1227" t="s">
        <v>497</v>
      </c>
      <c r="E1227">
        <v>30.62115</v>
      </c>
      <c r="F1227" t="s">
        <v>498</v>
      </c>
      <c r="G1227">
        <v>-89.875224000000003</v>
      </c>
      <c r="H1227">
        <v>1600</v>
      </c>
      <c r="I1227">
        <v>53</v>
      </c>
      <c r="J1227">
        <v>128</v>
      </c>
      <c r="K1227">
        <v>0</v>
      </c>
      <c r="L1227">
        <v>1200</v>
      </c>
      <c r="M1227" t="str">
        <f t="shared" si="53"/>
        <v xml:space="preserve">N35DC   </v>
      </c>
      <c r="N1227">
        <v>1</v>
      </c>
      <c r="O1227">
        <v>1675</v>
      </c>
    </row>
    <row r="1228" spans="1:15" x14ac:dyDescent="0.25">
      <c r="A1228" t="str">
        <f>"10/21/2020 18:23:50.130"</f>
        <v>10/21/2020 18:23:50.130</v>
      </c>
      <c r="B1228" t="str">
        <f>"18:23:58.070"</f>
        <v>18:23:58.070</v>
      </c>
      <c r="C1228" t="str">
        <f>"18:23:57.970"</f>
        <v>18:23:57.970</v>
      </c>
      <c r="D1228" t="s">
        <v>497</v>
      </c>
      <c r="E1228">
        <v>30.62115</v>
      </c>
      <c r="F1228" t="s">
        <v>498</v>
      </c>
      <c r="G1228">
        <v>-89.875224000000003</v>
      </c>
      <c r="H1228">
        <v>1600</v>
      </c>
      <c r="I1228">
        <v>53</v>
      </c>
      <c r="J1228">
        <v>128</v>
      </c>
      <c r="K1228">
        <v>0</v>
      </c>
      <c r="L1228">
        <v>1200</v>
      </c>
      <c r="M1228" t="str">
        <f t="shared" si="53"/>
        <v xml:space="preserve">N35DC   </v>
      </c>
      <c r="N1228">
        <v>1</v>
      </c>
      <c r="O1228">
        <v>1675</v>
      </c>
    </row>
    <row r="1229" spans="1:15" x14ac:dyDescent="0.25">
      <c r="A1229" t="str">
        <f>"10/21/2020 18:23:50.130"</f>
        <v>10/21/2020 18:23:50.130</v>
      </c>
      <c r="B1229" t="str">
        <f>"18:23:58.070"</f>
        <v>18:23:58.070</v>
      </c>
      <c r="C1229" t="str">
        <f>"18:23:57.970"</f>
        <v>18:23:57.970</v>
      </c>
      <c r="D1229" t="s">
        <v>497</v>
      </c>
      <c r="E1229">
        <v>30.62115</v>
      </c>
      <c r="F1229" t="s">
        <v>498</v>
      </c>
      <c r="G1229">
        <v>-89.875224000000003</v>
      </c>
      <c r="H1229">
        <v>1600</v>
      </c>
      <c r="I1229">
        <v>53</v>
      </c>
      <c r="J1229">
        <v>128</v>
      </c>
      <c r="K1229">
        <v>0</v>
      </c>
      <c r="L1229">
        <v>1200</v>
      </c>
      <c r="M1229" t="str">
        <f t="shared" si="53"/>
        <v xml:space="preserve">N35DC   </v>
      </c>
      <c r="N1229">
        <v>1</v>
      </c>
      <c r="O1229">
        <v>1675</v>
      </c>
    </row>
    <row r="1230" spans="1:15" x14ac:dyDescent="0.25">
      <c r="A1230" t="str">
        <f>"10/21/2020 18:23:50.130"</f>
        <v>10/21/2020 18:23:50.130</v>
      </c>
      <c r="B1230" t="str">
        <f>"18:23:58.070"</f>
        <v>18:23:58.070</v>
      </c>
      <c r="C1230" t="str">
        <f>"18:23:57.970"</f>
        <v>18:23:57.970</v>
      </c>
      <c r="D1230" t="s">
        <v>497</v>
      </c>
      <c r="E1230">
        <v>30.62115</v>
      </c>
      <c r="F1230" t="s">
        <v>498</v>
      </c>
      <c r="G1230">
        <v>-89.875224000000003</v>
      </c>
      <c r="H1230">
        <v>1600</v>
      </c>
      <c r="I1230">
        <v>53</v>
      </c>
      <c r="J1230">
        <v>128</v>
      </c>
      <c r="K1230">
        <v>0</v>
      </c>
      <c r="L1230">
        <v>1200</v>
      </c>
      <c r="M1230" t="str">
        <f t="shared" si="53"/>
        <v xml:space="preserve">N35DC   </v>
      </c>
      <c r="N1230">
        <v>1</v>
      </c>
      <c r="O1230">
        <v>1675</v>
      </c>
    </row>
    <row r="1231" spans="1:15" x14ac:dyDescent="0.25">
      <c r="A1231" t="str">
        <f>"10/21/2020 18:23:50.130"</f>
        <v>10/21/2020 18:23:50.130</v>
      </c>
      <c r="B1231" t="str">
        <f>"18:23:58.070"</f>
        <v>18:23:58.070</v>
      </c>
      <c r="C1231" t="str">
        <f>"18:23:57.970"</f>
        <v>18:23:57.970</v>
      </c>
      <c r="D1231" t="s">
        <v>497</v>
      </c>
      <c r="E1231">
        <v>30.62115</v>
      </c>
      <c r="F1231" t="s">
        <v>498</v>
      </c>
      <c r="G1231">
        <v>-89.875224000000003</v>
      </c>
      <c r="H1231">
        <v>1600</v>
      </c>
      <c r="I1231">
        <v>53</v>
      </c>
      <c r="J1231">
        <v>128</v>
      </c>
      <c r="K1231">
        <v>0</v>
      </c>
      <c r="L1231">
        <v>1200</v>
      </c>
      <c r="M1231" t="str">
        <f t="shared" si="53"/>
        <v xml:space="preserve">N35DC   </v>
      </c>
      <c r="N1231">
        <v>1</v>
      </c>
      <c r="O1231">
        <v>1675</v>
      </c>
    </row>
    <row r="1232" spans="1:15" x14ac:dyDescent="0.25">
      <c r="A1232" t="str">
        <f>"10/21/2020 18:23:52.910"</f>
        <v>10/21/2020 18:23:52.910</v>
      </c>
      <c r="B1232" t="str">
        <f>"18:24:00.836"</f>
        <v>18:24:00.836</v>
      </c>
      <c r="C1232" t="str">
        <f>"18:24:00.436"</f>
        <v>18:24:00.436</v>
      </c>
      <c r="D1232" t="s">
        <v>499</v>
      </c>
      <c r="E1232">
        <v>30.622693999999999</v>
      </c>
      <c r="F1232" t="s">
        <v>500</v>
      </c>
      <c r="G1232">
        <v>-89.874257999999998</v>
      </c>
      <c r="H1232">
        <v>1600</v>
      </c>
      <c r="I1232">
        <v>70</v>
      </c>
      <c r="J1232">
        <v>119</v>
      </c>
      <c r="K1232">
        <v>-128</v>
      </c>
      <c r="L1232">
        <v>1200</v>
      </c>
      <c r="M1232" t="str">
        <f t="shared" si="53"/>
        <v xml:space="preserve">N35DC   </v>
      </c>
      <c r="N1232">
        <v>1</v>
      </c>
      <c r="O1232">
        <v>1675</v>
      </c>
    </row>
    <row r="1233" spans="1:15" x14ac:dyDescent="0.25">
      <c r="A1233" t="str">
        <f>"10/21/2020 18:23:52.910"</f>
        <v>10/21/2020 18:23:52.910</v>
      </c>
      <c r="B1233" t="str">
        <f>"18:24:00.836"</f>
        <v>18:24:00.836</v>
      </c>
      <c r="C1233" t="str">
        <f>"18:24:00.436"</f>
        <v>18:24:00.436</v>
      </c>
      <c r="D1233" t="s">
        <v>499</v>
      </c>
      <c r="E1233">
        <v>30.622693999999999</v>
      </c>
      <c r="F1233" t="s">
        <v>500</v>
      </c>
      <c r="G1233">
        <v>-89.874257999999998</v>
      </c>
      <c r="H1233">
        <v>1600</v>
      </c>
      <c r="I1233">
        <v>70</v>
      </c>
      <c r="J1233">
        <v>119</v>
      </c>
      <c r="K1233">
        <v>-128</v>
      </c>
      <c r="L1233">
        <v>1200</v>
      </c>
      <c r="M1233" t="str">
        <f t="shared" si="53"/>
        <v xml:space="preserve">N35DC   </v>
      </c>
      <c r="N1233">
        <v>1</v>
      </c>
      <c r="O1233">
        <v>1675</v>
      </c>
    </row>
    <row r="1234" spans="1:15" x14ac:dyDescent="0.25">
      <c r="A1234" t="str">
        <f>"10/21/2020 18:23:52.910"</f>
        <v>10/21/2020 18:23:52.910</v>
      </c>
      <c r="B1234" t="str">
        <f>"18:24:00.836"</f>
        <v>18:24:00.836</v>
      </c>
      <c r="C1234" t="str">
        <f>"18:24:00.436"</f>
        <v>18:24:00.436</v>
      </c>
      <c r="D1234" t="s">
        <v>499</v>
      </c>
      <c r="E1234">
        <v>30.622693999999999</v>
      </c>
      <c r="F1234" t="s">
        <v>500</v>
      </c>
      <c r="G1234">
        <v>-89.874257999999998</v>
      </c>
      <c r="H1234">
        <v>1600</v>
      </c>
      <c r="I1234">
        <v>70</v>
      </c>
      <c r="J1234">
        <v>119</v>
      </c>
      <c r="K1234">
        <v>-128</v>
      </c>
      <c r="L1234">
        <v>1200</v>
      </c>
      <c r="M1234" t="str">
        <f t="shared" si="53"/>
        <v xml:space="preserve">N35DC   </v>
      </c>
      <c r="N1234">
        <v>1</v>
      </c>
      <c r="O1234">
        <v>1675</v>
      </c>
    </row>
    <row r="1235" spans="1:15" x14ac:dyDescent="0.25">
      <c r="A1235" t="str">
        <f>"10/21/2020 18:23:52.910"</f>
        <v>10/21/2020 18:23:52.910</v>
      </c>
      <c r="B1235" t="str">
        <f>"18:24:00.836"</f>
        <v>18:24:00.836</v>
      </c>
      <c r="C1235" t="str">
        <f>"18:24:00.436"</f>
        <v>18:24:00.436</v>
      </c>
      <c r="D1235" t="s">
        <v>499</v>
      </c>
      <c r="E1235">
        <v>30.622693999999999</v>
      </c>
      <c r="F1235" t="s">
        <v>500</v>
      </c>
      <c r="G1235">
        <v>-89.874257999999998</v>
      </c>
      <c r="H1235">
        <v>1600</v>
      </c>
      <c r="I1235">
        <v>70</v>
      </c>
      <c r="J1235">
        <v>119</v>
      </c>
      <c r="K1235">
        <v>-128</v>
      </c>
      <c r="L1235">
        <v>1200</v>
      </c>
      <c r="M1235" t="str">
        <f t="shared" si="53"/>
        <v xml:space="preserve">N35DC   </v>
      </c>
      <c r="N1235">
        <v>1</v>
      </c>
      <c r="O1235">
        <v>1675</v>
      </c>
    </row>
    <row r="1236" spans="1:15" x14ac:dyDescent="0.25">
      <c r="A1236" t="str">
        <f>"10/21/2020 18:23:52.910"</f>
        <v>10/21/2020 18:23:52.910</v>
      </c>
      <c r="B1236" t="str">
        <f>"18:24:00.836"</f>
        <v>18:24:00.836</v>
      </c>
      <c r="C1236" t="str">
        <f>"18:24:00.436"</f>
        <v>18:24:00.436</v>
      </c>
      <c r="D1236" t="s">
        <v>499</v>
      </c>
      <c r="E1236">
        <v>30.622693999999999</v>
      </c>
      <c r="F1236" t="s">
        <v>500</v>
      </c>
      <c r="G1236">
        <v>-89.874257999999998</v>
      </c>
      <c r="H1236">
        <v>1600</v>
      </c>
      <c r="I1236">
        <v>70</v>
      </c>
      <c r="J1236">
        <v>119</v>
      </c>
      <c r="K1236">
        <v>-128</v>
      </c>
      <c r="L1236">
        <v>1200</v>
      </c>
      <c r="M1236" t="str">
        <f t="shared" si="53"/>
        <v xml:space="preserve">N35DC   </v>
      </c>
      <c r="N1236">
        <v>1</v>
      </c>
      <c r="O1236">
        <v>1675</v>
      </c>
    </row>
    <row r="1237" spans="1:15" x14ac:dyDescent="0.25">
      <c r="A1237" t="str">
        <f>"10/21/2020 18:23:53.901"</f>
        <v>10/21/2020 18:23:53.901</v>
      </c>
      <c r="B1237" t="str">
        <f t="shared" ref="B1237:C1241" si="54">"18:24:01.820"</f>
        <v>18:24:01.820</v>
      </c>
      <c r="C1237" t="str">
        <f t="shared" si="54"/>
        <v>18:24:01.820</v>
      </c>
      <c r="D1237" t="s">
        <v>501</v>
      </c>
      <c r="E1237">
        <v>30.623231000000001</v>
      </c>
      <c r="F1237" t="s">
        <v>502</v>
      </c>
      <c r="G1237">
        <v>-89.873872000000006</v>
      </c>
      <c r="H1237">
        <v>1600</v>
      </c>
      <c r="I1237">
        <v>79</v>
      </c>
      <c r="J1237">
        <v>114</v>
      </c>
      <c r="K1237">
        <v>0</v>
      </c>
      <c r="L1237">
        <v>1200</v>
      </c>
      <c r="M1237" t="str">
        <f t="shared" si="53"/>
        <v xml:space="preserve">N35DC   </v>
      </c>
      <c r="N1237">
        <v>1</v>
      </c>
      <c r="O1237">
        <v>1675</v>
      </c>
    </row>
    <row r="1238" spans="1:15" x14ac:dyDescent="0.25">
      <c r="A1238" t="str">
        <f>"10/21/2020 18:23:53.901"</f>
        <v>10/21/2020 18:23:53.901</v>
      </c>
      <c r="B1238" t="str">
        <f t="shared" si="54"/>
        <v>18:24:01.820</v>
      </c>
      <c r="C1238" t="str">
        <f t="shared" si="54"/>
        <v>18:24:01.820</v>
      </c>
      <c r="D1238" t="s">
        <v>501</v>
      </c>
      <c r="E1238">
        <v>30.623231000000001</v>
      </c>
      <c r="F1238" t="s">
        <v>502</v>
      </c>
      <c r="G1238">
        <v>-89.873872000000006</v>
      </c>
      <c r="H1238">
        <v>1600</v>
      </c>
      <c r="I1238">
        <v>79</v>
      </c>
      <c r="J1238">
        <v>114</v>
      </c>
      <c r="K1238">
        <v>0</v>
      </c>
      <c r="L1238">
        <v>1200</v>
      </c>
      <c r="M1238" t="str">
        <f t="shared" si="53"/>
        <v xml:space="preserve">N35DC   </v>
      </c>
      <c r="N1238">
        <v>1</v>
      </c>
      <c r="O1238">
        <v>1675</v>
      </c>
    </row>
    <row r="1239" spans="1:15" x14ac:dyDescent="0.25">
      <c r="A1239" t="str">
        <f>"10/21/2020 18:23:53.901"</f>
        <v>10/21/2020 18:23:53.901</v>
      </c>
      <c r="B1239" t="str">
        <f t="shared" si="54"/>
        <v>18:24:01.820</v>
      </c>
      <c r="C1239" t="str">
        <f t="shared" si="54"/>
        <v>18:24:01.820</v>
      </c>
      <c r="D1239" t="s">
        <v>501</v>
      </c>
      <c r="E1239">
        <v>30.623231000000001</v>
      </c>
      <c r="F1239" t="s">
        <v>502</v>
      </c>
      <c r="G1239">
        <v>-89.873872000000006</v>
      </c>
      <c r="H1239">
        <v>1600</v>
      </c>
      <c r="I1239">
        <v>79</v>
      </c>
      <c r="J1239">
        <v>114</v>
      </c>
      <c r="K1239">
        <v>0</v>
      </c>
      <c r="L1239">
        <v>1200</v>
      </c>
      <c r="M1239" t="str">
        <f t="shared" si="53"/>
        <v xml:space="preserve">N35DC   </v>
      </c>
      <c r="N1239">
        <v>1</v>
      </c>
      <c r="O1239">
        <v>1675</v>
      </c>
    </row>
    <row r="1240" spans="1:15" x14ac:dyDescent="0.25">
      <c r="A1240" t="str">
        <f>"10/21/2020 18:23:53.901"</f>
        <v>10/21/2020 18:23:53.901</v>
      </c>
      <c r="B1240" t="str">
        <f t="shared" si="54"/>
        <v>18:24:01.820</v>
      </c>
      <c r="C1240" t="str">
        <f t="shared" si="54"/>
        <v>18:24:01.820</v>
      </c>
      <c r="D1240" t="s">
        <v>501</v>
      </c>
      <c r="E1240">
        <v>30.623231000000001</v>
      </c>
      <c r="F1240" t="s">
        <v>502</v>
      </c>
      <c r="G1240">
        <v>-89.873872000000006</v>
      </c>
      <c r="H1240">
        <v>1600</v>
      </c>
      <c r="I1240">
        <v>79</v>
      </c>
      <c r="J1240">
        <v>114</v>
      </c>
      <c r="K1240">
        <v>0</v>
      </c>
      <c r="L1240">
        <v>1200</v>
      </c>
      <c r="M1240" t="str">
        <f t="shared" si="53"/>
        <v xml:space="preserve">N35DC   </v>
      </c>
      <c r="N1240">
        <v>1</v>
      </c>
      <c r="O1240">
        <v>1675</v>
      </c>
    </row>
    <row r="1241" spans="1:15" x14ac:dyDescent="0.25">
      <c r="A1241" t="str">
        <f>"10/21/2020 18:23:53.901"</f>
        <v>10/21/2020 18:23:53.901</v>
      </c>
      <c r="B1241" t="str">
        <f t="shared" si="54"/>
        <v>18:24:01.820</v>
      </c>
      <c r="C1241" t="str">
        <f t="shared" si="54"/>
        <v>18:24:01.820</v>
      </c>
      <c r="D1241" t="s">
        <v>501</v>
      </c>
      <c r="E1241">
        <v>30.623231000000001</v>
      </c>
      <c r="F1241" t="s">
        <v>502</v>
      </c>
      <c r="G1241">
        <v>-89.873872000000006</v>
      </c>
      <c r="H1241">
        <v>1600</v>
      </c>
      <c r="I1241">
        <v>79</v>
      </c>
      <c r="J1241">
        <v>114</v>
      </c>
      <c r="K1241">
        <v>0</v>
      </c>
      <c r="L1241">
        <v>1200</v>
      </c>
      <c r="M1241" t="str">
        <f t="shared" si="53"/>
        <v xml:space="preserve">N35DC   </v>
      </c>
      <c r="N1241">
        <v>1</v>
      </c>
      <c r="O1241">
        <v>1675</v>
      </c>
    </row>
    <row r="1242" spans="1:15" x14ac:dyDescent="0.25">
      <c r="A1242" t="str">
        <f>"10/21/2020 18:23:56.754"</f>
        <v>10/21/2020 18:23:56.754</v>
      </c>
      <c r="B1242" t="str">
        <f>"18:24:04.672"</f>
        <v>18:24:04.672</v>
      </c>
      <c r="C1242" t="str">
        <f>"18:24:04.472"</f>
        <v>18:24:04.472</v>
      </c>
      <c r="D1242" t="s">
        <v>503</v>
      </c>
      <c r="E1242">
        <v>30.624669000000001</v>
      </c>
      <c r="F1242" t="s">
        <v>504</v>
      </c>
      <c r="G1242">
        <v>-89.872499000000005</v>
      </c>
      <c r="H1242">
        <v>1600</v>
      </c>
      <c r="I1242">
        <v>93</v>
      </c>
      <c r="J1242">
        <v>103</v>
      </c>
      <c r="K1242">
        <v>0</v>
      </c>
      <c r="L1242">
        <v>1200</v>
      </c>
      <c r="M1242" t="str">
        <f t="shared" si="53"/>
        <v xml:space="preserve">N35DC   </v>
      </c>
      <c r="N1242">
        <v>1</v>
      </c>
      <c r="O1242">
        <v>1675</v>
      </c>
    </row>
    <row r="1243" spans="1:15" x14ac:dyDescent="0.25">
      <c r="A1243" t="str">
        <f>"10/21/2020 18:23:56.754"</f>
        <v>10/21/2020 18:23:56.754</v>
      </c>
      <c r="B1243" t="str">
        <f>"18:24:04.672"</f>
        <v>18:24:04.672</v>
      </c>
      <c r="C1243" t="str">
        <f>"18:24:04.472"</f>
        <v>18:24:04.472</v>
      </c>
      <c r="D1243" t="s">
        <v>503</v>
      </c>
      <c r="E1243">
        <v>30.624669000000001</v>
      </c>
      <c r="F1243" t="s">
        <v>504</v>
      </c>
      <c r="G1243">
        <v>-89.872499000000005</v>
      </c>
      <c r="H1243">
        <v>1600</v>
      </c>
      <c r="I1243">
        <v>93</v>
      </c>
      <c r="J1243">
        <v>103</v>
      </c>
      <c r="K1243">
        <v>0</v>
      </c>
      <c r="L1243">
        <v>1200</v>
      </c>
      <c r="M1243" t="str">
        <f t="shared" si="53"/>
        <v xml:space="preserve">N35DC   </v>
      </c>
      <c r="N1243">
        <v>1</v>
      </c>
      <c r="O1243">
        <v>1675</v>
      </c>
    </row>
    <row r="1244" spans="1:15" x14ac:dyDescent="0.25">
      <c r="A1244" t="str">
        <f>"10/21/2020 18:23:56.754"</f>
        <v>10/21/2020 18:23:56.754</v>
      </c>
      <c r="B1244" t="str">
        <f>"18:24:04.672"</f>
        <v>18:24:04.672</v>
      </c>
      <c r="C1244" t="str">
        <f>"18:24:04.472"</f>
        <v>18:24:04.472</v>
      </c>
      <c r="D1244" t="s">
        <v>503</v>
      </c>
      <c r="E1244">
        <v>30.624669000000001</v>
      </c>
      <c r="F1244" t="s">
        <v>504</v>
      </c>
      <c r="G1244">
        <v>-89.872499000000005</v>
      </c>
      <c r="H1244">
        <v>1600</v>
      </c>
      <c r="I1244">
        <v>93</v>
      </c>
      <c r="J1244">
        <v>103</v>
      </c>
      <c r="K1244">
        <v>0</v>
      </c>
      <c r="L1244">
        <v>1200</v>
      </c>
      <c r="M1244" t="str">
        <f t="shared" si="53"/>
        <v xml:space="preserve">N35DC   </v>
      </c>
      <c r="N1244">
        <v>1</v>
      </c>
      <c r="O1244">
        <v>1675</v>
      </c>
    </row>
    <row r="1245" spans="1:15" x14ac:dyDescent="0.25">
      <c r="A1245" t="str">
        <f>"10/21/2020 18:23:56.754"</f>
        <v>10/21/2020 18:23:56.754</v>
      </c>
      <c r="B1245" t="str">
        <f>"18:24:04.672"</f>
        <v>18:24:04.672</v>
      </c>
      <c r="C1245" t="str">
        <f>"18:24:04.472"</f>
        <v>18:24:04.472</v>
      </c>
      <c r="D1245" t="s">
        <v>503</v>
      </c>
      <c r="E1245">
        <v>30.624669000000001</v>
      </c>
      <c r="F1245" t="s">
        <v>504</v>
      </c>
      <c r="G1245">
        <v>-89.872499000000005</v>
      </c>
      <c r="H1245">
        <v>1600</v>
      </c>
      <c r="I1245">
        <v>93</v>
      </c>
      <c r="J1245">
        <v>103</v>
      </c>
      <c r="K1245">
        <v>0</v>
      </c>
      <c r="L1245">
        <v>1200</v>
      </c>
      <c r="M1245" t="str">
        <f t="shared" si="53"/>
        <v xml:space="preserve">N35DC   </v>
      </c>
      <c r="N1245">
        <v>1</v>
      </c>
      <c r="O1245">
        <v>1675</v>
      </c>
    </row>
    <row r="1246" spans="1:15" x14ac:dyDescent="0.25">
      <c r="A1246" t="str">
        <f>"10/21/2020 18:23:56.754"</f>
        <v>10/21/2020 18:23:56.754</v>
      </c>
      <c r="B1246" t="str">
        <f>"18:24:04.672"</f>
        <v>18:24:04.672</v>
      </c>
      <c r="C1246" t="str">
        <f>"18:24:04.472"</f>
        <v>18:24:04.472</v>
      </c>
      <c r="D1246" t="s">
        <v>503</v>
      </c>
      <c r="E1246">
        <v>30.624669000000001</v>
      </c>
      <c r="F1246" t="s">
        <v>504</v>
      </c>
      <c r="G1246">
        <v>-89.872499000000005</v>
      </c>
      <c r="H1246">
        <v>1600</v>
      </c>
      <c r="I1246">
        <v>93</v>
      </c>
      <c r="J1246">
        <v>103</v>
      </c>
      <c r="K1246">
        <v>0</v>
      </c>
      <c r="L1246">
        <v>1200</v>
      </c>
      <c r="M1246" t="str">
        <f t="shared" si="53"/>
        <v xml:space="preserve">N35DC   </v>
      </c>
      <c r="N1246">
        <v>1</v>
      </c>
      <c r="O1246">
        <v>1675</v>
      </c>
    </row>
    <row r="1247" spans="1:15" x14ac:dyDescent="0.25">
      <c r="A1247" t="str">
        <f>"10/21/2020 18:23:57.718"</f>
        <v>10/21/2020 18:23:57.718</v>
      </c>
      <c r="B1247" t="str">
        <f>"18:24:05.648"</f>
        <v>18:24:05.648</v>
      </c>
      <c r="C1247" t="str">
        <f>"18:24:05.348"</f>
        <v>18:24:05.348</v>
      </c>
      <c r="D1247" t="s">
        <v>505</v>
      </c>
      <c r="E1247">
        <v>30.625076</v>
      </c>
      <c r="F1247" t="s">
        <v>506</v>
      </c>
      <c r="G1247">
        <v>-89.871983999999998</v>
      </c>
      <c r="H1247">
        <v>1600</v>
      </c>
      <c r="I1247">
        <v>97</v>
      </c>
      <c r="J1247">
        <v>99</v>
      </c>
      <c r="K1247">
        <v>-64</v>
      </c>
      <c r="L1247">
        <v>1200</v>
      </c>
      <c r="M1247" t="str">
        <f t="shared" si="53"/>
        <v xml:space="preserve">N35DC   </v>
      </c>
      <c r="N1247">
        <v>1</v>
      </c>
      <c r="O1247">
        <v>1675</v>
      </c>
    </row>
    <row r="1248" spans="1:15" x14ac:dyDescent="0.25">
      <c r="A1248" t="str">
        <f>"10/21/2020 18:23:57.718"</f>
        <v>10/21/2020 18:23:57.718</v>
      </c>
      <c r="B1248" t="str">
        <f>"18:24:05.648"</f>
        <v>18:24:05.648</v>
      </c>
      <c r="C1248" t="str">
        <f>"18:24:05.348"</f>
        <v>18:24:05.348</v>
      </c>
      <c r="D1248" t="s">
        <v>505</v>
      </c>
      <c r="E1248">
        <v>30.625076</v>
      </c>
      <c r="F1248" t="s">
        <v>506</v>
      </c>
      <c r="G1248">
        <v>-89.871983999999998</v>
      </c>
      <c r="H1248">
        <v>1600</v>
      </c>
      <c r="I1248">
        <v>97</v>
      </c>
      <c r="J1248">
        <v>99</v>
      </c>
      <c r="K1248">
        <v>-64</v>
      </c>
      <c r="L1248">
        <v>1200</v>
      </c>
      <c r="M1248" t="str">
        <f t="shared" si="53"/>
        <v xml:space="preserve">N35DC   </v>
      </c>
      <c r="N1248">
        <v>1</v>
      </c>
      <c r="O1248">
        <v>1675</v>
      </c>
    </row>
    <row r="1249" spans="1:15" x14ac:dyDescent="0.25">
      <c r="A1249" t="str">
        <f>"10/21/2020 18:23:57.718"</f>
        <v>10/21/2020 18:23:57.718</v>
      </c>
      <c r="B1249" t="str">
        <f>"18:24:05.648"</f>
        <v>18:24:05.648</v>
      </c>
      <c r="C1249" t="str">
        <f>"18:24:05.348"</f>
        <v>18:24:05.348</v>
      </c>
      <c r="D1249" t="s">
        <v>505</v>
      </c>
      <c r="E1249">
        <v>30.625076</v>
      </c>
      <c r="F1249" t="s">
        <v>506</v>
      </c>
      <c r="G1249">
        <v>-89.871983999999998</v>
      </c>
      <c r="H1249">
        <v>1600</v>
      </c>
      <c r="I1249">
        <v>97</v>
      </c>
      <c r="J1249">
        <v>99</v>
      </c>
      <c r="K1249">
        <v>-64</v>
      </c>
      <c r="L1249">
        <v>1200</v>
      </c>
      <c r="M1249" t="str">
        <f t="shared" si="53"/>
        <v xml:space="preserve">N35DC   </v>
      </c>
      <c r="N1249">
        <v>1</v>
      </c>
      <c r="O1249">
        <v>1675</v>
      </c>
    </row>
    <row r="1250" spans="1:15" x14ac:dyDescent="0.25">
      <c r="A1250" t="str">
        <f>"10/21/2020 18:23:57.718"</f>
        <v>10/21/2020 18:23:57.718</v>
      </c>
      <c r="B1250" t="str">
        <f>"18:24:05.648"</f>
        <v>18:24:05.648</v>
      </c>
      <c r="C1250" t="str">
        <f>"18:24:04.948"</f>
        <v>18:24:04.948</v>
      </c>
      <c r="D1250" t="s">
        <v>505</v>
      </c>
      <c r="E1250">
        <v>30.625076</v>
      </c>
      <c r="F1250" t="s">
        <v>506</v>
      </c>
      <c r="G1250">
        <v>-89.871983999999998</v>
      </c>
      <c r="H1250">
        <v>1600</v>
      </c>
      <c r="I1250">
        <v>95</v>
      </c>
      <c r="J1250">
        <v>102</v>
      </c>
      <c r="K1250">
        <v>-64</v>
      </c>
      <c r="L1250">
        <v>1200</v>
      </c>
      <c r="M1250" t="str">
        <f t="shared" si="53"/>
        <v xml:space="preserve">N35DC   </v>
      </c>
      <c r="N1250">
        <v>1</v>
      </c>
      <c r="O1250">
        <v>1675</v>
      </c>
    </row>
    <row r="1251" spans="1:15" x14ac:dyDescent="0.25">
      <c r="A1251" t="str">
        <f>"10/21/2020 18:23:57.718"</f>
        <v>10/21/2020 18:23:57.718</v>
      </c>
      <c r="B1251" t="str">
        <f>"18:24:05.648"</f>
        <v>18:24:05.648</v>
      </c>
      <c r="C1251" t="str">
        <f>"18:24:05.348"</f>
        <v>18:24:05.348</v>
      </c>
      <c r="D1251" t="s">
        <v>505</v>
      </c>
      <c r="E1251">
        <v>30.625076</v>
      </c>
      <c r="F1251" t="s">
        <v>506</v>
      </c>
      <c r="G1251">
        <v>-89.871983999999998</v>
      </c>
      <c r="H1251">
        <v>1600</v>
      </c>
      <c r="I1251">
        <v>97</v>
      </c>
      <c r="J1251">
        <v>99</v>
      </c>
      <c r="K1251">
        <v>-64</v>
      </c>
      <c r="L1251">
        <v>1200</v>
      </c>
      <c r="M1251" t="str">
        <f t="shared" si="53"/>
        <v xml:space="preserve">N35DC   </v>
      </c>
      <c r="N1251">
        <v>1</v>
      </c>
      <c r="O1251">
        <v>1675</v>
      </c>
    </row>
    <row r="1252" spans="1:15" x14ac:dyDescent="0.25">
      <c r="A1252" t="str">
        <f>"10/21/2020 18:24:00.795"</f>
        <v>10/21/2020 18:24:00.795</v>
      </c>
      <c r="B1252" t="str">
        <f>"18:24:08.711"</f>
        <v>18:24:08.711</v>
      </c>
      <c r="C1252" t="str">
        <f>"18:24:08.411"</f>
        <v>18:24:08.411</v>
      </c>
      <c r="D1252" t="s">
        <v>507</v>
      </c>
      <c r="E1252">
        <v>30.626342000000001</v>
      </c>
      <c r="F1252" t="s">
        <v>508</v>
      </c>
      <c r="G1252">
        <v>-89.870244999999997</v>
      </c>
      <c r="H1252">
        <v>1600</v>
      </c>
      <c r="I1252">
        <v>110</v>
      </c>
      <c r="J1252">
        <v>85</v>
      </c>
      <c r="K1252">
        <v>0</v>
      </c>
      <c r="L1252">
        <v>1200</v>
      </c>
      <c r="M1252" t="str">
        <f t="shared" si="53"/>
        <v xml:space="preserve">N35DC   </v>
      </c>
      <c r="N1252">
        <v>1</v>
      </c>
      <c r="O1252">
        <v>1675</v>
      </c>
    </row>
    <row r="1253" spans="1:15" x14ac:dyDescent="0.25">
      <c r="A1253" t="str">
        <f>"10/21/2020 18:24:00.795"</f>
        <v>10/21/2020 18:24:00.795</v>
      </c>
      <c r="B1253" t="str">
        <f>"18:24:08.711"</f>
        <v>18:24:08.711</v>
      </c>
      <c r="C1253" t="str">
        <f>"18:24:08.411"</f>
        <v>18:24:08.411</v>
      </c>
      <c r="D1253" t="s">
        <v>507</v>
      </c>
      <c r="E1253">
        <v>30.626342000000001</v>
      </c>
      <c r="F1253" t="s">
        <v>508</v>
      </c>
      <c r="G1253">
        <v>-89.870244999999997</v>
      </c>
      <c r="H1253">
        <v>1600</v>
      </c>
      <c r="I1253">
        <v>110</v>
      </c>
      <c r="J1253">
        <v>85</v>
      </c>
      <c r="K1253">
        <v>0</v>
      </c>
      <c r="L1253">
        <v>1200</v>
      </c>
      <c r="M1253" t="str">
        <f t="shared" si="53"/>
        <v xml:space="preserve">N35DC   </v>
      </c>
      <c r="N1253">
        <v>1</v>
      </c>
      <c r="O1253">
        <v>1675</v>
      </c>
    </row>
    <row r="1254" spans="1:15" x14ac:dyDescent="0.25">
      <c r="A1254" t="str">
        <f>"10/21/2020 18:24:00.795"</f>
        <v>10/21/2020 18:24:00.795</v>
      </c>
      <c r="B1254" t="str">
        <f>"18:24:08.711"</f>
        <v>18:24:08.711</v>
      </c>
      <c r="C1254" t="str">
        <f>"18:24:08.411"</f>
        <v>18:24:08.411</v>
      </c>
      <c r="D1254" t="s">
        <v>507</v>
      </c>
      <c r="E1254">
        <v>30.626342000000001</v>
      </c>
      <c r="F1254" t="s">
        <v>508</v>
      </c>
      <c r="G1254">
        <v>-89.870244999999997</v>
      </c>
      <c r="H1254">
        <v>1600</v>
      </c>
      <c r="I1254">
        <v>110</v>
      </c>
      <c r="J1254">
        <v>85</v>
      </c>
      <c r="K1254">
        <v>0</v>
      </c>
      <c r="L1254">
        <v>1200</v>
      </c>
      <c r="M1254" t="str">
        <f t="shared" si="53"/>
        <v xml:space="preserve">N35DC   </v>
      </c>
      <c r="N1254">
        <v>1</v>
      </c>
      <c r="O1254">
        <v>1675</v>
      </c>
    </row>
    <row r="1255" spans="1:15" x14ac:dyDescent="0.25">
      <c r="A1255" t="str">
        <f>"10/21/2020 18:24:00.795"</f>
        <v>10/21/2020 18:24:00.795</v>
      </c>
      <c r="B1255" t="str">
        <f>"18:24:08.711"</f>
        <v>18:24:08.711</v>
      </c>
      <c r="C1255" t="str">
        <f>"18:24:08.411"</f>
        <v>18:24:08.411</v>
      </c>
      <c r="D1255" t="s">
        <v>507</v>
      </c>
      <c r="E1255">
        <v>30.626342000000001</v>
      </c>
      <c r="F1255" t="s">
        <v>508</v>
      </c>
      <c r="G1255">
        <v>-89.870244999999997</v>
      </c>
      <c r="H1255">
        <v>1600</v>
      </c>
      <c r="I1255">
        <v>110</v>
      </c>
      <c r="J1255">
        <v>85</v>
      </c>
      <c r="K1255">
        <v>0</v>
      </c>
      <c r="L1255">
        <v>1200</v>
      </c>
      <c r="M1255" t="str">
        <f t="shared" si="53"/>
        <v xml:space="preserve">N35DC   </v>
      </c>
      <c r="N1255">
        <v>1</v>
      </c>
      <c r="O1255">
        <v>1675</v>
      </c>
    </row>
    <row r="1256" spans="1:15" x14ac:dyDescent="0.25">
      <c r="A1256" t="str">
        <f>"10/21/2020 18:24:00.795"</f>
        <v>10/21/2020 18:24:00.795</v>
      </c>
      <c r="B1256" t="str">
        <f>"18:24:08.703"</f>
        <v>18:24:08.703</v>
      </c>
      <c r="C1256" t="str">
        <f>"18:24:08.403"</f>
        <v>18:24:08.403</v>
      </c>
      <c r="D1256" t="s">
        <v>507</v>
      </c>
      <c r="E1256">
        <v>30.626342000000001</v>
      </c>
      <c r="F1256" t="s">
        <v>508</v>
      </c>
      <c r="G1256">
        <v>-89.870244999999997</v>
      </c>
      <c r="H1256">
        <v>1600</v>
      </c>
      <c r="I1256">
        <v>110</v>
      </c>
      <c r="J1256">
        <v>85</v>
      </c>
      <c r="K1256">
        <v>0</v>
      </c>
      <c r="L1256">
        <v>1200</v>
      </c>
      <c r="M1256" t="str">
        <f t="shared" si="53"/>
        <v xml:space="preserve">N35DC   </v>
      </c>
      <c r="N1256">
        <v>1</v>
      </c>
      <c r="O1256">
        <v>1675</v>
      </c>
    </row>
    <row r="1257" spans="1:15" x14ac:dyDescent="0.25">
      <c r="A1257" t="str">
        <f>"10/21/2020 18:24:08.954"</f>
        <v>10/21/2020 18:24:08.954</v>
      </c>
      <c r="B1257" t="str">
        <f>"18:24:16.898"</f>
        <v>18:24:16.898</v>
      </c>
      <c r="C1257" t="str">
        <f>"18:24:16.598"</f>
        <v>18:24:16.598</v>
      </c>
      <c r="D1257" t="s">
        <v>509</v>
      </c>
      <c r="E1257">
        <v>30.628595000000001</v>
      </c>
      <c r="F1257" t="s">
        <v>510</v>
      </c>
      <c r="G1257">
        <v>-89.864709000000005</v>
      </c>
      <c r="H1257">
        <v>1600</v>
      </c>
      <c r="I1257">
        <v>133</v>
      </c>
      <c r="J1257">
        <v>39</v>
      </c>
      <c r="K1257">
        <v>128</v>
      </c>
      <c r="L1257">
        <v>1200</v>
      </c>
      <c r="M1257" t="str">
        <f t="shared" si="53"/>
        <v xml:space="preserve">N35DC   </v>
      </c>
      <c r="N1257">
        <v>1</v>
      </c>
      <c r="O1257">
        <v>1700</v>
      </c>
    </row>
    <row r="1258" spans="1:15" x14ac:dyDescent="0.25">
      <c r="A1258" t="str">
        <f>"10/21/2020 18:24:08.954"</f>
        <v>10/21/2020 18:24:08.954</v>
      </c>
      <c r="B1258" t="str">
        <f>"18:24:16.898"</f>
        <v>18:24:16.898</v>
      </c>
      <c r="C1258" t="str">
        <f>"18:24:16.598"</f>
        <v>18:24:16.598</v>
      </c>
      <c r="D1258" t="s">
        <v>509</v>
      </c>
      <c r="E1258">
        <v>30.628595000000001</v>
      </c>
      <c r="F1258" t="s">
        <v>510</v>
      </c>
      <c r="G1258">
        <v>-89.864709000000005</v>
      </c>
      <c r="H1258">
        <v>1600</v>
      </c>
      <c r="I1258">
        <v>133</v>
      </c>
      <c r="J1258">
        <v>39</v>
      </c>
      <c r="K1258">
        <v>128</v>
      </c>
      <c r="L1258">
        <v>1200</v>
      </c>
      <c r="M1258" t="str">
        <f t="shared" si="53"/>
        <v xml:space="preserve">N35DC   </v>
      </c>
      <c r="N1258">
        <v>1</v>
      </c>
      <c r="O1258">
        <v>1700</v>
      </c>
    </row>
    <row r="1259" spans="1:15" x14ac:dyDescent="0.25">
      <c r="A1259" t="str">
        <f>"10/21/2020 18:24:08.954"</f>
        <v>10/21/2020 18:24:08.954</v>
      </c>
      <c r="B1259" t="str">
        <f>"18:24:16.898"</f>
        <v>18:24:16.898</v>
      </c>
      <c r="C1259" t="str">
        <f>"18:24:16.598"</f>
        <v>18:24:16.598</v>
      </c>
      <c r="D1259" t="s">
        <v>509</v>
      </c>
      <c r="E1259">
        <v>30.628595000000001</v>
      </c>
      <c r="F1259" t="s">
        <v>510</v>
      </c>
      <c r="G1259">
        <v>-89.864709000000005</v>
      </c>
      <c r="H1259">
        <v>1600</v>
      </c>
      <c r="I1259">
        <v>133</v>
      </c>
      <c r="J1259">
        <v>39</v>
      </c>
      <c r="K1259">
        <v>128</v>
      </c>
      <c r="L1259">
        <v>1200</v>
      </c>
      <c r="M1259" t="str">
        <f t="shared" si="53"/>
        <v xml:space="preserve">N35DC   </v>
      </c>
      <c r="N1259">
        <v>1</v>
      </c>
      <c r="O1259">
        <v>1700</v>
      </c>
    </row>
    <row r="1260" spans="1:15" x14ac:dyDescent="0.25">
      <c r="A1260" t="str">
        <f>"10/21/2020 18:24:08.954"</f>
        <v>10/21/2020 18:24:08.954</v>
      </c>
      <c r="B1260" t="str">
        <f>"18:24:16.898"</f>
        <v>18:24:16.898</v>
      </c>
      <c r="C1260" t="str">
        <f>"18:24:16.598"</f>
        <v>18:24:16.598</v>
      </c>
      <c r="D1260" t="s">
        <v>509</v>
      </c>
      <c r="E1260">
        <v>30.628595000000001</v>
      </c>
      <c r="F1260" t="s">
        <v>510</v>
      </c>
      <c r="G1260">
        <v>-89.864709000000005</v>
      </c>
      <c r="H1260">
        <v>1600</v>
      </c>
      <c r="I1260">
        <v>133</v>
      </c>
      <c r="J1260">
        <v>39</v>
      </c>
      <c r="K1260">
        <v>128</v>
      </c>
      <c r="L1260">
        <v>1200</v>
      </c>
      <c r="M1260" t="str">
        <f t="shared" si="53"/>
        <v xml:space="preserve">N35DC   </v>
      </c>
      <c r="N1260">
        <v>1</v>
      </c>
      <c r="O1260">
        <v>1700</v>
      </c>
    </row>
    <row r="1261" spans="1:15" x14ac:dyDescent="0.25">
      <c r="A1261" t="str">
        <f>"10/21/2020 18:24:08.954"</f>
        <v>10/21/2020 18:24:08.954</v>
      </c>
      <c r="B1261" t="str">
        <f>"18:24:16.898"</f>
        <v>18:24:16.898</v>
      </c>
      <c r="C1261" t="str">
        <f>"18:24:16.598"</f>
        <v>18:24:16.598</v>
      </c>
      <c r="D1261" t="s">
        <v>509</v>
      </c>
      <c r="E1261">
        <v>30.628595000000001</v>
      </c>
      <c r="F1261" t="s">
        <v>510</v>
      </c>
      <c r="G1261">
        <v>-89.864709000000005</v>
      </c>
      <c r="H1261">
        <v>1600</v>
      </c>
      <c r="I1261">
        <v>133</v>
      </c>
      <c r="J1261">
        <v>39</v>
      </c>
      <c r="K1261">
        <v>128</v>
      </c>
      <c r="L1261">
        <v>1200</v>
      </c>
      <c r="M1261" t="str">
        <f t="shared" si="53"/>
        <v xml:space="preserve">N35DC   </v>
      </c>
      <c r="N1261">
        <v>1</v>
      </c>
      <c r="O1261">
        <v>1700</v>
      </c>
    </row>
    <row r="1262" spans="1:15" x14ac:dyDescent="0.25">
      <c r="A1262" t="str">
        <f t="shared" ref="A1262:A1267" si="55">"10/21/2020 18:24:09.855"</f>
        <v>10/21/2020 18:24:09.855</v>
      </c>
      <c r="B1262" t="str">
        <f t="shared" ref="B1262:B1267" si="56">"18:24:17.797"</f>
        <v>18:24:17.797</v>
      </c>
      <c r="C1262" t="str">
        <f t="shared" ref="C1262:C1267" si="57">"18:24:17.597"</f>
        <v>18:24:17.597</v>
      </c>
      <c r="D1262" t="s">
        <v>511</v>
      </c>
      <c r="E1262">
        <v>30.628723999999998</v>
      </c>
      <c r="F1262" t="s">
        <v>512</v>
      </c>
      <c r="G1262">
        <v>-89.864044000000007</v>
      </c>
      <c r="H1262">
        <v>1600</v>
      </c>
      <c r="I1262">
        <v>134</v>
      </c>
      <c r="J1262">
        <v>32</v>
      </c>
      <c r="K1262">
        <v>192</v>
      </c>
      <c r="L1262">
        <v>1200</v>
      </c>
      <c r="M1262" t="str">
        <f t="shared" si="53"/>
        <v xml:space="preserve">N35DC   </v>
      </c>
      <c r="N1262">
        <v>1</v>
      </c>
      <c r="O1262">
        <v>1700</v>
      </c>
    </row>
    <row r="1263" spans="1:15" x14ac:dyDescent="0.25">
      <c r="A1263" t="str">
        <f t="shared" si="55"/>
        <v>10/21/2020 18:24:09.855</v>
      </c>
      <c r="B1263" t="str">
        <f t="shared" si="56"/>
        <v>18:24:17.797</v>
      </c>
      <c r="C1263" t="str">
        <f t="shared" si="57"/>
        <v>18:24:17.597</v>
      </c>
      <c r="D1263" t="s">
        <v>511</v>
      </c>
      <c r="E1263">
        <v>30.628723999999998</v>
      </c>
      <c r="F1263" t="s">
        <v>512</v>
      </c>
      <c r="G1263">
        <v>-89.864044000000007</v>
      </c>
      <c r="H1263">
        <v>1600</v>
      </c>
      <c r="I1263">
        <v>134</v>
      </c>
      <c r="J1263">
        <v>32</v>
      </c>
      <c r="K1263">
        <v>192</v>
      </c>
      <c r="L1263">
        <v>1200</v>
      </c>
      <c r="M1263" t="str">
        <f t="shared" si="53"/>
        <v xml:space="preserve">N35DC   </v>
      </c>
      <c r="N1263">
        <v>1</v>
      </c>
      <c r="O1263">
        <v>1700</v>
      </c>
    </row>
    <row r="1264" spans="1:15" x14ac:dyDescent="0.25">
      <c r="A1264" t="str">
        <f t="shared" si="55"/>
        <v>10/21/2020 18:24:09.855</v>
      </c>
      <c r="B1264" t="str">
        <f t="shared" si="56"/>
        <v>18:24:17.797</v>
      </c>
      <c r="C1264" t="str">
        <f t="shared" si="57"/>
        <v>18:24:17.597</v>
      </c>
      <c r="D1264" t="s">
        <v>511</v>
      </c>
      <c r="E1264">
        <v>30.628723999999998</v>
      </c>
      <c r="F1264" t="s">
        <v>512</v>
      </c>
      <c r="G1264">
        <v>-89.864044000000007</v>
      </c>
      <c r="H1264">
        <v>1600</v>
      </c>
      <c r="I1264">
        <v>134</v>
      </c>
      <c r="J1264">
        <v>32</v>
      </c>
      <c r="K1264">
        <v>192</v>
      </c>
      <c r="L1264">
        <v>1200</v>
      </c>
      <c r="M1264" t="str">
        <f t="shared" si="53"/>
        <v xml:space="preserve">N35DC   </v>
      </c>
      <c r="N1264">
        <v>1</v>
      </c>
      <c r="O1264">
        <v>1700</v>
      </c>
    </row>
    <row r="1265" spans="1:15" x14ac:dyDescent="0.25">
      <c r="A1265" t="str">
        <f t="shared" si="55"/>
        <v>10/21/2020 18:24:09.855</v>
      </c>
      <c r="B1265" t="str">
        <f t="shared" si="56"/>
        <v>18:24:17.797</v>
      </c>
      <c r="C1265" t="str">
        <f t="shared" si="57"/>
        <v>18:24:17.597</v>
      </c>
      <c r="D1265" t="s">
        <v>511</v>
      </c>
      <c r="E1265">
        <v>30.628723999999998</v>
      </c>
      <c r="F1265" t="s">
        <v>512</v>
      </c>
      <c r="G1265">
        <v>-89.864044000000007</v>
      </c>
      <c r="H1265">
        <v>1600</v>
      </c>
      <c r="I1265">
        <v>134</v>
      </c>
      <c r="J1265">
        <v>32</v>
      </c>
      <c r="K1265">
        <v>192</v>
      </c>
      <c r="L1265">
        <v>1200</v>
      </c>
      <c r="M1265" t="str">
        <f t="shared" si="53"/>
        <v xml:space="preserve">N35DC   </v>
      </c>
      <c r="N1265">
        <v>1</v>
      </c>
      <c r="O1265">
        <v>1700</v>
      </c>
    </row>
    <row r="1266" spans="1:15" x14ac:dyDescent="0.25">
      <c r="A1266" t="str">
        <f t="shared" si="55"/>
        <v>10/21/2020 18:24:09.855</v>
      </c>
      <c r="B1266" t="str">
        <f t="shared" si="56"/>
        <v>18:24:17.797</v>
      </c>
      <c r="C1266" t="str">
        <f t="shared" si="57"/>
        <v>18:24:17.597</v>
      </c>
      <c r="D1266" t="s">
        <v>511</v>
      </c>
      <c r="E1266">
        <v>30.628723999999998</v>
      </c>
      <c r="F1266" t="s">
        <v>512</v>
      </c>
      <c r="G1266">
        <v>-89.864044000000007</v>
      </c>
      <c r="H1266">
        <v>1600</v>
      </c>
      <c r="I1266">
        <v>134</v>
      </c>
      <c r="J1266">
        <v>32</v>
      </c>
      <c r="K1266">
        <v>192</v>
      </c>
      <c r="L1266">
        <v>1200</v>
      </c>
      <c r="M1266" t="str">
        <f t="shared" si="53"/>
        <v xml:space="preserve">N35DC   </v>
      </c>
      <c r="N1266">
        <v>1</v>
      </c>
      <c r="O1266">
        <v>1700</v>
      </c>
    </row>
    <row r="1267" spans="1:15" x14ac:dyDescent="0.25">
      <c r="A1267" t="str">
        <f t="shared" si="55"/>
        <v>10/21/2020 18:24:09.855</v>
      </c>
      <c r="B1267" t="str">
        <f t="shared" si="56"/>
        <v>18:24:17.797</v>
      </c>
      <c r="C1267" t="str">
        <f t="shared" si="57"/>
        <v>18:24:17.597</v>
      </c>
      <c r="D1267" t="s">
        <v>511</v>
      </c>
      <c r="E1267">
        <v>30.628723999999998</v>
      </c>
      <c r="F1267" t="s">
        <v>512</v>
      </c>
      <c r="G1267">
        <v>-89.864044000000007</v>
      </c>
      <c r="H1267">
        <v>1600</v>
      </c>
      <c r="I1267">
        <v>134</v>
      </c>
      <c r="J1267">
        <v>32</v>
      </c>
      <c r="K1267">
        <v>192</v>
      </c>
      <c r="L1267">
        <v>1200</v>
      </c>
      <c r="M1267" t="str">
        <f t="shared" si="53"/>
        <v xml:space="preserve">N35DC   </v>
      </c>
      <c r="N1267">
        <v>1</v>
      </c>
      <c r="O1267">
        <v>1700</v>
      </c>
    </row>
    <row r="1268" spans="1:15" x14ac:dyDescent="0.25">
      <c r="A1268" t="str">
        <f>"10/21/2020 18:24:11.761"</f>
        <v>10/21/2020 18:24:11.761</v>
      </c>
      <c r="B1268" t="str">
        <f t="shared" ref="B1268:C1272" si="58">"18:24:19.703"</f>
        <v>18:24:19.703</v>
      </c>
      <c r="C1268" t="str">
        <f t="shared" si="58"/>
        <v>18:24:19.703</v>
      </c>
      <c r="D1268" t="s">
        <v>513</v>
      </c>
      <c r="E1268">
        <v>30.628917000000001</v>
      </c>
      <c r="F1268" t="s">
        <v>514</v>
      </c>
      <c r="G1268">
        <v>-89.862671000000006</v>
      </c>
      <c r="H1268">
        <v>1600</v>
      </c>
      <c r="I1268">
        <v>137</v>
      </c>
      <c r="J1268">
        <v>18</v>
      </c>
      <c r="K1268">
        <v>128</v>
      </c>
      <c r="L1268">
        <v>1200</v>
      </c>
      <c r="M1268" t="str">
        <f t="shared" si="53"/>
        <v xml:space="preserve">N35DC   </v>
      </c>
      <c r="N1268">
        <v>1</v>
      </c>
      <c r="O1268">
        <v>1700</v>
      </c>
    </row>
    <row r="1269" spans="1:15" x14ac:dyDescent="0.25">
      <c r="A1269" t="str">
        <f>"10/21/2020 18:24:11.761"</f>
        <v>10/21/2020 18:24:11.761</v>
      </c>
      <c r="B1269" t="str">
        <f t="shared" si="58"/>
        <v>18:24:19.703</v>
      </c>
      <c r="C1269" t="str">
        <f t="shared" si="58"/>
        <v>18:24:19.703</v>
      </c>
      <c r="D1269" t="s">
        <v>513</v>
      </c>
      <c r="E1269">
        <v>30.628917000000001</v>
      </c>
      <c r="F1269" t="s">
        <v>514</v>
      </c>
      <c r="G1269">
        <v>-89.862671000000006</v>
      </c>
      <c r="H1269">
        <v>1600</v>
      </c>
      <c r="I1269">
        <v>137</v>
      </c>
      <c r="J1269">
        <v>18</v>
      </c>
      <c r="K1269">
        <v>128</v>
      </c>
      <c r="L1269">
        <v>1200</v>
      </c>
      <c r="M1269" t="str">
        <f t="shared" si="53"/>
        <v xml:space="preserve">N35DC   </v>
      </c>
      <c r="N1269">
        <v>1</v>
      </c>
      <c r="O1269">
        <v>1700</v>
      </c>
    </row>
    <row r="1270" spans="1:15" x14ac:dyDescent="0.25">
      <c r="A1270" t="str">
        <f>"10/21/2020 18:24:11.761"</f>
        <v>10/21/2020 18:24:11.761</v>
      </c>
      <c r="B1270" t="str">
        <f t="shared" si="58"/>
        <v>18:24:19.703</v>
      </c>
      <c r="C1270" t="str">
        <f t="shared" si="58"/>
        <v>18:24:19.703</v>
      </c>
      <c r="D1270" t="s">
        <v>513</v>
      </c>
      <c r="E1270">
        <v>30.628917000000001</v>
      </c>
      <c r="F1270" t="s">
        <v>514</v>
      </c>
      <c r="G1270">
        <v>-89.862671000000006</v>
      </c>
      <c r="H1270">
        <v>1600</v>
      </c>
      <c r="I1270">
        <v>137</v>
      </c>
      <c r="J1270">
        <v>18</v>
      </c>
      <c r="K1270">
        <v>128</v>
      </c>
      <c r="L1270">
        <v>1200</v>
      </c>
      <c r="M1270" t="str">
        <f t="shared" si="53"/>
        <v xml:space="preserve">N35DC   </v>
      </c>
      <c r="N1270">
        <v>1</v>
      </c>
      <c r="O1270">
        <v>1700</v>
      </c>
    </row>
    <row r="1271" spans="1:15" x14ac:dyDescent="0.25">
      <c r="A1271" t="str">
        <f>"10/21/2020 18:24:11.761"</f>
        <v>10/21/2020 18:24:11.761</v>
      </c>
      <c r="B1271" t="str">
        <f t="shared" si="58"/>
        <v>18:24:19.703</v>
      </c>
      <c r="C1271" t="str">
        <f t="shared" si="58"/>
        <v>18:24:19.703</v>
      </c>
      <c r="D1271" t="s">
        <v>513</v>
      </c>
      <c r="E1271">
        <v>30.628917000000001</v>
      </c>
      <c r="F1271" t="s">
        <v>514</v>
      </c>
      <c r="G1271">
        <v>-89.862671000000006</v>
      </c>
      <c r="H1271">
        <v>1600</v>
      </c>
      <c r="I1271">
        <v>137</v>
      </c>
      <c r="J1271">
        <v>18</v>
      </c>
      <c r="K1271">
        <v>128</v>
      </c>
      <c r="L1271">
        <v>1200</v>
      </c>
      <c r="M1271" t="str">
        <f t="shared" si="53"/>
        <v xml:space="preserve">N35DC   </v>
      </c>
      <c r="N1271">
        <v>1</v>
      </c>
      <c r="O1271">
        <v>1700</v>
      </c>
    </row>
    <row r="1272" spans="1:15" x14ac:dyDescent="0.25">
      <c r="A1272" t="str">
        <f>"10/21/2020 18:24:11.761"</f>
        <v>10/21/2020 18:24:11.761</v>
      </c>
      <c r="B1272" t="str">
        <f t="shared" si="58"/>
        <v>18:24:19.703</v>
      </c>
      <c r="C1272" t="str">
        <f t="shared" si="58"/>
        <v>18:24:19.703</v>
      </c>
      <c r="D1272" t="s">
        <v>513</v>
      </c>
      <c r="E1272">
        <v>30.628917000000001</v>
      </c>
      <c r="F1272" t="s">
        <v>514</v>
      </c>
      <c r="G1272">
        <v>-89.862671000000006</v>
      </c>
      <c r="H1272">
        <v>1600</v>
      </c>
      <c r="I1272">
        <v>137</v>
      </c>
      <c r="J1272">
        <v>18</v>
      </c>
      <c r="K1272">
        <v>128</v>
      </c>
      <c r="L1272">
        <v>1200</v>
      </c>
      <c r="M1272" t="str">
        <f t="shared" si="53"/>
        <v xml:space="preserve">N35DC   </v>
      </c>
      <c r="N1272">
        <v>1</v>
      </c>
      <c r="O1272">
        <v>1700</v>
      </c>
    </row>
    <row r="1273" spans="1:15" x14ac:dyDescent="0.25">
      <c r="A1273" t="str">
        <f>"10/21/2020 18:24:12.364"</f>
        <v>10/21/2020 18:24:12.364</v>
      </c>
      <c r="B1273" t="str">
        <f>"18:24:20.273"</f>
        <v>18:24:20.273</v>
      </c>
      <c r="C1273" t="str">
        <f>"18:24:20.173"</f>
        <v>18:24:20.173</v>
      </c>
      <c r="D1273" t="s">
        <v>515</v>
      </c>
      <c r="E1273">
        <v>30.628959999999999</v>
      </c>
      <c r="F1273" t="s">
        <v>516</v>
      </c>
      <c r="G1273">
        <v>-89.862285</v>
      </c>
      <c r="H1273">
        <v>1600</v>
      </c>
      <c r="I1273">
        <v>137</v>
      </c>
      <c r="J1273">
        <v>15</v>
      </c>
      <c r="K1273">
        <v>64</v>
      </c>
      <c r="L1273">
        <v>1200</v>
      </c>
      <c r="M1273" t="str">
        <f t="shared" si="53"/>
        <v xml:space="preserve">N35DC   </v>
      </c>
      <c r="N1273">
        <v>1</v>
      </c>
      <c r="O1273">
        <v>1700</v>
      </c>
    </row>
    <row r="1274" spans="1:15" x14ac:dyDescent="0.25">
      <c r="A1274" t="str">
        <f>"10/21/2020 18:24:12.789"</f>
        <v>10/21/2020 18:24:12.789</v>
      </c>
      <c r="B1274" t="str">
        <f>"18:24:20.734"</f>
        <v>18:24:20.734</v>
      </c>
      <c r="C1274" t="str">
        <f>"18:24:20.634"</f>
        <v>18:24:20.634</v>
      </c>
      <c r="D1274" t="s">
        <v>515</v>
      </c>
      <c r="E1274">
        <v>30.628959999999999</v>
      </c>
      <c r="F1274" t="s">
        <v>517</v>
      </c>
      <c r="G1274">
        <v>-89.861963000000003</v>
      </c>
      <c r="H1274">
        <v>1600</v>
      </c>
      <c r="I1274">
        <v>137</v>
      </c>
      <c r="J1274">
        <v>12</v>
      </c>
      <c r="K1274">
        <v>0</v>
      </c>
      <c r="L1274">
        <v>1200</v>
      </c>
      <c r="M1274" t="str">
        <f t="shared" si="53"/>
        <v xml:space="preserve">N35DC   </v>
      </c>
      <c r="N1274">
        <v>1</v>
      </c>
      <c r="O1274">
        <v>1700</v>
      </c>
    </row>
    <row r="1275" spans="1:15" x14ac:dyDescent="0.25">
      <c r="A1275" t="str">
        <f>"10/21/2020 18:24:12.789"</f>
        <v>10/21/2020 18:24:12.789</v>
      </c>
      <c r="B1275" t="str">
        <f>"18:24:20.734"</f>
        <v>18:24:20.734</v>
      </c>
      <c r="C1275" t="str">
        <f>"18:24:20.634"</f>
        <v>18:24:20.634</v>
      </c>
      <c r="D1275" t="s">
        <v>515</v>
      </c>
      <c r="E1275">
        <v>30.628959999999999</v>
      </c>
      <c r="F1275" t="s">
        <v>517</v>
      </c>
      <c r="G1275">
        <v>-89.861963000000003</v>
      </c>
      <c r="H1275">
        <v>1600</v>
      </c>
      <c r="I1275">
        <v>137</v>
      </c>
      <c r="J1275">
        <v>12</v>
      </c>
      <c r="K1275">
        <v>0</v>
      </c>
      <c r="L1275">
        <v>1200</v>
      </c>
      <c r="M1275" t="str">
        <f t="shared" si="53"/>
        <v xml:space="preserve">N35DC   </v>
      </c>
      <c r="N1275">
        <v>1</v>
      </c>
      <c r="O1275">
        <v>1700</v>
      </c>
    </row>
    <row r="1276" spans="1:15" x14ac:dyDescent="0.25">
      <c r="A1276" t="str">
        <f>"10/21/2020 18:24:12.789"</f>
        <v>10/21/2020 18:24:12.789</v>
      </c>
      <c r="B1276" t="str">
        <f>"18:24:20.734"</f>
        <v>18:24:20.734</v>
      </c>
      <c r="C1276" t="str">
        <f>"18:24:20.634"</f>
        <v>18:24:20.634</v>
      </c>
      <c r="D1276" t="s">
        <v>515</v>
      </c>
      <c r="E1276">
        <v>30.628959999999999</v>
      </c>
      <c r="F1276" t="s">
        <v>517</v>
      </c>
      <c r="G1276">
        <v>-89.861963000000003</v>
      </c>
      <c r="H1276">
        <v>1600</v>
      </c>
      <c r="I1276">
        <v>137</v>
      </c>
      <c r="J1276">
        <v>12</v>
      </c>
      <c r="K1276">
        <v>0</v>
      </c>
      <c r="L1276">
        <v>1200</v>
      </c>
      <c r="M1276" t="str">
        <f t="shared" si="53"/>
        <v xml:space="preserve">N35DC   </v>
      </c>
      <c r="N1276">
        <v>1</v>
      </c>
      <c r="O1276">
        <v>1700</v>
      </c>
    </row>
    <row r="1277" spans="1:15" x14ac:dyDescent="0.25">
      <c r="A1277" t="str">
        <f>"10/21/2020 18:24:12.789"</f>
        <v>10/21/2020 18:24:12.789</v>
      </c>
      <c r="B1277" t="str">
        <f>"18:24:20.734"</f>
        <v>18:24:20.734</v>
      </c>
      <c r="C1277" t="str">
        <f>"18:24:20.634"</f>
        <v>18:24:20.634</v>
      </c>
      <c r="D1277" t="s">
        <v>515</v>
      </c>
      <c r="E1277">
        <v>30.628959999999999</v>
      </c>
      <c r="F1277" t="s">
        <v>517</v>
      </c>
      <c r="G1277">
        <v>-89.861963000000003</v>
      </c>
      <c r="H1277">
        <v>1600</v>
      </c>
      <c r="I1277">
        <v>137</v>
      </c>
      <c r="J1277">
        <v>12</v>
      </c>
      <c r="K1277">
        <v>0</v>
      </c>
      <c r="L1277">
        <v>1200</v>
      </c>
      <c r="M1277" t="str">
        <f t="shared" si="53"/>
        <v xml:space="preserve">N35DC   </v>
      </c>
      <c r="N1277">
        <v>1</v>
      </c>
      <c r="O1277">
        <v>1700</v>
      </c>
    </row>
    <row r="1278" spans="1:15" x14ac:dyDescent="0.25">
      <c r="A1278" t="str">
        <f>"10/21/2020 18:24:12.789"</f>
        <v>10/21/2020 18:24:12.789</v>
      </c>
      <c r="B1278" t="str">
        <f>"18:24:20.734"</f>
        <v>18:24:20.734</v>
      </c>
      <c r="C1278" t="str">
        <f>"18:24:20.634"</f>
        <v>18:24:20.634</v>
      </c>
      <c r="D1278" t="s">
        <v>515</v>
      </c>
      <c r="E1278">
        <v>30.628959999999999</v>
      </c>
      <c r="F1278" t="s">
        <v>517</v>
      </c>
      <c r="G1278">
        <v>-89.861963000000003</v>
      </c>
      <c r="H1278">
        <v>1600</v>
      </c>
      <c r="I1278">
        <v>137</v>
      </c>
      <c r="J1278">
        <v>12</v>
      </c>
      <c r="K1278">
        <v>0</v>
      </c>
      <c r="L1278">
        <v>1200</v>
      </c>
      <c r="M1278" t="str">
        <f t="shared" si="53"/>
        <v xml:space="preserve">N35DC   </v>
      </c>
      <c r="N1278">
        <v>1</v>
      </c>
      <c r="O1278">
        <v>1700</v>
      </c>
    </row>
    <row r="1279" spans="1:15" x14ac:dyDescent="0.25">
      <c r="A1279" t="str">
        <f t="shared" ref="A1279:A1284" si="59">"10/21/2020 18:24:16.406"</f>
        <v>10/21/2020 18:24:16.406</v>
      </c>
      <c r="B1279" t="str">
        <f t="shared" ref="B1279:B1284" si="60">"18:24:24.352"</f>
        <v>18:24:24.352</v>
      </c>
      <c r="C1279" t="str">
        <f t="shared" ref="C1279:C1284" si="61">"18:24:24.052"</f>
        <v>18:24:24.052</v>
      </c>
      <c r="D1279" t="s">
        <v>518</v>
      </c>
      <c r="E1279">
        <v>30.628896000000001</v>
      </c>
      <c r="F1279" t="s">
        <v>519</v>
      </c>
      <c r="G1279">
        <v>-89.859258999999994</v>
      </c>
      <c r="H1279">
        <v>1600</v>
      </c>
      <c r="I1279">
        <v>139</v>
      </c>
      <c r="J1279">
        <v>-11</v>
      </c>
      <c r="K1279">
        <v>-128</v>
      </c>
      <c r="L1279">
        <v>1200</v>
      </c>
      <c r="M1279" t="str">
        <f t="shared" si="53"/>
        <v xml:space="preserve">N35DC   </v>
      </c>
      <c r="N1279">
        <v>1</v>
      </c>
      <c r="O1279">
        <v>1700</v>
      </c>
    </row>
    <row r="1280" spans="1:15" x14ac:dyDescent="0.25">
      <c r="A1280" t="str">
        <f t="shared" si="59"/>
        <v>10/21/2020 18:24:16.406</v>
      </c>
      <c r="B1280" t="str">
        <f t="shared" si="60"/>
        <v>18:24:24.352</v>
      </c>
      <c r="C1280" t="str">
        <f t="shared" si="61"/>
        <v>18:24:24.052</v>
      </c>
      <c r="D1280" t="s">
        <v>518</v>
      </c>
      <c r="E1280">
        <v>30.628896000000001</v>
      </c>
      <c r="F1280" t="s">
        <v>519</v>
      </c>
      <c r="G1280">
        <v>-89.859258999999994</v>
      </c>
      <c r="H1280">
        <v>1600</v>
      </c>
      <c r="I1280">
        <v>139</v>
      </c>
      <c r="J1280">
        <v>-11</v>
      </c>
      <c r="K1280">
        <v>-128</v>
      </c>
      <c r="L1280">
        <v>1200</v>
      </c>
      <c r="M1280" t="str">
        <f t="shared" si="53"/>
        <v xml:space="preserve">N35DC   </v>
      </c>
      <c r="N1280">
        <v>1</v>
      </c>
      <c r="O1280">
        <v>1700</v>
      </c>
    </row>
    <row r="1281" spans="1:15" x14ac:dyDescent="0.25">
      <c r="A1281" t="str">
        <f t="shared" si="59"/>
        <v>10/21/2020 18:24:16.406</v>
      </c>
      <c r="B1281" t="str">
        <f t="shared" si="60"/>
        <v>18:24:24.352</v>
      </c>
      <c r="C1281" t="str">
        <f t="shared" si="61"/>
        <v>18:24:24.052</v>
      </c>
      <c r="D1281" t="s">
        <v>518</v>
      </c>
      <c r="E1281">
        <v>30.628896000000001</v>
      </c>
      <c r="F1281" t="s">
        <v>519</v>
      </c>
      <c r="G1281">
        <v>-89.859258999999994</v>
      </c>
      <c r="H1281">
        <v>1600</v>
      </c>
      <c r="I1281">
        <v>139</v>
      </c>
      <c r="J1281">
        <v>-11</v>
      </c>
      <c r="K1281">
        <v>-128</v>
      </c>
      <c r="L1281">
        <v>1200</v>
      </c>
      <c r="M1281" t="str">
        <f t="shared" si="53"/>
        <v xml:space="preserve">N35DC   </v>
      </c>
      <c r="N1281">
        <v>1</v>
      </c>
      <c r="O1281">
        <v>1700</v>
      </c>
    </row>
    <row r="1282" spans="1:15" x14ac:dyDescent="0.25">
      <c r="A1282" t="str">
        <f t="shared" si="59"/>
        <v>10/21/2020 18:24:16.406</v>
      </c>
      <c r="B1282" t="str">
        <f t="shared" si="60"/>
        <v>18:24:24.352</v>
      </c>
      <c r="C1282" t="str">
        <f t="shared" si="61"/>
        <v>18:24:24.052</v>
      </c>
      <c r="D1282" t="s">
        <v>518</v>
      </c>
      <c r="E1282">
        <v>30.628896000000001</v>
      </c>
      <c r="F1282" t="s">
        <v>519</v>
      </c>
      <c r="G1282">
        <v>-89.859258999999994</v>
      </c>
      <c r="H1282">
        <v>1600</v>
      </c>
      <c r="I1282">
        <v>139</v>
      </c>
      <c r="J1282">
        <v>-11</v>
      </c>
      <c r="K1282">
        <v>-128</v>
      </c>
      <c r="L1282">
        <v>1200</v>
      </c>
      <c r="M1282" t="str">
        <f t="shared" si="53"/>
        <v xml:space="preserve">N35DC   </v>
      </c>
      <c r="N1282">
        <v>1</v>
      </c>
      <c r="O1282">
        <v>1700</v>
      </c>
    </row>
    <row r="1283" spans="1:15" x14ac:dyDescent="0.25">
      <c r="A1283" t="str">
        <f t="shared" si="59"/>
        <v>10/21/2020 18:24:16.406</v>
      </c>
      <c r="B1283" t="str">
        <f t="shared" si="60"/>
        <v>18:24:24.352</v>
      </c>
      <c r="C1283" t="str">
        <f t="shared" si="61"/>
        <v>18:24:24.052</v>
      </c>
      <c r="D1283" t="s">
        <v>518</v>
      </c>
      <c r="E1283">
        <v>30.628896000000001</v>
      </c>
      <c r="F1283" t="s">
        <v>519</v>
      </c>
      <c r="G1283">
        <v>-89.859258999999994</v>
      </c>
      <c r="H1283">
        <v>1600</v>
      </c>
      <c r="I1283">
        <v>139</v>
      </c>
      <c r="J1283">
        <v>-11</v>
      </c>
      <c r="K1283">
        <v>-128</v>
      </c>
      <c r="L1283">
        <v>1200</v>
      </c>
      <c r="M1283" t="str">
        <f t="shared" si="53"/>
        <v xml:space="preserve">N35DC   </v>
      </c>
      <c r="N1283">
        <v>1</v>
      </c>
      <c r="O1283">
        <v>1700</v>
      </c>
    </row>
    <row r="1284" spans="1:15" x14ac:dyDescent="0.25">
      <c r="A1284" t="str">
        <f t="shared" si="59"/>
        <v>10/21/2020 18:24:16.406</v>
      </c>
      <c r="B1284" t="str">
        <f t="shared" si="60"/>
        <v>18:24:24.352</v>
      </c>
      <c r="C1284" t="str">
        <f t="shared" si="61"/>
        <v>18:24:24.052</v>
      </c>
      <c r="D1284" t="s">
        <v>518</v>
      </c>
      <c r="E1284">
        <v>30.628896000000001</v>
      </c>
      <c r="F1284" t="s">
        <v>519</v>
      </c>
      <c r="G1284">
        <v>-89.859258999999994</v>
      </c>
      <c r="H1284">
        <v>1600</v>
      </c>
      <c r="I1284">
        <v>139</v>
      </c>
      <c r="J1284">
        <v>-11</v>
      </c>
      <c r="K1284">
        <v>-128</v>
      </c>
      <c r="L1284">
        <v>1200</v>
      </c>
      <c r="M1284" t="str">
        <f t="shared" si="53"/>
        <v xml:space="preserve">N35DC   </v>
      </c>
      <c r="N1284">
        <v>1</v>
      </c>
      <c r="O1284">
        <v>1700</v>
      </c>
    </row>
    <row r="1285" spans="1:15" x14ac:dyDescent="0.25">
      <c r="A1285" t="str">
        <f t="shared" ref="A1285:A1290" si="62">"10/21/2020 18:24:18.029"</f>
        <v>10/21/2020 18:24:18.029</v>
      </c>
      <c r="B1285" t="str">
        <f t="shared" ref="B1285:B1290" si="63">"18:24:25.922"</f>
        <v>18:24:25.922</v>
      </c>
      <c r="C1285" t="str">
        <f>"18:24:25.622"</f>
        <v>18:24:25.622</v>
      </c>
      <c r="D1285" t="s">
        <v>520</v>
      </c>
      <c r="E1285">
        <v>30.628767</v>
      </c>
      <c r="F1285" t="s">
        <v>521</v>
      </c>
      <c r="G1285">
        <v>-89.858121999999995</v>
      </c>
      <c r="H1285">
        <v>1600</v>
      </c>
      <c r="I1285">
        <v>138</v>
      </c>
      <c r="J1285">
        <v>-22</v>
      </c>
      <c r="K1285">
        <v>-64</v>
      </c>
      <c r="L1285">
        <v>1200</v>
      </c>
      <c r="M1285" t="str">
        <f t="shared" si="53"/>
        <v xml:space="preserve">N35DC   </v>
      </c>
      <c r="N1285">
        <v>1</v>
      </c>
      <c r="O1285">
        <v>1700</v>
      </c>
    </row>
    <row r="1286" spans="1:15" x14ac:dyDescent="0.25">
      <c r="A1286" t="str">
        <f t="shared" si="62"/>
        <v>10/21/2020 18:24:18.029</v>
      </c>
      <c r="B1286" t="str">
        <f t="shared" si="63"/>
        <v>18:24:25.922</v>
      </c>
      <c r="C1286" t="str">
        <f>"18:24:25.122"</f>
        <v>18:24:25.122</v>
      </c>
      <c r="D1286" t="s">
        <v>520</v>
      </c>
      <c r="E1286">
        <v>30.628767</v>
      </c>
      <c r="F1286" t="s">
        <v>521</v>
      </c>
      <c r="G1286">
        <v>-89.858121999999995</v>
      </c>
      <c r="H1286">
        <v>1600</v>
      </c>
      <c r="I1286">
        <v>138</v>
      </c>
      <c r="J1286">
        <v>-18</v>
      </c>
      <c r="K1286">
        <v>-128</v>
      </c>
      <c r="L1286">
        <v>1200</v>
      </c>
      <c r="M1286" t="str">
        <f t="shared" si="53"/>
        <v xml:space="preserve">N35DC   </v>
      </c>
      <c r="N1286">
        <v>1</v>
      </c>
      <c r="O1286">
        <v>1700</v>
      </c>
    </row>
    <row r="1287" spans="1:15" x14ac:dyDescent="0.25">
      <c r="A1287" t="str">
        <f t="shared" si="62"/>
        <v>10/21/2020 18:24:18.029</v>
      </c>
      <c r="B1287" t="str">
        <f t="shared" si="63"/>
        <v>18:24:25.922</v>
      </c>
      <c r="C1287" t="str">
        <f>"18:24:25.622"</f>
        <v>18:24:25.622</v>
      </c>
      <c r="D1287" t="s">
        <v>520</v>
      </c>
      <c r="E1287">
        <v>30.628767</v>
      </c>
      <c r="F1287" t="s">
        <v>521</v>
      </c>
      <c r="G1287">
        <v>-89.858121999999995</v>
      </c>
      <c r="H1287">
        <v>1600</v>
      </c>
      <c r="I1287">
        <v>138</v>
      </c>
      <c r="J1287">
        <v>-22</v>
      </c>
      <c r="K1287">
        <v>-64</v>
      </c>
      <c r="L1287">
        <v>1200</v>
      </c>
      <c r="M1287" t="str">
        <f t="shared" ref="M1287:M1350" si="64">"N35DC   "</f>
        <v xml:space="preserve">N35DC   </v>
      </c>
      <c r="N1287">
        <v>1</v>
      </c>
      <c r="O1287">
        <v>1700</v>
      </c>
    </row>
    <row r="1288" spans="1:15" x14ac:dyDescent="0.25">
      <c r="A1288" t="str">
        <f t="shared" si="62"/>
        <v>10/21/2020 18:24:18.029</v>
      </c>
      <c r="B1288" t="str">
        <f t="shared" si="63"/>
        <v>18:24:25.922</v>
      </c>
      <c r="C1288" t="str">
        <f>"18:24:25.622"</f>
        <v>18:24:25.622</v>
      </c>
      <c r="D1288" t="s">
        <v>520</v>
      </c>
      <c r="E1288">
        <v>30.628767</v>
      </c>
      <c r="F1288" t="s">
        <v>521</v>
      </c>
      <c r="G1288">
        <v>-89.858121999999995</v>
      </c>
      <c r="H1288">
        <v>1600</v>
      </c>
      <c r="I1288">
        <v>138</v>
      </c>
      <c r="J1288">
        <v>-22</v>
      </c>
      <c r="K1288">
        <v>-64</v>
      </c>
      <c r="L1288">
        <v>1200</v>
      </c>
      <c r="M1288" t="str">
        <f t="shared" si="64"/>
        <v xml:space="preserve">N35DC   </v>
      </c>
      <c r="N1288">
        <v>1</v>
      </c>
      <c r="O1288">
        <v>1700</v>
      </c>
    </row>
    <row r="1289" spans="1:15" x14ac:dyDescent="0.25">
      <c r="A1289" t="str">
        <f t="shared" si="62"/>
        <v>10/21/2020 18:24:18.029</v>
      </c>
      <c r="B1289" t="str">
        <f t="shared" si="63"/>
        <v>18:24:25.922</v>
      </c>
      <c r="C1289" t="str">
        <f>"18:24:25.622"</f>
        <v>18:24:25.622</v>
      </c>
      <c r="D1289" t="s">
        <v>520</v>
      </c>
      <c r="E1289">
        <v>30.628767</v>
      </c>
      <c r="F1289" t="s">
        <v>521</v>
      </c>
      <c r="G1289">
        <v>-89.858121999999995</v>
      </c>
      <c r="H1289">
        <v>1600</v>
      </c>
      <c r="I1289">
        <v>138</v>
      </c>
      <c r="J1289">
        <v>-22</v>
      </c>
      <c r="K1289">
        <v>-64</v>
      </c>
      <c r="L1289">
        <v>1200</v>
      </c>
      <c r="M1289" t="str">
        <f t="shared" si="64"/>
        <v xml:space="preserve">N35DC   </v>
      </c>
      <c r="N1289">
        <v>1</v>
      </c>
      <c r="O1289">
        <v>1700</v>
      </c>
    </row>
    <row r="1290" spans="1:15" x14ac:dyDescent="0.25">
      <c r="A1290" t="str">
        <f t="shared" si="62"/>
        <v>10/21/2020 18:24:18.029</v>
      </c>
      <c r="B1290" t="str">
        <f t="shared" si="63"/>
        <v>18:24:25.922</v>
      </c>
      <c r="C1290" t="str">
        <f>"18:24:25.622"</f>
        <v>18:24:25.622</v>
      </c>
      <c r="D1290" t="s">
        <v>520</v>
      </c>
      <c r="E1290">
        <v>30.628767</v>
      </c>
      <c r="F1290" t="s">
        <v>521</v>
      </c>
      <c r="G1290">
        <v>-89.858121999999995</v>
      </c>
      <c r="H1290">
        <v>1600</v>
      </c>
      <c r="I1290">
        <v>138</v>
      </c>
      <c r="J1290">
        <v>-22</v>
      </c>
      <c r="K1290">
        <v>-64</v>
      </c>
      <c r="L1290">
        <v>1200</v>
      </c>
      <c r="M1290" t="str">
        <f t="shared" si="64"/>
        <v xml:space="preserve">N35DC   </v>
      </c>
      <c r="N1290">
        <v>1</v>
      </c>
      <c r="O1290">
        <v>1700</v>
      </c>
    </row>
    <row r="1291" spans="1:15" x14ac:dyDescent="0.25">
      <c r="A1291" t="str">
        <f t="shared" ref="A1291:A1296" si="65">"10/21/2020 18:24:19.042"</f>
        <v>10/21/2020 18:24:19.042</v>
      </c>
      <c r="B1291" t="str">
        <f t="shared" ref="B1291:B1296" si="66">"18:24:26.977"</f>
        <v>18:24:26.977</v>
      </c>
      <c r="C1291" t="str">
        <f t="shared" ref="C1291:C1296" si="67">"18:24:26.577"</f>
        <v>18:24:26.577</v>
      </c>
      <c r="D1291" t="s">
        <v>522</v>
      </c>
      <c r="E1291">
        <v>30.628616999999998</v>
      </c>
      <c r="F1291" t="s">
        <v>523</v>
      </c>
      <c r="G1291">
        <v>-89.857285000000005</v>
      </c>
      <c r="H1291">
        <v>1600</v>
      </c>
      <c r="I1291">
        <v>137</v>
      </c>
      <c r="J1291">
        <v>-29</v>
      </c>
      <c r="K1291">
        <v>-192</v>
      </c>
      <c r="L1291">
        <v>1200</v>
      </c>
      <c r="M1291" t="str">
        <f t="shared" si="64"/>
        <v xml:space="preserve">N35DC   </v>
      </c>
      <c r="N1291">
        <v>1</v>
      </c>
      <c r="O1291">
        <v>1700</v>
      </c>
    </row>
    <row r="1292" spans="1:15" x14ac:dyDescent="0.25">
      <c r="A1292" t="str">
        <f t="shared" si="65"/>
        <v>10/21/2020 18:24:19.042</v>
      </c>
      <c r="B1292" t="str">
        <f t="shared" si="66"/>
        <v>18:24:26.977</v>
      </c>
      <c r="C1292" t="str">
        <f t="shared" si="67"/>
        <v>18:24:26.577</v>
      </c>
      <c r="D1292" t="s">
        <v>522</v>
      </c>
      <c r="E1292">
        <v>30.628616999999998</v>
      </c>
      <c r="F1292" t="s">
        <v>523</v>
      </c>
      <c r="G1292">
        <v>-89.857285000000005</v>
      </c>
      <c r="H1292">
        <v>1600</v>
      </c>
      <c r="I1292">
        <v>137</v>
      </c>
      <c r="J1292">
        <v>-29</v>
      </c>
      <c r="K1292">
        <v>-192</v>
      </c>
      <c r="L1292">
        <v>1200</v>
      </c>
      <c r="M1292" t="str">
        <f t="shared" si="64"/>
        <v xml:space="preserve">N35DC   </v>
      </c>
      <c r="N1292">
        <v>1</v>
      </c>
      <c r="O1292">
        <v>1700</v>
      </c>
    </row>
    <row r="1293" spans="1:15" x14ac:dyDescent="0.25">
      <c r="A1293" t="str">
        <f t="shared" si="65"/>
        <v>10/21/2020 18:24:19.042</v>
      </c>
      <c r="B1293" t="str">
        <f t="shared" si="66"/>
        <v>18:24:26.977</v>
      </c>
      <c r="C1293" t="str">
        <f t="shared" si="67"/>
        <v>18:24:26.577</v>
      </c>
      <c r="D1293" t="s">
        <v>522</v>
      </c>
      <c r="E1293">
        <v>30.628616999999998</v>
      </c>
      <c r="F1293" t="s">
        <v>523</v>
      </c>
      <c r="G1293">
        <v>-89.857285000000005</v>
      </c>
      <c r="H1293">
        <v>1600</v>
      </c>
      <c r="I1293">
        <v>137</v>
      </c>
      <c r="J1293">
        <v>-29</v>
      </c>
      <c r="K1293">
        <v>-192</v>
      </c>
      <c r="L1293">
        <v>1200</v>
      </c>
      <c r="M1293" t="str">
        <f t="shared" si="64"/>
        <v xml:space="preserve">N35DC   </v>
      </c>
      <c r="N1293">
        <v>1</v>
      </c>
      <c r="O1293">
        <v>1700</v>
      </c>
    </row>
    <row r="1294" spans="1:15" x14ac:dyDescent="0.25">
      <c r="A1294" t="str">
        <f t="shared" si="65"/>
        <v>10/21/2020 18:24:19.042</v>
      </c>
      <c r="B1294" t="str">
        <f t="shared" si="66"/>
        <v>18:24:26.977</v>
      </c>
      <c r="C1294" t="str">
        <f t="shared" si="67"/>
        <v>18:24:26.577</v>
      </c>
      <c r="D1294" t="s">
        <v>522</v>
      </c>
      <c r="E1294">
        <v>30.628616999999998</v>
      </c>
      <c r="F1294" t="s">
        <v>523</v>
      </c>
      <c r="G1294">
        <v>-89.857285000000005</v>
      </c>
      <c r="H1294">
        <v>1600</v>
      </c>
      <c r="I1294">
        <v>137</v>
      </c>
      <c r="J1294">
        <v>-29</v>
      </c>
      <c r="K1294">
        <v>-192</v>
      </c>
      <c r="L1294">
        <v>1200</v>
      </c>
      <c r="M1294" t="str">
        <f t="shared" si="64"/>
        <v xml:space="preserve">N35DC   </v>
      </c>
      <c r="N1294">
        <v>1</v>
      </c>
      <c r="O1294">
        <v>1700</v>
      </c>
    </row>
    <row r="1295" spans="1:15" x14ac:dyDescent="0.25">
      <c r="A1295" t="str">
        <f t="shared" si="65"/>
        <v>10/21/2020 18:24:19.042</v>
      </c>
      <c r="B1295" t="str">
        <f t="shared" si="66"/>
        <v>18:24:26.977</v>
      </c>
      <c r="C1295" t="str">
        <f t="shared" si="67"/>
        <v>18:24:26.577</v>
      </c>
      <c r="D1295" t="s">
        <v>522</v>
      </c>
      <c r="E1295">
        <v>30.628616999999998</v>
      </c>
      <c r="F1295" t="s">
        <v>523</v>
      </c>
      <c r="G1295">
        <v>-89.857285000000005</v>
      </c>
      <c r="H1295">
        <v>1600</v>
      </c>
      <c r="I1295">
        <v>137</v>
      </c>
      <c r="J1295">
        <v>-29</v>
      </c>
      <c r="K1295">
        <v>-192</v>
      </c>
      <c r="L1295">
        <v>1200</v>
      </c>
      <c r="M1295" t="str">
        <f t="shared" si="64"/>
        <v xml:space="preserve">N35DC   </v>
      </c>
      <c r="N1295">
        <v>1</v>
      </c>
      <c r="O1295">
        <v>1700</v>
      </c>
    </row>
    <row r="1296" spans="1:15" x14ac:dyDescent="0.25">
      <c r="A1296" t="str">
        <f t="shared" si="65"/>
        <v>10/21/2020 18:24:19.042</v>
      </c>
      <c r="B1296" t="str">
        <f t="shared" si="66"/>
        <v>18:24:26.977</v>
      </c>
      <c r="C1296" t="str">
        <f t="shared" si="67"/>
        <v>18:24:26.577</v>
      </c>
      <c r="D1296" t="s">
        <v>522</v>
      </c>
      <c r="E1296">
        <v>30.628616999999998</v>
      </c>
      <c r="F1296" t="s">
        <v>523</v>
      </c>
      <c r="G1296">
        <v>-89.857285000000005</v>
      </c>
      <c r="H1296">
        <v>1600</v>
      </c>
      <c r="I1296">
        <v>137</v>
      </c>
      <c r="J1296">
        <v>-29</v>
      </c>
      <c r="K1296">
        <v>-192</v>
      </c>
      <c r="L1296">
        <v>1200</v>
      </c>
      <c r="M1296" t="str">
        <f t="shared" si="64"/>
        <v xml:space="preserve">N35DC   </v>
      </c>
      <c r="N1296">
        <v>1</v>
      </c>
      <c r="O1296">
        <v>1700</v>
      </c>
    </row>
    <row r="1297" spans="1:15" x14ac:dyDescent="0.25">
      <c r="A1297" t="str">
        <f>"10/21/2020 18:24:21.615"</f>
        <v>10/21/2020 18:24:21.615</v>
      </c>
      <c r="B1297" t="str">
        <f>"18:24:29.508"</f>
        <v>18:24:29.508</v>
      </c>
      <c r="C1297" t="str">
        <f>"18:24:29.108"</f>
        <v>18:24:29.108</v>
      </c>
      <c r="D1297" t="s">
        <v>524</v>
      </c>
      <c r="E1297">
        <v>30.628122999999999</v>
      </c>
      <c r="F1297" t="s">
        <v>525</v>
      </c>
      <c r="G1297">
        <v>-89.855483000000007</v>
      </c>
      <c r="H1297">
        <v>1600</v>
      </c>
      <c r="I1297">
        <v>134</v>
      </c>
      <c r="J1297">
        <v>-46</v>
      </c>
      <c r="K1297">
        <v>-192</v>
      </c>
      <c r="L1297">
        <v>1200</v>
      </c>
      <c r="M1297" t="str">
        <f t="shared" si="64"/>
        <v xml:space="preserve">N35DC   </v>
      </c>
      <c r="N1297">
        <v>1</v>
      </c>
      <c r="O1297">
        <v>1700</v>
      </c>
    </row>
    <row r="1298" spans="1:15" x14ac:dyDescent="0.25">
      <c r="A1298" t="str">
        <f>"10/21/2020 18:24:22.098"</f>
        <v>10/21/2020 18:24:22.098</v>
      </c>
      <c r="B1298" t="str">
        <f t="shared" ref="B1298:C1302" si="68">"18:24:30.031"</f>
        <v>18:24:30.031</v>
      </c>
      <c r="C1298" t="str">
        <f t="shared" si="68"/>
        <v>18:24:30.031</v>
      </c>
      <c r="D1298" t="s">
        <v>526</v>
      </c>
      <c r="E1298">
        <v>30.628015999999999</v>
      </c>
      <c r="F1298" t="s">
        <v>527</v>
      </c>
      <c r="G1298">
        <v>-89.855074999999999</v>
      </c>
      <c r="H1298">
        <v>1600</v>
      </c>
      <c r="I1298">
        <v>132</v>
      </c>
      <c r="J1298">
        <v>-52</v>
      </c>
      <c r="K1298">
        <v>-192</v>
      </c>
      <c r="L1298">
        <v>1200</v>
      </c>
      <c r="M1298" t="str">
        <f t="shared" si="64"/>
        <v xml:space="preserve">N35DC   </v>
      </c>
      <c r="N1298">
        <v>1</v>
      </c>
      <c r="O1298">
        <v>1675</v>
      </c>
    </row>
    <row r="1299" spans="1:15" x14ac:dyDescent="0.25">
      <c r="A1299" t="str">
        <f>"10/21/2020 18:24:22.098"</f>
        <v>10/21/2020 18:24:22.098</v>
      </c>
      <c r="B1299" t="str">
        <f t="shared" si="68"/>
        <v>18:24:30.031</v>
      </c>
      <c r="C1299" t="str">
        <f t="shared" si="68"/>
        <v>18:24:30.031</v>
      </c>
      <c r="D1299" t="s">
        <v>526</v>
      </c>
      <c r="E1299">
        <v>30.628015999999999</v>
      </c>
      <c r="F1299" t="s">
        <v>527</v>
      </c>
      <c r="G1299">
        <v>-89.855074999999999</v>
      </c>
      <c r="H1299">
        <v>1600</v>
      </c>
      <c r="I1299">
        <v>132</v>
      </c>
      <c r="J1299">
        <v>-52</v>
      </c>
      <c r="K1299">
        <v>-192</v>
      </c>
      <c r="L1299">
        <v>1200</v>
      </c>
      <c r="M1299" t="str">
        <f t="shared" si="64"/>
        <v xml:space="preserve">N35DC   </v>
      </c>
      <c r="N1299">
        <v>1</v>
      </c>
      <c r="O1299">
        <v>1675</v>
      </c>
    </row>
    <row r="1300" spans="1:15" x14ac:dyDescent="0.25">
      <c r="A1300" t="str">
        <f>"10/21/2020 18:24:22.098"</f>
        <v>10/21/2020 18:24:22.098</v>
      </c>
      <c r="B1300" t="str">
        <f t="shared" si="68"/>
        <v>18:24:30.031</v>
      </c>
      <c r="C1300" t="str">
        <f t="shared" si="68"/>
        <v>18:24:30.031</v>
      </c>
      <c r="D1300" t="s">
        <v>526</v>
      </c>
      <c r="E1300">
        <v>30.628015999999999</v>
      </c>
      <c r="F1300" t="s">
        <v>527</v>
      </c>
      <c r="G1300">
        <v>-89.855074999999999</v>
      </c>
      <c r="H1300">
        <v>1600</v>
      </c>
      <c r="I1300">
        <v>132</v>
      </c>
      <c r="J1300">
        <v>-52</v>
      </c>
      <c r="K1300">
        <v>-192</v>
      </c>
      <c r="L1300">
        <v>1200</v>
      </c>
      <c r="M1300" t="str">
        <f t="shared" si="64"/>
        <v xml:space="preserve">N35DC   </v>
      </c>
      <c r="N1300">
        <v>1</v>
      </c>
      <c r="O1300">
        <v>1675</v>
      </c>
    </row>
    <row r="1301" spans="1:15" x14ac:dyDescent="0.25">
      <c r="A1301" t="str">
        <f>"10/21/2020 18:24:22.098"</f>
        <v>10/21/2020 18:24:22.098</v>
      </c>
      <c r="B1301" t="str">
        <f t="shared" si="68"/>
        <v>18:24:30.031</v>
      </c>
      <c r="C1301" t="str">
        <f t="shared" si="68"/>
        <v>18:24:30.031</v>
      </c>
      <c r="D1301" t="s">
        <v>526</v>
      </c>
      <c r="E1301">
        <v>30.628015999999999</v>
      </c>
      <c r="F1301" t="s">
        <v>527</v>
      </c>
      <c r="G1301">
        <v>-89.855074999999999</v>
      </c>
      <c r="H1301">
        <v>1600</v>
      </c>
      <c r="I1301">
        <v>132</v>
      </c>
      <c r="J1301">
        <v>-52</v>
      </c>
      <c r="K1301">
        <v>-192</v>
      </c>
      <c r="L1301">
        <v>1200</v>
      </c>
      <c r="M1301" t="str">
        <f t="shared" si="64"/>
        <v xml:space="preserve">N35DC   </v>
      </c>
      <c r="N1301">
        <v>1</v>
      </c>
      <c r="O1301">
        <v>1675</v>
      </c>
    </row>
    <row r="1302" spans="1:15" x14ac:dyDescent="0.25">
      <c r="A1302" t="str">
        <f>"10/21/2020 18:24:22.098"</f>
        <v>10/21/2020 18:24:22.098</v>
      </c>
      <c r="B1302" t="str">
        <f t="shared" si="68"/>
        <v>18:24:30.031</v>
      </c>
      <c r="C1302" t="str">
        <f t="shared" si="68"/>
        <v>18:24:30.031</v>
      </c>
      <c r="D1302" t="s">
        <v>526</v>
      </c>
      <c r="E1302">
        <v>30.628015999999999</v>
      </c>
      <c r="F1302" t="s">
        <v>527</v>
      </c>
      <c r="G1302">
        <v>-89.855074999999999</v>
      </c>
      <c r="H1302">
        <v>1600</v>
      </c>
      <c r="I1302">
        <v>132</v>
      </c>
      <c r="J1302">
        <v>-52</v>
      </c>
      <c r="K1302">
        <v>-192</v>
      </c>
      <c r="L1302">
        <v>1200</v>
      </c>
      <c r="M1302" t="str">
        <f t="shared" si="64"/>
        <v xml:space="preserve">N35DC   </v>
      </c>
      <c r="N1302">
        <v>1</v>
      </c>
      <c r="O1302">
        <v>1675</v>
      </c>
    </row>
    <row r="1303" spans="1:15" x14ac:dyDescent="0.25">
      <c r="A1303" t="str">
        <f>"10/21/2020 18:24:22.571"</f>
        <v>10/21/2020 18:24:22.571</v>
      </c>
      <c r="B1303" t="str">
        <f>"18:24:30.484"</f>
        <v>18:24:30.484</v>
      </c>
      <c r="C1303" t="str">
        <f>"18:24:29.984"</f>
        <v>18:24:29.984</v>
      </c>
      <c r="D1303" t="s">
        <v>528</v>
      </c>
      <c r="E1303">
        <v>30.627866000000001</v>
      </c>
      <c r="F1303" t="s">
        <v>529</v>
      </c>
      <c r="G1303">
        <v>-89.854816999999997</v>
      </c>
      <c r="H1303">
        <v>1600</v>
      </c>
      <c r="I1303">
        <v>132</v>
      </c>
      <c r="J1303">
        <v>-52</v>
      </c>
      <c r="K1303">
        <v>-192</v>
      </c>
      <c r="L1303">
        <v>1200</v>
      </c>
      <c r="M1303" t="str">
        <f t="shared" si="64"/>
        <v xml:space="preserve">N35DC   </v>
      </c>
      <c r="N1303">
        <v>1</v>
      </c>
      <c r="O1303">
        <v>1675</v>
      </c>
    </row>
    <row r="1304" spans="1:15" x14ac:dyDescent="0.25">
      <c r="A1304" t="str">
        <f>"10/21/2020 18:24:23.026"</f>
        <v>10/21/2020 18:24:23.026</v>
      </c>
      <c r="B1304" t="str">
        <f>"18:24:30.961"</f>
        <v>18:24:30.961</v>
      </c>
      <c r="C1304" t="str">
        <f>"18:24:30.561"</f>
        <v>18:24:30.561</v>
      </c>
      <c r="D1304" t="s">
        <v>530</v>
      </c>
      <c r="E1304">
        <v>30.627737</v>
      </c>
      <c r="F1304" t="s">
        <v>531</v>
      </c>
      <c r="G1304">
        <v>-89.854431000000005</v>
      </c>
      <c r="H1304">
        <v>1600</v>
      </c>
      <c r="I1304">
        <v>131</v>
      </c>
      <c r="J1304">
        <v>-55</v>
      </c>
      <c r="K1304">
        <v>-128</v>
      </c>
      <c r="L1304">
        <v>1200</v>
      </c>
      <c r="M1304" t="str">
        <f t="shared" si="64"/>
        <v xml:space="preserve">N35DC   </v>
      </c>
      <c r="N1304">
        <v>1</v>
      </c>
      <c r="O1304">
        <v>1675</v>
      </c>
    </row>
    <row r="1305" spans="1:15" x14ac:dyDescent="0.25">
      <c r="A1305" t="str">
        <f>"10/21/2020 18:24:23.026"</f>
        <v>10/21/2020 18:24:23.026</v>
      </c>
      <c r="B1305" t="str">
        <f>"18:24:30.961"</f>
        <v>18:24:30.961</v>
      </c>
      <c r="C1305" t="str">
        <f>"18:24:30.561"</f>
        <v>18:24:30.561</v>
      </c>
      <c r="D1305" t="s">
        <v>530</v>
      </c>
      <c r="E1305">
        <v>30.627737</v>
      </c>
      <c r="F1305" t="s">
        <v>531</v>
      </c>
      <c r="G1305">
        <v>-89.854431000000005</v>
      </c>
      <c r="H1305">
        <v>1600</v>
      </c>
      <c r="I1305">
        <v>131</v>
      </c>
      <c r="J1305">
        <v>-55</v>
      </c>
      <c r="K1305">
        <v>-128</v>
      </c>
      <c r="L1305">
        <v>1200</v>
      </c>
      <c r="M1305" t="str">
        <f t="shared" si="64"/>
        <v xml:space="preserve">N35DC   </v>
      </c>
      <c r="N1305">
        <v>1</v>
      </c>
      <c r="O1305">
        <v>1675</v>
      </c>
    </row>
    <row r="1306" spans="1:15" x14ac:dyDescent="0.25">
      <c r="A1306" t="str">
        <f>"10/21/2020 18:24:23.026"</f>
        <v>10/21/2020 18:24:23.026</v>
      </c>
      <c r="B1306" t="str">
        <f>"18:24:30.961"</f>
        <v>18:24:30.961</v>
      </c>
      <c r="C1306" t="str">
        <f>"18:24:30.561"</f>
        <v>18:24:30.561</v>
      </c>
      <c r="D1306" t="s">
        <v>530</v>
      </c>
      <c r="E1306">
        <v>30.627737</v>
      </c>
      <c r="F1306" t="s">
        <v>531</v>
      </c>
      <c r="G1306">
        <v>-89.854431000000005</v>
      </c>
      <c r="H1306">
        <v>1600</v>
      </c>
      <c r="I1306">
        <v>131</v>
      </c>
      <c r="J1306">
        <v>-55</v>
      </c>
      <c r="K1306">
        <v>-128</v>
      </c>
      <c r="L1306">
        <v>1200</v>
      </c>
      <c r="M1306" t="str">
        <f t="shared" si="64"/>
        <v xml:space="preserve">N35DC   </v>
      </c>
      <c r="N1306">
        <v>1</v>
      </c>
      <c r="O1306">
        <v>1675</v>
      </c>
    </row>
    <row r="1307" spans="1:15" x14ac:dyDescent="0.25">
      <c r="A1307" t="str">
        <f>"10/21/2020 18:24:23.026"</f>
        <v>10/21/2020 18:24:23.026</v>
      </c>
      <c r="B1307" t="str">
        <f>"18:24:30.961"</f>
        <v>18:24:30.961</v>
      </c>
      <c r="C1307" t="str">
        <f>"18:24:30.561"</f>
        <v>18:24:30.561</v>
      </c>
      <c r="D1307" t="s">
        <v>530</v>
      </c>
      <c r="E1307">
        <v>30.627737</v>
      </c>
      <c r="F1307" t="s">
        <v>531</v>
      </c>
      <c r="G1307">
        <v>-89.854431000000005</v>
      </c>
      <c r="H1307">
        <v>1600</v>
      </c>
      <c r="I1307">
        <v>131</v>
      </c>
      <c r="J1307">
        <v>-55</v>
      </c>
      <c r="K1307">
        <v>-128</v>
      </c>
      <c r="L1307">
        <v>1200</v>
      </c>
      <c r="M1307" t="str">
        <f t="shared" si="64"/>
        <v xml:space="preserve">N35DC   </v>
      </c>
      <c r="N1307">
        <v>1</v>
      </c>
      <c r="O1307">
        <v>1675</v>
      </c>
    </row>
    <row r="1308" spans="1:15" x14ac:dyDescent="0.25">
      <c r="A1308" t="str">
        <f>"10/21/2020 18:24:23.026"</f>
        <v>10/21/2020 18:24:23.026</v>
      </c>
      <c r="B1308" t="str">
        <f>"18:24:30.961"</f>
        <v>18:24:30.961</v>
      </c>
      <c r="C1308" t="str">
        <f>"18:24:30.561"</f>
        <v>18:24:30.561</v>
      </c>
      <c r="D1308" t="s">
        <v>530</v>
      </c>
      <c r="E1308">
        <v>30.627737</v>
      </c>
      <c r="F1308" t="s">
        <v>531</v>
      </c>
      <c r="G1308">
        <v>-89.854431000000005</v>
      </c>
      <c r="H1308">
        <v>1600</v>
      </c>
      <c r="I1308">
        <v>131</v>
      </c>
      <c r="J1308">
        <v>-55</v>
      </c>
      <c r="K1308">
        <v>-128</v>
      </c>
      <c r="L1308">
        <v>1200</v>
      </c>
      <c r="M1308" t="str">
        <f t="shared" si="64"/>
        <v xml:space="preserve">N35DC   </v>
      </c>
      <c r="N1308">
        <v>1</v>
      </c>
      <c r="O1308">
        <v>1675</v>
      </c>
    </row>
    <row r="1309" spans="1:15" x14ac:dyDescent="0.25">
      <c r="A1309" t="str">
        <f t="shared" ref="A1309:A1314" si="69">"10/21/2020 18:24:25.997"</f>
        <v>10/21/2020 18:24:25.997</v>
      </c>
      <c r="B1309" t="str">
        <f t="shared" ref="B1309:B1314" si="70">"18:24:33.937"</f>
        <v>18:24:33.937</v>
      </c>
      <c r="C1309" t="str">
        <f t="shared" ref="C1309:C1314" si="71">"18:24:33.437"</f>
        <v>18:24:33.437</v>
      </c>
      <c r="D1309" t="s">
        <v>532</v>
      </c>
      <c r="E1309">
        <v>30.626814</v>
      </c>
      <c r="F1309" t="s">
        <v>533</v>
      </c>
      <c r="G1309">
        <v>-89.852457000000001</v>
      </c>
      <c r="H1309">
        <v>1600</v>
      </c>
      <c r="I1309">
        <v>124</v>
      </c>
      <c r="J1309">
        <v>-71</v>
      </c>
      <c r="K1309">
        <v>0</v>
      </c>
      <c r="L1309">
        <v>1200</v>
      </c>
      <c r="M1309" t="str">
        <f t="shared" si="64"/>
        <v xml:space="preserve">N35DC   </v>
      </c>
      <c r="N1309">
        <v>1</v>
      </c>
      <c r="O1309">
        <v>1675</v>
      </c>
    </row>
    <row r="1310" spans="1:15" x14ac:dyDescent="0.25">
      <c r="A1310" t="str">
        <f t="shared" si="69"/>
        <v>10/21/2020 18:24:25.997</v>
      </c>
      <c r="B1310" t="str">
        <f t="shared" si="70"/>
        <v>18:24:33.937</v>
      </c>
      <c r="C1310" t="str">
        <f t="shared" si="71"/>
        <v>18:24:33.437</v>
      </c>
      <c r="D1310" t="s">
        <v>532</v>
      </c>
      <c r="E1310">
        <v>30.626814</v>
      </c>
      <c r="F1310" t="s">
        <v>533</v>
      </c>
      <c r="G1310">
        <v>-89.852457000000001</v>
      </c>
      <c r="H1310">
        <v>1600</v>
      </c>
      <c r="I1310">
        <v>124</v>
      </c>
      <c r="J1310">
        <v>-71</v>
      </c>
      <c r="K1310">
        <v>0</v>
      </c>
      <c r="L1310">
        <v>1200</v>
      </c>
      <c r="M1310" t="str">
        <f t="shared" si="64"/>
        <v xml:space="preserve">N35DC   </v>
      </c>
      <c r="N1310">
        <v>1</v>
      </c>
      <c r="O1310">
        <v>1675</v>
      </c>
    </row>
    <row r="1311" spans="1:15" x14ac:dyDescent="0.25">
      <c r="A1311" t="str">
        <f t="shared" si="69"/>
        <v>10/21/2020 18:24:25.997</v>
      </c>
      <c r="B1311" t="str">
        <f t="shared" si="70"/>
        <v>18:24:33.937</v>
      </c>
      <c r="C1311" t="str">
        <f t="shared" si="71"/>
        <v>18:24:33.437</v>
      </c>
      <c r="D1311" t="s">
        <v>532</v>
      </c>
      <c r="E1311">
        <v>30.626814</v>
      </c>
      <c r="F1311" t="s">
        <v>533</v>
      </c>
      <c r="G1311">
        <v>-89.852457000000001</v>
      </c>
      <c r="H1311">
        <v>1600</v>
      </c>
      <c r="I1311">
        <v>124</v>
      </c>
      <c r="J1311">
        <v>-71</v>
      </c>
      <c r="K1311">
        <v>0</v>
      </c>
      <c r="L1311">
        <v>1200</v>
      </c>
      <c r="M1311" t="str">
        <f t="shared" si="64"/>
        <v xml:space="preserve">N35DC   </v>
      </c>
      <c r="N1311">
        <v>1</v>
      </c>
      <c r="O1311">
        <v>1675</v>
      </c>
    </row>
    <row r="1312" spans="1:15" x14ac:dyDescent="0.25">
      <c r="A1312" t="str">
        <f t="shared" si="69"/>
        <v>10/21/2020 18:24:25.997</v>
      </c>
      <c r="B1312" t="str">
        <f t="shared" si="70"/>
        <v>18:24:33.937</v>
      </c>
      <c r="C1312" t="str">
        <f t="shared" si="71"/>
        <v>18:24:33.437</v>
      </c>
      <c r="D1312" t="s">
        <v>532</v>
      </c>
      <c r="E1312">
        <v>30.626814</v>
      </c>
      <c r="F1312" t="s">
        <v>533</v>
      </c>
      <c r="G1312">
        <v>-89.852457000000001</v>
      </c>
      <c r="H1312">
        <v>1600</v>
      </c>
      <c r="I1312">
        <v>124</v>
      </c>
      <c r="J1312">
        <v>-71</v>
      </c>
      <c r="K1312">
        <v>0</v>
      </c>
      <c r="L1312">
        <v>1200</v>
      </c>
      <c r="M1312" t="str">
        <f t="shared" si="64"/>
        <v xml:space="preserve">N35DC   </v>
      </c>
      <c r="N1312">
        <v>1</v>
      </c>
      <c r="O1312">
        <v>1675</v>
      </c>
    </row>
    <row r="1313" spans="1:15" x14ac:dyDescent="0.25">
      <c r="A1313" t="str">
        <f t="shared" si="69"/>
        <v>10/21/2020 18:24:25.997</v>
      </c>
      <c r="B1313" t="str">
        <f t="shared" si="70"/>
        <v>18:24:33.937</v>
      </c>
      <c r="C1313" t="str">
        <f t="shared" si="71"/>
        <v>18:24:33.437</v>
      </c>
      <c r="D1313" t="s">
        <v>532</v>
      </c>
      <c r="E1313">
        <v>30.626814</v>
      </c>
      <c r="F1313" t="s">
        <v>533</v>
      </c>
      <c r="G1313">
        <v>-89.852457000000001</v>
      </c>
      <c r="H1313">
        <v>1600</v>
      </c>
      <c r="I1313">
        <v>124</v>
      </c>
      <c r="J1313">
        <v>-71</v>
      </c>
      <c r="K1313">
        <v>0</v>
      </c>
      <c r="L1313">
        <v>1200</v>
      </c>
      <c r="M1313" t="str">
        <f t="shared" si="64"/>
        <v xml:space="preserve">N35DC   </v>
      </c>
      <c r="N1313">
        <v>1</v>
      </c>
      <c r="O1313">
        <v>1675</v>
      </c>
    </row>
    <row r="1314" spans="1:15" x14ac:dyDescent="0.25">
      <c r="A1314" t="str">
        <f t="shared" si="69"/>
        <v>10/21/2020 18:24:25.997</v>
      </c>
      <c r="B1314" t="str">
        <f t="shared" si="70"/>
        <v>18:24:33.937</v>
      </c>
      <c r="C1314" t="str">
        <f t="shared" si="71"/>
        <v>18:24:33.437</v>
      </c>
      <c r="D1314" t="s">
        <v>532</v>
      </c>
      <c r="E1314">
        <v>30.626814</v>
      </c>
      <c r="F1314" t="s">
        <v>533</v>
      </c>
      <c r="G1314">
        <v>-89.852457000000001</v>
      </c>
      <c r="H1314">
        <v>1600</v>
      </c>
      <c r="I1314">
        <v>124</v>
      </c>
      <c r="J1314">
        <v>-71</v>
      </c>
      <c r="K1314">
        <v>0</v>
      </c>
      <c r="L1314">
        <v>1200</v>
      </c>
      <c r="M1314" t="str">
        <f t="shared" si="64"/>
        <v xml:space="preserve">N35DC   </v>
      </c>
      <c r="N1314">
        <v>1</v>
      </c>
      <c r="O1314">
        <v>1675</v>
      </c>
    </row>
    <row r="1315" spans="1:15" x14ac:dyDescent="0.25">
      <c r="A1315" t="str">
        <f t="shared" ref="A1315:A1320" si="72">"10/21/2020 18:24:27.050"</f>
        <v>10/21/2020 18:24:27.050</v>
      </c>
      <c r="B1315" t="str">
        <f t="shared" ref="B1315:B1320" si="73">"18:24:35.000"</f>
        <v>18:24:35.000</v>
      </c>
      <c r="C1315" t="str">
        <f t="shared" ref="C1315:C1320" si="74">"18:24:34.500"</f>
        <v>18:24:34.500</v>
      </c>
      <c r="D1315" t="s">
        <v>534</v>
      </c>
      <c r="E1315">
        <v>30.626428000000001</v>
      </c>
      <c r="F1315" t="s">
        <v>535</v>
      </c>
      <c r="G1315">
        <v>-89.851748999999998</v>
      </c>
      <c r="H1315">
        <v>1600</v>
      </c>
      <c r="I1315">
        <v>121</v>
      </c>
      <c r="J1315">
        <v>-76</v>
      </c>
      <c r="K1315">
        <v>0</v>
      </c>
      <c r="L1315">
        <v>1200</v>
      </c>
      <c r="M1315" t="str">
        <f t="shared" si="64"/>
        <v xml:space="preserve">N35DC   </v>
      </c>
      <c r="N1315">
        <v>1</v>
      </c>
      <c r="O1315">
        <v>1675</v>
      </c>
    </row>
    <row r="1316" spans="1:15" x14ac:dyDescent="0.25">
      <c r="A1316" t="str">
        <f t="shared" si="72"/>
        <v>10/21/2020 18:24:27.050</v>
      </c>
      <c r="B1316" t="str">
        <f t="shared" si="73"/>
        <v>18:24:35.000</v>
      </c>
      <c r="C1316" t="str">
        <f t="shared" si="74"/>
        <v>18:24:34.500</v>
      </c>
      <c r="D1316" t="s">
        <v>534</v>
      </c>
      <c r="E1316">
        <v>30.626428000000001</v>
      </c>
      <c r="F1316" t="s">
        <v>535</v>
      </c>
      <c r="G1316">
        <v>-89.851748999999998</v>
      </c>
      <c r="H1316">
        <v>1600</v>
      </c>
      <c r="I1316">
        <v>121</v>
      </c>
      <c r="J1316">
        <v>-76</v>
      </c>
      <c r="K1316">
        <v>0</v>
      </c>
      <c r="L1316">
        <v>1200</v>
      </c>
      <c r="M1316" t="str">
        <f t="shared" si="64"/>
        <v xml:space="preserve">N35DC   </v>
      </c>
      <c r="N1316">
        <v>1</v>
      </c>
      <c r="O1316">
        <v>1675</v>
      </c>
    </row>
    <row r="1317" spans="1:15" x14ac:dyDescent="0.25">
      <c r="A1317" t="str">
        <f t="shared" si="72"/>
        <v>10/21/2020 18:24:27.050</v>
      </c>
      <c r="B1317" t="str">
        <f t="shared" si="73"/>
        <v>18:24:35.000</v>
      </c>
      <c r="C1317" t="str">
        <f t="shared" si="74"/>
        <v>18:24:34.500</v>
      </c>
      <c r="D1317" t="s">
        <v>534</v>
      </c>
      <c r="E1317">
        <v>30.626428000000001</v>
      </c>
      <c r="F1317" t="s">
        <v>535</v>
      </c>
      <c r="G1317">
        <v>-89.851748999999998</v>
      </c>
      <c r="H1317">
        <v>1600</v>
      </c>
      <c r="I1317">
        <v>121</v>
      </c>
      <c r="J1317">
        <v>-76</v>
      </c>
      <c r="K1317">
        <v>0</v>
      </c>
      <c r="L1317">
        <v>1200</v>
      </c>
      <c r="M1317" t="str">
        <f t="shared" si="64"/>
        <v xml:space="preserve">N35DC   </v>
      </c>
      <c r="N1317">
        <v>1</v>
      </c>
      <c r="O1317">
        <v>1675</v>
      </c>
    </row>
    <row r="1318" spans="1:15" x14ac:dyDescent="0.25">
      <c r="A1318" t="str">
        <f t="shared" si="72"/>
        <v>10/21/2020 18:24:27.050</v>
      </c>
      <c r="B1318" t="str">
        <f t="shared" si="73"/>
        <v>18:24:35.000</v>
      </c>
      <c r="C1318" t="str">
        <f t="shared" si="74"/>
        <v>18:24:34.500</v>
      </c>
      <c r="D1318" t="s">
        <v>534</v>
      </c>
      <c r="E1318">
        <v>30.626428000000001</v>
      </c>
      <c r="F1318" t="s">
        <v>535</v>
      </c>
      <c r="G1318">
        <v>-89.851748999999998</v>
      </c>
      <c r="H1318">
        <v>1600</v>
      </c>
      <c r="I1318">
        <v>121</v>
      </c>
      <c r="J1318">
        <v>-76</v>
      </c>
      <c r="K1318">
        <v>0</v>
      </c>
      <c r="L1318">
        <v>1200</v>
      </c>
      <c r="M1318" t="str">
        <f t="shared" si="64"/>
        <v xml:space="preserve">N35DC   </v>
      </c>
      <c r="N1318">
        <v>1</v>
      </c>
      <c r="O1318">
        <v>1675</v>
      </c>
    </row>
    <row r="1319" spans="1:15" x14ac:dyDescent="0.25">
      <c r="A1319" t="str">
        <f t="shared" si="72"/>
        <v>10/21/2020 18:24:27.050</v>
      </c>
      <c r="B1319" t="str">
        <f t="shared" si="73"/>
        <v>18:24:35.000</v>
      </c>
      <c r="C1319" t="str">
        <f t="shared" si="74"/>
        <v>18:24:34.500</v>
      </c>
      <c r="D1319" t="s">
        <v>534</v>
      </c>
      <c r="E1319">
        <v>30.626428000000001</v>
      </c>
      <c r="F1319" t="s">
        <v>535</v>
      </c>
      <c r="G1319">
        <v>-89.851748999999998</v>
      </c>
      <c r="H1319">
        <v>1600</v>
      </c>
      <c r="I1319">
        <v>121</v>
      </c>
      <c r="J1319">
        <v>-76</v>
      </c>
      <c r="K1319">
        <v>0</v>
      </c>
      <c r="L1319">
        <v>1200</v>
      </c>
      <c r="M1319" t="str">
        <f t="shared" si="64"/>
        <v xml:space="preserve">N35DC   </v>
      </c>
      <c r="N1319">
        <v>1</v>
      </c>
      <c r="O1319">
        <v>1675</v>
      </c>
    </row>
    <row r="1320" spans="1:15" x14ac:dyDescent="0.25">
      <c r="A1320" t="str">
        <f t="shared" si="72"/>
        <v>10/21/2020 18:24:27.050</v>
      </c>
      <c r="B1320" t="str">
        <f t="shared" si="73"/>
        <v>18:24:35.000</v>
      </c>
      <c r="C1320" t="str">
        <f t="shared" si="74"/>
        <v>18:24:34.500</v>
      </c>
      <c r="D1320" t="s">
        <v>534</v>
      </c>
      <c r="E1320">
        <v>30.626428000000001</v>
      </c>
      <c r="F1320" t="s">
        <v>535</v>
      </c>
      <c r="G1320">
        <v>-89.851748999999998</v>
      </c>
      <c r="H1320">
        <v>1600</v>
      </c>
      <c r="I1320">
        <v>121</v>
      </c>
      <c r="J1320">
        <v>-76</v>
      </c>
      <c r="K1320">
        <v>0</v>
      </c>
      <c r="L1320">
        <v>1200</v>
      </c>
      <c r="M1320" t="str">
        <f t="shared" si="64"/>
        <v xml:space="preserve">N35DC   </v>
      </c>
      <c r="N1320">
        <v>1</v>
      </c>
      <c r="O1320">
        <v>1675</v>
      </c>
    </row>
    <row r="1321" spans="1:15" x14ac:dyDescent="0.25">
      <c r="A1321" t="str">
        <f>"10/21/2020 18:24:28.968"</f>
        <v>10/21/2020 18:24:28.968</v>
      </c>
      <c r="B1321" t="str">
        <f>"18:24:36.906"</f>
        <v>18:24:36.906</v>
      </c>
      <c r="C1321" t="str">
        <f>"18:24:36.506"</f>
        <v>18:24:36.506</v>
      </c>
      <c r="D1321" t="s">
        <v>536</v>
      </c>
      <c r="E1321">
        <v>30.625720000000001</v>
      </c>
      <c r="F1321" t="s">
        <v>537</v>
      </c>
      <c r="G1321">
        <v>-89.850547000000006</v>
      </c>
      <c r="H1321">
        <v>1600</v>
      </c>
      <c r="I1321">
        <v>116</v>
      </c>
      <c r="J1321">
        <v>-85</v>
      </c>
      <c r="K1321">
        <v>64</v>
      </c>
      <c r="L1321">
        <v>1200</v>
      </c>
      <c r="M1321" t="str">
        <f t="shared" si="64"/>
        <v xml:space="preserve">N35DC   </v>
      </c>
      <c r="N1321">
        <v>1</v>
      </c>
      <c r="O1321">
        <v>1675</v>
      </c>
    </row>
    <row r="1322" spans="1:15" x14ac:dyDescent="0.25">
      <c r="A1322" t="str">
        <f>"10/21/2020 18:24:28.968"</f>
        <v>10/21/2020 18:24:28.968</v>
      </c>
      <c r="B1322" t="str">
        <f>"18:24:36.906"</f>
        <v>18:24:36.906</v>
      </c>
      <c r="C1322" t="str">
        <f>"18:24:36.506"</f>
        <v>18:24:36.506</v>
      </c>
      <c r="D1322" t="s">
        <v>536</v>
      </c>
      <c r="E1322">
        <v>30.625720000000001</v>
      </c>
      <c r="F1322" t="s">
        <v>537</v>
      </c>
      <c r="G1322">
        <v>-89.850547000000006</v>
      </c>
      <c r="H1322">
        <v>1600</v>
      </c>
      <c r="I1322">
        <v>116</v>
      </c>
      <c r="J1322">
        <v>-85</v>
      </c>
      <c r="K1322">
        <v>64</v>
      </c>
      <c r="L1322">
        <v>1200</v>
      </c>
      <c r="M1322" t="str">
        <f t="shared" si="64"/>
        <v xml:space="preserve">N35DC   </v>
      </c>
      <c r="N1322">
        <v>1</v>
      </c>
      <c r="O1322">
        <v>1675</v>
      </c>
    </row>
    <row r="1323" spans="1:15" x14ac:dyDescent="0.25">
      <c r="A1323" t="str">
        <f>"10/21/2020 18:24:28.968"</f>
        <v>10/21/2020 18:24:28.968</v>
      </c>
      <c r="B1323" t="str">
        <f>"18:24:36.906"</f>
        <v>18:24:36.906</v>
      </c>
      <c r="C1323" t="str">
        <f>"18:24:36.506"</f>
        <v>18:24:36.506</v>
      </c>
      <c r="D1323" t="s">
        <v>536</v>
      </c>
      <c r="E1323">
        <v>30.625720000000001</v>
      </c>
      <c r="F1323" t="s">
        <v>537</v>
      </c>
      <c r="G1323">
        <v>-89.850547000000006</v>
      </c>
      <c r="H1323">
        <v>1600</v>
      </c>
      <c r="I1323">
        <v>116</v>
      </c>
      <c r="J1323">
        <v>-85</v>
      </c>
      <c r="K1323">
        <v>64</v>
      </c>
      <c r="L1323">
        <v>1200</v>
      </c>
      <c r="M1323" t="str">
        <f t="shared" si="64"/>
        <v xml:space="preserve">N35DC   </v>
      </c>
      <c r="N1323">
        <v>1</v>
      </c>
      <c r="O1323">
        <v>1675</v>
      </c>
    </row>
    <row r="1324" spans="1:15" x14ac:dyDescent="0.25">
      <c r="A1324" t="str">
        <f>"10/21/2020 18:24:28.968"</f>
        <v>10/21/2020 18:24:28.968</v>
      </c>
      <c r="B1324" t="str">
        <f>"18:24:36.906"</f>
        <v>18:24:36.906</v>
      </c>
      <c r="C1324" t="str">
        <f>"18:24:36.506"</f>
        <v>18:24:36.506</v>
      </c>
      <c r="D1324" t="s">
        <v>536</v>
      </c>
      <c r="E1324">
        <v>30.625720000000001</v>
      </c>
      <c r="F1324" t="s">
        <v>537</v>
      </c>
      <c r="G1324">
        <v>-89.850547000000006</v>
      </c>
      <c r="H1324">
        <v>1600</v>
      </c>
      <c r="I1324">
        <v>116</v>
      </c>
      <c r="J1324">
        <v>-85</v>
      </c>
      <c r="K1324">
        <v>64</v>
      </c>
      <c r="L1324">
        <v>1200</v>
      </c>
      <c r="M1324" t="str">
        <f t="shared" si="64"/>
        <v xml:space="preserve">N35DC   </v>
      </c>
      <c r="N1324">
        <v>1</v>
      </c>
      <c r="O1324">
        <v>1675</v>
      </c>
    </row>
    <row r="1325" spans="1:15" x14ac:dyDescent="0.25">
      <c r="A1325" t="str">
        <f>"10/21/2020 18:24:28.968"</f>
        <v>10/21/2020 18:24:28.968</v>
      </c>
      <c r="B1325" t="str">
        <f>"18:24:36.906"</f>
        <v>18:24:36.906</v>
      </c>
      <c r="C1325" t="str">
        <f>"18:24:36.506"</f>
        <v>18:24:36.506</v>
      </c>
      <c r="D1325" t="s">
        <v>536</v>
      </c>
      <c r="E1325">
        <v>30.625720000000001</v>
      </c>
      <c r="F1325" t="s">
        <v>537</v>
      </c>
      <c r="G1325">
        <v>-89.850547000000006</v>
      </c>
      <c r="H1325">
        <v>1600</v>
      </c>
      <c r="I1325">
        <v>116</v>
      </c>
      <c r="J1325">
        <v>-85</v>
      </c>
      <c r="K1325">
        <v>64</v>
      </c>
      <c r="L1325">
        <v>1200</v>
      </c>
      <c r="M1325" t="str">
        <f t="shared" si="64"/>
        <v xml:space="preserve">N35DC   </v>
      </c>
      <c r="N1325">
        <v>1</v>
      </c>
      <c r="O1325">
        <v>1675</v>
      </c>
    </row>
    <row r="1326" spans="1:15" x14ac:dyDescent="0.25">
      <c r="A1326" t="str">
        <f>"10/21/2020 18:24:29.617"</f>
        <v>10/21/2020 18:24:29.617</v>
      </c>
      <c r="B1326" t="str">
        <f>"18:24:37.492"</f>
        <v>18:24:37.492</v>
      </c>
      <c r="C1326" t="str">
        <f>"18:24:37.092"</f>
        <v>18:24:37.092</v>
      </c>
      <c r="D1326" t="s">
        <v>538</v>
      </c>
      <c r="E1326">
        <v>30.625463</v>
      </c>
      <c r="F1326" t="s">
        <v>539</v>
      </c>
      <c r="G1326">
        <v>-89.850204000000005</v>
      </c>
      <c r="H1326">
        <v>1600</v>
      </c>
      <c r="I1326">
        <v>114</v>
      </c>
      <c r="J1326">
        <v>-87</v>
      </c>
      <c r="K1326">
        <v>192</v>
      </c>
      <c r="L1326">
        <v>1200</v>
      </c>
      <c r="M1326" t="str">
        <f t="shared" si="64"/>
        <v xml:space="preserve">N35DC   </v>
      </c>
      <c r="N1326">
        <v>1</v>
      </c>
      <c r="O1326">
        <v>1675</v>
      </c>
    </row>
    <row r="1327" spans="1:15" x14ac:dyDescent="0.25">
      <c r="A1327" t="str">
        <f>"10/21/2020 18:24:30.046"</f>
        <v>10/21/2020 18:24:30.046</v>
      </c>
      <c r="B1327" t="str">
        <f>"18:24:38.000"</f>
        <v>18:24:38.000</v>
      </c>
      <c r="C1327" t="str">
        <f>"18:24:37.600"</f>
        <v>18:24:37.600</v>
      </c>
      <c r="D1327" t="s">
        <v>540</v>
      </c>
      <c r="E1327">
        <v>30.625268999999999</v>
      </c>
      <c r="F1327" t="s">
        <v>541</v>
      </c>
      <c r="G1327">
        <v>-89.849903999999995</v>
      </c>
      <c r="H1327">
        <v>1600</v>
      </c>
      <c r="I1327">
        <v>113</v>
      </c>
      <c r="J1327">
        <v>-89</v>
      </c>
      <c r="K1327">
        <v>192</v>
      </c>
      <c r="L1327">
        <v>1200</v>
      </c>
      <c r="M1327" t="str">
        <f t="shared" si="64"/>
        <v xml:space="preserve">N35DC   </v>
      </c>
      <c r="N1327">
        <v>1</v>
      </c>
      <c r="O1327">
        <v>1675</v>
      </c>
    </row>
    <row r="1328" spans="1:15" x14ac:dyDescent="0.25">
      <c r="A1328" t="str">
        <f>"10/21/2020 18:24:30.046"</f>
        <v>10/21/2020 18:24:30.046</v>
      </c>
      <c r="B1328" t="str">
        <f>"18:24:38.000"</f>
        <v>18:24:38.000</v>
      </c>
      <c r="C1328" t="str">
        <f>"18:24:37.600"</f>
        <v>18:24:37.600</v>
      </c>
      <c r="D1328" t="s">
        <v>540</v>
      </c>
      <c r="E1328">
        <v>30.625268999999999</v>
      </c>
      <c r="F1328" t="s">
        <v>541</v>
      </c>
      <c r="G1328">
        <v>-89.849903999999995</v>
      </c>
      <c r="H1328">
        <v>1600</v>
      </c>
      <c r="I1328">
        <v>113</v>
      </c>
      <c r="J1328">
        <v>-89</v>
      </c>
      <c r="K1328">
        <v>192</v>
      </c>
      <c r="L1328">
        <v>1200</v>
      </c>
      <c r="M1328" t="str">
        <f t="shared" si="64"/>
        <v xml:space="preserve">N35DC   </v>
      </c>
      <c r="N1328">
        <v>1</v>
      </c>
      <c r="O1328">
        <v>1675</v>
      </c>
    </row>
    <row r="1329" spans="1:15" x14ac:dyDescent="0.25">
      <c r="A1329" t="str">
        <f>"10/21/2020 18:24:30.046"</f>
        <v>10/21/2020 18:24:30.046</v>
      </c>
      <c r="B1329" t="str">
        <f>"18:24:38.000"</f>
        <v>18:24:38.000</v>
      </c>
      <c r="C1329" t="str">
        <f>"18:24:37.600"</f>
        <v>18:24:37.600</v>
      </c>
      <c r="D1329" t="s">
        <v>540</v>
      </c>
      <c r="E1329">
        <v>30.625268999999999</v>
      </c>
      <c r="F1329" t="s">
        <v>541</v>
      </c>
      <c r="G1329">
        <v>-89.849903999999995</v>
      </c>
      <c r="H1329">
        <v>1600</v>
      </c>
      <c r="I1329">
        <v>113</v>
      </c>
      <c r="J1329">
        <v>-89</v>
      </c>
      <c r="K1329">
        <v>192</v>
      </c>
      <c r="L1329">
        <v>1200</v>
      </c>
      <c r="M1329" t="str">
        <f t="shared" si="64"/>
        <v xml:space="preserve">N35DC   </v>
      </c>
      <c r="N1329">
        <v>1</v>
      </c>
      <c r="O1329">
        <v>1675</v>
      </c>
    </row>
    <row r="1330" spans="1:15" x14ac:dyDescent="0.25">
      <c r="A1330" t="str">
        <f>"10/21/2020 18:24:30.046"</f>
        <v>10/21/2020 18:24:30.046</v>
      </c>
      <c r="B1330" t="str">
        <f>"18:24:38.000"</f>
        <v>18:24:38.000</v>
      </c>
      <c r="C1330" t="str">
        <f>"18:24:37.600"</f>
        <v>18:24:37.600</v>
      </c>
      <c r="D1330" t="s">
        <v>540</v>
      </c>
      <c r="E1330">
        <v>30.625268999999999</v>
      </c>
      <c r="F1330" t="s">
        <v>541</v>
      </c>
      <c r="G1330">
        <v>-89.849903999999995</v>
      </c>
      <c r="H1330">
        <v>1600</v>
      </c>
      <c r="I1330">
        <v>113</v>
      </c>
      <c r="J1330">
        <v>-89</v>
      </c>
      <c r="K1330">
        <v>192</v>
      </c>
      <c r="L1330">
        <v>1200</v>
      </c>
      <c r="M1330" t="str">
        <f t="shared" si="64"/>
        <v xml:space="preserve">N35DC   </v>
      </c>
      <c r="N1330">
        <v>1</v>
      </c>
      <c r="O1330">
        <v>1675</v>
      </c>
    </row>
    <row r="1331" spans="1:15" x14ac:dyDescent="0.25">
      <c r="A1331" t="str">
        <f>"10/21/2020 18:24:30.046"</f>
        <v>10/21/2020 18:24:30.046</v>
      </c>
      <c r="B1331" t="str">
        <f>"18:24:38.000"</f>
        <v>18:24:38.000</v>
      </c>
      <c r="C1331" t="str">
        <f>"18:24:37.600"</f>
        <v>18:24:37.600</v>
      </c>
      <c r="D1331" t="s">
        <v>540</v>
      </c>
      <c r="E1331">
        <v>30.625268999999999</v>
      </c>
      <c r="F1331" t="s">
        <v>541</v>
      </c>
      <c r="G1331">
        <v>-89.849903999999995</v>
      </c>
      <c r="H1331">
        <v>1600</v>
      </c>
      <c r="I1331">
        <v>113</v>
      </c>
      <c r="J1331">
        <v>-89</v>
      </c>
      <c r="K1331">
        <v>192</v>
      </c>
      <c r="L1331">
        <v>1200</v>
      </c>
      <c r="M1331" t="str">
        <f t="shared" si="64"/>
        <v xml:space="preserve">N35DC   </v>
      </c>
      <c r="N1331">
        <v>1</v>
      </c>
      <c r="O1331">
        <v>1675</v>
      </c>
    </row>
    <row r="1332" spans="1:15" x14ac:dyDescent="0.25">
      <c r="A1332" t="str">
        <f>"10/21/2020 18:24:32.254"</f>
        <v>10/21/2020 18:24:32.254</v>
      </c>
      <c r="B1332" t="str">
        <f>"18:24:40.156"</f>
        <v>18:24:40.156</v>
      </c>
      <c r="C1332" t="str">
        <f>"18:24:40.056"</f>
        <v>18:24:40.056</v>
      </c>
      <c r="D1332" t="s">
        <v>542</v>
      </c>
      <c r="E1332">
        <v>30.624303999999999</v>
      </c>
      <c r="F1332" t="s">
        <v>543</v>
      </c>
      <c r="G1332">
        <v>-89.848658999999998</v>
      </c>
      <c r="H1332">
        <v>1600</v>
      </c>
      <c r="I1332">
        <v>103</v>
      </c>
      <c r="J1332">
        <v>-99</v>
      </c>
      <c r="K1332">
        <v>320</v>
      </c>
      <c r="L1332">
        <v>1200</v>
      </c>
      <c r="M1332" t="str">
        <f t="shared" si="64"/>
        <v xml:space="preserve">N35DC   </v>
      </c>
      <c r="N1332">
        <v>1</v>
      </c>
      <c r="O1332">
        <v>1700</v>
      </c>
    </row>
    <row r="1333" spans="1:15" x14ac:dyDescent="0.25">
      <c r="A1333" t="str">
        <f>"10/21/2020 18:24:32.254"</f>
        <v>10/21/2020 18:24:32.254</v>
      </c>
      <c r="B1333" t="str">
        <f>"18:24:40.156"</f>
        <v>18:24:40.156</v>
      </c>
      <c r="C1333" t="str">
        <f>"18:24:40.056"</f>
        <v>18:24:40.056</v>
      </c>
      <c r="D1333" t="s">
        <v>542</v>
      </c>
      <c r="E1333">
        <v>30.624303999999999</v>
      </c>
      <c r="F1333" t="s">
        <v>543</v>
      </c>
      <c r="G1333">
        <v>-89.848658999999998</v>
      </c>
      <c r="H1333">
        <v>1600</v>
      </c>
      <c r="I1333">
        <v>103</v>
      </c>
      <c r="J1333">
        <v>-99</v>
      </c>
      <c r="K1333">
        <v>320</v>
      </c>
      <c r="L1333">
        <v>1200</v>
      </c>
      <c r="M1333" t="str">
        <f t="shared" si="64"/>
        <v xml:space="preserve">N35DC   </v>
      </c>
      <c r="N1333">
        <v>1</v>
      </c>
      <c r="O1333">
        <v>1700</v>
      </c>
    </row>
    <row r="1334" spans="1:15" x14ac:dyDescent="0.25">
      <c r="A1334" t="str">
        <f>"10/21/2020 18:24:32.254"</f>
        <v>10/21/2020 18:24:32.254</v>
      </c>
      <c r="B1334" t="str">
        <f>"18:24:40.156"</f>
        <v>18:24:40.156</v>
      </c>
      <c r="C1334" t="str">
        <f>"18:24:40.056"</f>
        <v>18:24:40.056</v>
      </c>
      <c r="D1334" t="s">
        <v>542</v>
      </c>
      <c r="E1334">
        <v>30.624303999999999</v>
      </c>
      <c r="F1334" t="s">
        <v>543</v>
      </c>
      <c r="G1334">
        <v>-89.848658999999998</v>
      </c>
      <c r="H1334">
        <v>1600</v>
      </c>
      <c r="I1334">
        <v>103</v>
      </c>
      <c r="J1334">
        <v>-99</v>
      </c>
      <c r="K1334">
        <v>320</v>
      </c>
      <c r="L1334">
        <v>1200</v>
      </c>
      <c r="M1334" t="str">
        <f t="shared" si="64"/>
        <v xml:space="preserve">N35DC   </v>
      </c>
      <c r="N1334">
        <v>1</v>
      </c>
      <c r="O1334">
        <v>1700</v>
      </c>
    </row>
    <row r="1335" spans="1:15" x14ac:dyDescent="0.25">
      <c r="A1335" t="str">
        <f>"10/21/2020 18:24:32.254"</f>
        <v>10/21/2020 18:24:32.254</v>
      </c>
      <c r="B1335" t="str">
        <f>"18:24:40.156"</f>
        <v>18:24:40.156</v>
      </c>
      <c r="C1335" t="str">
        <f>"18:24:40.056"</f>
        <v>18:24:40.056</v>
      </c>
      <c r="D1335" t="s">
        <v>542</v>
      </c>
      <c r="E1335">
        <v>30.624303999999999</v>
      </c>
      <c r="F1335" t="s">
        <v>543</v>
      </c>
      <c r="G1335">
        <v>-89.848658999999998</v>
      </c>
      <c r="H1335">
        <v>1600</v>
      </c>
      <c r="I1335">
        <v>103</v>
      </c>
      <c r="J1335">
        <v>-99</v>
      </c>
      <c r="K1335">
        <v>320</v>
      </c>
      <c r="L1335">
        <v>1200</v>
      </c>
      <c r="M1335" t="str">
        <f t="shared" si="64"/>
        <v xml:space="preserve">N35DC   </v>
      </c>
      <c r="N1335">
        <v>1</v>
      </c>
      <c r="O1335">
        <v>1700</v>
      </c>
    </row>
    <row r="1336" spans="1:15" x14ac:dyDescent="0.25">
      <c r="A1336" t="str">
        <f>"10/21/2020 18:24:32.254"</f>
        <v>10/21/2020 18:24:32.254</v>
      </c>
      <c r="B1336" t="str">
        <f>"18:24:40.156"</f>
        <v>18:24:40.156</v>
      </c>
      <c r="C1336" t="str">
        <f>"18:24:40.056"</f>
        <v>18:24:40.056</v>
      </c>
      <c r="D1336" t="s">
        <v>542</v>
      </c>
      <c r="E1336">
        <v>30.624303999999999</v>
      </c>
      <c r="F1336" t="s">
        <v>543</v>
      </c>
      <c r="G1336">
        <v>-89.848658999999998</v>
      </c>
      <c r="H1336">
        <v>1600</v>
      </c>
      <c r="I1336">
        <v>103</v>
      </c>
      <c r="J1336">
        <v>-99</v>
      </c>
      <c r="K1336">
        <v>320</v>
      </c>
      <c r="L1336">
        <v>1200</v>
      </c>
      <c r="M1336" t="str">
        <f t="shared" si="64"/>
        <v xml:space="preserve">N35DC   </v>
      </c>
      <c r="N1336">
        <v>1</v>
      </c>
      <c r="O1336">
        <v>1700</v>
      </c>
    </row>
    <row r="1337" spans="1:15" x14ac:dyDescent="0.25">
      <c r="A1337" t="str">
        <f>"10/21/2020 18:24:33.369"</f>
        <v>10/21/2020 18:24:33.369</v>
      </c>
      <c r="B1337" t="str">
        <f>"18:24:41.281"</f>
        <v>18:24:41.281</v>
      </c>
      <c r="C1337" t="str">
        <f>"18:24:40.981"</f>
        <v>18:24:40.981</v>
      </c>
      <c r="D1337" t="s">
        <v>544</v>
      </c>
      <c r="E1337">
        <v>30.623746000000001</v>
      </c>
      <c r="F1337" t="s">
        <v>545</v>
      </c>
      <c r="G1337">
        <v>-89.848079999999996</v>
      </c>
      <c r="H1337">
        <v>1600</v>
      </c>
      <c r="I1337">
        <v>100</v>
      </c>
      <c r="J1337">
        <v>-102</v>
      </c>
      <c r="K1337">
        <v>384</v>
      </c>
      <c r="L1337">
        <v>1200</v>
      </c>
      <c r="M1337" t="str">
        <f t="shared" si="64"/>
        <v xml:space="preserve">N35DC   </v>
      </c>
      <c r="N1337">
        <v>1</v>
      </c>
      <c r="O1337">
        <v>1700</v>
      </c>
    </row>
    <row r="1338" spans="1:15" x14ac:dyDescent="0.25">
      <c r="A1338" t="str">
        <f>"10/21/2020 18:24:33.369"</f>
        <v>10/21/2020 18:24:33.369</v>
      </c>
      <c r="B1338" t="str">
        <f>"18:24:41.281"</f>
        <v>18:24:41.281</v>
      </c>
      <c r="C1338" t="str">
        <f>"18:24:40.981"</f>
        <v>18:24:40.981</v>
      </c>
      <c r="D1338" t="s">
        <v>544</v>
      </c>
      <c r="E1338">
        <v>30.623746000000001</v>
      </c>
      <c r="F1338" t="s">
        <v>545</v>
      </c>
      <c r="G1338">
        <v>-89.848079999999996</v>
      </c>
      <c r="H1338">
        <v>1600</v>
      </c>
      <c r="I1338">
        <v>100</v>
      </c>
      <c r="J1338">
        <v>-102</v>
      </c>
      <c r="K1338">
        <v>384</v>
      </c>
      <c r="L1338">
        <v>1200</v>
      </c>
      <c r="M1338" t="str">
        <f t="shared" si="64"/>
        <v xml:space="preserve">N35DC   </v>
      </c>
      <c r="N1338">
        <v>1</v>
      </c>
      <c r="O1338">
        <v>1700</v>
      </c>
    </row>
    <row r="1339" spans="1:15" x14ac:dyDescent="0.25">
      <c r="A1339" t="str">
        <f>"10/21/2020 18:24:33.369"</f>
        <v>10/21/2020 18:24:33.369</v>
      </c>
      <c r="B1339" t="str">
        <f>"18:24:41.281"</f>
        <v>18:24:41.281</v>
      </c>
      <c r="C1339" t="str">
        <f>"18:24:40.981"</f>
        <v>18:24:40.981</v>
      </c>
      <c r="D1339" t="s">
        <v>544</v>
      </c>
      <c r="E1339">
        <v>30.623746000000001</v>
      </c>
      <c r="F1339" t="s">
        <v>545</v>
      </c>
      <c r="G1339">
        <v>-89.848079999999996</v>
      </c>
      <c r="H1339">
        <v>1600</v>
      </c>
      <c r="I1339">
        <v>100</v>
      </c>
      <c r="J1339">
        <v>-102</v>
      </c>
      <c r="K1339">
        <v>384</v>
      </c>
      <c r="L1339">
        <v>1200</v>
      </c>
      <c r="M1339" t="str">
        <f t="shared" si="64"/>
        <v xml:space="preserve">N35DC   </v>
      </c>
      <c r="N1339">
        <v>1</v>
      </c>
      <c r="O1339">
        <v>1700</v>
      </c>
    </row>
    <row r="1340" spans="1:15" x14ac:dyDescent="0.25">
      <c r="A1340" t="str">
        <f>"10/21/2020 18:24:33.369"</f>
        <v>10/21/2020 18:24:33.369</v>
      </c>
      <c r="B1340" t="str">
        <f>"18:24:41.281"</f>
        <v>18:24:41.281</v>
      </c>
      <c r="C1340" t="str">
        <f>"18:24:40.981"</f>
        <v>18:24:40.981</v>
      </c>
      <c r="D1340" t="s">
        <v>544</v>
      </c>
      <c r="E1340">
        <v>30.623746000000001</v>
      </c>
      <c r="F1340" t="s">
        <v>545</v>
      </c>
      <c r="G1340">
        <v>-89.848079999999996</v>
      </c>
      <c r="H1340">
        <v>1600</v>
      </c>
      <c r="I1340">
        <v>100</v>
      </c>
      <c r="J1340">
        <v>-102</v>
      </c>
      <c r="K1340">
        <v>384</v>
      </c>
      <c r="L1340">
        <v>1200</v>
      </c>
      <c r="M1340" t="str">
        <f t="shared" si="64"/>
        <v xml:space="preserve">N35DC   </v>
      </c>
      <c r="N1340">
        <v>1</v>
      </c>
      <c r="O1340">
        <v>1700</v>
      </c>
    </row>
    <row r="1341" spans="1:15" x14ac:dyDescent="0.25">
      <c r="A1341" t="str">
        <f>"10/21/2020 18:24:33.369"</f>
        <v>10/21/2020 18:24:33.369</v>
      </c>
      <c r="B1341" t="str">
        <f>"18:24:41.281"</f>
        <v>18:24:41.281</v>
      </c>
      <c r="C1341" t="str">
        <f>"18:24:40.981"</f>
        <v>18:24:40.981</v>
      </c>
      <c r="D1341" t="s">
        <v>544</v>
      </c>
      <c r="E1341">
        <v>30.623746000000001</v>
      </c>
      <c r="F1341" t="s">
        <v>545</v>
      </c>
      <c r="G1341">
        <v>-89.848079999999996</v>
      </c>
      <c r="H1341">
        <v>1600</v>
      </c>
      <c r="I1341">
        <v>100</v>
      </c>
      <c r="J1341">
        <v>-102</v>
      </c>
      <c r="K1341">
        <v>384</v>
      </c>
      <c r="L1341">
        <v>1200</v>
      </c>
      <c r="M1341" t="str">
        <f t="shared" si="64"/>
        <v xml:space="preserve">N35DC   </v>
      </c>
      <c r="N1341">
        <v>1</v>
      </c>
      <c r="O1341">
        <v>1700</v>
      </c>
    </row>
    <row r="1342" spans="1:15" x14ac:dyDescent="0.25">
      <c r="A1342" t="str">
        <f>"10/21/2020 18:24:36.203"</f>
        <v>10/21/2020 18:24:36.203</v>
      </c>
      <c r="B1342" t="str">
        <f>"18:24:44.102"</f>
        <v>18:24:44.102</v>
      </c>
      <c r="C1342" t="str">
        <f>"18:24:44.002"</f>
        <v>18:24:44.002</v>
      </c>
      <c r="D1342" t="s">
        <v>546</v>
      </c>
      <c r="E1342">
        <v>30.622330000000002</v>
      </c>
      <c r="F1342" t="s">
        <v>547</v>
      </c>
      <c r="G1342">
        <v>-89.846684999999994</v>
      </c>
      <c r="H1342">
        <v>1600</v>
      </c>
      <c r="I1342">
        <v>88</v>
      </c>
      <c r="J1342">
        <v>-113</v>
      </c>
      <c r="K1342">
        <v>192</v>
      </c>
      <c r="L1342">
        <v>1200</v>
      </c>
      <c r="M1342" t="str">
        <f t="shared" si="64"/>
        <v xml:space="preserve">N35DC   </v>
      </c>
      <c r="N1342">
        <v>1</v>
      </c>
      <c r="O1342">
        <v>1725</v>
      </c>
    </row>
    <row r="1343" spans="1:15" x14ac:dyDescent="0.25">
      <c r="A1343" t="str">
        <f>"10/21/2020 18:24:36.203"</f>
        <v>10/21/2020 18:24:36.203</v>
      </c>
      <c r="B1343" t="str">
        <f>"18:24:44.102"</f>
        <v>18:24:44.102</v>
      </c>
      <c r="C1343" t="str">
        <f>"18:24:44.002"</f>
        <v>18:24:44.002</v>
      </c>
      <c r="D1343" t="s">
        <v>546</v>
      </c>
      <c r="E1343">
        <v>30.622330000000002</v>
      </c>
      <c r="F1343" t="s">
        <v>547</v>
      </c>
      <c r="G1343">
        <v>-89.846684999999994</v>
      </c>
      <c r="H1343">
        <v>1600</v>
      </c>
      <c r="I1343">
        <v>88</v>
      </c>
      <c r="J1343">
        <v>-113</v>
      </c>
      <c r="K1343">
        <v>192</v>
      </c>
      <c r="L1343">
        <v>1200</v>
      </c>
      <c r="M1343" t="str">
        <f t="shared" si="64"/>
        <v xml:space="preserve">N35DC   </v>
      </c>
      <c r="N1343">
        <v>1</v>
      </c>
      <c r="O1343">
        <v>1725</v>
      </c>
    </row>
    <row r="1344" spans="1:15" x14ac:dyDescent="0.25">
      <c r="A1344" t="str">
        <f>"10/21/2020 18:24:36.203"</f>
        <v>10/21/2020 18:24:36.203</v>
      </c>
      <c r="B1344" t="str">
        <f>"18:24:44.102"</f>
        <v>18:24:44.102</v>
      </c>
      <c r="C1344" t="str">
        <f>"18:24:44.002"</f>
        <v>18:24:44.002</v>
      </c>
      <c r="D1344" t="s">
        <v>546</v>
      </c>
      <c r="E1344">
        <v>30.622330000000002</v>
      </c>
      <c r="F1344" t="s">
        <v>547</v>
      </c>
      <c r="G1344">
        <v>-89.846684999999994</v>
      </c>
      <c r="H1344">
        <v>1600</v>
      </c>
      <c r="I1344">
        <v>88</v>
      </c>
      <c r="J1344">
        <v>-113</v>
      </c>
      <c r="K1344">
        <v>192</v>
      </c>
      <c r="L1344">
        <v>1200</v>
      </c>
      <c r="M1344" t="str">
        <f t="shared" si="64"/>
        <v xml:space="preserve">N35DC   </v>
      </c>
      <c r="N1344">
        <v>1</v>
      </c>
      <c r="O1344">
        <v>1725</v>
      </c>
    </row>
    <row r="1345" spans="1:15" x14ac:dyDescent="0.25">
      <c r="A1345" t="str">
        <f>"10/21/2020 18:24:36.203"</f>
        <v>10/21/2020 18:24:36.203</v>
      </c>
      <c r="B1345" t="str">
        <f>"18:24:44.102"</f>
        <v>18:24:44.102</v>
      </c>
      <c r="C1345" t="str">
        <f>"18:24:44.002"</f>
        <v>18:24:44.002</v>
      </c>
      <c r="D1345" t="s">
        <v>546</v>
      </c>
      <c r="E1345">
        <v>30.622330000000002</v>
      </c>
      <c r="F1345" t="s">
        <v>547</v>
      </c>
      <c r="G1345">
        <v>-89.846684999999994</v>
      </c>
      <c r="H1345">
        <v>1600</v>
      </c>
      <c r="I1345">
        <v>88</v>
      </c>
      <c r="J1345">
        <v>-113</v>
      </c>
      <c r="K1345">
        <v>192</v>
      </c>
      <c r="L1345">
        <v>1200</v>
      </c>
      <c r="M1345" t="str">
        <f t="shared" si="64"/>
        <v xml:space="preserve">N35DC   </v>
      </c>
      <c r="N1345">
        <v>1</v>
      </c>
      <c r="O1345">
        <v>1725</v>
      </c>
    </row>
    <row r="1346" spans="1:15" x14ac:dyDescent="0.25">
      <c r="A1346" t="str">
        <f>"10/21/2020 18:24:36.203"</f>
        <v>10/21/2020 18:24:36.203</v>
      </c>
      <c r="B1346" t="str">
        <f>"18:24:44.102"</f>
        <v>18:24:44.102</v>
      </c>
      <c r="C1346" t="str">
        <f>"18:24:44.002"</f>
        <v>18:24:44.002</v>
      </c>
      <c r="D1346" t="s">
        <v>546</v>
      </c>
      <c r="E1346">
        <v>30.622330000000002</v>
      </c>
      <c r="F1346" t="s">
        <v>547</v>
      </c>
      <c r="G1346">
        <v>-89.846684999999994</v>
      </c>
      <c r="H1346">
        <v>1600</v>
      </c>
      <c r="I1346">
        <v>88</v>
      </c>
      <c r="J1346">
        <v>-113</v>
      </c>
      <c r="K1346">
        <v>192</v>
      </c>
      <c r="L1346">
        <v>1200</v>
      </c>
      <c r="M1346" t="str">
        <f t="shared" si="64"/>
        <v xml:space="preserve">N35DC   </v>
      </c>
      <c r="N1346">
        <v>1</v>
      </c>
      <c r="O1346">
        <v>1725</v>
      </c>
    </row>
    <row r="1347" spans="1:15" x14ac:dyDescent="0.25">
      <c r="A1347" t="str">
        <f>"10/21/2020 18:24:37.113"</f>
        <v>10/21/2020 18:24:37.113</v>
      </c>
      <c r="B1347" t="str">
        <f>"18:24:45.031"</f>
        <v>18:24:45.031</v>
      </c>
      <c r="C1347" t="str">
        <f>"18:24:44.631"</f>
        <v>18:24:44.631</v>
      </c>
      <c r="D1347" t="s">
        <v>548</v>
      </c>
      <c r="E1347">
        <v>30.621835999999998</v>
      </c>
      <c r="F1347" t="s">
        <v>549</v>
      </c>
      <c r="G1347">
        <v>-89.846255999999997</v>
      </c>
      <c r="H1347">
        <v>1600</v>
      </c>
      <c r="I1347">
        <v>85</v>
      </c>
      <c r="J1347">
        <v>-116</v>
      </c>
      <c r="K1347">
        <v>64</v>
      </c>
      <c r="L1347">
        <v>1200</v>
      </c>
      <c r="M1347" t="str">
        <f t="shared" si="64"/>
        <v xml:space="preserve">N35DC   </v>
      </c>
      <c r="N1347">
        <v>1</v>
      </c>
      <c r="O1347">
        <v>1725</v>
      </c>
    </row>
    <row r="1348" spans="1:15" x14ac:dyDescent="0.25">
      <c r="A1348" t="str">
        <f>"10/21/2020 18:24:37.113"</f>
        <v>10/21/2020 18:24:37.113</v>
      </c>
      <c r="B1348" t="str">
        <f>"18:24:45.031"</f>
        <v>18:24:45.031</v>
      </c>
      <c r="C1348" t="str">
        <f>"18:24:44.631"</f>
        <v>18:24:44.631</v>
      </c>
      <c r="D1348" t="s">
        <v>548</v>
      </c>
      <c r="E1348">
        <v>30.621835999999998</v>
      </c>
      <c r="F1348" t="s">
        <v>549</v>
      </c>
      <c r="G1348">
        <v>-89.846255999999997</v>
      </c>
      <c r="H1348">
        <v>1600</v>
      </c>
      <c r="I1348">
        <v>85</v>
      </c>
      <c r="J1348">
        <v>-116</v>
      </c>
      <c r="K1348">
        <v>64</v>
      </c>
      <c r="L1348">
        <v>1200</v>
      </c>
      <c r="M1348" t="str">
        <f t="shared" si="64"/>
        <v xml:space="preserve">N35DC   </v>
      </c>
      <c r="N1348">
        <v>1</v>
      </c>
      <c r="O1348">
        <v>1725</v>
      </c>
    </row>
    <row r="1349" spans="1:15" x14ac:dyDescent="0.25">
      <c r="A1349" t="str">
        <f>"10/21/2020 18:24:37.113"</f>
        <v>10/21/2020 18:24:37.113</v>
      </c>
      <c r="B1349" t="str">
        <f>"18:24:45.031"</f>
        <v>18:24:45.031</v>
      </c>
      <c r="C1349" t="str">
        <f>"18:24:44.631"</f>
        <v>18:24:44.631</v>
      </c>
      <c r="D1349" t="s">
        <v>548</v>
      </c>
      <c r="E1349">
        <v>30.621835999999998</v>
      </c>
      <c r="F1349" t="s">
        <v>549</v>
      </c>
      <c r="G1349">
        <v>-89.846255999999997</v>
      </c>
      <c r="H1349">
        <v>1600</v>
      </c>
      <c r="I1349">
        <v>85</v>
      </c>
      <c r="J1349">
        <v>-116</v>
      </c>
      <c r="K1349">
        <v>64</v>
      </c>
      <c r="L1349">
        <v>1200</v>
      </c>
      <c r="M1349" t="str">
        <f t="shared" si="64"/>
        <v xml:space="preserve">N35DC   </v>
      </c>
      <c r="N1349">
        <v>1</v>
      </c>
      <c r="O1349">
        <v>1725</v>
      </c>
    </row>
    <row r="1350" spans="1:15" x14ac:dyDescent="0.25">
      <c r="A1350" t="str">
        <f>"10/21/2020 18:24:37.113"</f>
        <v>10/21/2020 18:24:37.113</v>
      </c>
      <c r="B1350" t="str">
        <f>"18:24:45.031"</f>
        <v>18:24:45.031</v>
      </c>
      <c r="C1350" t="str">
        <f>"18:24:44.631"</f>
        <v>18:24:44.631</v>
      </c>
      <c r="D1350" t="s">
        <v>548</v>
      </c>
      <c r="E1350">
        <v>30.621835999999998</v>
      </c>
      <c r="F1350" t="s">
        <v>549</v>
      </c>
      <c r="G1350">
        <v>-89.846255999999997</v>
      </c>
      <c r="H1350">
        <v>1600</v>
      </c>
      <c r="I1350">
        <v>85</v>
      </c>
      <c r="J1350">
        <v>-116</v>
      </c>
      <c r="K1350">
        <v>64</v>
      </c>
      <c r="L1350">
        <v>1200</v>
      </c>
      <c r="M1350" t="str">
        <f t="shared" si="64"/>
        <v xml:space="preserve">N35DC   </v>
      </c>
      <c r="N1350">
        <v>1</v>
      </c>
      <c r="O1350">
        <v>1725</v>
      </c>
    </row>
    <row r="1351" spans="1:15" x14ac:dyDescent="0.25">
      <c r="A1351" t="str">
        <f>"10/21/2020 18:24:37.113"</f>
        <v>10/21/2020 18:24:37.113</v>
      </c>
      <c r="B1351" t="str">
        <f>"18:24:45.031"</f>
        <v>18:24:45.031</v>
      </c>
      <c r="C1351" t="str">
        <f>"18:24:44.631"</f>
        <v>18:24:44.631</v>
      </c>
      <c r="D1351" t="s">
        <v>548</v>
      </c>
      <c r="E1351">
        <v>30.621835999999998</v>
      </c>
      <c r="F1351" t="s">
        <v>549</v>
      </c>
      <c r="G1351">
        <v>-89.846255999999997</v>
      </c>
      <c r="H1351">
        <v>1600</v>
      </c>
      <c r="I1351">
        <v>85</v>
      </c>
      <c r="J1351">
        <v>-116</v>
      </c>
      <c r="K1351">
        <v>64</v>
      </c>
      <c r="L1351">
        <v>1200</v>
      </c>
      <c r="M1351" t="str">
        <f t="shared" ref="M1351:M1414" si="75">"N35DC   "</f>
        <v xml:space="preserve">N35DC   </v>
      </c>
      <c r="N1351">
        <v>1</v>
      </c>
      <c r="O1351">
        <v>1725</v>
      </c>
    </row>
    <row r="1352" spans="1:15" x14ac:dyDescent="0.25">
      <c r="A1352" t="str">
        <f>"10/21/2020 18:24:40.160"</f>
        <v>10/21/2020 18:24:40.160</v>
      </c>
      <c r="B1352" t="str">
        <f>"18:24:48.109"</f>
        <v>18:24:48.109</v>
      </c>
      <c r="C1352" t="str">
        <f>"18:24:47.709"</f>
        <v>18:24:47.709</v>
      </c>
      <c r="D1352" t="s">
        <v>550</v>
      </c>
      <c r="E1352">
        <v>30.620076999999998</v>
      </c>
      <c r="F1352" t="s">
        <v>551</v>
      </c>
      <c r="G1352">
        <v>-89.845011</v>
      </c>
      <c r="H1352">
        <v>1600</v>
      </c>
      <c r="I1352">
        <v>72</v>
      </c>
      <c r="J1352">
        <v>-126</v>
      </c>
      <c r="K1352">
        <v>-192</v>
      </c>
      <c r="L1352">
        <v>1200</v>
      </c>
      <c r="M1352" t="str">
        <f t="shared" si="75"/>
        <v xml:space="preserve">N35DC   </v>
      </c>
      <c r="N1352">
        <v>1</v>
      </c>
      <c r="O1352">
        <v>1725</v>
      </c>
    </row>
    <row r="1353" spans="1:15" x14ac:dyDescent="0.25">
      <c r="A1353" t="str">
        <f>"10/21/2020 18:24:40.160"</f>
        <v>10/21/2020 18:24:40.160</v>
      </c>
      <c r="B1353" t="str">
        <f>"18:24:48.109"</f>
        <v>18:24:48.109</v>
      </c>
      <c r="C1353" t="str">
        <f>"18:24:47.709"</f>
        <v>18:24:47.709</v>
      </c>
      <c r="D1353" t="s">
        <v>550</v>
      </c>
      <c r="E1353">
        <v>30.620076999999998</v>
      </c>
      <c r="F1353" t="s">
        <v>551</v>
      </c>
      <c r="G1353">
        <v>-89.845011</v>
      </c>
      <c r="H1353">
        <v>1600</v>
      </c>
      <c r="I1353">
        <v>72</v>
      </c>
      <c r="J1353">
        <v>-126</v>
      </c>
      <c r="K1353">
        <v>-192</v>
      </c>
      <c r="L1353">
        <v>1200</v>
      </c>
      <c r="M1353" t="str">
        <f t="shared" si="75"/>
        <v xml:space="preserve">N35DC   </v>
      </c>
      <c r="N1353">
        <v>1</v>
      </c>
      <c r="O1353">
        <v>1725</v>
      </c>
    </row>
    <row r="1354" spans="1:15" x14ac:dyDescent="0.25">
      <c r="A1354" t="str">
        <f>"10/21/2020 18:24:40.160"</f>
        <v>10/21/2020 18:24:40.160</v>
      </c>
      <c r="B1354" t="str">
        <f>"18:24:48.109"</f>
        <v>18:24:48.109</v>
      </c>
      <c r="C1354" t="str">
        <f>"18:24:47.709"</f>
        <v>18:24:47.709</v>
      </c>
      <c r="D1354" t="s">
        <v>550</v>
      </c>
      <c r="E1354">
        <v>30.620076999999998</v>
      </c>
      <c r="F1354" t="s">
        <v>551</v>
      </c>
      <c r="G1354">
        <v>-89.845011</v>
      </c>
      <c r="H1354">
        <v>1600</v>
      </c>
      <c r="I1354">
        <v>72</v>
      </c>
      <c r="J1354">
        <v>-126</v>
      </c>
      <c r="K1354">
        <v>-192</v>
      </c>
      <c r="L1354">
        <v>1200</v>
      </c>
      <c r="M1354" t="str">
        <f t="shared" si="75"/>
        <v xml:space="preserve">N35DC   </v>
      </c>
      <c r="N1354">
        <v>1</v>
      </c>
      <c r="O1354">
        <v>1725</v>
      </c>
    </row>
    <row r="1355" spans="1:15" x14ac:dyDescent="0.25">
      <c r="A1355" t="str">
        <f>"10/21/2020 18:24:40.160"</f>
        <v>10/21/2020 18:24:40.160</v>
      </c>
      <c r="B1355" t="str">
        <f>"18:24:48.109"</f>
        <v>18:24:48.109</v>
      </c>
      <c r="C1355" t="str">
        <f>"18:24:47.709"</f>
        <v>18:24:47.709</v>
      </c>
      <c r="D1355" t="s">
        <v>550</v>
      </c>
      <c r="E1355">
        <v>30.620076999999998</v>
      </c>
      <c r="F1355" t="s">
        <v>551</v>
      </c>
      <c r="G1355">
        <v>-89.845011</v>
      </c>
      <c r="H1355">
        <v>1600</v>
      </c>
      <c r="I1355">
        <v>72</v>
      </c>
      <c r="J1355">
        <v>-126</v>
      </c>
      <c r="K1355">
        <v>-192</v>
      </c>
      <c r="L1355">
        <v>1200</v>
      </c>
      <c r="M1355" t="str">
        <f t="shared" si="75"/>
        <v xml:space="preserve">N35DC   </v>
      </c>
      <c r="N1355">
        <v>1</v>
      </c>
      <c r="O1355">
        <v>1725</v>
      </c>
    </row>
    <row r="1356" spans="1:15" x14ac:dyDescent="0.25">
      <c r="A1356" t="str">
        <f>"10/21/2020 18:24:40.160"</f>
        <v>10/21/2020 18:24:40.160</v>
      </c>
      <c r="B1356" t="str">
        <f>"18:24:48.109"</f>
        <v>18:24:48.109</v>
      </c>
      <c r="C1356" t="str">
        <f>"18:24:47.709"</f>
        <v>18:24:47.709</v>
      </c>
      <c r="D1356" t="s">
        <v>550</v>
      </c>
      <c r="E1356">
        <v>30.620076999999998</v>
      </c>
      <c r="F1356" t="s">
        <v>551</v>
      </c>
      <c r="G1356">
        <v>-89.845011</v>
      </c>
      <c r="H1356">
        <v>1600</v>
      </c>
      <c r="I1356">
        <v>72</v>
      </c>
      <c r="J1356">
        <v>-126</v>
      </c>
      <c r="K1356">
        <v>-192</v>
      </c>
      <c r="L1356">
        <v>1200</v>
      </c>
      <c r="M1356" t="str">
        <f t="shared" si="75"/>
        <v xml:space="preserve">N35DC   </v>
      </c>
      <c r="N1356">
        <v>1</v>
      </c>
      <c r="O1356">
        <v>1725</v>
      </c>
    </row>
    <row r="1357" spans="1:15" x14ac:dyDescent="0.25">
      <c r="A1357" t="str">
        <f>"10/21/2020 18:24:43.066"</f>
        <v>10/21/2020 18:24:43.066</v>
      </c>
      <c r="B1357" t="str">
        <f>"18:24:51.000"</f>
        <v>18:24:51.000</v>
      </c>
      <c r="C1357" t="str">
        <f>"18:24:50.800"</f>
        <v>18:24:50.800</v>
      </c>
      <c r="D1357" t="s">
        <v>552</v>
      </c>
      <c r="E1357">
        <v>30.618252999999999</v>
      </c>
      <c r="F1357" t="s">
        <v>553</v>
      </c>
      <c r="G1357">
        <v>-89.844110000000001</v>
      </c>
      <c r="H1357">
        <v>1600</v>
      </c>
      <c r="I1357">
        <v>55</v>
      </c>
      <c r="J1357">
        <v>-137</v>
      </c>
      <c r="K1357">
        <v>-512</v>
      </c>
      <c r="L1357">
        <v>1200</v>
      </c>
      <c r="M1357" t="str">
        <f t="shared" si="75"/>
        <v xml:space="preserve">N35DC   </v>
      </c>
      <c r="N1357">
        <v>1</v>
      </c>
      <c r="O1357">
        <v>1700</v>
      </c>
    </row>
    <row r="1358" spans="1:15" x14ac:dyDescent="0.25">
      <c r="A1358" t="str">
        <f>"10/21/2020 18:24:43.066"</f>
        <v>10/21/2020 18:24:43.066</v>
      </c>
      <c r="B1358" t="str">
        <f>"18:24:51.000"</f>
        <v>18:24:51.000</v>
      </c>
      <c r="C1358" t="str">
        <f>"18:24:50.800"</f>
        <v>18:24:50.800</v>
      </c>
      <c r="D1358" t="s">
        <v>552</v>
      </c>
      <c r="E1358">
        <v>30.618252999999999</v>
      </c>
      <c r="F1358" t="s">
        <v>553</v>
      </c>
      <c r="G1358">
        <v>-89.844110000000001</v>
      </c>
      <c r="H1358">
        <v>1600</v>
      </c>
      <c r="I1358">
        <v>55</v>
      </c>
      <c r="J1358">
        <v>-137</v>
      </c>
      <c r="K1358">
        <v>-512</v>
      </c>
      <c r="L1358">
        <v>1200</v>
      </c>
      <c r="M1358" t="str">
        <f t="shared" si="75"/>
        <v xml:space="preserve">N35DC   </v>
      </c>
      <c r="N1358">
        <v>1</v>
      </c>
      <c r="O1358">
        <v>1700</v>
      </c>
    </row>
    <row r="1359" spans="1:15" x14ac:dyDescent="0.25">
      <c r="A1359" t="str">
        <f>"10/21/2020 18:24:43.066"</f>
        <v>10/21/2020 18:24:43.066</v>
      </c>
      <c r="B1359" t="str">
        <f>"18:24:51.000"</f>
        <v>18:24:51.000</v>
      </c>
      <c r="C1359" t="str">
        <f>"18:24:50.800"</f>
        <v>18:24:50.800</v>
      </c>
      <c r="D1359" t="s">
        <v>552</v>
      </c>
      <c r="E1359">
        <v>30.618252999999999</v>
      </c>
      <c r="F1359" t="s">
        <v>553</v>
      </c>
      <c r="G1359">
        <v>-89.844110000000001</v>
      </c>
      <c r="H1359">
        <v>1600</v>
      </c>
      <c r="I1359">
        <v>55</v>
      </c>
      <c r="J1359">
        <v>-137</v>
      </c>
      <c r="K1359">
        <v>-512</v>
      </c>
      <c r="L1359">
        <v>1200</v>
      </c>
      <c r="M1359" t="str">
        <f t="shared" si="75"/>
        <v xml:space="preserve">N35DC   </v>
      </c>
      <c r="N1359">
        <v>1</v>
      </c>
      <c r="O1359">
        <v>1700</v>
      </c>
    </row>
    <row r="1360" spans="1:15" x14ac:dyDescent="0.25">
      <c r="A1360" t="str">
        <f>"10/21/2020 18:24:43.066"</f>
        <v>10/21/2020 18:24:43.066</v>
      </c>
      <c r="B1360" t="str">
        <f>"18:24:51.000"</f>
        <v>18:24:51.000</v>
      </c>
      <c r="C1360" t="str">
        <f>"18:24:50.800"</f>
        <v>18:24:50.800</v>
      </c>
      <c r="D1360" t="s">
        <v>552</v>
      </c>
      <c r="E1360">
        <v>30.618252999999999</v>
      </c>
      <c r="F1360" t="s">
        <v>553</v>
      </c>
      <c r="G1360">
        <v>-89.844110000000001</v>
      </c>
      <c r="H1360">
        <v>1600</v>
      </c>
      <c r="I1360">
        <v>55</v>
      </c>
      <c r="J1360">
        <v>-137</v>
      </c>
      <c r="K1360">
        <v>-512</v>
      </c>
      <c r="L1360">
        <v>1200</v>
      </c>
      <c r="M1360" t="str">
        <f t="shared" si="75"/>
        <v xml:space="preserve">N35DC   </v>
      </c>
      <c r="N1360">
        <v>1</v>
      </c>
      <c r="O1360">
        <v>1700</v>
      </c>
    </row>
    <row r="1361" spans="1:15" x14ac:dyDescent="0.25">
      <c r="A1361" t="str">
        <f>"10/21/2020 18:24:43.066"</f>
        <v>10/21/2020 18:24:43.066</v>
      </c>
      <c r="B1361" t="str">
        <f>"18:24:51.000"</f>
        <v>18:24:51.000</v>
      </c>
      <c r="C1361" t="str">
        <f>"18:24:50.800"</f>
        <v>18:24:50.800</v>
      </c>
      <c r="D1361" t="s">
        <v>552</v>
      </c>
      <c r="E1361">
        <v>30.618252999999999</v>
      </c>
      <c r="F1361" t="s">
        <v>553</v>
      </c>
      <c r="G1361">
        <v>-89.844110000000001</v>
      </c>
      <c r="H1361">
        <v>1600</v>
      </c>
      <c r="I1361">
        <v>55</v>
      </c>
      <c r="J1361">
        <v>-137</v>
      </c>
      <c r="K1361">
        <v>-512</v>
      </c>
      <c r="L1361">
        <v>1200</v>
      </c>
      <c r="M1361" t="str">
        <f t="shared" si="75"/>
        <v xml:space="preserve">N35DC   </v>
      </c>
      <c r="N1361">
        <v>1</v>
      </c>
      <c r="O1361">
        <v>1700</v>
      </c>
    </row>
    <row r="1362" spans="1:15" x14ac:dyDescent="0.25">
      <c r="A1362" t="str">
        <f>"10/21/2020 18:24:44.123"</f>
        <v>10/21/2020 18:24:44.123</v>
      </c>
      <c r="B1362" t="str">
        <f>"18:24:52.070"</f>
        <v>18:24:52.070</v>
      </c>
      <c r="C1362" t="str">
        <f>"18:24:51.770"</f>
        <v>18:24:51.770</v>
      </c>
      <c r="D1362" t="s">
        <v>554</v>
      </c>
      <c r="E1362">
        <v>30.617566</v>
      </c>
      <c r="F1362" t="s">
        <v>555</v>
      </c>
      <c r="G1362">
        <v>-89.843830999999994</v>
      </c>
      <c r="H1362">
        <v>1600</v>
      </c>
      <c r="I1362">
        <v>48</v>
      </c>
      <c r="J1362">
        <v>-141</v>
      </c>
      <c r="K1362">
        <v>-512</v>
      </c>
      <c r="L1362">
        <v>1200</v>
      </c>
      <c r="M1362" t="str">
        <f t="shared" si="75"/>
        <v xml:space="preserve">N35DC   </v>
      </c>
      <c r="N1362">
        <v>1</v>
      </c>
      <c r="O1362">
        <v>1700</v>
      </c>
    </row>
    <row r="1363" spans="1:15" x14ac:dyDescent="0.25">
      <c r="A1363" t="str">
        <f>"10/21/2020 18:24:44.123"</f>
        <v>10/21/2020 18:24:44.123</v>
      </c>
      <c r="B1363" t="str">
        <f>"18:24:52.070"</f>
        <v>18:24:52.070</v>
      </c>
      <c r="C1363" t="str">
        <f>"18:24:51.770"</f>
        <v>18:24:51.770</v>
      </c>
      <c r="D1363" t="s">
        <v>554</v>
      </c>
      <c r="E1363">
        <v>30.617566</v>
      </c>
      <c r="F1363" t="s">
        <v>555</v>
      </c>
      <c r="G1363">
        <v>-89.843830999999994</v>
      </c>
      <c r="H1363">
        <v>1600</v>
      </c>
      <c r="I1363">
        <v>48</v>
      </c>
      <c r="J1363">
        <v>-141</v>
      </c>
      <c r="K1363">
        <v>-512</v>
      </c>
      <c r="L1363">
        <v>1200</v>
      </c>
      <c r="M1363" t="str">
        <f t="shared" si="75"/>
        <v xml:space="preserve">N35DC   </v>
      </c>
      <c r="N1363">
        <v>1</v>
      </c>
      <c r="O1363">
        <v>1700</v>
      </c>
    </row>
    <row r="1364" spans="1:15" x14ac:dyDescent="0.25">
      <c r="A1364" t="str">
        <f>"10/21/2020 18:24:44.123"</f>
        <v>10/21/2020 18:24:44.123</v>
      </c>
      <c r="B1364" t="str">
        <f>"18:24:52.070"</f>
        <v>18:24:52.070</v>
      </c>
      <c r="C1364" t="str">
        <f>"18:24:51.770"</f>
        <v>18:24:51.770</v>
      </c>
      <c r="D1364" t="s">
        <v>554</v>
      </c>
      <c r="E1364">
        <v>30.617566</v>
      </c>
      <c r="F1364" t="s">
        <v>555</v>
      </c>
      <c r="G1364">
        <v>-89.843830999999994</v>
      </c>
      <c r="H1364">
        <v>1600</v>
      </c>
      <c r="I1364">
        <v>48</v>
      </c>
      <c r="J1364">
        <v>-141</v>
      </c>
      <c r="K1364">
        <v>-512</v>
      </c>
      <c r="L1364">
        <v>1200</v>
      </c>
      <c r="M1364" t="str">
        <f t="shared" si="75"/>
        <v xml:space="preserve">N35DC   </v>
      </c>
      <c r="N1364">
        <v>1</v>
      </c>
      <c r="O1364">
        <v>1700</v>
      </c>
    </row>
    <row r="1365" spans="1:15" x14ac:dyDescent="0.25">
      <c r="A1365" t="str">
        <f>"10/21/2020 18:24:44.123"</f>
        <v>10/21/2020 18:24:44.123</v>
      </c>
      <c r="B1365" t="str">
        <f>"18:24:52.070"</f>
        <v>18:24:52.070</v>
      </c>
      <c r="C1365" t="str">
        <f>"18:24:51.770"</f>
        <v>18:24:51.770</v>
      </c>
      <c r="D1365" t="s">
        <v>554</v>
      </c>
      <c r="E1365">
        <v>30.617566</v>
      </c>
      <c r="F1365" t="s">
        <v>555</v>
      </c>
      <c r="G1365">
        <v>-89.843830999999994</v>
      </c>
      <c r="H1365">
        <v>1600</v>
      </c>
      <c r="I1365">
        <v>48</v>
      </c>
      <c r="J1365">
        <v>-141</v>
      </c>
      <c r="K1365">
        <v>-512</v>
      </c>
      <c r="L1365">
        <v>1200</v>
      </c>
      <c r="M1365" t="str">
        <f t="shared" si="75"/>
        <v xml:space="preserve">N35DC   </v>
      </c>
      <c r="N1365">
        <v>1</v>
      </c>
      <c r="O1365">
        <v>1700</v>
      </c>
    </row>
    <row r="1366" spans="1:15" x14ac:dyDescent="0.25">
      <c r="A1366" t="str">
        <f>"10/21/2020 18:24:44.123"</f>
        <v>10/21/2020 18:24:44.123</v>
      </c>
      <c r="B1366" t="str">
        <f>"18:24:52.070"</f>
        <v>18:24:52.070</v>
      </c>
      <c r="C1366" t="str">
        <f>"18:24:51.770"</f>
        <v>18:24:51.770</v>
      </c>
      <c r="D1366" t="s">
        <v>554</v>
      </c>
      <c r="E1366">
        <v>30.617566</v>
      </c>
      <c r="F1366" t="s">
        <v>555</v>
      </c>
      <c r="G1366">
        <v>-89.843830999999994</v>
      </c>
      <c r="H1366">
        <v>1600</v>
      </c>
      <c r="I1366">
        <v>48</v>
      </c>
      <c r="J1366">
        <v>-141</v>
      </c>
      <c r="K1366">
        <v>-512</v>
      </c>
      <c r="L1366">
        <v>1200</v>
      </c>
      <c r="M1366" t="str">
        <f t="shared" si="75"/>
        <v xml:space="preserve">N35DC   </v>
      </c>
      <c r="N1366">
        <v>1</v>
      </c>
      <c r="O1366">
        <v>1700</v>
      </c>
    </row>
    <row r="1367" spans="1:15" x14ac:dyDescent="0.25">
      <c r="A1367" t="str">
        <f>"10/21/2020 18:24:47.077"</f>
        <v>10/21/2020 18:24:47.077</v>
      </c>
      <c r="B1367" t="str">
        <f>"18:24:55.008"</f>
        <v>18:24:55.008</v>
      </c>
      <c r="C1367" t="str">
        <f>"18:24:54.008"</f>
        <v>18:24:54.008</v>
      </c>
      <c r="D1367" t="s">
        <v>556</v>
      </c>
      <c r="E1367">
        <v>30.615549000000001</v>
      </c>
      <c r="F1367" t="s">
        <v>557</v>
      </c>
      <c r="G1367">
        <v>-89.843272999999996</v>
      </c>
      <c r="H1367">
        <v>1600</v>
      </c>
      <c r="I1367">
        <v>33</v>
      </c>
      <c r="J1367">
        <v>-147</v>
      </c>
      <c r="K1367">
        <v>-320</v>
      </c>
      <c r="L1367">
        <v>1200</v>
      </c>
      <c r="M1367" t="str">
        <f t="shared" si="75"/>
        <v xml:space="preserve">N35DC   </v>
      </c>
      <c r="N1367">
        <v>1</v>
      </c>
      <c r="O1367">
        <v>1675</v>
      </c>
    </row>
    <row r="1368" spans="1:15" x14ac:dyDescent="0.25">
      <c r="A1368" t="str">
        <f>"10/21/2020 18:24:47.077"</f>
        <v>10/21/2020 18:24:47.077</v>
      </c>
      <c r="B1368" t="str">
        <f>"18:24:55.008"</f>
        <v>18:24:55.008</v>
      </c>
      <c r="C1368" t="str">
        <f>"18:24:54.008"</f>
        <v>18:24:54.008</v>
      </c>
      <c r="D1368" t="s">
        <v>556</v>
      </c>
      <c r="E1368">
        <v>30.615549000000001</v>
      </c>
      <c r="F1368" t="s">
        <v>557</v>
      </c>
      <c r="G1368">
        <v>-89.843272999999996</v>
      </c>
      <c r="H1368">
        <v>1600</v>
      </c>
      <c r="I1368">
        <v>33</v>
      </c>
      <c r="J1368">
        <v>-147</v>
      </c>
      <c r="K1368">
        <v>-320</v>
      </c>
      <c r="L1368">
        <v>1200</v>
      </c>
      <c r="M1368" t="str">
        <f t="shared" si="75"/>
        <v xml:space="preserve">N35DC   </v>
      </c>
      <c r="N1368">
        <v>1</v>
      </c>
      <c r="O1368">
        <v>1675</v>
      </c>
    </row>
    <row r="1369" spans="1:15" x14ac:dyDescent="0.25">
      <c r="A1369" t="str">
        <f>"10/21/2020 18:24:47.077"</f>
        <v>10/21/2020 18:24:47.077</v>
      </c>
      <c r="B1369" t="str">
        <f>"18:24:55.008"</f>
        <v>18:24:55.008</v>
      </c>
      <c r="C1369" t="str">
        <f>"18:24:54.008"</f>
        <v>18:24:54.008</v>
      </c>
      <c r="D1369" t="s">
        <v>556</v>
      </c>
      <c r="E1369">
        <v>30.615549000000001</v>
      </c>
      <c r="F1369" t="s">
        <v>557</v>
      </c>
      <c r="G1369">
        <v>-89.843272999999996</v>
      </c>
      <c r="H1369">
        <v>1600</v>
      </c>
      <c r="I1369">
        <v>33</v>
      </c>
      <c r="J1369">
        <v>-147</v>
      </c>
      <c r="K1369">
        <v>-320</v>
      </c>
      <c r="L1369">
        <v>1200</v>
      </c>
      <c r="M1369" t="str">
        <f t="shared" si="75"/>
        <v xml:space="preserve">N35DC   </v>
      </c>
      <c r="N1369">
        <v>1</v>
      </c>
      <c r="O1369">
        <v>1675</v>
      </c>
    </row>
    <row r="1370" spans="1:15" x14ac:dyDescent="0.25">
      <c r="A1370" t="str">
        <f>"10/21/2020 18:24:47.077"</f>
        <v>10/21/2020 18:24:47.077</v>
      </c>
      <c r="B1370" t="str">
        <f>"18:24:55.008"</f>
        <v>18:24:55.008</v>
      </c>
      <c r="C1370" t="str">
        <f>"18:24:54.008"</f>
        <v>18:24:54.008</v>
      </c>
      <c r="D1370" t="s">
        <v>556</v>
      </c>
      <c r="E1370">
        <v>30.615549000000001</v>
      </c>
      <c r="F1370" t="s">
        <v>557</v>
      </c>
      <c r="G1370">
        <v>-89.843272999999996</v>
      </c>
      <c r="H1370">
        <v>1600</v>
      </c>
      <c r="I1370">
        <v>33</v>
      </c>
      <c r="J1370">
        <v>-147</v>
      </c>
      <c r="K1370">
        <v>-320</v>
      </c>
      <c r="L1370">
        <v>1200</v>
      </c>
      <c r="M1370" t="str">
        <f t="shared" si="75"/>
        <v xml:space="preserve">N35DC   </v>
      </c>
      <c r="N1370">
        <v>1</v>
      </c>
      <c r="O1370">
        <v>1675</v>
      </c>
    </row>
    <row r="1371" spans="1:15" x14ac:dyDescent="0.25">
      <c r="A1371" t="str">
        <f>"10/21/2020 18:24:47.077"</f>
        <v>10/21/2020 18:24:47.077</v>
      </c>
      <c r="B1371" t="str">
        <f>"18:24:55.008"</f>
        <v>18:24:55.008</v>
      </c>
      <c r="C1371" t="str">
        <f>"18:24:54.008"</f>
        <v>18:24:54.008</v>
      </c>
      <c r="D1371" t="s">
        <v>556</v>
      </c>
      <c r="E1371">
        <v>30.615549000000001</v>
      </c>
      <c r="F1371" t="s">
        <v>557</v>
      </c>
      <c r="G1371">
        <v>-89.843272999999996</v>
      </c>
      <c r="H1371">
        <v>1600</v>
      </c>
      <c r="I1371">
        <v>33</v>
      </c>
      <c r="J1371">
        <v>-147</v>
      </c>
      <c r="K1371">
        <v>-320</v>
      </c>
      <c r="L1371">
        <v>1200</v>
      </c>
      <c r="M1371" t="str">
        <f t="shared" si="75"/>
        <v xml:space="preserve">N35DC   </v>
      </c>
      <c r="N1371">
        <v>1</v>
      </c>
      <c r="O1371">
        <v>1675</v>
      </c>
    </row>
    <row r="1372" spans="1:15" x14ac:dyDescent="0.25">
      <c r="A1372" t="str">
        <f>"10/21/2020 18:24:50.110"</f>
        <v>10/21/2020 18:24:50.110</v>
      </c>
      <c r="B1372" t="str">
        <f>"18:24:58.039"</f>
        <v>18:24:58.039</v>
      </c>
      <c r="C1372" t="str">
        <f>"18:24:57.839"</f>
        <v>18:24:57.839</v>
      </c>
      <c r="D1372" t="s">
        <v>558</v>
      </c>
      <c r="E1372">
        <v>30.613446</v>
      </c>
      <c r="F1372" t="s">
        <v>559</v>
      </c>
      <c r="G1372">
        <v>-89.843058999999997</v>
      </c>
      <c r="H1372">
        <v>1600</v>
      </c>
      <c r="I1372">
        <v>9</v>
      </c>
      <c r="J1372">
        <v>-152</v>
      </c>
      <c r="K1372">
        <v>0</v>
      </c>
      <c r="L1372">
        <v>1200</v>
      </c>
      <c r="M1372" t="str">
        <f t="shared" si="75"/>
        <v xml:space="preserve">N35DC   </v>
      </c>
      <c r="N1372">
        <v>1</v>
      </c>
      <c r="O1372">
        <v>1675</v>
      </c>
    </row>
    <row r="1373" spans="1:15" x14ac:dyDescent="0.25">
      <c r="A1373" t="str">
        <f>"10/21/2020 18:24:50.110"</f>
        <v>10/21/2020 18:24:50.110</v>
      </c>
      <c r="B1373" t="str">
        <f>"18:24:58.039"</f>
        <v>18:24:58.039</v>
      </c>
      <c r="C1373" t="str">
        <f>"18:24:57.839"</f>
        <v>18:24:57.839</v>
      </c>
      <c r="D1373" t="s">
        <v>558</v>
      </c>
      <c r="E1373">
        <v>30.613446</v>
      </c>
      <c r="F1373" t="s">
        <v>559</v>
      </c>
      <c r="G1373">
        <v>-89.843058999999997</v>
      </c>
      <c r="H1373">
        <v>1600</v>
      </c>
      <c r="I1373">
        <v>9</v>
      </c>
      <c r="J1373">
        <v>-152</v>
      </c>
      <c r="K1373">
        <v>0</v>
      </c>
      <c r="L1373">
        <v>1200</v>
      </c>
      <c r="M1373" t="str">
        <f t="shared" si="75"/>
        <v xml:space="preserve">N35DC   </v>
      </c>
      <c r="N1373">
        <v>1</v>
      </c>
      <c r="O1373">
        <v>1675</v>
      </c>
    </row>
    <row r="1374" spans="1:15" x14ac:dyDescent="0.25">
      <c r="A1374" t="str">
        <f>"10/21/2020 18:24:50.110"</f>
        <v>10/21/2020 18:24:50.110</v>
      </c>
      <c r="B1374" t="str">
        <f>"18:24:58.039"</f>
        <v>18:24:58.039</v>
      </c>
      <c r="C1374" t="str">
        <f>"18:24:57.839"</f>
        <v>18:24:57.839</v>
      </c>
      <c r="D1374" t="s">
        <v>558</v>
      </c>
      <c r="E1374">
        <v>30.613446</v>
      </c>
      <c r="F1374" t="s">
        <v>559</v>
      </c>
      <c r="G1374">
        <v>-89.843058999999997</v>
      </c>
      <c r="H1374">
        <v>1600</v>
      </c>
      <c r="I1374">
        <v>9</v>
      </c>
      <c r="J1374">
        <v>-152</v>
      </c>
      <c r="K1374">
        <v>0</v>
      </c>
      <c r="L1374">
        <v>1200</v>
      </c>
      <c r="M1374" t="str">
        <f t="shared" si="75"/>
        <v xml:space="preserve">N35DC   </v>
      </c>
      <c r="N1374">
        <v>1</v>
      </c>
      <c r="O1374">
        <v>1675</v>
      </c>
    </row>
    <row r="1375" spans="1:15" x14ac:dyDescent="0.25">
      <c r="A1375" t="str">
        <f>"10/21/2020 18:24:50.110"</f>
        <v>10/21/2020 18:24:50.110</v>
      </c>
      <c r="B1375" t="str">
        <f>"18:24:58.039"</f>
        <v>18:24:58.039</v>
      </c>
      <c r="C1375" t="str">
        <f>"18:24:57.839"</f>
        <v>18:24:57.839</v>
      </c>
      <c r="D1375" t="s">
        <v>558</v>
      </c>
      <c r="E1375">
        <v>30.613446</v>
      </c>
      <c r="F1375" t="s">
        <v>559</v>
      </c>
      <c r="G1375">
        <v>-89.843058999999997</v>
      </c>
      <c r="H1375">
        <v>1600</v>
      </c>
      <c r="I1375">
        <v>9</v>
      </c>
      <c r="J1375">
        <v>-152</v>
      </c>
      <c r="K1375">
        <v>0</v>
      </c>
      <c r="L1375">
        <v>1200</v>
      </c>
      <c r="M1375" t="str">
        <f t="shared" si="75"/>
        <v xml:space="preserve">N35DC   </v>
      </c>
      <c r="N1375">
        <v>1</v>
      </c>
      <c r="O1375">
        <v>1675</v>
      </c>
    </row>
    <row r="1376" spans="1:15" x14ac:dyDescent="0.25">
      <c r="A1376" t="str">
        <f>"10/21/2020 18:24:50.110"</f>
        <v>10/21/2020 18:24:50.110</v>
      </c>
      <c r="B1376" t="str">
        <f>"18:24:58.039"</f>
        <v>18:24:58.039</v>
      </c>
      <c r="C1376" t="str">
        <f>"18:24:57.839"</f>
        <v>18:24:57.839</v>
      </c>
      <c r="D1376" t="s">
        <v>558</v>
      </c>
      <c r="E1376">
        <v>30.613446</v>
      </c>
      <c r="F1376" t="s">
        <v>559</v>
      </c>
      <c r="G1376">
        <v>-89.843058999999997</v>
      </c>
      <c r="H1376">
        <v>1600</v>
      </c>
      <c r="I1376">
        <v>9</v>
      </c>
      <c r="J1376">
        <v>-152</v>
      </c>
      <c r="K1376">
        <v>0</v>
      </c>
      <c r="L1376">
        <v>1200</v>
      </c>
      <c r="M1376" t="str">
        <f t="shared" si="75"/>
        <v xml:space="preserve">N35DC   </v>
      </c>
      <c r="N1376">
        <v>1</v>
      </c>
      <c r="O1376">
        <v>1675</v>
      </c>
    </row>
    <row r="1377" spans="1:15" x14ac:dyDescent="0.25">
      <c r="A1377" t="str">
        <f>"10/21/2020 18:24:51.179"</f>
        <v>10/21/2020 18:24:51.179</v>
      </c>
      <c r="B1377" t="str">
        <f>"18:24:59.102"</f>
        <v>18:24:59.102</v>
      </c>
      <c r="C1377" t="str">
        <f>"18:24:58.902"</f>
        <v>18:24:58.902</v>
      </c>
      <c r="D1377" t="s">
        <v>560</v>
      </c>
      <c r="E1377">
        <v>30.612652000000001</v>
      </c>
      <c r="F1377" t="s">
        <v>561</v>
      </c>
      <c r="G1377">
        <v>-89.843016000000006</v>
      </c>
      <c r="H1377">
        <v>1600</v>
      </c>
      <c r="I1377">
        <v>3</v>
      </c>
      <c r="J1377">
        <v>-153</v>
      </c>
      <c r="K1377">
        <v>128</v>
      </c>
      <c r="L1377">
        <v>1200</v>
      </c>
      <c r="M1377" t="str">
        <f t="shared" si="75"/>
        <v xml:space="preserve">N35DC   </v>
      </c>
      <c r="N1377">
        <v>1</v>
      </c>
      <c r="O1377">
        <v>1675</v>
      </c>
    </row>
    <row r="1378" spans="1:15" x14ac:dyDescent="0.25">
      <c r="A1378" t="str">
        <f>"10/21/2020 18:24:51.179"</f>
        <v>10/21/2020 18:24:51.179</v>
      </c>
      <c r="B1378" t="str">
        <f>"18:24:59.102"</f>
        <v>18:24:59.102</v>
      </c>
      <c r="C1378" t="str">
        <f>"18:24:58.902"</f>
        <v>18:24:58.902</v>
      </c>
      <c r="D1378" t="s">
        <v>560</v>
      </c>
      <c r="E1378">
        <v>30.612652000000001</v>
      </c>
      <c r="F1378" t="s">
        <v>561</v>
      </c>
      <c r="G1378">
        <v>-89.843016000000006</v>
      </c>
      <c r="H1378">
        <v>1600</v>
      </c>
      <c r="I1378">
        <v>3</v>
      </c>
      <c r="J1378">
        <v>-153</v>
      </c>
      <c r="K1378">
        <v>128</v>
      </c>
      <c r="L1378">
        <v>1200</v>
      </c>
      <c r="M1378" t="str">
        <f t="shared" si="75"/>
        <v xml:space="preserve">N35DC   </v>
      </c>
      <c r="N1378">
        <v>1</v>
      </c>
      <c r="O1378">
        <v>1675</v>
      </c>
    </row>
    <row r="1379" spans="1:15" x14ac:dyDescent="0.25">
      <c r="A1379" t="str">
        <f>"10/21/2020 18:24:51.179"</f>
        <v>10/21/2020 18:24:51.179</v>
      </c>
      <c r="B1379" t="str">
        <f>"18:24:59.102"</f>
        <v>18:24:59.102</v>
      </c>
      <c r="C1379" t="str">
        <f>"18:24:58.902"</f>
        <v>18:24:58.902</v>
      </c>
      <c r="D1379" t="s">
        <v>560</v>
      </c>
      <c r="E1379">
        <v>30.612652000000001</v>
      </c>
      <c r="F1379" t="s">
        <v>561</v>
      </c>
      <c r="G1379">
        <v>-89.843016000000006</v>
      </c>
      <c r="H1379">
        <v>1600</v>
      </c>
      <c r="I1379">
        <v>3</v>
      </c>
      <c r="J1379">
        <v>-153</v>
      </c>
      <c r="K1379">
        <v>128</v>
      </c>
      <c r="L1379">
        <v>1200</v>
      </c>
      <c r="M1379" t="str">
        <f t="shared" si="75"/>
        <v xml:space="preserve">N35DC   </v>
      </c>
      <c r="N1379">
        <v>1</v>
      </c>
      <c r="O1379">
        <v>1675</v>
      </c>
    </row>
    <row r="1380" spans="1:15" x14ac:dyDescent="0.25">
      <c r="A1380" t="str">
        <f>"10/21/2020 18:24:51.179"</f>
        <v>10/21/2020 18:24:51.179</v>
      </c>
      <c r="B1380" t="str">
        <f>"18:24:59.102"</f>
        <v>18:24:59.102</v>
      </c>
      <c r="C1380" t="str">
        <f>"18:24:58.902"</f>
        <v>18:24:58.902</v>
      </c>
      <c r="D1380" t="s">
        <v>560</v>
      </c>
      <c r="E1380">
        <v>30.612652000000001</v>
      </c>
      <c r="F1380" t="s">
        <v>561</v>
      </c>
      <c r="G1380">
        <v>-89.843016000000006</v>
      </c>
      <c r="H1380">
        <v>1600</v>
      </c>
      <c r="I1380">
        <v>3</v>
      </c>
      <c r="J1380">
        <v>-153</v>
      </c>
      <c r="K1380">
        <v>128</v>
      </c>
      <c r="L1380">
        <v>1200</v>
      </c>
      <c r="M1380" t="str">
        <f t="shared" si="75"/>
        <v xml:space="preserve">N35DC   </v>
      </c>
      <c r="N1380">
        <v>1</v>
      </c>
      <c r="O1380">
        <v>1675</v>
      </c>
    </row>
    <row r="1381" spans="1:15" x14ac:dyDescent="0.25">
      <c r="A1381" t="str">
        <f>"10/21/2020 18:24:51.179"</f>
        <v>10/21/2020 18:24:51.179</v>
      </c>
      <c r="B1381" t="str">
        <f>"18:24:59.102"</f>
        <v>18:24:59.102</v>
      </c>
      <c r="C1381" t="str">
        <f>"18:24:58.902"</f>
        <v>18:24:58.902</v>
      </c>
      <c r="D1381" t="s">
        <v>560</v>
      </c>
      <c r="E1381">
        <v>30.612652000000001</v>
      </c>
      <c r="F1381" t="s">
        <v>561</v>
      </c>
      <c r="G1381">
        <v>-89.843016000000006</v>
      </c>
      <c r="H1381">
        <v>1600</v>
      </c>
      <c r="I1381">
        <v>3</v>
      </c>
      <c r="J1381">
        <v>-153</v>
      </c>
      <c r="K1381">
        <v>128</v>
      </c>
      <c r="L1381">
        <v>1200</v>
      </c>
      <c r="M1381" t="str">
        <f t="shared" si="75"/>
        <v xml:space="preserve">N35DC   </v>
      </c>
      <c r="N1381">
        <v>1</v>
      </c>
      <c r="O1381">
        <v>1675</v>
      </c>
    </row>
    <row r="1382" spans="1:15" x14ac:dyDescent="0.25">
      <c r="A1382" t="str">
        <f>"10/21/2020 18:24:53.293"</f>
        <v>10/21/2020 18:24:53.293</v>
      </c>
      <c r="B1382" t="str">
        <f>"18:25:01.219"</f>
        <v>18:25:01.219</v>
      </c>
      <c r="C1382" t="str">
        <f>"18:25:01.119"</f>
        <v>18:25:01.119</v>
      </c>
      <c r="D1382" t="s">
        <v>562</v>
      </c>
      <c r="E1382">
        <v>30.611215000000001</v>
      </c>
      <c r="F1382" t="s">
        <v>559</v>
      </c>
      <c r="G1382">
        <v>-89.843058999999997</v>
      </c>
      <c r="H1382">
        <v>1600</v>
      </c>
      <c r="I1382">
        <v>-8</v>
      </c>
      <c r="J1382">
        <v>-152</v>
      </c>
      <c r="K1382">
        <v>384</v>
      </c>
      <c r="L1382">
        <v>1200</v>
      </c>
      <c r="M1382" t="str">
        <f t="shared" si="75"/>
        <v xml:space="preserve">N35DC   </v>
      </c>
      <c r="N1382">
        <v>1</v>
      </c>
      <c r="O1382">
        <v>1675</v>
      </c>
    </row>
    <row r="1383" spans="1:15" x14ac:dyDescent="0.25">
      <c r="A1383" t="str">
        <f>"10/21/2020 18:24:53.293"</f>
        <v>10/21/2020 18:24:53.293</v>
      </c>
      <c r="B1383" t="str">
        <f>"18:25:01.219"</f>
        <v>18:25:01.219</v>
      </c>
      <c r="C1383" t="str">
        <f>"18:25:01.119"</f>
        <v>18:25:01.119</v>
      </c>
      <c r="D1383" t="s">
        <v>562</v>
      </c>
      <c r="E1383">
        <v>30.611215000000001</v>
      </c>
      <c r="F1383" t="s">
        <v>559</v>
      </c>
      <c r="G1383">
        <v>-89.843058999999997</v>
      </c>
      <c r="H1383">
        <v>1600</v>
      </c>
      <c r="I1383">
        <v>-8</v>
      </c>
      <c r="J1383">
        <v>-152</v>
      </c>
      <c r="K1383">
        <v>384</v>
      </c>
      <c r="L1383">
        <v>1200</v>
      </c>
      <c r="M1383" t="str">
        <f t="shared" si="75"/>
        <v xml:space="preserve">N35DC   </v>
      </c>
      <c r="N1383">
        <v>1</v>
      </c>
      <c r="O1383">
        <v>1675</v>
      </c>
    </row>
    <row r="1384" spans="1:15" x14ac:dyDescent="0.25">
      <c r="A1384" t="str">
        <f>"10/21/2020 18:24:53.293"</f>
        <v>10/21/2020 18:24:53.293</v>
      </c>
      <c r="B1384" t="str">
        <f>"18:25:01.219"</f>
        <v>18:25:01.219</v>
      </c>
      <c r="C1384" t="str">
        <f>"18:25:01.119"</f>
        <v>18:25:01.119</v>
      </c>
      <c r="D1384" t="s">
        <v>562</v>
      </c>
      <c r="E1384">
        <v>30.611215000000001</v>
      </c>
      <c r="F1384" t="s">
        <v>559</v>
      </c>
      <c r="G1384">
        <v>-89.843058999999997</v>
      </c>
      <c r="H1384">
        <v>1600</v>
      </c>
      <c r="I1384">
        <v>-8</v>
      </c>
      <c r="J1384">
        <v>-152</v>
      </c>
      <c r="K1384">
        <v>384</v>
      </c>
      <c r="L1384">
        <v>1200</v>
      </c>
      <c r="M1384" t="str">
        <f t="shared" si="75"/>
        <v xml:space="preserve">N35DC   </v>
      </c>
      <c r="N1384">
        <v>1</v>
      </c>
      <c r="O1384">
        <v>1675</v>
      </c>
    </row>
    <row r="1385" spans="1:15" x14ac:dyDescent="0.25">
      <c r="A1385" t="str">
        <f>"10/21/2020 18:24:53.293"</f>
        <v>10/21/2020 18:24:53.293</v>
      </c>
      <c r="B1385" t="str">
        <f>"18:25:01.219"</f>
        <v>18:25:01.219</v>
      </c>
      <c r="C1385" t="str">
        <f>"18:25:01.119"</f>
        <v>18:25:01.119</v>
      </c>
      <c r="D1385" t="s">
        <v>562</v>
      </c>
      <c r="E1385">
        <v>30.611215000000001</v>
      </c>
      <c r="F1385" t="s">
        <v>559</v>
      </c>
      <c r="G1385">
        <v>-89.843058999999997</v>
      </c>
      <c r="H1385">
        <v>1600</v>
      </c>
      <c r="I1385">
        <v>-8</v>
      </c>
      <c r="J1385">
        <v>-152</v>
      </c>
      <c r="K1385">
        <v>384</v>
      </c>
      <c r="L1385">
        <v>1200</v>
      </c>
      <c r="M1385" t="str">
        <f t="shared" si="75"/>
        <v xml:space="preserve">N35DC   </v>
      </c>
      <c r="N1385">
        <v>1</v>
      </c>
      <c r="O1385">
        <v>1675</v>
      </c>
    </row>
    <row r="1386" spans="1:15" x14ac:dyDescent="0.25">
      <c r="A1386" t="str">
        <f>"10/21/2020 18:24:53.293"</f>
        <v>10/21/2020 18:24:53.293</v>
      </c>
      <c r="B1386" t="str">
        <f>"18:25:01.219"</f>
        <v>18:25:01.219</v>
      </c>
      <c r="C1386" t="str">
        <f>"18:25:01.119"</f>
        <v>18:25:01.119</v>
      </c>
      <c r="D1386" t="s">
        <v>562</v>
      </c>
      <c r="E1386">
        <v>30.611215000000001</v>
      </c>
      <c r="F1386" t="s">
        <v>559</v>
      </c>
      <c r="G1386">
        <v>-89.843058999999997</v>
      </c>
      <c r="H1386">
        <v>1600</v>
      </c>
      <c r="I1386">
        <v>-8</v>
      </c>
      <c r="J1386">
        <v>-152</v>
      </c>
      <c r="K1386">
        <v>384</v>
      </c>
      <c r="L1386">
        <v>1200</v>
      </c>
      <c r="M1386" t="str">
        <f t="shared" si="75"/>
        <v xml:space="preserve">N35DC   </v>
      </c>
      <c r="N1386">
        <v>1</v>
      </c>
      <c r="O1386">
        <v>1675</v>
      </c>
    </row>
    <row r="1387" spans="1:15" x14ac:dyDescent="0.25">
      <c r="A1387" t="str">
        <f>"10/21/2020 18:24:54.105"</f>
        <v>10/21/2020 18:24:54.105</v>
      </c>
      <c r="B1387" t="str">
        <f>"18:25:02.055"</f>
        <v>18:25:02.055</v>
      </c>
      <c r="C1387" t="str">
        <f>"18:25:01.655"</f>
        <v>18:25:01.655</v>
      </c>
      <c r="D1387" t="s">
        <v>563</v>
      </c>
      <c r="E1387">
        <v>30.610614000000002</v>
      </c>
      <c r="F1387" t="s">
        <v>564</v>
      </c>
      <c r="G1387">
        <v>-89.843123000000006</v>
      </c>
      <c r="H1387">
        <v>1600</v>
      </c>
      <c r="I1387">
        <v>-10</v>
      </c>
      <c r="J1387">
        <v>-152</v>
      </c>
      <c r="K1387">
        <v>512</v>
      </c>
      <c r="L1387">
        <v>1200</v>
      </c>
      <c r="M1387" t="str">
        <f t="shared" si="75"/>
        <v xml:space="preserve">N35DC   </v>
      </c>
      <c r="N1387">
        <v>1</v>
      </c>
      <c r="O1387">
        <v>1675</v>
      </c>
    </row>
    <row r="1388" spans="1:15" x14ac:dyDescent="0.25">
      <c r="A1388" t="str">
        <f>"10/21/2020 18:24:54.105"</f>
        <v>10/21/2020 18:24:54.105</v>
      </c>
      <c r="B1388" t="str">
        <f>"18:25:02.055"</f>
        <v>18:25:02.055</v>
      </c>
      <c r="C1388" t="str">
        <f>"18:25:01.655"</f>
        <v>18:25:01.655</v>
      </c>
      <c r="D1388" t="s">
        <v>563</v>
      </c>
      <c r="E1388">
        <v>30.610614000000002</v>
      </c>
      <c r="F1388" t="s">
        <v>564</v>
      </c>
      <c r="G1388">
        <v>-89.843123000000006</v>
      </c>
      <c r="H1388">
        <v>1600</v>
      </c>
      <c r="I1388">
        <v>-10</v>
      </c>
      <c r="J1388">
        <v>-152</v>
      </c>
      <c r="K1388">
        <v>512</v>
      </c>
      <c r="L1388">
        <v>1200</v>
      </c>
      <c r="M1388" t="str">
        <f t="shared" si="75"/>
        <v xml:space="preserve">N35DC   </v>
      </c>
      <c r="N1388">
        <v>1</v>
      </c>
      <c r="O1388">
        <v>1675</v>
      </c>
    </row>
    <row r="1389" spans="1:15" x14ac:dyDescent="0.25">
      <c r="A1389" t="str">
        <f>"10/21/2020 18:24:54.105"</f>
        <v>10/21/2020 18:24:54.105</v>
      </c>
      <c r="B1389" t="str">
        <f>"18:25:02.055"</f>
        <v>18:25:02.055</v>
      </c>
      <c r="C1389" t="str">
        <f>"18:25:01.655"</f>
        <v>18:25:01.655</v>
      </c>
      <c r="D1389" t="s">
        <v>563</v>
      </c>
      <c r="E1389">
        <v>30.610614000000002</v>
      </c>
      <c r="F1389" t="s">
        <v>564</v>
      </c>
      <c r="G1389">
        <v>-89.843123000000006</v>
      </c>
      <c r="H1389">
        <v>1600</v>
      </c>
      <c r="I1389">
        <v>-10</v>
      </c>
      <c r="J1389">
        <v>-152</v>
      </c>
      <c r="K1389">
        <v>512</v>
      </c>
      <c r="L1389">
        <v>1200</v>
      </c>
      <c r="M1389" t="str">
        <f t="shared" si="75"/>
        <v xml:space="preserve">N35DC   </v>
      </c>
      <c r="N1389">
        <v>1</v>
      </c>
      <c r="O1389">
        <v>1675</v>
      </c>
    </row>
    <row r="1390" spans="1:15" x14ac:dyDescent="0.25">
      <c r="A1390" t="str">
        <f>"10/21/2020 18:24:54.105"</f>
        <v>10/21/2020 18:24:54.105</v>
      </c>
      <c r="B1390" t="str">
        <f>"18:25:02.055"</f>
        <v>18:25:02.055</v>
      </c>
      <c r="C1390" t="str">
        <f>"18:25:01.655"</f>
        <v>18:25:01.655</v>
      </c>
      <c r="D1390" t="s">
        <v>563</v>
      </c>
      <c r="E1390">
        <v>30.610614000000002</v>
      </c>
      <c r="F1390" t="s">
        <v>564</v>
      </c>
      <c r="G1390">
        <v>-89.843123000000006</v>
      </c>
      <c r="H1390">
        <v>1600</v>
      </c>
      <c r="I1390">
        <v>-10</v>
      </c>
      <c r="J1390">
        <v>-152</v>
      </c>
      <c r="K1390">
        <v>512</v>
      </c>
      <c r="L1390">
        <v>1200</v>
      </c>
      <c r="M1390" t="str">
        <f t="shared" si="75"/>
        <v xml:space="preserve">N35DC   </v>
      </c>
      <c r="N1390">
        <v>1</v>
      </c>
      <c r="O1390">
        <v>1675</v>
      </c>
    </row>
    <row r="1391" spans="1:15" x14ac:dyDescent="0.25">
      <c r="A1391" t="str">
        <f>"10/21/2020 18:24:54.105"</f>
        <v>10/21/2020 18:24:54.105</v>
      </c>
      <c r="B1391" t="str">
        <f>"18:25:02.055"</f>
        <v>18:25:02.055</v>
      </c>
      <c r="C1391" t="str">
        <f>"18:25:01.655"</f>
        <v>18:25:01.655</v>
      </c>
      <c r="D1391" t="s">
        <v>563</v>
      </c>
      <c r="E1391">
        <v>30.610614000000002</v>
      </c>
      <c r="F1391" t="s">
        <v>564</v>
      </c>
      <c r="G1391">
        <v>-89.843123000000006</v>
      </c>
      <c r="H1391">
        <v>1600</v>
      </c>
      <c r="I1391">
        <v>-10</v>
      </c>
      <c r="J1391">
        <v>-152</v>
      </c>
      <c r="K1391">
        <v>512</v>
      </c>
      <c r="L1391">
        <v>1200</v>
      </c>
      <c r="M1391" t="str">
        <f t="shared" si="75"/>
        <v xml:space="preserve">N35DC   </v>
      </c>
      <c r="N1391">
        <v>1</v>
      </c>
      <c r="O1391">
        <v>1675</v>
      </c>
    </row>
    <row r="1392" spans="1:15" x14ac:dyDescent="0.25">
      <c r="A1392" t="str">
        <f>"10/21/2020 18:24:55.162"</f>
        <v>10/21/2020 18:24:55.162</v>
      </c>
      <c r="B1392" t="str">
        <f>"18:25:03.094"</f>
        <v>18:25:03.094</v>
      </c>
      <c r="C1392" t="str">
        <f>"18:25:02.694"</f>
        <v>18:25:02.694</v>
      </c>
      <c r="D1392" t="s">
        <v>565</v>
      </c>
      <c r="E1392">
        <v>30.609863000000001</v>
      </c>
      <c r="F1392" t="s">
        <v>566</v>
      </c>
      <c r="G1392">
        <v>-89.843165999999997</v>
      </c>
      <c r="H1392">
        <v>1600</v>
      </c>
      <c r="I1392">
        <v>-15</v>
      </c>
      <c r="J1392">
        <v>-151</v>
      </c>
      <c r="K1392">
        <v>512</v>
      </c>
      <c r="L1392">
        <v>1200</v>
      </c>
      <c r="M1392" t="str">
        <f t="shared" si="75"/>
        <v xml:space="preserve">N35DC   </v>
      </c>
      <c r="N1392">
        <v>1</v>
      </c>
      <c r="O1392">
        <v>1700</v>
      </c>
    </row>
    <row r="1393" spans="1:15" x14ac:dyDescent="0.25">
      <c r="A1393" t="str">
        <f>"10/21/2020 18:24:55.162"</f>
        <v>10/21/2020 18:24:55.162</v>
      </c>
      <c r="B1393" t="str">
        <f>"18:25:03.094"</f>
        <v>18:25:03.094</v>
      </c>
      <c r="C1393" t="str">
        <f>"18:25:02.694"</f>
        <v>18:25:02.694</v>
      </c>
      <c r="D1393" t="s">
        <v>565</v>
      </c>
      <c r="E1393">
        <v>30.609863000000001</v>
      </c>
      <c r="F1393" t="s">
        <v>566</v>
      </c>
      <c r="G1393">
        <v>-89.843165999999997</v>
      </c>
      <c r="H1393">
        <v>1600</v>
      </c>
      <c r="I1393">
        <v>-15</v>
      </c>
      <c r="J1393">
        <v>-151</v>
      </c>
      <c r="K1393">
        <v>512</v>
      </c>
      <c r="L1393">
        <v>1200</v>
      </c>
      <c r="M1393" t="str">
        <f t="shared" si="75"/>
        <v xml:space="preserve">N35DC   </v>
      </c>
      <c r="N1393">
        <v>1</v>
      </c>
      <c r="O1393">
        <v>1700</v>
      </c>
    </row>
    <row r="1394" spans="1:15" x14ac:dyDescent="0.25">
      <c r="A1394" t="str">
        <f>"10/21/2020 18:24:55.162"</f>
        <v>10/21/2020 18:24:55.162</v>
      </c>
      <c r="B1394" t="str">
        <f>"18:25:03.094"</f>
        <v>18:25:03.094</v>
      </c>
      <c r="C1394" t="str">
        <f>"18:25:02.694"</f>
        <v>18:25:02.694</v>
      </c>
      <c r="D1394" t="s">
        <v>565</v>
      </c>
      <c r="E1394">
        <v>30.609863000000001</v>
      </c>
      <c r="F1394" t="s">
        <v>566</v>
      </c>
      <c r="G1394">
        <v>-89.843165999999997</v>
      </c>
      <c r="H1394">
        <v>1600</v>
      </c>
      <c r="I1394">
        <v>-15</v>
      </c>
      <c r="J1394">
        <v>-151</v>
      </c>
      <c r="K1394">
        <v>512</v>
      </c>
      <c r="L1394">
        <v>1200</v>
      </c>
      <c r="M1394" t="str">
        <f t="shared" si="75"/>
        <v xml:space="preserve">N35DC   </v>
      </c>
      <c r="N1394">
        <v>1</v>
      </c>
      <c r="O1394">
        <v>1700</v>
      </c>
    </row>
    <row r="1395" spans="1:15" x14ac:dyDescent="0.25">
      <c r="A1395" t="str">
        <f>"10/21/2020 18:24:55.162"</f>
        <v>10/21/2020 18:24:55.162</v>
      </c>
      <c r="B1395" t="str">
        <f>"18:25:03.094"</f>
        <v>18:25:03.094</v>
      </c>
      <c r="C1395" t="str">
        <f>"18:25:02.694"</f>
        <v>18:25:02.694</v>
      </c>
      <c r="D1395" t="s">
        <v>565</v>
      </c>
      <c r="E1395">
        <v>30.609863000000001</v>
      </c>
      <c r="F1395" t="s">
        <v>566</v>
      </c>
      <c r="G1395">
        <v>-89.843165999999997</v>
      </c>
      <c r="H1395">
        <v>1600</v>
      </c>
      <c r="I1395">
        <v>-15</v>
      </c>
      <c r="J1395">
        <v>-151</v>
      </c>
      <c r="K1395">
        <v>512</v>
      </c>
      <c r="L1395">
        <v>1200</v>
      </c>
      <c r="M1395" t="str">
        <f t="shared" si="75"/>
        <v xml:space="preserve">N35DC   </v>
      </c>
      <c r="N1395">
        <v>1</v>
      </c>
      <c r="O1395">
        <v>1700</v>
      </c>
    </row>
    <row r="1396" spans="1:15" x14ac:dyDescent="0.25">
      <c r="A1396" t="str">
        <f>"10/21/2020 18:24:55.162"</f>
        <v>10/21/2020 18:24:55.162</v>
      </c>
      <c r="B1396" t="str">
        <f>"18:25:03.094"</f>
        <v>18:25:03.094</v>
      </c>
      <c r="C1396" t="str">
        <f>"18:25:02.694"</f>
        <v>18:25:02.694</v>
      </c>
      <c r="D1396" t="s">
        <v>565</v>
      </c>
      <c r="E1396">
        <v>30.609863000000001</v>
      </c>
      <c r="F1396" t="s">
        <v>566</v>
      </c>
      <c r="G1396">
        <v>-89.843165999999997</v>
      </c>
      <c r="H1396">
        <v>1600</v>
      </c>
      <c r="I1396">
        <v>-15</v>
      </c>
      <c r="J1396">
        <v>-151</v>
      </c>
      <c r="K1396">
        <v>512</v>
      </c>
      <c r="L1396">
        <v>1200</v>
      </c>
      <c r="M1396" t="str">
        <f t="shared" si="75"/>
        <v xml:space="preserve">N35DC   </v>
      </c>
      <c r="N1396">
        <v>1</v>
      </c>
      <c r="O1396">
        <v>1700</v>
      </c>
    </row>
    <row r="1397" spans="1:15" x14ac:dyDescent="0.25">
      <c r="A1397" t="str">
        <f>"10/21/2020 18:24:57.156"</f>
        <v>10/21/2020 18:24:57.156</v>
      </c>
      <c r="B1397" t="str">
        <f>"18:25:05.102"</f>
        <v>18:25:05.102</v>
      </c>
      <c r="C1397" t="str">
        <f>"18:25:04.802"</f>
        <v>18:25:04.802</v>
      </c>
      <c r="D1397" t="s">
        <v>567</v>
      </c>
      <c r="E1397">
        <v>30.608467999999998</v>
      </c>
      <c r="F1397" t="s">
        <v>568</v>
      </c>
      <c r="G1397">
        <v>-89.843379999999996</v>
      </c>
      <c r="H1397">
        <v>1600</v>
      </c>
      <c r="I1397">
        <v>-20</v>
      </c>
      <c r="J1397">
        <v>-149</v>
      </c>
      <c r="K1397">
        <v>704</v>
      </c>
      <c r="L1397">
        <v>1200</v>
      </c>
      <c r="M1397" t="str">
        <f t="shared" si="75"/>
        <v xml:space="preserve">N35DC   </v>
      </c>
      <c r="N1397">
        <v>1</v>
      </c>
      <c r="O1397">
        <v>1725</v>
      </c>
    </row>
    <row r="1398" spans="1:15" x14ac:dyDescent="0.25">
      <c r="A1398" t="str">
        <f>"10/21/2020 18:24:57.156"</f>
        <v>10/21/2020 18:24:57.156</v>
      </c>
      <c r="B1398" t="str">
        <f>"18:25:05.102"</f>
        <v>18:25:05.102</v>
      </c>
      <c r="C1398" t="str">
        <f>"18:25:04.802"</f>
        <v>18:25:04.802</v>
      </c>
      <c r="D1398" t="s">
        <v>567</v>
      </c>
      <c r="E1398">
        <v>30.608467999999998</v>
      </c>
      <c r="F1398" t="s">
        <v>568</v>
      </c>
      <c r="G1398">
        <v>-89.843379999999996</v>
      </c>
      <c r="H1398">
        <v>1600</v>
      </c>
      <c r="I1398">
        <v>-20</v>
      </c>
      <c r="J1398">
        <v>-149</v>
      </c>
      <c r="K1398">
        <v>704</v>
      </c>
      <c r="L1398">
        <v>1200</v>
      </c>
      <c r="M1398" t="str">
        <f t="shared" si="75"/>
        <v xml:space="preserve">N35DC   </v>
      </c>
      <c r="N1398">
        <v>1</v>
      </c>
      <c r="O1398">
        <v>1725</v>
      </c>
    </row>
    <row r="1399" spans="1:15" x14ac:dyDescent="0.25">
      <c r="A1399" t="str">
        <f>"10/21/2020 18:24:57.156"</f>
        <v>10/21/2020 18:24:57.156</v>
      </c>
      <c r="B1399" t="str">
        <f>"18:25:05.102"</f>
        <v>18:25:05.102</v>
      </c>
      <c r="C1399" t="str">
        <f>"18:25:04.802"</f>
        <v>18:25:04.802</v>
      </c>
      <c r="D1399" t="s">
        <v>567</v>
      </c>
      <c r="E1399">
        <v>30.608467999999998</v>
      </c>
      <c r="F1399" t="s">
        <v>568</v>
      </c>
      <c r="G1399">
        <v>-89.843379999999996</v>
      </c>
      <c r="H1399">
        <v>1600</v>
      </c>
      <c r="I1399">
        <v>-20</v>
      </c>
      <c r="J1399">
        <v>-149</v>
      </c>
      <c r="K1399">
        <v>704</v>
      </c>
      <c r="L1399">
        <v>1200</v>
      </c>
      <c r="M1399" t="str">
        <f t="shared" si="75"/>
        <v xml:space="preserve">N35DC   </v>
      </c>
      <c r="N1399">
        <v>1</v>
      </c>
      <c r="O1399">
        <v>1725</v>
      </c>
    </row>
    <row r="1400" spans="1:15" x14ac:dyDescent="0.25">
      <c r="A1400" t="str">
        <f>"10/21/2020 18:24:57.156"</f>
        <v>10/21/2020 18:24:57.156</v>
      </c>
      <c r="B1400" t="str">
        <f>"18:25:05.102"</f>
        <v>18:25:05.102</v>
      </c>
      <c r="C1400" t="str">
        <f>"18:25:04.802"</f>
        <v>18:25:04.802</v>
      </c>
      <c r="D1400" t="s">
        <v>567</v>
      </c>
      <c r="E1400">
        <v>30.608467999999998</v>
      </c>
      <c r="F1400" t="s">
        <v>568</v>
      </c>
      <c r="G1400">
        <v>-89.843379999999996</v>
      </c>
      <c r="H1400">
        <v>1600</v>
      </c>
      <c r="I1400">
        <v>-20</v>
      </c>
      <c r="J1400">
        <v>-149</v>
      </c>
      <c r="K1400">
        <v>704</v>
      </c>
      <c r="L1400">
        <v>1200</v>
      </c>
      <c r="M1400" t="str">
        <f t="shared" si="75"/>
        <v xml:space="preserve">N35DC   </v>
      </c>
      <c r="N1400">
        <v>1</v>
      </c>
      <c r="O1400">
        <v>1725</v>
      </c>
    </row>
    <row r="1401" spans="1:15" x14ac:dyDescent="0.25">
      <c r="A1401" t="str">
        <f>"10/21/2020 18:24:57.156"</f>
        <v>10/21/2020 18:24:57.156</v>
      </c>
      <c r="B1401" t="str">
        <f>"18:25:05.102"</f>
        <v>18:25:05.102</v>
      </c>
      <c r="C1401" t="str">
        <f>"18:25:04.802"</f>
        <v>18:25:04.802</v>
      </c>
      <c r="D1401" t="s">
        <v>567</v>
      </c>
      <c r="E1401">
        <v>30.608467999999998</v>
      </c>
      <c r="F1401" t="s">
        <v>568</v>
      </c>
      <c r="G1401">
        <v>-89.843379999999996</v>
      </c>
      <c r="H1401">
        <v>1600</v>
      </c>
      <c r="I1401">
        <v>-20</v>
      </c>
      <c r="J1401">
        <v>-149</v>
      </c>
      <c r="K1401">
        <v>704</v>
      </c>
      <c r="L1401">
        <v>1200</v>
      </c>
      <c r="M1401" t="str">
        <f t="shared" si="75"/>
        <v xml:space="preserve">N35DC   </v>
      </c>
      <c r="N1401">
        <v>1</v>
      </c>
      <c r="O1401">
        <v>1725</v>
      </c>
    </row>
    <row r="1402" spans="1:15" x14ac:dyDescent="0.25">
      <c r="A1402" t="str">
        <f>"10/21/2020 18:24:58.199"</f>
        <v>10/21/2020 18:24:58.199</v>
      </c>
      <c r="B1402" t="str">
        <f>"18:25:06.133"</f>
        <v>18:25:06.133</v>
      </c>
      <c r="C1402" t="str">
        <f>"18:25:05.733"</f>
        <v>18:25:05.733</v>
      </c>
      <c r="D1402" t="s">
        <v>569</v>
      </c>
      <c r="E1402">
        <v>30.607780999999999</v>
      </c>
      <c r="F1402" t="s">
        <v>570</v>
      </c>
      <c r="G1402">
        <v>-89.843552000000003</v>
      </c>
      <c r="H1402">
        <v>1600</v>
      </c>
      <c r="I1402">
        <v>-21</v>
      </c>
      <c r="J1402">
        <v>-148</v>
      </c>
      <c r="K1402">
        <v>576</v>
      </c>
      <c r="L1402">
        <v>1200</v>
      </c>
      <c r="M1402" t="str">
        <f t="shared" si="75"/>
        <v xml:space="preserve">N35DC   </v>
      </c>
      <c r="N1402">
        <v>1</v>
      </c>
      <c r="O1402">
        <v>1725</v>
      </c>
    </row>
    <row r="1403" spans="1:15" x14ac:dyDescent="0.25">
      <c r="A1403" t="str">
        <f>"10/21/2020 18:24:58.199"</f>
        <v>10/21/2020 18:24:58.199</v>
      </c>
      <c r="B1403" t="str">
        <f>"18:25:06.133"</f>
        <v>18:25:06.133</v>
      </c>
      <c r="C1403" t="str">
        <f>"18:25:05.733"</f>
        <v>18:25:05.733</v>
      </c>
      <c r="D1403" t="s">
        <v>569</v>
      </c>
      <c r="E1403">
        <v>30.607780999999999</v>
      </c>
      <c r="F1403" t="s">
        <v>570</v>
      </c>
      <c r="G1403">
        <v>-89.843552000000003</v>
      </c>
      <c r="H1403">
        <v>1600</v>
      </c>
      <c r="I1403">
        <v>-21</v>
      </c>
      <c r="J1403">
        <v>-148</v>
      </c>
      <c r="K1403">
        <v>576</v>
      </c>
      <c r="L1403">
        <v>1200</v>
      </c>
      <c r="M1403" t="str">
        <f t="shared" si="75"/>
        <v xml:space="preserve">N35DC   </v>
      </c>
      <c r="N1403">
        <v>1</v>
      </c>
      <c r="O1403">
        <v>1725</v>
      </c>
    </row>
    <row r="1404" spans="1:15" x14ac:dyDescent="0.25">
      <c r="A1404" t="str">
        <f>"10/21/2020 18:24:58.199"</f>
        <v>10/21/2020 18:24:58.199</v>
      </c>
      <c r="B1404" t="str">
        <f>"18:25:06.133"</f>
        <v>18:25:06.133</v>
      </c>
      <c r="C1404" t="str">
        <f>"18:25:05.733"</f>
        <v>18:25:05.733</v>
      </c>
      <c r="D1404" t="s">
        <v>569</v>
      </c>
      <c r="E1404">
        <v>30.607780999999999</v>
      </c>
      <c r="F1404" t="s">
        <v>570</v>
      </c>
      <c r="G1404">
        <v>-89.843552000000003</v>
      </c>
      <c r="H1404">
        <v>1600</v>
      </c>
      <c r="I1404">
        <v>-21</v>
      </c>
      <c r="J1404">
        <v>-148</v>
      </c>
      <c r="K1404">
        <v>576</v>
      </c>
      <c r="L1404">
        <v>1200</v>
      </c>
      <c r="M1404" t="str">
        <f t="shared" si="75"/>
        <v xml:space="preserve">N35DC   </v>
      </c>
      <c r="N1404">
        <v>1</v>
      </c>
      <c r="O1404">
        <v>1725</v>
      </c>
    </row>
    <row r="1405" spans="1:15" x14ac:dyDescent="0.25">
      <c r="A1405" t="str">
        <f>"10/21/2020 18:24:58.199"</f>
        <v>10/21/2020 18:24:58.199</v>
      </c>
      <c r="B1405" t="str">
        <f>"18:25:06.133"</f>
        <v>18:25:06.133</v>
      </c>
      <c r="C1405" t="str">
        <f>"18:25:05.733"</f>
        <v>18:25:05.733</v>
      </c>
      <c r="D1405" t="s">
        <v>569</v>
      </c>
      <c r="E1405">
        <v>30.607780999999999</v>
      </c>
      <c r="F1405" t="s">
        <v>570</v>
      </c>
      <c r="G1405">
        <v>-89.843552000000003</v>
      </c>
      <c r="H1405">
        <v>1600</v>
      </c>
      <c r="I1405">
        <v>-21</v>
      </c>
      <c r="J1405">
        <v>-148</v>
      </c>
      <c r="K1405">
        <v>576</v>
      </c>
      <c r="L1405">
        <v>1200</v>
      </c>
      <c r="M1405" t="str">
        <f t="shared" si="75"/>
        <v xml:space="preserve">N35DC   </v>
      </c>
      <c r="N1405">
        <v>1</v>
      </c>
      <c r="O1405">
        <v>1725</v>
      </c>
    </row>
    <row r="1406" spans="1:15" x14ac:dyDescent="0.25">
      <c r="A1406" t="str">
        <f>"10/21/2020 18:24:58.199"</f>
        <v>10/21/2020 18:24:58.199</v>
      </c>
      <c r="B1406" t="str">
        <f>"18:25:06.133"</f>
        <v>18:25:06.133</v>
      </c>
      <c r="C1406" t="str">
        <f>"18:25:05.733"</f>
        <v>18:25:05.733</v>
      </c>
      <c r="D1406" t="s">
        <v>569</v>
      </c>
      <c r="E1406">
        <v>30.607780999999999</v>
      </c>
      <c r="F1406" t="s">
        <v>570</v>
      </c>
      <c r="G1406">
        <v>-89.843552000000003</v>
      </c>
      <c r="H1406">
        <v>1600</v>
      </c>
      <c r="I1406">
        <v>-21</v>
      </c>
      <c r="J1406">
        <v>-148</v>
      </c>
      <c r="K1406">
        <v>576</v>
      </c>
      <c r="L1406">
        <v>1200</v>
      </c>
      <c r="M1406" t="str">
        <f t="shared" si="75"/>
        <v xml:space="preserve">N35DC   </v>
      </c>
      <c r="N1406">
        <v>1</v>
      </c>
      <c r="O1406">
        <v>1725</v>
      </c>
    </row>
    <row r="1407" spans="1:15" x14ac:dyDescent="0.25">
      <c r="A1407" t="str">
        <f>"10/21/2020 18:25:01.203"</f>
        <v>10/21/2020 18:25:01.203</v>
      </c>
      <c r="B1407" t="str">
        <f>"18:25:09.125"</f>
        <v>18:25:09.125</v>
      </c>
      <c r="C1407" t="str">
        <f>"18:25:08.825"</f>
        <v>18:25:08.825</v>
      </c>
      <c r="D1407" t="s">
        <v>571</v>
      </c>
      <c r="E1407">
        <v>30.605720999999999</v>
      </c>
      <c r="F1407" t="s">
        <v>572</v>
      </c>
      <c r="G1407">
        <v>-89.843874</v>
      </c>
      <c r="H1407">
        <v>1700</v>
      </c>
      <c r="I1407">
        <v>-23</v>
      </c>
      <c r="J1407">
        <v>-146</v>
      </c>
      <c r="K1407">
        <v>192</v>
      </c>
      <c r="L1407">
        <v>1200</v>
      </c>
      <c r="M1407" t="str">
        <f t="shared" si="75"/>
        <v xml:space="preserve">N35DC   </v>
      </c>
      <c r="N1407">
        <v>1</v>
      </c>
      <c r="O1407">
        <v>1750</v>
      </c>
    </row>
    <row r="1408" spans="1:15" x14ac:dyDescent="0.25">
      <c r="A1408" t="str">
        <f>"10/21/2020 18:25:01.203"</f>
        <v>10/21/2020 18:25:01.203</v>
      </c>
      <c r="B1408" t="str">
        <f>"18:25:09.117"</f>
        <v>18:25:09.117</v>
      </c>
      <c r="C1408" t="str">
        <f>"18:25:08.817"</f>
        <v>18:25:08.817</v>
      </c>
      <c r="D1408" t="s">
        <v>571</v>
      </c>
      <c r="E1408">
        <v>30.605720999999999</v>
      </c>
      <c r="F1408" t="s">
        <v>572</v>
      </c>
      <c r="G1408">
        <v>-89.843874</v>
      </c>
      <c r="H1408">
        <v>1700</v>
      </c>
      <c r="I1408">
        <v>-23</v>
      </c>
      <c r="J1408">
        <v>-146</v>
      </c>
      <c r="K1408">
        <v>192</v>
      </c>
      <c r="L1408">
        <v>1200</v>
      </c>
      <c r="M1408" t="str">
        <f t="shared" si="75"/>
        <v xml:space="preserve">N35DC   </v>
      </c>
      <c r="N1408">
        <v>1</v>
      </c>
      <c r="O1408">
        <v>1750</v>
      </c>
    </row>
    <row r="1409" spans="1:15" x14ac:dyDescent="0.25">
      <c r="A1409" t="str">
        <f>"10/21/2020 18:25:01.203"</f>
        <v>10/21/2020 18:25:01.203</v>
      </c>
      <c r="B1409" t="str">
        <f>"18:25:09.125"</f>
        <v>18:25:09.125</v>
      </c>
      <c r="C1409" t="str">
        <f>"18:25:08.825"</f>
        <v>18:25:08.825</v>
      </c>
      <c r="D1409" t="s">
        <v>571</v>
      </c>
      <c r="E1409">
        <v>30.605720999999999</v>
      </c>
      <c r="F1409" t="s">
        <v>572</v>
      </c>
      <c r="G1409">
        <v>-89.843874</v>
      </c>
      <c r="H1409">
        <v>1700</v>
      </c>
      <c r="I1409">
        <v>-23</v>
      </c>
      <c r="J1409">
        <v>-146</v>
      </c>
      <c r="K1409">
        <v>192</v>
      </c>
      <c r="L1409">
        <v>1200</v>
      </c>
      <c r="M1409" t="str">
        <f t="shared" si="75"/>
        <v xml:space="preserve">N35DC   </v>
      </c>
      <c r="N1409">
        <v>1</v>
      </c>
      <c r="O1409">
        <v>1750</v>
      </c>
    </row>
    <row r="1410" spans="1:15" x14ac:dyDescent="0.25">
      <c r="A1410" t="str">
        <f>"10/21/2020 18:25:01.203"</f>
        <v>10/21/2020 18:25:01.203</v>
      </c>
      <c r="B1410" t="str">
        <f>"18:25:09.125"</f>
        <v>18:25:09.125</v>
      </c>
      <c r="C1410" t="str">
        <f>"18:25:08.825"</f>
        <v>18:25:08.825</v>
      </c>
      <c r="D1410" t="s">
        <v>571</v>
      </c>
      <c r="E1410">
        <v>30.605720999999999</v>
      </c>
      <c r="F1410" t="s">
        <v>572</v>
      </c>
      <c r="G1410">
        <v>-89.843874</v>
      </c>
      <c r="H1410">
        <v>1700</v>
      </c>
      <c r="I1410">
        <v>-23</v>
      </c>
      <c r="J1410">
        <v>-146</v>
      </c>
      <c r="K1410">
        <v>192</v>
      </c>
      <c r="L1410">
        <v>1200</v>
      </c>
      <c r="M1410" t="str">
        <f t="shared" si="75"/>
        <v xml:space="preserve">N35DC   </v>
      </c>
      <c r="N1410">
        <v>1</v>
      </c>
      <c r="O1410">
        <v>1750</v>
      </c>
    </row>
    <row r="1411" spans="1:15" x14ac:dyDescent="0.25">
      <c r="A1411" t="str">
        <f>"10/21/2020 18:25:01.203"</f>
        <v>10/21/2020 18:25:01.203</v>
      </c>
      <c r="B1411" t="str">
        <f>"18:25:09.125"</f>
        <v>18:25:09.125</v>
      </c>
      <c r="C1411" t="str">
        <f>"18:25:08.825"</f>
        <v>18:25:08.825</v>
      </c>
      <c r="D1411" t="s">
        <v>571</v>
      </c>
      <c r="E1411">
        <v>30.605720999999999</v>
      </c>
      <c r="F1411" t="s">
        <v>572</v>
      </c>
      <c r="G1411">
        <v>-89.843874</v>
      </c>
      <c r="H1411">
        <v>1700</v>
      </c>
      <c r="I1411">
        <v>-23</v>
      </c>
      <c r="J1411">
        <v>-146</v>
      </c>
      <c r="K1411">
        <v>192</v>
      </c>
      <c r="L1411">
        <v>1200</v>
      </c>
      <c r="M1411" t="str">
        <f t="shared" si="75"/>
        <v xml:space="preserve">N35DC   </v>
      </c>
      <c r="N1411">
        <v>1</v>
      </c>
      <c r="O1411">
        <v>1750</v>
      </c>
    </row>
    <row r="1412" spans="1:15" x14ac:dyDescent="0.25">
      <c r="A1412" t="str">
        <f>"10/21/2020 18:25:02.037"</f>
        <v>10/21/2020 18:25:02.037</v>
      </c>
      <c r="B1412" t="str">
        <f>"18:25:09.977"</f>
        <v>18:25:09.977</v>
      </c>
      <c r="C1412" t="str">
        <f>"18:25:09.777"</f>
        <v>18:25:09.777</v>
      </c>
      <c r="D1412" t="s">
        <v>573</v>
      </c>
      <c r="E1412">
        <v>30.605163999999998</v>
      </c>
      <c r="F1412" t="s">
        <v>574</v>
      </c>
      <c r="G1412">
        <v>-89.843980999999999</v>
      </c>
      <c r="H1412">
        <v>1700</v>
      </c>
      <c r="I1412">
        <v>-24</v>
      </c>
      <c r="J1412">
        <v>-146</v>
      </c>
      <c r="K1412">
        <v>128</v>
      </c>
      <c r="L1412">
        <v>1200</v>
      </c>
      <c r="M1412" t="str">
        <f t="shared" si="75"/>
        <v xml:space="preserve">N35DC   </v>
      </c>
      <c r="N1412">
        <v>1</v>
      </c>
      <c r="O1412">
        <v>1750</v>
      </c>
    </row>
    <row r="1413" spans="1:15" x14ac:dyDescent="0.25">
      <c r="A1413" t="str">
        <f>"10/21/2020 18:25:02.037"</f>
        <v>10/21/2020 18:25:02.037</v>
      </c>
      <c r="B1413" t="str">
        <f>"18:25:09.977"</f>
        <v>18:25:09.977</v>
      </c>
      <c r="C1413" t="str">
        <f>"18:25:09.777"</f>
        <v>18:25:09.777</v>
      </c>
      <c r="D1413" t="s">
        <v>573</v>
      </c>
      <c r="E1413">
        <v>30.605163999999998</v>
      </c>
      <c r="F1413" t="s">
        <v>574</v>
      </c>
      <c r="G1413">
        <v>-89.843980999999999</v>
      </c>
      <c r="H1413">
        <v>1700</v>
      </c>
      <c r="I1413">
        <v>-24</v>
      </c>
      <c r="J1413">
        <v>-146</v>
      </c>
      <c r="K1413">
        <v>128</v>
      </c>
      <c r="L1413">
        <v>1200</v>
      </c>
      <c r="M1413" t="str">
        <f t="shared" si="75"/>
        <v xml:space="preserve">N35DC   </v>
      </c>
      <c r="N1413">
        <v>1</v>
      </c>
      <c r="O1413">
        <v>1750</v>
      </c>
    </row>
    <row r="1414" spans="1:15" x14ac:dyDescent="0.25">
      <c r="A1414" t="str">
        <f>"10/21/2020 18:25:02.037"</f>
        <v>10/21/2020 18:25:02.037</v>
      </c>
      <c r="B1414" t="str">
        <f>"18:25:09.977"</f>
        <v>18:25:09.977</v>
      </c>
      <c r="C1414" t="str">
        <f>"18:25:09.777"</f>
        <v>18:25:09.777</v>
      </c>
      <c r="D1414" t="s">
        <v>573</v>
      </c>
      <c r="E1414">
        <v>30.605163999999998</v>
      </c>
      <c r="F1414" t="s">
        <v>574</v>
      </c>
      <c r="G1414">
        <v>-89.843980999999999</v>
      </c>
      <c r="H1414">
        <v>1700</v>
      </c>
      <c r="I1414">
        <v>-24</v>
      </c>
      <c r="J1414">
        <v>-146</v>
      </c>
      <c r="K1414">
        <v>128</v>
      </c>
      <c r="L1414">
        <v>1200</v>
      </c>
      <c r="M1414" t="str">
        <f t="shared" si="75"/>
        <v xml:space="preserve">N35DC   </v>
      </c>
      <c r="N1414">
        <v>1</v>
      </c>
      <c r="O1414">
        <v>1750</v>
      </c>
    </row>
    <row r="1415" spans="1:15" x14ac:dyDescent="0.25">
      <c r="A1415" t="str">
        <f>"10/21/2020 18:25:02.037"</f>
        <v>10/21/2020 18:25:02.037</v>
      </c>
      <c r="B1415" t="str">
        <f>"18:25:09.977"</f>
        <v>18:25:09.977</v>
      </c>
      <c r="C1415" t="str">
        <f>"18:25:09.777"</f>
        <v>18:25:09.777</v>
      </c>
      <c r="D1415" t="s">
        <v>573</v>
      </c>
      <c r="E1415">
        <v>30.605163999999998</v>
      </c>
      <c r="F1415" t="s">
        <v>574</v>
      </c>
      <c r="G1415">
        <v>-89.843980999999999</v>
      </c>
      <c r="H1415">
        <v>1700</v>
      </c>
      <c r="I1415">
        <v>-24</v>
      </c>
      <c r="J1415">
        <v>-146</v>
      </c>
      <c r="K1415">
        <v>128</v>
      </c>
      <c r="L1415">
        <v>1200</v>
      </c>
      <c r="M1415" t="str">
        <f t="shared" ref="M1415:M1478" si="76">"N35DC   "</f>
        <v xml:space="preserve">N35DC   </v>
      </c>
      <c r="N1415">
        <v>1</v>
      </c>
      <c r="O1415">
        <v>1750</v>
      </c>
    </row>
    <row r="1416" spans="1:15" x14ac:dyDescent="0.25">
      <c r="A1416" t="str">
        <f>"10/21/2020 18:25:02.037"</f>
        <v>10/21/2020 18:25:02.037</v>
      </c>
      <c r="B1416" t="str">
        <f>"18:25:09.977"</f>
        <v>18:25:09.977</v>
      </c>
      <c r="C1416" t="str">
        <f>"18:25:09.777"</f>
        <v>18:25:09.777</v>
      </c>
      <c r="D1416" t="s">
        <v>573</v>
      </c>
      <c r="E1416">
        <v>30.605163999999998</v>
      </c>
      <c r="F1416" t="s">
        <v>574</v>
      </c>
      <c r="G1416">
        <v>-89.843980999999999</v>
      </c>
      <c r="H1416">
        <v>1700</v>
      </c>
      <c r="I1416">
        <v>-24</v>
      </c>
      <c r="J1416">
        <v>-146</v>
      </c>
      <c r="K1416">
        <v>128</v>
      </c>
      <c r="L1416">
        <v>1200</v>
      </c>
      <c r="M1416" t="str">
        <f t="shared" si="76"/>
        <v xml:space="preserve">N35DC   </v>
      </c>
      <c r="N1416">
        <v>1</v>
      </c>
      <c r="O1416">
        <v>1750</v>
      </c>
    </row>
    <row r="1417" spans="1:15" x14ac:dyDescent="0.25">
      <c r="A1417" t="str">
        <f>"10/21/2020 18:25:05.218"</f>
        <v>10/21/2020 18:25:05.218</v>
      </c>
      <c r="B1417" t="str">
        <f>"18:25:13.172"</f>
        <v>18:25:13.172</v>
      </c>
      <c r="C1417" t="str">
        <f>"18:25:12.772"</f>
        <v>18:25:12.772</v>
      </c>
      <c r="D1417" t="s">
        <v>575</v>
      </c>
      <c r="E1417">
        <v>30.602975000000001</v>
      </c>
      <c r="F1417" t="s">
        <v>576</v>
      </c>
      <c r="G1417">
        <v>-89.844368000000003</v>
      </c>
      <c r="H1417">
        <v>1700</v>
      </c>
      <c r="I1417">
        <v>-23</v>
      </c>
      <c r="J1417">
        <v>-147</v>
      </c>
      <c r="K1417">
        <v>-320</v>
      </c>
      <c r="L1417">
        <v>1200</v>
      </c>
      <c r="M1417" t="str">
        <f t="shared" si="76"/>
        <v xml:space="preserve">N35DC   </v>
      </c>
      <c r="N1417">
        <v>1</v>
      </c>
      <c r="O1417">
        <v>1750</v>
      </c>
    </row>
    <row r="1418" spans="1:15" x14ac:dyDescent="0.25">
      <c r="A1418" t="str">
        <f>"10/21/2020 18:25:05.218"</f>
        <v>10/21/2020 18:25:05.218</v>
      </c>
      <c r="B1418" t="str">
        <f>"18:25:13.172"</f>
        <v>18:25:13.172</v>
      </c>
      <c r="C1418" t="str">
        <f>"18:25:12.772"</f>
        <v>18:25:12.772</v>
      </c>
      <c r="D1418" t="s">
        <v>575</v>
      </c>
      <c r="E1418">
        <v>30.602975000000001</v>
      </c>
      <c r="F1418" t="s">
        <v>576</v>
      </c>
      <c r="G1418">
        <v>-89.844368000000003</v>
      </c>
      <c r="H1418">
        <v>1700</v>
      </c>
      <c r="I1418">
        <v>-23</v>
      </c>
      <c r="J1418">
        <v>-147</v>
      </c>
      <c r="K1418">
        <v>-320</v>
      </c>
      <c r="L1418">
        <v>1200</v>
      </c>
      <c r="M1418" t="str">
        <f t="shared" si="76"/>
        <v xml:space="preserve">N35DC   </v>
      </c>
      <c r="N1418">
        <v>1</v>
      </c>
      <c r="O1418">
        <v>1750</v>
      </c>
    </row>
    <row r="1419" spans="1:15" x14ac:dyDescent="0.25">
      <c r="A1419" t="str">
        <f>"10/21/2020 18:25:05.218"</f>
        <v>10/21/2020 18:25:05.218</v>
      </c>
      <c r="B1419" t="str">
        <f>"18:25:13.172"</f>
        <v>18:25:13.172</v>
      </c>
      <c r="C1419" t="str">
        <f>"18:25:12.772"</f>
        <v>18:25:12.772</v>
      </c>
      <c r="D1419" t="s">
        <v>575</v>
      </c>
      <c r="E1419">
        <v>30.602975000000001</v>
      </c>
      <c r="F1419" t="s">
        <v>576</v>
      </c>
      <c r="G1419">
        <v>-89.844368000000003</v>
      </c>
      <c r="H1419">
        <v>1700</v>
      </c>
      <c r="I1419">
        <v>-23</v>
      </c>
      <c r="J1419">
        <v>-147</v>
      </c>
      <c r="K1419">
        <v>-320</v>
      </c>
      <c r="L1419">
        <v>1200</v>
      </c>
      <c r="M1419" t="str">
        <f t="shared" si="76"/>
        <v xml:space="preserve">N35DC   </v>
      </c>
      <c r="N1419">
        <v>1</v>
      </c>
      <c r="O1419">
        <v>1750</v>
      </c>
    </row>
    <row r="1420" spans="1:15" x14ac:dyDescent="0.25">
      <c r="A1420" t="str">
        <f>"10/21/2020 18:25:05.218"</f>
        <v>10/21/2020 18:25:05.218</v>
      </c>
      <c r="B1420" t="str">
        <f>"18:25:13.172"</f>
        <v>18:25:13.172</v>
      </c>
      <c r="C1420" t="str">
        <f>"18:25:12.772"</f>
        <v>18:25:12.772</v>
      </c>
      <c r="D1420" t="s">
        <v>575</v>
      </c>
      <c r="E1420">
        <v>30.602975000000001</v>
      </c>
      <c r="F1420" t="s">
        <v>576</v>
      </c>
      <c r="G1420">
        <v>-89.844368000000003</v>
      </c>
      <c r="H1420">
        <v>1700</v>
      </c>
      <c r="I1420">
        <v>-23</v>
      </c>
      <c r="J1420">
        <v>-147</v>
      </c>
      <c r="K1420">
        <v>-320</v>
      </c>
      <c r="L1420">
        <v>1200</v>
      </c>
      <c r="M1420" t="str">
        <f t="shared" si="76"/>
        <v xml:space="preserve">N35DC   </v>
      </c>
      <c r="N1420">
        <v>1</v>
      </c>
      <c r="O1420">
        <v>1750</v>
      </c>
    </row>
    <row r="1421" spans="1:15" x14ac:dyDescent="0.25">
      <c r="A1421" t="str">
        <f>"10/21/2020 18:25:05.218"</f>
        <v>10/21/2020 18:25:05.218</v>
      </c>
      <c r="B1421" t="str">
        <f>"18:25:13.172"</f>
        <v>18:25:13.172</v>
      </c>
      <c r="C1421" t="str">
        <f>"18:25:12.772"</f>
        <v>18:25:12.772</v>
      </c>
      <c r="D1421" t="s">
        <v>575</v>
      </c>
      <c r="E1421">
        <v>30.602975000000001</v>
      </c>
      <c r="F1421" t="s">
        <v>576</v>
      </c>
      <c r="G1421">
        <v>-89.844368000000003</v>
      </c>
      <c r="H1421">
        <v>1700</v>
      </c>
      <c r="I1421">
        <v>-23</v>
      </c>
      <c r="J1421">
        <v>-147</v>
      </c>
      <c r="K1421">
        <v>-320</v>
      </c>
      <c r="L1421">
        <v>1200</v>
      </c>
      <c r="M1421" t="str">
        <f t="shared" si="76"/>
        <v xml:space="preserve">N35DC   </v>
      </c>
      <c r="N1421">
        <v>1</v>
      </c>
      <c r="O1421">
        <v>1750</v>
      </c>
    </row>
    <row r="1422" spans="1:15" x14ac:dyDescent="0.25">
      <c r="A1422" t="str">
        <f>"10/21/2020 18:25:06.203"</f>
        <v>10/21/2020 18:25:06.203</v>
      </c>
      <c r="B1422" t="str">
        <f>"18:25:14.148"</f>
        <v>18:25:14.148</v>
      </c>
      <c r="C1422" t="str">
        <f>"18:25:13.948"</f>
        <v>18:25:13.948</v>
      </c>
      <c r="D1422" t="s">
        <v>577</v>
      </c>
      <c r="E1422">
        <v>30.602331</v>
      </c>
      <c r="F1422" t="s">
        <v>578</v>
      </c>
      <c r="G1422">
        <v>-89.844517999999994</v>
      </c>
      <c r="H1422">
        <v>1600</v>
      </c>
      <c r="I1422">
        <v>-21</v>
      </c>
      <c r="J1422">
        <v>-148</v>
      </c>
      <c r="K1422">
        <v>-384</v>
      </c>
      <c r="L1422">
        <v>1200</v>
      </c>
      <c r="M1422" t="str">
        <f t="shared" si="76"/>
        <v xml:space="preserve">N35DC   </v>
      </c>
      <c r="N1422">
        <v>1</v>
      </c>
      <c r="O1422">
        <v>1625</v>
      </c>
    </row>
    <row r="1423" spans="1:15" x14ac:dyDescent="0.25">
      <c r="A1423" t="str">
        <f>"10/21/2020 18:25:06.203"</f>
        <v>10/21/2020 18:25:06.203</v>
      </c>
      <c r="B1423" t="str">
        <f>"18:25:14.148"</f>
        <v>18:25:14.148</v>
      </c>
      <c r="C1423" t="str">
        <f>"18:25:13.948"</f>
        <v>18:25:13.948</v>
      </c>
      <c r="D1423" t="s">
        <v>577</v>
      </c>
      <c r="E1423">
        <v>30.602331</v>
      </c>
      <c r="F1423" t="s">
        <v>578</v>
      </c>
      <c r="G1423">
        <v>-89.844517999999994</v>
      </c>
      <c r="H1423">
        <v>1600</v>
      </c>
      <c r="I1423">
        <v>-21</v>
      </c>
      <c r="J1423">
        <v>-148</v>
      </c>
      <c r="K1423">
        <v>-384</v>
      </c>
      <c r="L1423">
        <v>1200</v>
      </c>
      <c r="M1423" t="str">
        <f t="shared" si="76"/>
        <v xml:space="preserve">N35DC   </v>
      </c>
      <c r="N1423">
        <v>1</v>
      </c>
      <c r="O1423">
        <v>1625</v>
      </c>
    </row>
    <row r="1424" spans="1:15" x14ac:dyDescent="0.25">
      <c r="A1424" t="str">
        <f>"10/21/2020 18:25:06.203"</f>
        <v>10/21/2020 18:25:06.203</v>
      </c>
      <c r="B1424" t="str">
        <f>"18:25:14.148"</f>
        <v>18:25:14.148</v>
      </c>
      <c r="C1424" t="str">
        <f>"18:25:13.948"</f>
        <v>18:25:13.948</v>
      </c>
      <c r="D1424" t="s">
        <v>577</v>
      </c>
      <c r="E1424">
        <v>30.602331</v>
      </c>
      <c r="F1424" t="s">
        <v>578</v>
      </c>
      <c r="G1424">
        <v>-89.844517999999994</v>
      </c>
      <c r="H1424">
        <v>1600</v>
      </c>
      <c r="I1424">
        <v>-21</v>
      </c>
      <c r="J1424">
        <v>-148</v>
      </c>
      <c r="K1424">
        <v>-384</v>
      </c>
      <c r="L1424">
        <v>1200</v>
      </c>
      <c r="M1424" t="str">
        <f t="shared" si="76"/>
        <v xml:space="preserve">N35DC   </v>
      </c>
      <c r="N1424">
        <v>1</v>
      </c>
      <c r="O1424">
        <v>1625</v>
      </c>
    </row>
    <row r="1425" spans="1:15" x14ac:dyDescent="0.25">
      <c r="A1425" t="str">
        <f>"10/21/2020 18:25:06.203"</f>
        <v>10/21/2020 18:25:06.203</v>
      </c>
      <c r="B1425" t="str">
        <f>"18:25:14.148"</f>
        <v>18:25:14.148</v>
      </c>
      <c r="C1425" t="str">
        <f>"18:25:13.948"</f>
        <v>18:25:13.948</v>
      </c>
      <c r="D1425" t="s">
        <v>577</v>
      </c>
      <c r="E1425">
        <v>30.602331</v>
      </c>
      <c r="F1425" t="s">
        <v>578</v>
      </c>
      <c r="G1425">
        <v>-89.844517999999994</v>
      </c>
      <c r="H1425">
        <v>1600</v>
      </c>
      <c r="I1425">
        <v>-21</v>
      </c>
      <c r="J1425">
        <v>-148</v>
      </c>
      <c r="K1425">
        <v>-384</v>
      </c>
      <c r="L1425">
        <v>1200</v>
      </c>
      <c r="M1425" t="str">
        <f t="shared" si="76"/>
        <v xml:space="preserve">N35DC   </v>
      </c>
      <c r="N1425">
        <v>1</v>
      </c>
      <c r="O1425">
        <v>1625</v>
      </c>
    </row>
    <row r="1426" spans="1:15" x14ac:dyDescent="0.25">
      <c r="A1426" t="str">
        <f>"10/21/2020 18:25:06.203"</f>
        <v>10/21/2020 18:25:06.203</v>
      </c>
      <c r="B1426" t="str">
        <f>"18:25:14.148"</f>
        <v>18:25:14.148</v>
      </c>
      <c r="C1426" t="str">
        <f>"18:25:13.948"</f>
        <v>18:25:13.948</v>
      </c>
      <c r="D1426" t="s">
        <v>577</v>
      </c>
      <c r="E1426">
        <v>30.602331</v>
      </c>
      <c r="F1426" t="s">
        <v>578</v>
      </c>
      <c r="G1426">
        <v>-89.844517999999994</v>
      </c>
      <c r="H1426">
        <v>1600</v>
      </c>
      <c r="I1426">
        <v>-21</v>
      </c>
      <c r="J1426">
        <v>-148</v>
      </c>
      <c r="K1426">
        <v>-384</v>
      </c>
      <c r="L1426">
        <v>1200</v>
      </c>
      <c r="M1426" t="str">
        <f t="shared" si="76"/>
        <v xml:space="preserve">N35DC   </v>
      </c>
      <c r="N1426">
        <v>1</v>
      </c>
      <c r="O1426">
        <v>1625</v>
      </c>
    </row>
    <row r="1427" spans="1:15" x14ac:dyDescent="0.25">
      <c r="A1427" t="str">
        <f>"10/21/2020 18:25:09.196"</f>
        <v>10/21/2020 18:25:09.196</v>
      </c>
      <c r="B1427" t="str">
        <f>"18:25:17.102"</f>
        <v>18:25:17.102</v>
      </c>
      <c r="C1427" t="str">
        <f>"18:25:16.902"</f>
        <v>18:25:16.902</v>
      </c>
      <c r="D1427" t="s">
        <v>579</v>
      </c>
      <c r="E1427">
        <v>30.600270999999999</v>
      </c>
      <c r="F1427" t="s">
        <v>580</v>
      </c>
      <c r="G1427">
        <v>-89.844818000000004</v>
      </c>
      <c r="H1427">
        <v>1600</v>
      </c>
      <c r="I1427">
        <v>-18</v>
      </c>
      <c r="J1427">
        <v>-150</v>
      </c>
      <c r="K1427">
        <v>-448</v>
      </c>
      <c r="L1427">
        <v>1200</v>
      </c>
      <c r="M1427" t="str">
        <f t="shared" si="76"/>
        <v xml:space="preserve">N35DC   </v>
      </c>
      <c r="N1427">
        <v>1</v>
      </c>
      <c r="O1427">
        <v>1700</v>
      </c>
    </row>
    <row r="1428" spans="1:15" x14ac:dyDescent="0.25">
      <c r="A1428" t="str">
        <f>"10/21/2020 18:25:09.196"</f>
        <v>10/21/2020 18:25:09.196</v>
      </c>
      <c r="B1428" t="str">
        <f>"18:25:17.102"</f>
        <v>18:25:17.102</v>
      </c>
      <c r="C1428" t="str">
        <f>"18:25:16.902"</f>
        <v>18:25:16.902</v>
      </c>
      <c r="D1428" t="s">
        <v>579</v>
      </c>
      <c r="E1428">
        <v>30.600270999999999</v>
      </c>
      <c r="F1428" t="s">
        <v>580</v>
      </c>
      <c r="G1428">
        <v>-89.844818000000004</v>
      </c>
      <c r="H1428">
        <v>1600</v>
      </c>
      <c r="I1428">
        <v>-18</v>
      </c>
      <c r="J1428">
        <v>-150</v>
      </c>
      <c r="K1428">
        <v>-448</v>
      </c>
      <c r="L1428">
        <v>1200</v>
      </c>
      <c r="M1428" t="str">
        <f t="shared" si="76"/>
        <v xml:space="preserve">N35DC   </v>
      </c>
      <c r="N1428">
        <v>1</v>
      </c>
      <c r="O1428">
        <v>1700</v>
      </c>
    </row>
    <row r="1429" spans="1:15" x14ac:dyDescent="0.25">
      <c r="A1429" t="str">
        <f>"10/21/2020 18:25:09.196"</f>
        <v>10/21/2020 18:25:09.196</v>
      </c>
      <c r="B1429" t="str">
        <f>"18:25:17.102"</f>
        <v>18:25:17.102</v>
      </c>
      <c r="C1429" t="str">
        <f>"18:25:16.902"</f>
        <v>18:25:16.902</v>
      </c>
      <c r="D1429" t="s">
        <v>579</v>
      </c>
      <c r="E1429">
        <v>30.600270999999999</v>
      </c>
      <c r="F1429" t="s">
        <v>580</v>
      </c>
      <c r="G1429">
        <v>-89.844818000000004</v>
      </c>
      <c r="H1429">
        <v>1600</v>
      </c>
      <c r="I1429">
        <v>-18</v>
      </c>
      <c r="J1429">
        <v>-150</v>
      </c>
      <c r="K1429">
        <v>-448</v>
      </c>
      <c r="L1429">
        <v>1200</v>
      </c>
      <c r="M1429" t="str">
        <f t="shared" si="76"/>
        <v xml:space="preserve">N35DC   </v>
      </c>
      <c r="N1429">
        <v>1</v>
      </c>
      <c r="O1429">
        <v>1700</v>
      </c>
    </row>
    <row r="1430" spans="1:15" x14ac:dyDescent="0.25">
      <c r="A1430" t="str">
        <f>"10/21/2020 18:25:09.196"</f>
        <v>10/21/2020 18:25:09.196</v>
      </c>
      <c r="B1430" t="str">
        <f>"18:25:17.102"</f>
        <v>18:25:17.102</v>
      </c>
      <c r="C1430" t="str">
        <f>"18:25:16.902"</f>
        <v>18:25:16.902</v>
      </c>
      <c r="D1430" t="s">
        <v>579</v>
      </c>
      <c r="E1430">
        <v>30.600270999999999</v>
      </c>
      <c r="F1430" t="s">
        <v>580</v>
      </c>
      <c r="G1430">
        <v>-89.844818000000004</v>
      </c>
      <c r="H1430">
        <v>1600</v>
      </c>
      <c r="I1430">
        <v>-18</v>
      </c>
      <c r="J1430">
        <v>-150</v>
      </c>
      <c r="K1430">
        <v>-448</v>
      </c>
      <c r="L1430">
        <v>1200</v>
      </c>
      <c r="M1430" t="str">
        <f t="shared" si="76"/>
        <v xml:space="preserve">N35DC   </v>
      </c>
      <c r="N1430">
        <v>1</v>
      </c>
      <c r="O1430">
        <v>1700</v>
      </c>
    </row>
    <row r="1431" spans="1:15" x14ac:dyDescent="0.25">
      <c r="A1431" t="str">
        <f>"10/21/2020 18:25:09.196"</f>
        <v>10/21/2020 18:25:09.196</v>
      </c>
      <c r="B1431" t="str">
        <f>"18:25:17.102"</f>
        <v>18:25:17.102</v>
      </c>
      <c r="C1431" t="str">
        <f>"18:25:16.902"</f>
        <v>18:25:16.902</v>
      </c>
      <c r="D1431" t="s">
        <v>579</v>
      </c>
      <c r="E1431">
        <v>30.600270999999999</v>
      </c>
      <c r="F1431" t="s">
        <v>580</v>
      </c>
      <c r="G1431">
        <v>-89.844818000000004</v>
      </c>
      <c r="H1431">
        <v>1600</v>
      </c>
      <c r="I1431">
        <v>-18</v>
      </c>
      <c r="J1431">
        <v>-150</v>
      </c>
      <c r="K1431">
        <v>-448</v>
      </c>
      <c r="L1431">
        <v>1200</v>
      </c>
      <c r="M1431" t="str">
        <f t="shared" si="76"/>
        <v xml:space="preserve">N35DC   </v>
      </c>
      <c r="N1431">
        <v>1</v>
      </c>
      <c r="O1431">
        <v>1700</v>
      </c>
    </row>
    <row r="1432" spans="1:15" x14ac:dyDescent="0.25">
      <c r="A1432" t="str">
        <f>"10/21/2020 18:25:10.206"</f>
        <v>10/21/2020 18:25:10.206</v>
      </c>
      <c r="B1432" t="str">
        <f>"18:25:18.133"</f>
        <v>18:25:18.133</v>
      </c>
      <c r="C1432" t="str">
        <f>"18:25:17.833"</f>
        <v>18:25:17.833</v>
      </c>
      <c r="D1432" t="s">
        <v>581</v>
      </c>
      <c r="E1432">
        <v>30.599542</v>
      </c>
      <c r="F1432" t="s">
        <v>582</v>
      </c>
      <c r="G1432">
        <v>-89.844904</v>
      </c>
      <c r="H1432">
        <v>1600</v>
      </c>
      <c r="I1432">
        <v>-16</v>
      </c>
      <c r="J1432">
        <v>-150</v>
      </c>
      <c r="K1432">
        <v>-448</v>
      </c>
      <c r="L1432">
        <v>1200</v>
      </c>
      <c r="M1432" t="str">
        <f t="shared" si="76"/>
        <v xml:space="preserve">N35DC   </v>
      </c>
      <c r="N1432">
        <v>1</v>
      </c>
      <c r="O1432">
        <v>1700</v>
      </c>
    </row>
    <row r="1433" spans="1:15" x14ac:dyDescent="0.25">
      <c r="A1433" t="str">
        <f>"10/21/2020 18:25:10.206"</f>
        <v>10/21/2020 18:25:10.206</v>
      </c>
      <c r="B1433" t="str">
        <f>"18:25:18.133"</f>
        <v>18:25:18.133</v>
      </c>
      <c r="C1433" t="str">
        <f>"18:25:17.833"</f>
        <v>18:25:17.833</v>
      </c>
      <c r="D1433" t="s">
        <v>581</v>
      </c>
      <c r="E1433">
        <v>30.599542</v>
      </c>
      <c r="F1433" t="s">
        <v>582</v>
      </c>
      <c r="G1433">
        <v>-89.844904</v>
      </c>
      <c r="H1433">
        <v>1600</v>
      </c>
      <c r="I1433">
        <v>-16</v>
      </c>
      <c r="J1433">
        <v>-150</v>
      </c>
      <c r="K1433">
        <v>-448</v>
      </c>
      <c r="L1433">
        <v>1200</v>
      </c>
      <c r="M1433" t="str">
        <f t="shared" si="76"/>
        <v xml:space="preserve">N35DC   </v>
      </c>
      <c r="N1433">
        <v>1</v>
      </c>
      <c r="O1433">
        <v>1700</v>
      </c>
    </row>
    <row r="1434" spans="1:15" x14ac:dyDescent="0.25">
      <c r="A1434" t="str">
        <f>"10/21/2020 18:25:10.206"</f>
        <v>10/21/2020 18:25:10.206</v>
      </c>
      <c r="B1434" t="str">
        <f>"18:25:18.133"</f>
        <v>18:25:18.133</v>
      </c>
      <c r="C1434" t="str">
        <f>"18:25:17.833"</f>
        <v>18:25:17.833</v>
      </c>
      <c r="D1434" t="s">
        <v>581</v>
      </c>
      <c r="E1434">
        <v>30.599542</v>
      </c>
      <c r="F1434" t="s">
        <v>582</v>
      </c>
      <c r="G1434">
        <v>-89.844904</v>
      </c>
      <c r="H1434">
        <v>1600</v>
      </c>
      <c r="I1434">
        <v>-16</v>
      </c>
      <c r="J1434">
        <v>-150</v>
      </c>
      <c r="K1434">
        <v>-448</v>
      </c>
      <c r="L1434">
        <v>1200</v>
      </c>
      <c r="M1434" t="str">
        <f t="shared" si="76"/>
        <v xml:space="preserve">N35DC   </v>
      </c>
      <c r="N1434">
        <v>1</v>
      </c>
      <c r="O1434">
        <v>1700</v>
      </c>
    </row>
    <row r="1435" spans="1:15" x14ac:dyDescent="0.25">
      <c r="A1435" t="str">
        <f>"10/21/2020 18:25:10.206"</f>
        <v>10/21/2020 18:25:10.206</v>
      </c>
      <c r="B1435" t="str">
        <f>"18:25:18.133"</f>
        <v>18:25:18.133</v>
      </c>
      <c r="C1435" t="str">
        <f>"18:25:17.833"</f>
        <v>18:25:17.833</v>
      </c>
      <c r="D1435" t="s">
        <v>581</v>
      </c>
      <c r="E1435">
        <v>30.599542</v>
      </c>
      <c r="F1435" t="s">
        <v>582</v>
      </c>
      <c r="G1435">
        <v>-89.844904</v>
      </c>
      <c r="H1435">
        <v>1600</v>
      </c>
      <c r="I1435">
        <v>-16</v>
      </c>
      <c r="J1435">
        <v>-150</v>
      </c>
      <c r="K1435">
        <v>-448</v>
      </c>
      <c r="L1435">
        <v>1200</v>
      </c>
      <c r="M1435" t="str">
        <f t="shared" si="76"/>
        <v xml:space="preserve">N35DC   </v>
      </c>
      <c r="N1435">
        <v>1</v>
      </c>
      <c r="O1435">
        <v>1700</v>
      </c>
    </row>
    <row r="1436" spans="1:15" x14ac:dyDescent="0.25">
      <c r="A1436" t="str">
        <f>"10/21/2020 18:25:10.206"</f>
        <v>10/21/2020 18:25:10.206</v>
      </c>
      <c r="B1436" t="str">
        <f>"18:25:18.133"</f>
        <v>18:25:18.133</v>
      </c>
      <c r="C1436" t="str">
        <f>"18:25:17.833"</f>
        <v>18:25:17.833</v>
      </c>
      <c r="D1436" t="s">
        <v>581</v>
      </c>
      <c r="E1436">
        <v>30.599542</v>
      </c>
      <c r="F1436" t="s">
        <v>582</v>
      </c>
      <c r="G1436">
        <v>-89.844904</v>
      </c>
      <c r="H1436">
        <v>1600</v>
      </c>
      <c r="I1436">
        <v>-16</v>
      </c>
      <c r="J1436">
        <v>-150</v>
      </c>
      <c r="K1436">
        <v>-448</v>
      </c>
      <c r="L1436">
        <v>1200</v>
      </c>
      <c r="M1436" t="str">
        <f t="shared" si="76"/>
        <v xml:space="preserve">N35DC   </v>
      </c>
      <c r="N1436">
        <v>1</v>
      </c>
      <c r="O1436">
        <v>1700</v>
      </c>
    </row>
    <row r="1437" spans="1:15" x14ac:dyDescent="0.25">
      <c r="A1437" t="str">
        <f>"10/21/2020 18:25:12.284"</f>
        <v>10/21/2020 18:25:12.284</v>
      </c>
      <c r="B1437" t="str">
        <f>"18:25:20.203"</f>
        <v>18:25:20.203</v>
      </c>
      <c r="C1437" t="str">
        <f>"18:25:19.903"</f>
        <v>18:25:19.903</v>
      </c>
      <c r="D1437" t="s">
        <v>583</v>
      </c>
      <c r="E1437">
        <v>30.598082999999999</v>
      </c>
      <c r="F1437" t="s">
        <v>584</v>
      </c>
      <c r="G1437">
        <v>-89.845033000000001</v>
      </c>
      <c r="H1437">
        <v>1600</v>
      </c>
      <c r="I1437">
        <v>-13</v>
      </c>
      <c r="J1437">
        <v>-151</v>
      </c>
      <c r="K1437">
        <v>-256</v>
      </c>
      <c r="L1437">
        <v>1200</v>
      </c>
      <c r="M1437" t="str">
        <f t="shared" si="76"/>
        <v xml:space="preserve">N35DC   </v>
      </c>
      <c r="N1437">
        <v>1</v>
      </c>
      <c r="O1437">
        <v>1700</v>
      </c>
    </row>
    <row r="1438" spans="1:15" x14ac:dyDescent="0.25">
      <c r="A1438" t="str">
        <f>"10/21/2020 18:25:12.284"</f>
        <v>10/21/2020 18:25:12.284</v>
      </c>
      <c r="B1438" t="str">
        <f>"18:25:20.203"</f>
        <v>18:25:20.203</v>
      </c>
      <c r="C1438" t="str">
        <f>"18:25:19.903"</f>
        <v>18:25:19.903</v>
      </c>
      <c r="D1438" t="s">
        <v>583</v>
      </c>
      <c r="E1438">
        <v>30.598082999999999</v>
      </c>
      <c r="F1438" t="s">
        <v>584</v>
      </c>
      <c r="G1438">
        <v>-89.845033000000001</v>
      </c>
      <c r="H1438">
        <v>1600</v>
      </c>
      <c r="I1438">
        <v>-13</v>
      </c>
      <c r="J1438">
        <v>-151</v>
      </c>
      <c r="K1438">
        <v>-256</v>
      </c>
      <c r="L1438">
        <v>1200</v>
      </c>
      <c r="M1438" t="str">
        <f t="shared" si="76"/>
        <v xml:space="preserve">N35DC   </v>
      </c>
      <c r="N1438">
        <v>1</v>
      </c>
      <c r="O1438">
        <v>1700</v>
      </c>
    </row>
    <row r="1439" spans="1:15" x14ac:dyDescent="0.25">
      <c r="A1439" t="str">
        <f>"10/21/2020 18:25:12.284"</f>
        <v>10/21/2020 18:25:12.284</v>
      </c>
      <c r="B1439" t="str">
        <f>"18:25:20.203"</f>
        <v>18:25:20.203</v>
      </c>
      <c r="C1439" t="str">
        <f>"18:25:19.903"</f>
        <v>18:25:19.903</v>
      </c>
      <c r="D1439" t="s">
        <v>583</v>
      </c>
      <c r="E1439">
        <v>30.598082999999999</v>
      </c>
      <c r="F1439" t="s">
        <v>584</v>
      </c>
      <c r="G1439">
        <v>-89.845033000000001</v>
      </c>
      <c r="H1439">
        <v>1600</v>
      </c>
      <c r="I1439">
        <v>-13</v>
      </c>
      <c r="J1439">
        <v>-151</v>
      </c>
      <c r="K1439">
        <v>-256</v>
      </c>
      <c r="L1439">
        <v>1200</v>
      </c>
      <c r="M1439" t="str">
        <f t="shared" si="76"/>
        <v xml:space="preserve">N35DC   </v>
      </c>
      <c r="N1439">
        <v>1</v>
      </c>
      <c r="O1439">
        <v>1700</v>
      </c>
    </row>
    <row r="1440" spans="1:15" x14ac:dyDescent="0.25">
      <c r="A1440" t="str">
        <f>"10/21/2020 18:25:12.284"</f>
        <v>10/21/2020 18:25:12.284</v>
      </c>
      <c r="B1440" t="str">
        <f>"18:25:20.203"</f>
        <v>18:25:20.203</v>
      </c>
      <c r="C1440" t="str">
        <f>"18:25:19.903"</f>
        <v>18:25:19.903</v>
      </c>
      <c r="D1440" t="s">
        <v>583</v>
      </c>
      <c r="E1440">
        <v>30.598082999999999</v>
      </c>
      <c r="F1440" t="s">
        <v>584</v>
      </c>
      <c r="G1440">
        <v>-89.845033000000001</v>
      </c>
      <c r="H1440">
        <v>1600</v>
      </c>
      <c r="I1440">
        <v>-13</v>
      </c>
      <c r="J1440">
        <v>-151</v>
      </c>
      <c r="K1440">
        <v>-256</v>
      </c>
      <c r="L1440">
        <v>1200</v>
      </c>
      <c r="M1440" t="str">
        <f t="shared" si="76"/>
        <v xml:space="preserve">N35DC   </v>
      </c>
      <c r="N1440">
        <v>1</v>
      </c>
      <c r="O1440">
        <v>1700</v>
      </c>
    </row>
    <row r="1441" spans="1:15" x14ac:dyDescent="0.25">
      <c r="A1441" t="str">
        <f>"10/21/2020 18:25:12.284"</f>
        <v>10/21/2020 18:25:12.284</v>
      </c>
      <c r="B1441" t="str">
        <f>"18:25:20.203"</f>
        <v>18:25:20.203</v>
      </c>
      <c r="C1441" t="str">
        <f>"18:25:19.903"</f>
        <v>18:25:19.903</v>
      </c>
      <c r="D1441" t="s">
        <v>583</v>
      </c>
      <c r="E1441">
        <v>30.598082999999999</v>
      </c>
      <c r="F1441" t="s">
        <v>584</v>
      </c>
      <c r="G1441">
        <v>-89.845033000000001</v>
      </c>
      <c r="H1441">
        <v>1600</v>
      </c>
      <c r="I1441">
        <v>-13</v>
      </c>
      <c r="J1441">
        <v>-151</v>
      </c>
      <c r="K1441">
        <v>-256</v>
      </c>
      <c r="L1441">
        <v>1200</v>
      </c>
      <c r="M1441" t="str">
        <f t="shared" si="76"/>
        <v xml:space="preserve">N35DC   </v>
      </c>
      <c r="N1441">
        <v>1</v>
      </c>
      <c r="O1441">
        <v>1700</v>
      </c>
    </row>
    <row r="1442" spans="1:15" x14ac:dyDescent="0.25">
      <c r="A1442" t="str">
        <f>"10/21/2020 18:25:13.144"</f>
        <v>10/21/2020 18:25:13.144</v>
      </c>
      <c r="B1442" t="str">
        <f>"18:25:21.094"</f>
        <v>18:25:21.094</v>
      </c>
      <c r="C1442" t="str">
        <f>"18:25:20.794"</f>
        <v>18:25:20.794</v>
      </c>
      <c r="D1442" t="s">
        <v>585</v>
      </c>
      <c r="E1442">
        <v>30.597481999999999</v>
      </c>
      <c r="F1442" t="s">
        <v>586</v>
      </c>
      <c r="G1442">
        <v>-89.845096999999996</v>
      </c>
      <c r="H1442">
        <v>1600</v>
      </c>
      <c r="I1442">
        <v>-11</v>
      </c>
      <c r="J1442">
        <v>-151</v>
      </c>
      <c r="K1442">
        <v>-256</v>
      </c>
      <c r="L1442">
        <v>1200</v>
      </c>
      <c r="M1442" t="str">
        <f t="shared" si="76"/>
        <v xml:space="preserve">N35DC   </v>
      </c>
      <c r="N1442">
        <v>1</v>
      </c>
      <c r="O1442">
        <v>1675</v>
      </c>
    </row>
    <row r="1443" spans="1:15" x14ac:dyDescent="0.25">
      <c r="A1443" t="str">
        <f>"10/21/2020 18:25:13.144"</f>
        <v>10/21/2020 18:25:13.144</v>
      </c>
      <c r="B1443" t="str">
        <f>"18:25:21.094"</f>
        <v>18:25:21.094</v>
      </c>
      <c r="C1443" t="str">
        <f>"18:25:20.794"</f>
        <v>18:25:20.794</v>
      </c>
      <c r="D1443" t="s">
        <v>585</v>
      </c>
      <c r="E1443">
        <v>30.597481999999999</v>
      </c>
      <c r="F1443" t="s">
        <v>586</v>
      </c>
      <c r="G1443">
        <v>-89.845096999999996</v>
      </c>
      <c r="H1443">
        <v>1600</v>
      </c>
      <c r="I1443">
        <v>-11</v>
      </c>
      <c r="J1443">
        <v>-151</v>
      </c>
      <c r="K1443">
        <v>-256</v>
      </c>
      <c r="L1443">
        <v>1200</v>
      </c>
      <c r="M1443" t="str">
        <f t="shared" si="76"/>
        <v xml:space="preserve">N35DC   </v>
      </c>
      <c r="N1443">
        <v>1</v>
      </c>
      <c r="O1443">
        <v>1675</v>
      </c>
    </row>
    <row r="1444" spans="1:15" x14ac:dyDescent="0.25">
      <c r="A1444" t="str">
        <f>"10/21/2020 18:25:13.144"</f>
        <v>10/21/2020 18:25:13.144</v>
      </c>
      <c r="B1444" t="str">
        <f>"18:25:21.094"</f>
        <v>18:25:21.094</v>
      </c>
      <c r="C1444" t="str">
        <f>"18:25:20.794"</f>
        <v>18:25:20.794</v>
      </c>
      <c r="D1444" t="s">
        <v>585</v>
      </c>
      <c r="E1444">
        <v>30.597481999999999</v>
      </c>
      <c r="F1444" t="s">
        <v>586</v>
      </c>
      <c r="G1444">
        <v>-89.845096999999996</v>
      </c>
      <c r="H1444">
        <v>1600</v>
      </c>
      <c r="I1444">
        <v>-11</v>
      </c>
      <c r="J1444">
        <v>-151</v>
      </c>
      <c r="K1444">
        <v>-256</v>
      </c>
      <c r="L1444">
        <v>1200</v>
      </c>
      <c r="M1444" t="str">
        <f t="shared" si="76"/>
        <v xml:space="preserve">N35DC   </v>
      </c>
      <c r="N1444">
        <v>1</v>
      </c>
      <c r="O1444">
        <v>1675</v>
      </c>
    </row>
    <row r="1445" spans="1:15" x14ac:dyDescent="0.25">
      <c r="A1445" t="str">
        <f>"10/21/2020 18:25:13.144"</f>
        <v>10/21/2020 18:25:13.144</v>
      </c>
      <c r="B1445" t="str">
        <f>"18:25:21.094"</f>
        <v>18:25:21.094</v>
      </c>
      <c r="C1445" t="str">
        <f>"18:25:20.794"</f>
        <v>18:25:20.794</v>
      </c>
      <c r="D1445" t="s">
        <v>585</v>
      </c>
      <c r="E1445">
        <v>30.597481999999999</v>
      </c>
      <c r="F1445" t="s">
        <v>586</v>
      </c>
      <c r="G1445">
        <v>-89.845096999999996</v>
      </c>
      <c r="H1445">
        <v>1600</v>
      </c>
      <c r="I1445">
        <v>-11</v>
      </c>
      <c r="J1445">
        <v>-151</v>
      </c>
      <c r="K1445">
        <v>-256</v>
      </c>
      <c r="L1445">
        <v>1200</v>
      </c>
      <c r="M1445" t="str">
        <f t="shared" si="76"/>
        <v xml:space="preserve">N35DC   </v>
      </c>
      <c r="N1445">
        <v>1</v>
      </c>
      <c r="O1445">
        <v>1675</v>
      </c>
    </row>
    <row r="1446" spans="1:15" x14ac:dyDescent="0.25">
      <c r="A1446" t="str">
        <f>"10/21/2020 18:25:13.144"</f>
        <v>10/21/2020 18:25:13.144</v>
      </c>
      <c r="B1446" t="str">
        <f>"18:25:21.094"</f>
        <v>18:25:21.094</v>
      </c>
      <c r="C1446" t="str">
        <f>"18:25:20.794"</f>
        <v>18:25:20.794</v>
      </c>
      <c r="D1446" t="s">
        <v>585</v>
      </c>
      <c r="E1446">
        <v>30.597481999999999</v>
      </c>
      <c r="F1446" t="s">
        <v>586</v>
      </c>
      <c r="G1446">
        <v>-89.845096999999996</v>
      </c>
      <c r="H1446">
        <v>1600</v>
      </c>
      <c r="I1446">
        <v>-11</v>
      </c>
      <c r="J1446">
        <v>-151</v>
      </c>
      <c r="K1446">
        <v>-256</v>
      </c>
      <c r="L1446">
        <v>1200</v>
      </c>
      <c r="M1446" t="str">
        <f t="shared" si="76"/>
        <v xml:space="preserve">N35DC   </v>
      </c>
      <c r="N1446">
        <v>1</v>
      </c>
      <c r="O1446">
        <v>1675</v>
      </c>
    </row>
    <row r="1447" spans="1:15" x14ac:dyDescent="0.25">
      <c r="A1447" t="str">
        <f>"10/21/2020 18:25:14.196"</f>
        <v>10/21/2020 18:25:14.196</v>
      </c>
      <c r="B1447" t="str">
        <f t="shared" ref="B1447:C1451" si="77">"18:25:22.109"</f>
        <v>18:25:22.109</v>
      </c>
      <c r="C1447" t="str">
        <f t="shared" si="77"/>
        <v>18:25:22.109</v>
      </c>
      <c r="D1447" t="s">
        <v>587</v>
      </c>
      <c r="E1447">
        <v>30.596730999999998</v>
      </c>
      <c r="F1447" t="s">
        <v>588</v>
      </c>
      <c r="G1447">
        <v>-89.845161000000004</v>
      </c>
      <c r="H1447">
        <v>1600</v>
      </c>
      <c r="I1447">
        <v>-10</v>
      </c>
      <c r="J1447">
        <v>-151</v>
      </c>
      <c r="K1447">
        <v>-128</v>
      </c>
      <c r="L1447">
        <v>1200</v>
      </c>
      <c r="M1447" t="str">
        <f t="shared" si="76"/>
        <v xml:space="preserve">N35DC   </v>
      </c>
      <c r="N1447">
        <v>1</v>
      </c>
      <c r="O1447">
        <v>1675</v>
      </c>
    </row>
    <row r="1448" spans="1:15" x14ac:dyDescent="0.25">
      <c r="A1448" t="str">
        <f>"10/21/2020 18:25:14.196"</f>
        <v>10/21/2020 18:25:14.196</v>
      </c>
      <c r="B1448" t="str">
        <f t="shared" si="77"/>
        <v>18:25:22.109</v>
      </c>
      <c r="C1448" t="str">
        <f t="shared" si="77"/>
        <v>18:25:22.109</v>
      </c>
      <c r="D1448" t="s">
        <v>587</v>
      </c>
      <c r="E1448">
        <v>30.596730999999998</v>
      </c>
      <c r="F1448" t="s">
        <v>588</v>
      </c>
      <c r="G1448">
        <v>-89.845161000000004</v>
      </c>
      <c r="H1448">
        <v>1600</v>
      </c>
      <c r="I1448">
        <v>-10</v>
      </c>
      <c r="J1448">
        <v>-151</v>
      </c>
      <c r="K1448">
        <v>-128</v>
      </c>
      <c r="L1448">
        <v>1200</v>
      </c>
      <c r="M1448" t="str">
        <f t="shared" si="76"/>
        <v xml:space="preserve">N35DC   </v>
      </c>
      <c r="N1448">
        <v>1</v>
      </c>
      <c r="O1448">
        <v>1675</v>
      </c>
    </row>
    <row r="1449" spans="1:15" x14ac:dyDescent="0.25">
      <c r="A1449" t="str">
        <f>"10/21/2020 18:25:14.196"</f>
        <v>10/21/2020 18:25:14.196</v>
      </c>
      <c r="B1449" t="str">
        <f t="shared" si="77"/>
        <v>18:25:22.109</v>
      </c>
      <c r="C1449" t="str">
        <f t="shared" si="77"/>
        <v>18:25:22.109</v>
      </c>
      <c r="D1449" t="s">
        <v>587</v>
      </c>
      <c r="E1449">
        <v>30.596730999999998</v>
      </c>
      <c r="F1449" t="s">
        <v>588</v>
      </c>
      <c r="G1449">
        <v>-89.845161000000004</v>
      </c>
      <c r="H1449">
        <v>1600</v>
      </c>
      <c r="I1449">
        <v>-10</v>
      </c>
      <c r="J1449">
        <v>-151</v>
      </c>
      <c r="K1449">
        <v>-128</v>
      </c>
      <c r="L1449">
        <v>1200</v>
      </c>
      <c r="M1449" t="str">
        <f t="shared" si="76"/>
        <v xml:space="preserve">N35DC   </v>
      </c>
      <c r="N1449">
        <v>1</v>
      </c>
      <c r="O1449">
        <v>1675</v>
      </c>
    </row>
    <row r="1450" spans="1:15" x14ac:dyDescent="0.25">
      <c r="A1450" t="str">
        <f>"10/21/2020 18:25:14.196"</f>
        <v>10/21/2020 18:25:14.196</v>
      </c>
      <c r="B1450" t="str">
        <f t="shared" si="77"/>
        <v>18:25:22.109</v>
      </c>
      <c r="C1450" t="str">
        <f t="shared" si="77"/>
        <v>18:25:22.109</v>
      </c>
      <c r="D1450" t="s">
        <v>587</v>
      </c>
      <c r="E1450">
        <v>30.596730999999998</v>
      </c>
      <c r="F1450" t="s">
        <v>588</v>
      </c>
      <c r="G1450">
        <v>-89.845161000000004</v>
      </c>
      <c r="H1450">
        <v>1600</v>
      </c>
      <c r="I1450">
        <v>-10</v>
      </c>
      <c r="J1450">
        <v>-151</v>
      </c>
      <c r="K1450">
        <v>-128</v>
      </c>
      <c r="L1450">
        <v>1200</v>
      </c>
      <c r="M1450" t="str">
        <f t="shared" si="76"/>
        <v xml:space="preserve">N35DC   </v>
      </c>
      <c r="N1450">
        <v>1</v>
      </c>
      <c r="O1450">
        <v>1675</v>
      </c>
    </row>
    <row r="1451" spans="1:15" x14ac:dyDescent="0.25">
      <c r="A1451" t="str">
        <f>"10/21/2020 18:25:14.196"</f>
        <v>10/21/2020 18:25:14.196</v>
      </c>
      <c r="B1451" t="str">
        <f t="shared" si="77"/>
        <v>18:25:22.109</v>
      </c>
      <c r="C1451" t="str">
        <f t="shared" si="77"/>
        <v>18:25:22.109</v>
      </c>
      <c r="D1451" t="s">
        <v>587</v>
      </c>
      <c r="E1451">
        <v>30.596730999999998</v>
      </c>
      <c r="F1451" t="s">
        <v>588</v>
      </c>
      <c r="G1451">
        <v>-89.845161000000004</v>
      </c>
      <c r="H1451">
        <v>1600</v>
      </c>
      <c r="I1451">
        <v>-10</v>
      </c>
      <c r="J1451">
        <v>-151</v>
      </c>
      <c r="K1451">
        <v>-128</v>
      </c>
      <c r="L1451">
        <v>1200</v>
      </c>
      <c r="M1451" t="str">
        <f t="shared" si="76"/>
        <v xml:space="preserve">N35DC   </v>
      </c>
      <c r="N1451">
        <v>1</v>
      </c>
      <c r="O1451">
        <v>1675</v>
      </c>
    </row>
    <row r="1452" spans="1:15" x14ac:dyDescent="0.25">
      <c r="A1452" t="str">
        <f>"10/21/2020 18:25:16.168"</f>
        <v>10/21/2020 18:25:16.168</v>
      </c>
      <c r="B1452" t="str">
        <f>"18:25:24.086"</f>
        <v>18:25:24.086</v>
      </c>
      <c r="C1452" t="str">
        <f>"18:25:23.586"</f>
        <v>18:25:23.586</v>
      </c>
      <c r="D1452" t="s">
        <v>589</v>
      </c>
      <c r="E1452">
        <v>30.595357</v>
      </c>
      <c r="F1452" t="s">
        <v>590</v>
      </c>
      <c r="G1452">
        <v>-89.845225999999997</v>
      </c>
      <c r="H1452">
        <v>1600</v>
      </c>
      <c r="I1452">
        <v>-8</v>
      </c>
      <c r="J1452">
        <v>-151</v>
      </c>
      <c r="K1452">
        <v>-64</v>
      </c>
      <c r="L1452">
        <v>1200</v>
      </c>
      <c r="M1452" t="str">
        <f t="shared" si="76"/>
        <v xml:space="preserve">N35DC   </v>
      </c>
      <c r="N1452">
        <v>1</v>
      </c>
      <c r="O1452">
        <v>1675</v>
      </c>
    </row>
    <row r="1453" spans="1:15" x14ac:dyDescent="0.25">
      <c r="A1453" t="str">
        <f>"10/21/2020 18:25:16.168"</f>
        <v>10/21/2020 18:25:16.168</v>
      </c>
      <c r="B1453" t="str">
        <f>"18:25:24.086"</f>
        <v>18:25:24.086</v>
      </c>
      <c r="C1453" t="str">
        <f>"18:25:23.586"</f>
        <v>18:25:23.586</v>
      </c>
      <c r="D1453" t="s">
        <v>589</v>
      </c>
      <c r="E1453">
        <v>30.595357</v>
      </c>
      <c r="F1453" t="s">
        <v>590</v>
      </c>
      <c r="G1453">
        <v>-89.845225999999997</v>
      </c>
      <c r="H1453">
        <v>1600</v>
      </c>
      <c r="I1453">
        <v>-8</v>
      </c>
      <c r="J1453">
        <v>-151</v>
      </c>
      <c r="K1453">
        <v>-64</v>
      </c>
      <c r="L1453">
        <v>1200</v>
      </c>
      <c r="M1453" t="str">
        <f t="shared" si="76"/>
        <v xml:space="preserve">N35DC   </v>
      </c>
      <c r="N1453">
        <v>1</v>
      </c>
      <c r="O1453">
        <v>1675</v>
      </c>
    </row>
    <row r="1454" spans="1:15" x14ac:dyDescent="0.25">
      <c r="A1454" t="str">
        <f>"10/21/2020 18:25:16.168"</f>
        <v>10/21/2020 18:25:16.168</v>
      </c>
      <c r="B1454" t="str">
        <f>"18:25:24.094"</f>
        <v>18:25:24.094</v>
      </c>
      <c r="C1454" t="str">
        <f>"18:25:23.594"</f>
        <v>18:25:23.594</v>
      </c>
      <c r="D1454" t="s">
        <v>589</v>
      </c>
      <c r="E1454">
        <v>30.595357</v>
      </c>
      <c r="F1454" t="s">
        <v>590</v>
      </c>
      <c r="G1454">
        <v>-89.845225999999997</v>
      </c>
      <c r="H1454">
        <v>1600</v>
      </c>
      <c r="I1454">
        <v>-8</v>
      </c>
      <c r="J1454">
        <v>-151</v>
      </c>
      <c r="K1454">
        <v>-64</v>
      </c>
      <c r="L1454">
        <v>1200</v>
      </c>
      <c r="M1454" t="str">
        <f t="shared" si="76"/>
        <v xml:space="preserve">N35DC   </v>
      </c>
      <c r="N1454">
        <v>1</v>
      </c>
      <c r="O1454">
        <v>1675</v>
      </c>
    </row>
    <row r="1455" spans="1:15" x14ac:dyDescent="0.25">
      <c r="A1455" t="str">
        <f>"10/21/2020 18:25:16.168"</f>
        <v>10/21/2020 18:25:16.168</v>
      </c>
      <c r="B1455" t="str">
        <f>"18:25:24.086"</f>
        <v>18:25:24.086</v>
      </c>
      <c r="C1455" t="str">
        <f>"18:25:23.586"</f>
        <v>18:25:23.586</v>
      </c>
      <c r="D1455" t="s">
        <v>589</v>
      </c>
      <c r="E1455">
        <v>30.595357</v>
      </c>
      <c r="F1455" t="s">
        <v>590</v>
      </c>
      <c r="G1455">
        <v>-89.845225999999997</v>
      </c>
      <c r="H1455">
        <v>1600</v>
      </c>
      <c r="I1455">
        <v>-8</v>
      </c>
      <c r="J1455">
        <v>-151</v>
      </c>
      <c r="K1455">
        <v>-64</v>
      </c>
      <c r="L1455">
        <v>1200</v>
      </c>
      <c r="M1455" t="str">
        <f t="shared" si="76"/>
        <v xml:space="preserve">N35DC   </v>
      </c>
      <c r="N1455">
        <v>1</v>
      </c>
      <c r="O1455">
        <v>1675</v>
      </c>
    </row>
    <row r="1456" spans="1:15" x14ac:dyDescent="0.25">
      <c r="A1456" t="str">
        <f>"10/21/2020 18:25:16.168"</f>
        <v>10/21/2020 18:25:16.168</v>
      </c>
      <c r="B1456" t="str">
        <f>"18:25:24.086"</f>
        <v>18:25:24.086</v>
      </c>
      <c r="C1456" t="str">
        <f>"18:25:23.586"</f>
        <v>18:25:23.586</v>
      </c>
      <c r="D1456" t="s">
        <v>589</v>
      </c>
      <c r="E1456">
        <v>30.595357</v>
      </c>
      <c r="F1456" t="s">
        <v>590</v>
      </c>
      <c r="G1456">
        <v>-89.845225999999997</v>
      </c>
      <c r="H1456">
        <v>1600</v>
      </c>
      <c r="I1456">
        <v>-8</v>
      </c>
      <c r="J1456">
        <v>-151</v>
      </c>
      <c r="K1456">
        <v>-64</v>
      </c>
      <c r="L1456">
        <v>1200</v>
      </c>
      <c r="M1456" t="str">
        <f t="shared" si="76"/>
        <v xml:space="preserve">N35DC   </v>
      </c>
      <c r="N1456">
        <v>1</v>
      </c>
      <c r="O1456">
        <v>1675</v>
      </c>
    </row>
    <row r="1457" spans="1:15" x14ac:dyDescent="0.25">
      <c r="A1457" t="str">
        <f>"10/21/2020 18:25:17.191"</f>
        <v>10/21/2020 18:25:17.191</v>
      </c>
      <c r="B1457" t="str">
        <f>"18:25:25.156"</f>
        <v>18:25:25.156</v>
      </c>
      <c r="C1457" t="str">
        <f>"18:25:24.656"</f>
        <v>18:25:24.656</v>
      </c>
      <c r="D1457" t="s">
        <v>591</v>
      </c>
      <c r="E1457">
        <v>30.594649</v>
      </c>
      <c r="F1457" t="s">
        <v>592</v>
      </c>
      <c r="G1457">
        <v>-89.845247000000001</v>
      </c>
      <c r="H1457">
        <v>1600</v>
      </c>
      <c r="I1457">
        <v>-7</v>
      </c>
      <c r="J1457">
        <v>-151</v>
      </c>
      <c r="K1457">
        <v>0</v>
      </c>
      <c r="L1457">
        <v>1200</v>
      </c>
      <c r="M1457" t="str">
        <f t="shared" si="76"/>
        <v xml:space="preserve">N35DC   </v>
      </c>
      <c r="N1457">
        <v>1</v>
      </c>
      <c r="O1457">
        <v>1675</v>
      </c>
    </row>
    <row r="1458" spans="1:15" x14ac:dyDescent="0.25">
      <c r="A1458" t="str">
        <f>"10/21/2020 18:25:17.191"</f>
        <v>10/21/2020 18:25:17.191</v>
      </c>
      <c r="B1458" t="str">
        <f>"18:25:25.156"</f>
        <v>18:25:25.156</v>
      </c>
      <c r="C1458" t="str">
        <f>"18:25:24.656"</f>
        <v>18:25:24.656</v>
      </c>
      <c r="D1458" t="s">
        <v>591</v>
      </c>
      <c r="E1458">
        <v>30.594649</v>
      </c>
      <c r="F1458" t="s">
        <v>592</v>
      </c>
      <c r="G1458">
        <v>-89.845247000000001</v>
      </c>
      <c r="H1458">
        <v>1600</v>
      </c>
      <c r="I1458">
        <v>-7</v>
      </c>
      <c r="J1458">
        <v>-151</v>
      </c>
      <c r="K1458">
        <v>0</v>
      </c>
      <c r="L1458">
        <v>1200</v>
      </c>
      <c r="M1458" t="str">
        <f t="shared" si="76"/>
        <v xml:space="preserve">N35DC   </v>
      </c>
      <c r="N1458">
        <v>1</v>
      </c>
      <c r="O1458">
        <v>1675</v>
      </c>
    </row>
    <row r="1459" spans="1:15" x14ac:dyDescent="0.25">
      <c r="A1459" t="str">
        <f>"10/21/2020 18:25:17.191"</f>
        <v>10/21/2020 18:25:17.191</v>
      </c>
      <c r="B1459" t="str">
        <f>"18:25:25.156"</f>
        <v>18:25:25.156</v>
      </c>
      <c r="C1459" t="str">
        <f>"18:25:24.656"</f>
        <v>18:25:24.656</v>
      </c>
      <c r="D1459" t="s">
        <v>591</v>
      </c>
      <c r="E1459">
        <v>30.594649</v>
      </c>
      <c r="F1459" t="s">
        <v>592</v>
      </c>
      <c r="G1459">
        <v>-89.845247000000001</v>
      </c>
      <c r="H1459">
        <v>1600</v>
      </c>
      <c r="I1459">
        <v>-7</v>
      </c>
      <c r="J1459">
        <v>-151</v>
      </c>
      <c r="K1459">
        <v>0</v>
      </c>
      <c r="L1459">
        <v>1200</v>
      </c>
      <c r="M1459" t="str">
        <f t="shared" si="76"/>
        <v xml:space="preserve">N35DC   </v>
      </c>
      <c r="N1459">
        <v>1</v>
      </c>
      <c r="O1459">
        <v>1675</v>
      </c>
    </row>
    <row r="1460" spans="1:15" x14ac:dyDescent="0.25">
      <c r="A1460" t="str">
        <f>"10/21/2020 18:25:17.191"</f>
        <v>10/21/2020 18:25:17.191</v>
      </c>
      <c r="B1460" t="str">
        <f>"18:25:25.156"</f>
        <v>18:25:25.156</v>
      </c>
      <c r="C1460" t="str">
        <f>"18:25:24.656"</f>
        <v>18:25:24.656</v>
      </c>
      <c r="D1460" t="s">
        <v>591</v>
      </c>
      <c r="E1460">
        <v>30.594649</v>
      </c>
      <c r="F1460" t="s">
        <v>592</v>
      </c>
      <c r="G1460">
        <v>-89.845247000000001</v>
      </c>
      <c r="H1460">
        <v>1600</v>
      </c>
      <c r="I1460">
        <v>-7</v>
      </c>
      <c r="J1460">
        <v>-151</v>
      </c>
      <c r="K1460">
        <v>0</v>
      </c>
      <c r="L1460">
        <v>1200</v>
      </c>
      <c r="M1460" t="str">
        <f t="shared" si="76"/>
        <v xml:space="preserve">N35DC   </v>
      </c>
      <c r="N1460">
        <v>1</v>
      </c>
      <c r="O1460">
        <v>1675</v>
      </c>
    </row>
    <row r="1461" spans="1:15" x14ac:dyDescent="0.25">
      <c r="A1461" t="str">
        <f>"10/21/2020 18:25:17.191"</f>
        <v>10/21/2020 18:25:17.191</v>
      </c>
      <c r="B1461" t="str">
        <f>"18:25:25.156"</f>
        <v>18:25:25.156</v>
      </c>
      <c r="C1461" t="str">
        <f>"18:25:24.656"</f>
        <v>18:25:24.656</v>
      </c>
      <c r="D1461" t="s">
        <v>591</v>
      </c>
      <c r="E1461">
        <v>30.594649</v>
      </c>
      <c r="F1461" t="s">
        <v>592</v>
      </c>
      <c r="G1461">
        <v>-89.845247000000001</v>
      </c>
      <c r="H1461">
        <v>1600</v>
      </c>
      <c r="I1461">
        <v>-7</v>
      </c>
      <c r="J1461">
        <v>-151</v>
      </c>
      <c r="K1461">
        <v>0</v>
      </c>
      <c r="L1461">
        <v>1200</v>
      </c>
      <c r="M1461" t="str">
        <f t="shared" si="76"/>
        <v xml:space="preserve">N35DC   </v>
      </c>
      <c r="N1461">
        <v>1</v>
      </c>
      <c r="O1461">
        <v>1675</v>
      </c>
    </row>
    <row r="1462" spans="1:15" x14ac:dyDescent="0.25">
      <c r="A1462" t="str">
        <f>"10/21/2020 18:25:20.210"</f>
        <v>10/21/2020 18:25:20.210</v>
      </c>
      <c r="B1462" t="str">
        <f>"18:25:28.109"</f>
        <v>18:25:28.109</v>
      </c>
      <c r="C1462" t="str">
        <f>"18:25:28.009"</f>
        <v>18:25:28.009</v>
      </c>
      <c r="D1462" t="s">
        <v>593</v>
      </c>
      <c r="E1462">
        <v>30.592568</v>
      </c>
      <c r="F1462" t="s">
        <v>594</v>
      </c>
      <c r="G1462">
        <v>-89.845376000000002</v>
      </c>
      <c r="H1462">
        <v>1600</v>
      </c>
      <c r="I1462">
        <v>-6</v>
      </c>
      <c r="J1462">
        <v>-151</v>
      </c>
      <c r="K1462">
        <v>256</v>
      </c>
      <c r="L1462">
        <v>1200</v>
      </c>
      <c r="M1462" t="str">
        <f t="shared" si="76"/>
        <v xml:space="preserve">N35DC   </v>
      </c>
      <c r="N1462">
        <v>1</v>
      </c>
      <c r="O1462">
        <v>1700</v>
      </c>
    </row>
    <row r="1463" spans="1:15" x14ac:dyDescent="0.25">
      <c r="A1463" t="str">
        <f>"10/21/2020 18:25:20.210"</f>
        <v>10/21/2020 18:25:20.210</v>
      </c>
      <c r="B1463" t="str">
        <f>"18:25:28.109"</f>
        <v>18:25:28.109</v>
      </c>
      <c r="C1463" t="str">
        <f>"18:25:28.009"</f>
        <v>18:25:28.009</v>
      </c>
      <c r="D1463" t="s">
        <v>593</v>
      </c>
      <c r="E1463">
        <v>30.592568</v>
      </c>
      <c r="F1463" t="s">
        <v>594</v>
      </c>
      <c r="G1463">
        <v>-89.845376000000002</v>
      </c>
      <c r="H1463">
        <v>1600</v>
      </c>
      <c r="I1463">
        <v>-6</v>
      </c>
      <c r="J1463">
        <v>-151</v>
      </c>
      <c r="K1463">
        <v>256</v>
      </c>
      <c r="L1463">
        <v>1200</v>
      </c>
      <c r="M1463" t="str">
        <f t="shared" si="76"/>
        <v xml:space="preserve">N35DC   </v>
      </c>
      <c r="N1463">
        <v>1</v>
      </c>
      <c r="O1463">
        <v>1700</v>
      </c>
    </row>
    <row r="1464" spans="1:15" x14ac:dyDescent="0.25">
      <c r="A1464" t="str">
        <f>"10/21/2020 18:25:20.210"</f>
        <v>10/21/2020 18:25:20.210</v>
      </c>
      <c r="B1464" t="str">
        <f>"18:25:28.109"</f>
        <v>18:25:28.109</v>
      </c>
      <c r="C1464" t="str">
        <f>"18:25:28.009"</f>
        <v>18:25:28.009</v>
      </c>
      <c r="D1464" t="s">
        <v>593</v>
      </c>
      <c r="E1464">
        <v>30.592568</v>
      </c>
      <c r="F1464" t="s">
        <v>594</v>
      </c>
      <c r="G1464">
        <v>-89.845376000000002</v>
      </c>
      <c r="H1464">
        <v>1600</v>
      </c>
      <c r="I1464">
        <v>-6</v>
      </c>
      <c r="J1464">
        <v>-151</v>
      </c>
      <c r="K1464">
        <v>256</v>
      </c>
      <c r="L1464">
        <v>1200</v>
      </c>
      <c r="M1464" t="str">
        <f t="shared" si="76"/>
        <v xml:space="preserve">N35DC   </v>
      </c>
      <c r="N1464">
        <v>1</v>
      </c>
      <c r="O1464">
        <v>1700</v>
      </c>
    </row>
    <row r="1465" spans="1:15" x14ac:dyDescent="0.25">
      <c r="A1465" t="str">
        <f>"10/21/2020 18:25:20.210"</f>
        <v>10/21/2020 18:25:20.210</v>
      </c>
      <c r="B1465" t="str">
        <f>"18:25:28.109"</f>
        <v>18:25:28.109</v>
      </c>
      <c r="C1465" t="str">
        <f>"18:25:28.009"</f>
        <v>18:25:28.009</v>
      </c>
      <c r="D1465" t="s">
        <v>593</v>
      </c>
      <c r="E1465">
        <v>30.592568</v>
      </c>
      <c r="F1465" t="s">
        <v>594</v>
      </c>
      <c r="G1465">
        <v>-89.845376000000002</v>
      </c>
      <c r="H1465">
        <v>1600</v>
      </c>
      <c r="I1465">
        <v>-6</v>
      </c>
      <c r="J1465">
        <v>-151</v>
      </c>
      <c r="K1465">
        <v>256</v>
      </c>
      <c r="L1465">
        <v>1200</v>
      </c>
      <c r="M1465" t="str">
        <f t="shared" si="76"/>
        <v xml:space="preserve">N35DC   </v>
      </c>
      <c r="N1465">
        <v>1</v>
      </c>
      <c r="O1465">
        <v>1700</v>
      </c>
    </row>
    <row r="1466" spans="1:15" x14ac:dyDescent="0.25">
      <c r="A1466" t="str">
        <f>"10/21/2020 18:25:20.210"</f>
        <v>10/21/2020 18:25:20.210</v>
      </c>
      <c r="B1466" t="str">
        <f>"18:25:28.109"</f>
        <v>18:25:28.109</v>
      </c>
      <c r="C1466" t="str">
        <f>"18:25:28.009"</f>
        <v>18:25:28.009</v>
      </c>
      <c r="D1466" t="s">
        <v>593</v>
      </c>
      <c r="E1466">
        <v>30.592568</v>
      </c>
      <c r="F1466" t="s">
        <v>594</v>
      </c>
      <c r="G1466">
        <v>-89.845376000000002</v>
      </c>
      <c r="H1466">
        <v>1600</v>
      </c>
      <c r="I1466">
        <v>-6</v>
      </c>
      <c r="J1466">
        <v>-151</v>
      </c>
      <c r="K1466">
        <v>256</v>
      </c>
      <c r="L1466">
        <v>1200</v>
      </c>
      <c r="M1466" t="str">
        <f t="shared" si="76"/>
        <v xml:space="preserve">N35DC   </v>
      </c>
      <c r="N1466">
        <v>1</v>
      </c>
      <c r="O1466">
        <v>1700</v>
      </c>
    </row>
    <row r="1467" spans="1:15" x14ac:dyDescent="0.25">
      <c r="A1467" t="str">
        <f>"10/21/2020 18:25:21.119"</f>
        <v>10/21/2020 18:25:21.119</v>
      </c>
      <c r="B1467" t="str">
        <f>"18:25:29.055"</f>
        <v>18:25:29.055</v>
      </c>
      <c r="C1467" t="str">
        <f>"18:25:28.855"</f>
        <v>18:25:28.855</v>
      </c>
      <c r="D1467" t="s">
        <v>595</v>
      </c>
      <c r="E1467">
        <v>30.591902999999999</v>
      </c>
      <c r="F1467" t="s">
        <v>594</v>
      </c>
      <c r="G1467">
        <v>-89.845376000000002</v>
      </c>
      <c r="H1467">
        <v>1600</v>
      </c>
      <c r="I1467">
        <v>-6</v>
      </c>
      <c r="J1467">
        <v>-151</v>
      </c>
      <c r="K1467">
        <v>128</v>
      </c>
      <c r="L1467">
        <v>1200</v>
      </c>
      <c r="M1467" t="str">
        <f t="shared" si="76"/>
        <v xml:space="preserve">N35DC   </v>
      </c>
      <c r="N1467">
        <v>1</v>
      </c>
      <c r="O1467">
        <v>1700</v>
      </c>
    </row>
    <row r="1468" spans="1:15" x14ac:dyDescent="0.25">
      <c r="A1468" t="str">
        <f>"10/21/2020 18:25:21.119"</f>
        <v>10/21/2020 18:25:21.119</v>
      </c>
      <c r="B1468" t="str">
        <f>"18:25:29.055"</f>
        <v>18:25:29.055</v>
      </c>
      <c r="C1468" t="str">
        <f>"18:25:28.855"</f>
        <v>18:25:28.855</v>
      </c>
      <c r="D1468" t="s">
        <v>595</v>
      </c>
      <c r="E1468">
        <v>30.591902999999999</v>
      </c>
      <c r="F1468" t="s">
        <v>594</v>
      </c>
      <c r="G1468">
        <v>-89.845376000000002</v>
      </c>
      <c r="H1468">
        <v>1600</v>
      </c>
      <c r="I1468">
        <v>-6</v>
      </c>
      <c r="J1468">
        <v>-151</v>
      </c>
      <c r="K1468">
        <v>128</v>
      </c>
      <c r="L1468">
        <v>1200</v>
      </c>
      <c r="M1468" t="str">
        <f t="shared" si="76"/>
        <v xml:space="preserve">N35DC   </v>
      </c>
      <c r="N1468">
        <v>1</v>
      </c>
      <c r="O1468">
        <v>1700</v>
      </c>
    </row>
    <row r="1469" spans="1:15" x14ac:dyDescent="0.25">
      <c r="A1469" t="str">
        <f>"10/21/2020 18:25:21.119"</f>
        <v>10/21/2020 18:25:21.119</v>
      </c>
      <c r="B1469" t="str">
        <f>"18:25:29.055"</f>
        <v>18:25:29.055</v>
      </c>
      <c r="C1469" t="str">
        <f>"18:25:28.455"</f>
        <v>18:25:28.455</v>
      </c>
      <c r="D1469" t="s">
        <v>595</v>
      </c>
      <c r="E1469">
        <v>30.591902999999999</v>
      </c>
      <c r="F1469" t="s">
        <v>594</v>
      </c>
      <c r="G1469">
        <v>-89.845376000000002</v>
      </c>
      <c r="H1469">
        <v>1600</v>
      </c>
      <c r="I1469">
        <v>-6</v>
      </c>
      <c r="J1469">
        <v>-151</v>
      </c>
      <c r="K1469">
        <v>128</v>
      </c>
      <c r="L1469">
        <v>1200</v>
      </c>
      <c r="M1469" t="str">
        <f t="shared" si="76"/>
        <v xml:space="preserve">N35DC   </v>
      </c>
      <c r="N1469">
        <v>1</v>
      </c>
      <c r="O1469">
        <v>1700</v>
      </c>
    </row>
    <row r="1470" spans="1:15" x14ac:dyDescent="0.25">
      <c r="A1470" t="str">
        <f>"10/21/2020 18:25:21.119"</f>
        <v>10/21/2020 18:25:21.119</v>
      </c>
      <c r="B1470" t="str">
        <f>"18:25:29.055"</f>
        <v>18:25:29.055</v>
      </c>
      <c r="C1470" t="str">
        <f>"18:25:28.855"</f>
        <v>18:25:28.855</v>
      </c>
      <c r="D1470" t="s">
        <v>595</v>
      </c>
      <c r="E1470">
        <v>30.591902999999999</v>
      </c>
      <c r="F1470" t="s">
        <v>594</v>
      </c>
      <c r="G1470">
        <v>-89.845376000000002</v>
      </c>
      <c r="H1470">
        <v>1600</v>
      </c>
      <c r="I1470">
        <v>-6</v>
      </c>
      <c r="J1470">
        <v>-151</v>
      </c>
      <c r="K1470">
        <v>128</v>
      </c>
      <c r="L1470">
        <v>1200</v>
      </c>
      <c r="M1470" t="str">
        <f t="shared" si="76"/>
        <v xml:space="preserve">N35DC   </v>
      </c>
      <c r="N1470">
        <v>1</v>
      </c>
      <c r="O1470">
        <v>1700</v>
      </c>
    </row>
    <row r="1471" spans="1:15" x14ac:dyDescent="0.25">
      <c r="A1471" t="str">
        <f>"10/21/2020 18:25:21.119"</f>
        <v>10/21/2020 18:25:21.119</v>
      </c>
      <c r="B1471" t="str">
        <f>"18:25:29.055"</f>
        <v>18:25:29.055</v>
      </c>
      <c r="C1471" t="str">
        <f>"18:25:28.855"</f>
        <v>18:25:28.855</v>
      </c>
      <c r="D1471" t="s">
        <v>595</v>
      </c>
      <c r="E1471">
        <v>30.591902999999999</v>
      </c>
      <c r="F1471" t="s">
        <v>594</v>
      </c>
      <c r="G1471">
        <v>-89.845376000000002</v>
      </c>
      <c r="H1471">
        <v>1600</v>
      </c>
      <c r="I1471">
        <v>-6</v>
      </c>
      <c r="J1471">
        <v>-151</v>
      </c>
      <c r="K1471">
        <v>128</v>
      </c>
      <c r="L1471">
        <v>1200</v>
      </c>
      <c r="M1471" t="str">
        <f t="shared" si="76"/>
        <v xml:space="preserve">N35DC   </v>
      </c>
      <c r="N1471">
        <v>1</v>
      </c>
      <c r="O1471">
        <v>1700</v>
      </c>
    </row>
    <row r="1472" spans="1:15" x14ac:dyDescent="0.25">
      <c r="A1472" t="str">
        <f>"10/21/2020 18:25:24.302"</f>
        <v>10/21/2020 18:25:24.302</v>
      </c>
      <c r="B1472" t="str">
        <f>"18:25:32.250"</f>
        <v>18:25:32.250</v>
      </c>
      <c r="C1472" t="str">
        <f>"18:25:31.850"</f>
        <v>18:25:31.850</v>
      </c>
      <c r="D1472" t="s">
        <v>596</v>
      </c>
      <c r="E1472">
        <v>30.589670999999999</v>
      </c>
      <c r="F1472" t="s">
        <v>597</v>
      </c>
      <c r="G1472">
        <v>-89.845526000000007</v>
      </c>
      <c r="H1472">
        <v>1600</v>
      </c>
      <c r="I1472">
        <v>-9</v>
      </c>
      <c r="J1472">
        <v>-151</v>
      </c>
      <c r="K1472">
        <v>64</v>
      </c>
      <c r="L1472">
        <v>1200</v>
      </c>
      <c r="M1472" t="str">
        <f t="shared" si="76"/>
        <v xml:space="preserve">N35DC   </v>
      </c>
      <c r="N1472">
        <v>1</v>
      </c>
      <c r="O1472">
        <v>1700</v>
      </c>
    </row>
    <row r="1473" spans="1:15" x14ac:dyDescent="0.25">
      <c r="A1473" t="str">
        <f>"10/21/2020 18:25:24.302"</f>
        <v>10/21/2020 18:25:24.302</v>
      </c>
      <c r="B1473" t="str">
        <f>"18:25:32.250"</f>
        <v>18:25:32.250</v>
      </c>
      <c r="C1473" t="str">
        <f>"18:25:31.850"</f>
        <v>18:25:31.850</v>
      </c>
      <c r="D1473" t="s">
        <v>596</v>
      </c>
      <c r="E1473">
        <v>30.589670999999999</v>
      </c>
      <c r="F1473" t="s">
        <v>597</v>
      </c>
      <c r="G1473">
        <v>-89.845526000000007</v>
      </c>
      <c r="H1473">
        <v>1600</v>
      </c>
      <c r="I1473">
        <v>-9</v>
      </c>
      <c r="J1473">
        <v>-151</v>
      </c>
      <c r="K1473">
        <v>64</v>
      </c>
      <c r="L1473">
        <v>1200</v>
      </c>
      <c r="M1473" t="str">
        <f t="shared" si="76"/>
        <v xml:space="preserve">N35DC   </v>
      </c>
      <c r="N1473">
        <v>1</v>
      </c>
      <c r="O1473">
        <v>1700</v>
      </c>
    </row>
    <row r="1474" spans="1:15" x14ac:dyDescent="0.25">
      <c r="A1474" t="str">
        <f>"10/21/2020 18:25:24.302"</f>
        <v>10/21/2020 18:25:24.302</v>
      </c>
      <c r="B1474" t="str">
        <f>"18:25:32.250"</f>
        <v>18:25:32.250</v>
      </c>
      <c r="C1474" t="str">
        <f>"18:25:31.850"</f>
        <v>18:25:31.850</v>
      </c>
      <c r="D1474" t="s">
        <v>596</v>
      </c>
      <c r="E1474">
        <v>30.589670999999999</v>
      </c>
      <c r="F1474" t="s">
        <v>597</v>
      </c>
      <c r="G1474">
        <v>-89.845526000000007</v>
      </c>
      <c r="H1474">
        <v>1600</v>
      </c>
      <c r="I1474">
        <v>-9</v>
      </c>
      <c r="J1474">
        <v>-151</v>
      </c>
      <c r="K1474">
        <v>64</v>
      </c>
      <c r="L1474">
        <v>1200</v>
      </c>
      <c r="M1474" t="str">
        <f t="shared" si="76"/>
        <v xml:space="preserve">N35DC   </v>
      </c>
      <c r="N1474">
        <v>1</v>
      </c>
      <c r="O1474">
        <v>1700</v>
      </c>
    </row>
    <row r="1475" spans="1:15" x14ac:dyDescent="0.25">
      <c r="A1475" t="str">
        <f>"10/21/2020 18:25:24.302"</f>
        <v>10/21/2020 18:25:24.302</v>
      </c>
      <c r="B1475" t="str">
        <f>"18:25:32.250"</f>
        <v>18:25:32.250</v>
      </c>
      <c r="C1475" t="str">
        <f>"18:25:31.850"</f>
        <v>18:25:31.850</v>
      </c>
      <c r="D1475" t="s">
        <v>596</v>
      </c>
      <c r="E1475">
        <v>30.589670999999999</v>
      </c>
      <c r="F1475" t="s">
        <v>597</v>
      </c>
      <c r="G1475">
        <v>-89.845526000000007</v>
      </c>
      <c r="H1475">
        <v>1600</v>
      </c>
      <c r="I1475">
        <v>-9</v>
      </c>
      <c r="J1475">
        <v>-151</v>
      </c>
      <c r="K1475">
        <v>64</v>
      </c>
      <c r="L1475">
        <v>1200</v>
      </c>
      <c r="M1475" t="str">
        <f t="shared" si="76"/>
        <v xml:space="preserve">N35DC   </v>
      </c>
      <c r="N1475">
        <v>1</v>
      </c>
      <c r="O1475">
        <v>1700</v>
      </c>
    </row>
    <row r="1476" spans="1:15" x14ac:dyDescent="0.25">
      <c r="A1476" t="str">
        <f>"10/21/2020 18:25:24.302"</f>
        <v>10/21/2020 18:25:24.302</v>
      </c>
      <c r="B1476" t="str">
        <f>"18:25:32.250"</f>
        <v>18:25:32.250</v>
      </c>
      <c r="C1476" t="str">
        <f>"18:25:31.850"</f>
        <v>18:25:31.850</v>
      </c>
      <c r="D1476" t="s">
        <v>596</v>
      </c>
      <c r="E1476">
        <v>30.589670999999999</v>
      </c>
      <c r="F1476" t="s">
        <v>597</v>
      </c>
      <c r="G1476">
        <v>-89.845526000000007</v>
      </c>
      <c r="H1476">
        <v>1600</v>
      </c>
      <c r="I1476">
        <v>-9</v>
      </c>
      <c r="J1476">
        <v>-151</v>
      </c>
      <c r="K1476">
        <v>64</v>
      </c>
      <c r="L1476">
        <v>1200</v>
      </c>
      <c r="M1476" t="str">
        <f t="shared" si="76"/>
        <v xml:space="preserve">N35DC   </v>
      </c>
      <c r="N1476">
        <v>1</v>
      </c>
      <c r="O1476">
        <v>1700</v>
      </c>
    </row>
    <row r="1477" spans="1:15" x14ac:dyDescent="0.25">
      <c r="A1477" t="str">
        <f>"10/21/2020 18:25:25.283"</f>
        <v>10/21/2020 18:25:25.283</v>
      </c>
      <c r="B1477" t="str">
        <f>"18:25:33.227"</f>
        <v>18:25:33.227</v>
      </c>
      <c r="C1477" t="str">
        <f>"18:25:32.927"</f>
        <v>18:25:32.927</v>
      </c>
      <c r="D1477" t="s">
        <v>598</v>
      </c>
      <c r="E1477">
        <v>30.588963</v>
      </c>
      <c r="F1477" t="s">
        <v>599</v>
      </c>
      <c r="G1477">
        <v>-89.845590999999999</v>
      </c>
      <c r="H1477">
        <v>1600</v>
      </c>
      <c r="I1477">
        <v>-10</v>
      </c>
      <c r="J1477">
        <v>-151</v>
      </c>
      <c r="K1477">
        <v>-128</v>
      </c>
      <c r="L1477">
        <v>1200</v>
      </c>
      <c r="M1477" t="str">
        <f t="shared" si="76"/>
        <v xml:space="preserve">N35DC   </v>
      </c>
      <c r="N1477">
        <v>1</v>
      </c>
      <c r="O1477">
        <v>1700</v>
      </c>
    </row>
    <row r="1478" spans="1:15" x14ac:dyDescent="0.25">
      <c r="A1478" t="str">
        <f>"10/21/2020 18:25:25.283"</f>
        <v>10/21/2020 18:25:25.283</v>
      </c>
      <c r="B1478" t="str">
        <f>"18:25:33.227"</f>
        <v>18:25:33.227</v>
      </c>
      <c r="C1478" t="str">
        <f>"18:25:32.927"</f>
        <v>18:25:32.927</v>
      </c>
      <c r="D1478" t="s">
        <v>598</v>
      </c>
      <c r="E1478">
        <v>30.588963</v>
      </c>
      <c r="F1478" t="s">
        <v>599</v>
      </c>
      <c r="G1478">
        <v>-89.845590999999999</v>
      </c>
      <c r="H1478">
        <v>1600</v>
      </c>
      <c r="I1478">
        <v>-10</v>
      </c>
      <c r="J1478">
        <v>-151</v>
      </c>
      <c r="K1478">
        <v>-128</v>
      </c>
      <c r="L1478">
        <v>1200</v>
      </c>
      <c r="M1478" t="str">
        <f t="shared" si="76"/>
        <v xml:space="preserve">N35DC   </v>
      </c>
      <c r="N1478">
        <v>1</v>
      </c>
      <c r="O1478">
        <v>1700</v>
      </c>
    </row>
    <row r="1479" spans="1:15" x14ac:dyDescent="0.25">
      <c r="A1479" t="str">
        <f>"10/21/2020 18:25:25.283"</f>
        <v>10/21/2020 18:25:25.283</v>
      </c>
      <c r="B1479" t="str">
        <f>"18:25:33.227"</f>
        <v>18:25:33.227</v>
      </c>
      <c r="C1479" t="str">
        <f>"18:25:32.927"</f>
        <v>18:25:32.927</v>
      </c>
      <c r="D1479" t="s">
        <v>598</v>
      </c>
      <c r="E1479">
        <v>30.588963</v>
      </c>
      <c r="F1479" t="s">
        <v>599</v>
      </c>
      <c r="G1479">
        <v>-89.845590999999999</v>
      </c>
      <c r="H1479">
        <v>1600</v>
      </c>
      <c r="I1479">
        <v>-10</v>
      </c>
      <c r="J1479">
        <v>-151</v>
      </c>
      <c r="K1479">
        <v>-128</v>
      </c>
      <c r="L1479">
        <v>1200</v>
      </c>
      <c r="M1479" t="str">
        <f t="shared" ref="M1479:M1542" si="78">"N35DC   "</f>
        <v xml:space="preserve">N35DC   </v>
      </c>
      <c r="N1479">
        <v>1</v>
      </c>
      <c r="O1479">
        <v>1700</v>
      </c>
    </row>
    <row r="1480" spans="1:15" x14ac:dyDescent="0.25">
      <c r="A1480" t="str">
        <f>"10/21/2020 18:25:25.283"</f>
        <v>10/21/2020 18:25:25.283</v>
      </c>
      <c r="B1480" t="str">
        <f>"18:25:33.227"</f>
        <v>18:25:33.227</v>
      </c>
      <c r="C1480" t="str">
        <f>"18:25:32.927"</f>
        <v>18:25:32.927</v>
      </c>
      <c r="D1480" t="s">
        <v>598</v>
      </c>
      <c r="E1480">
        <v>30.588963</v>
      </c>
      <c r="F1480" t="s">
        <v>599</v>
      </c>
      <c r="G1480">
        <v>-89.845590999999999</v>
      </c>
      <c r="H1480">
        <v>1600</v>
      </c>
      <c r="I1480">
        <v>-10</v>
      </c>
      <c r="J1480">
        <v>-151</v>
      </c>
      <c r="K1480">
        <v>-128</v>
      </c>
      <c r="L1480">
        <v>1200</v>
      </c>
      <c r="M1480" t="str">
        <f t="shared" si="78"/>
        <v xml:space="preserve">N35DC   </v>
      </c>
      <c r="N1480">
        <v>1</v>
      </c>
      <c r="O1480">
        <v>1700</v>
      </c>
    </row>
    <row r="1481" spans="1:15" x14ac:dyDescent="0.25">
      <c r="A1481" t="str">
        <f>"10/21/2020 18:25:25.283"</f>
        <v>10/21/2020 18:25:25.283</v>
      </c>
      <c r="B1481" t="str">
        <f>"18:25:33.227"</f>
        <v>18:25:33.227</v>
      </c>
      <c r="C1481" t="str">
        <f>"18:25:32.927"</f>
        <v>18:25:32.927</v>
      </c>
      <c r="D1481" t="s">
        <v>598</v>
      </c>
      <c r="E1481">
        <v>30.588963</v>
      </c>
      <c r="F1481" t="s">
        <v>599</v>
      </c>
      <c r="G1481">
        <v>-89.845590999999999</v>
      </c>
      <c r="H1481">
        <v>1600</v>
      </c>
      <c r="I1481">
        <v>-10</v>
      </c>
      <c r="J1481">
        <v>-151</v>
      </c>
      <c r="K1481">
        <v>-128</v>
      </c>
      <c r="L1481">
        <v>1200</v>
      </c>
      <c r="M1481" t="str">
        <f t="shared" si="78"/>
        <v xml:space="preserve">N35DC   </v>
      </c>
      <c r="N1481">
        <v>1</v>
      </c>
      <c r="O1481">
        <v>1700</v>
      </c>
    </row>
    <row r="1482" spans="1:15" x14ac:dyDescent="0.25">
      <c r="A1482" t="str">
        <f>"10/21/2020 18:25:26.325"</f>
        <v>10/21/2020 18:25:26.325</v>
      </c>
      <c r="B1482" t="str">
        <f>"18:25:34.273"</f>
        <v>18:25:34.273</v>
      </c>
      <c r="C1482" t="str">
        <f>"18:25:34.073"</f>
        <v>18:25:34.073</v>
      </c>
      <c r="D1482" t="s">
        <v>600</v>
      </c>
      <c r="E1482">
        <v>30.588211999999999</v>
      </c>
      <c r="F1482" t="s">
        <v>601</v>
      </c>
      <c r="G1482">
        <v>-89.845634000000004</v>
      </c>
      <c r="H1482">
        <v>1600</v>
      </c>
      <c r="I1482">
        <v>-11</v>
      </c>
      <c r="J1482">
        <v>-151</v>
      </c>
      <c r="K1482">
        <v>-64</v>
      </c>
      <c r="L1482">
        <v>1200</v>
      </c>
      <c r="M1482" t="str">
        <f t="shared" si="78"/>
        <v xml:space="preserve">N35DC   </v>
      </c>
      <c r="N1482">
        <v>1</v>
      </c>
      <c r="O1482">
        <v>1700</v>
      </c>
    </row>
    <row r="1483" spans="1:15" x14ac:dyDescent="0.25">
      <c r="A1483" t="str">
        <f>"10/21/2020 18:25:26.325"</f>
        <v>10/21/2020 18:25:26.325</v>
      </c>
      <c r="B1483" t="str">
        <f>"18:25:34.273"</f>
        <v>18:25:34.273</v>
      </c>
      <c r="C1483" t="str">
        <f>"18:25:34.073"</f>
        <v>18:25:34.073</v>
      </c>
      <c r="D1483" t="s">
        <v>600</v>
      </c>
      <c r="E1483">
        <v>30.588211999999999</v>
      </c>
      <c r="F1483" t="s">
        <v>601</v>
      </c>
      <c r="G1483">
        <v>-89.845634000000004</v>
      </c>
      <c r="H1483">
        <v>1600</v>
      </c>
      <c r="I1483">
        <v>-11</v>
      </c>
      <c r="J1483">
        <v>-151</v>
      </c>
      <c r="K1483">
        <v>-64</v>
      </c>
      <c r="L1483">
        <v>1200</v>
      </c>
      <c r="M1483" t="str">
        <f t="shared" si="78"/>
        <v xml:space="preserve">N35DC   </v>
      </c>
      <c r="N1483">
        <v>1</v>
      </c>
      <c r="O1483">
        <v>1700</v>
      </c>
    </row>
    <row r="1484" spans="1:15" x14ac:dyDescent="0.25">
      <c r="A1484" t="str">
        <f>"10/21/2020 18:25:26.325"</f>
        <v>10/21/2020 18:25:26.325</v>
      </c>
      <c r="B1484" t="str">
        <f>"18:25:34.273"</f>
        <v>18:25:34.273</v>
      </c>
      <c r="C1484" t="str">
        <f>"18:25:34.073"</f>
        <v>18:25:34.073</v>
      </c>
      <c r="D1484" t="s">
        <v>600</v>
      </c>
      <c r="E1484">
        <v>30.588211999999999</v>
      </c>
      <c r="F1484" t="s">
        <v>601</v>
      </c>
      <c r="G1484">
        <v>-89.845634000000004</v>
      </c>
      <c r="H1484">
        <v>1600</v>
      </c>
      <c r="I1484">
        <v>-11</v>
      </c>
      <c r="J1484">
        <v>-151</v>
      </c>
      <c r="K1484">
        <v>-64</v>
      </c>
      <c r="L1484">
        <v>1200</v>
      </c>
      <c r="M1484" t="str">
        <f t="shared" si="78"/>
        <v xml:space="preserve">N35DC   </v>
      </c>
      <c r="N1484">
        <v>1</v>
      </c>
      <c r="O1484">
        <v>1700</v>
      </c>
    </row>
    <row r="1485" spans="1:15" x14ac:dyDescent="0.25">
      <c r="A1485" t="str">
        <f>"10/21/2020 18:25:26.325"</f>
        <v>10/21/2020 18:25:26.325</v>
      </c>
      <c r="B1485" t="str">
        <f>"18:25:34.273"</f>
        <v>18:25:34.273</v>
      </c>
      <c r="C1485" t="str">
        <f>"18:25:34.073"</f>
        <v>18:25:34.073</v>
      </c>
      <c r="D1485" t="s">
        <v>600</v>
      </c>
      <c r="E1485">
        <v>30.588211999999999</v>
      </c>
      <c r="F1485" t="s">
        <v>601</v>
      </c>
      <c r="G1485">
        <v>-89.845634000000004</v>
      </c>
      <c r="H1485">
        <v>1600</v>
      </c>
      <c r="I1485">
        <v>-11</v>
      </c>
      <c r="J1485">
        <v>-151</v>
      </c>
      <c r="K1485">
        <v>-64</v>
      </c>
      <c r="L1485">
        <v>1200</v>
      </c>
      <c r="M1485" t="str">
        <f t="shared" si="78"/>
        <v xml:space="preserve">N35DC   </v>
      </c>
      <c r="N1485">
        <v>1</v>
      </c>
      <c r="O1485">
        <v>1700</v>
      </c>
    </row>
    <row r="1486" spans="1:15" x14ac:dyDescent="0.25">
      <c r="A1486" t="str">
        <f>"10/21/2020 18:25:26.325"</f>
        <v>10/21/2020 18:25:26.325</v>
      </c>
      <c r="B1486" t="str">
        <f>"18:25:34.273"</f>
        <v>18:25:34.273</v>
      </c>
      <c r="C1486" t="str">
        <f>"18:25:34.073"</f>
        <v>18:25:34.073</v>
      </c>
      <c r="D1486" t="s">
        <v>600</v>
      </c>
      <c r="E1486">
        <v>30.588211999999999</v>
      </c>
      <c r="F1486" t="s">
        <v>601</v>
      </c>
      <c r="G1486">
        <v>-89.845634000000004</v>
      </c>
      <c r="H1486">
        <v>1600</v>
      </c>
      <c r="I1486">
        <v>-11</v>
      </c>
      <c r="J1486">
        <v>-151</v>
      </c>
      <c r="K1486">
        <v>-64</v>
      </c>
      <c r="L1486">
        <v>1200</v>
      </c>
      <c r="M1486" t="str">
        <f t="shared" si="78"/>
        <v xml:space="preserve">N35DC   </v>
      </c>
      <c r="N1486">
        <v>1</v>
      </c>
      <c r="O1486">
        <v>1700</v>
      </c>
    </row>
    <row r="1487" spans="1:15" x14ac:dyDescent="0.25">
      <c r="A1487" t="str">
        <f>"10/21/2020 18:25:29.336"</f>
        <v>10/21/2020 18:25:29.336</v>
      </c>
      <c r="B1487" t="str">
        <f>"18:25:37.258"</f>
        <v>18:25:37.258</v>
      </c>
      <c r="C1487" t="str">
        <f>"18:25:36.858"</f>
        <v>18:25:36.858</v>
      </c>
      <c r="D1487" t="s">
        <v>602</v>
      </c>
      <c r="E1487">
        <v>30.586174</v>
      </c>
      <c r="F1487" t="s">
        <v>603</v>
      </c>
      <c r="G1487">
        <v>-89.845870000000005</v>
      </c>
      <c r="H1487">
        <v>1600</v>
      </c>
      <c r="I1487">
        <v>-14</v>
      </c>
      <c r="J1487">
        <v>-151</v>
      </c>
      <c r="K1487">
        <v>-128</v>
      </c>
      <c r="L1487">
        <v>1200</v>
      </c>
      <c r="M1487" t="str">
        <f t="shared" si="78"/>
        <v xml:space="preserve">N35DC   </v>
      </c>
      <c r="N1487">
        <v>1</v>
      </c>
      <c r="O1487">
        <v>1700</v>
      </c>
    </row>
    <row r="1488" spans="1:15" x14ac:dyDescent="0.25">
      <c r="A1488" t="str">
        <f>"10/21/2020 18:25:29.336"</f>
        <v>10/21/2020 18:25:29.336</v>
      </c>
      <c r="B1488" t="str">
        <f>"18:25:37.258"</f>
        <v>18:25:37.258</v>
      </c>
      <c r="C1488" t="str">
        <f>"18:25:36.858"</f>
        <v>18:25:36.858</v>
      </c>
      <c r="D1488" t="s">
        <v>602</v>
      </c>
      <c r="E1488">
        <v>30.586174</v>
      </c>
      <c r="F1488" t="s">
        <v>603</v>
      </c>
      <c r="G1488">
        <v>-89.845870000000005</v>
      </c>
      <c r="H1488">
        <v>1600</v>
      </c>
      <c r="I1488">
        <v>-14</v>
      </c>
      <c r="J1488">
        <v>-151</v>
      </c>
      <c r="K1488">
        <v>-128</v>
      </c>
      <c r="L1488">
        <v>1200</v>
      </c>
      <c r="M1488" t="str">
        <f t="shared" si="78"/>
        <v xml:space="preserve">N35DC   </v>
      </c>
      <c r="N1488">
        <v>1</v>
      </c>
      <c r="O1488">
        <v>1700</v>
      </c>
    </row>
    <row r="1489" spans="1:15" x14ac:dyDescent="0.25">
      <c r="A1489" t="str">
        <f>"10/21/2020 18:25:29.336"</f>
        <v>10/21/2020 18:25:29.336</v>
      </c>
      <c r="B1489" t="str">
        <f>"18:25:37.258"</f>
        <v>18:25:37.258</v>
      </c>
      <c r="C1489" t="str">
        <f>"18:25:36.858"</f>
        <v>18:25:36.858</v>
      </c>
      <c r="D1489" t="s">
        <v>602</v>
      </c>
      <c r="E1489">
        <v>30.586174</v>
      </c>
      <c r="F1489" t="s">
        <v>603</v>
      </c>
      <c r="G1489">
        <v>-89.845870000000005</v>
      </c>
      <c r="H1489">
        <v>1600</v>
      </c>
      <c r="I1489">
        <v>-14</v>
      </c>
      <c r="J1489">
        <v>-151</v>
      </c>
      <c r="K1489">
        <v>-128</v>
      </c>
      <c r="L1489">
        <v>1200</v>
      </c>
      <c r="M1489" t="str">
        <f t="shared" si="78"/>
        <v xml:space="preserve">N35DC   </v>
      </c>
      <c r="N1489">
        <v>1</v>
      </c>
      <c r="O1489">
        <v>1700</v>
      </c>
    </row>
    <row r="1490" spans="1:15" x14ac:dyDescent="0.25">
      <c r="A1490" t="str">
        <f>"10/21/2020 18:25:29.336"</f>
        <v>10/21/2020 18:25:29.336</v>
      </c>
      <c r="B1490" t="str">
        <f>"18:25:37.258"</f>
        <v>18:25:37.258</v>
      </c>
      <c r="C1490" t="str">
        <f>"18:25:36.858"</f>
        <v>18:25:36.858</v>
      </c>
      <c r="D1490" t="s">
        <v>602</v>
      </c>
      <c r="E1490">
        <v>30.586174</v>
      </c>
      <c r="F1490" t="s">
        <v>603</v>
      </c>
      <c r="G1490">
        <v>-89.845870000000005</v>
      </c>
      <c r="H1490">
        <v>1600</v>
      </c>
      <c r="I1490">
        <v>-14</v>
      </c>
      <c r="J1490">
        <v>-151</v>
      </c>
      <c r="K1490">
        <v>-128</v>
      </c>
      <c r="L1490">
        <v>1200</v>
      </c>
      <c r="M1490" t="str">
        <f t="shared" si="78"/>
        <v xml:space="preserve">N35DC   </v>
      </c>
      <c r="N1490">
        <v>1</v>
      </c>
      <c r="O1490">
        <v>1700</v>
      </c>
    </row>
    <row r="1491" spans="1:15" x14ac:dyDescent="0.25">
      <c r="A1491" t="str">
        <f>"10/21/2020 18:25:29.336"</f>
        <v>10/21/2020 18:25:29.336</v>
      </c>
      <c r="B1491" t="str">
        <f>"18:25:37.258"</f>
        <v>18:25:37.258</v>
      </c>
      <c r="C1491" t="str">
        <f>"18:25:36.358"</f>
        <v>18:25:36.358</v>
      </c>
      <c r="D1491" t="s">
        <v>602</v>
      </c>
      <c r="E1491">
        <v>30.586174</v>
      </c>
      <c r="F1491" t="s">
        <v>603</v>
      </c>
      <c r="G1491">
        <v>-89.845870000000005</v>
      </c>
      <c r="H1491">
        <v>1600</v>
      </c>
      <c r="I1491">
        <v>-14</v>
      </c>
      <c r="J1491">
        <v>-151</v>
      </c>
      <c r="K1491">
        <v>0</v>
      </c>
      <c r="L1491">
        <v>1200</v>
      </c>
      <c r="M1491" t="str">
        <f t="shared" si="78"/>
        <v xml:space="preserve">N35DC   </v>
      </c>
      <c r="N1491">
        <v>1</v>
      </c>
      <c r="O1491">
        <v>1700</v>
      </c>
    </row>
    <row r="1492" spans="1:15" x14ac:dyDescent="0.25">
      <c r="A1492" t="str">
        <f>"10/21/2020 18:25:32.315"</f>
        <v>10/21/2020 18:25:32.315</v>
      </c>
      <c r="B1492" t="str">
        <f>"18:25:40.273"</f>
        <v>18:25:40.273</v>
      </c>
      <c r="C1492" t="str">
        <f>"18:25:39.973"</f>
        <v>18:25:39.973</v>
      </c>
      <c r="D1492" t="s">
        <v>604</v>
      </c>
      <c r="E1492">
        <v>30.584028</v>
      </c>
      <c r="F1492" t="s">
        <v>605</v>
      </c>
      <c r="G1492">
        <v>-89.846084000000005</v>
      </c>
      <c r="H1492">
        <v>1600</v>
      </c>
      <c r="I1492">
        <v>-16</v>
      </c>
      <c r="J1492">
        <v>-151</v>
      </c>
      <c r="K1492">
        <v>64</v>
      </c>
      <c r="L1492">
        <v>1200</v>
      </c>
      <c r="M1492" t="str">
        <f t="shared" si="78"/>
        <v xml:space="preserve">N35DC   </v>
      </c>
      <c r="N1492">
        <v>1</v>
      </c>
      <c r="O1492">
        <v>1700</v>
      </c>
    </row>
    <row r="1493" spans="1:15" x14ac:dyDescent="0.25">
      <c r="A1493" t="str">
        <f>"10/21/2020 18:25:32.315"</f>
        <v>10/21/2020 18:25:32.315</v>
      </c>
      <c r="B1493" t="str">
        <f>"18:25:40.273"</f>
        <v>18:25:40.273</v>
      </c>
      <c r="C1493" t="str">
        <f>"18:25:39.973"</f>
        <v>18:25:39.973</v>
      </c>
      <c r="D1493" t="s">
        <v>604</v>
      </c>
      <c r="E1493">
        <v>30.584028</v>
      </c>
      <c r="F1493" t="s">
        <v>605</v>
      </c>
      <c r="G1493">
        <v>-89.846084000000005</v>
      </c>
      <c r="H1493">
        <v>1600</v>
      </c>
      <c r="I1493">
        <v>-16</v>
      </c>
      <c r="J1493">
        <v>-151</v>
      </c>
      <c r="K1493">
        <v>64</v>
      </c>
      <c r="L1493">
        <v>1200</v>
      </c>
      <c r="M1493" t="str">
        <f t="shared" si="78"/>
        <v xml:space="preserve">N35DC   </v>
      </c>
      <c r="N1493">
        <v>1</v>
      </c>
      <c r="O1493">
        <v>1700</v>
      </c>
    </row>
    <row r="1494" spans="1:15" x14ac:dyDescent="0.25">
      <c r="A1494" t="str">
        <f>"10/21/2020 18:25:32.315"</f>
        <v>10/21/2020 18:25:32.315</v>
      </c>
      <c r="B1494" t="str">
        <f>"18:25:40.273"</f>
        <v>18:25:40.273</v>
      </c>
      <c r="C1494" t="str">
        <f>"18:25:39.973"</f>
        <v>18:25:39.973</v>
      </c>
      <c r="D1494" t="s">
        <v>604</v>
      </c>
      <c r="E1494">
        <v>30.584028</v>
      </c>
      <c r="F1494" t="s">
        <v>605</v>
      </c>
      <c r="G1494">
        <v>-89.846084000000005</v>
      </c>
      <c r="H1494">
        <v>1600</v>
      </c>
      <c r="I1494">
        <v>-16</v>
      </c>
      <c r="J1494">
        <v>-151</v>
      </c>
      <c r="K1494">
        <v>64</v>
      </c>
      <c r="L1494">
        <v>1200</v>
      </c>
      <c r="M1494" t="str">
        <f t="shared" si="78"/>
        <v xml:space="preserve">N35DC   </v>
      </c>
      <c r="N1494">
        <v>1</v>
      </c>
      <c r="O1494">
        <v>1700</v>
      </c>
    </row>
    <row r="1495" spans="1:15" x14ac:dyDescent="0.25">
      <c r="A1495" t="str">
        <f>"10/21/2020 18:25:32.315"</f>
        <v>10/21/2020 18:25:32.315</v>
      </c>
      <c r="B1495" t="str">
        <f>"18:25:40.273"</f>
        <v>18:25:40.273</v>
      </c>
      <c r="C1495" t="str">
        <f>"18:25:39.973"</f>
        <v>18:25:39.973</v>
      </c>
      <c r="D1495" t="s">
        <v>604</v>
      </c>
      <c r="E1495">
        <v>30.584028</v>
      </c>
      <c r="F1495" t="s">
        <v>605</v>
      </c>
      <c r="G1495">
        <v>-89.846084000000005</v>
      </c>
      <c r="H1495">
        <v>1600</v>
      </c>
      <c r="I1495">
        <v>-16</v>
      </c>
      <c r="J1495">
        <v>-151</v>
      </c>
      <c r="K1495">
        <v>64</v>
      </c>
      <c r="L1495">
        <v>1200</v>
      </c>
      <c r="M1495" t="str">
        <f t="shared" si="78"/>
        <v xml:space="preserve">N35DC   </v>
      </c>
      <c r="N1495">
        <v>1</v>
      </c>
      <c r="O1495">
        <v>1700</v>
      </c>
    </row>
    <row r="1496" spans="1:15" x14ac:dyDescent="0.25">
      <c r="A1496" t="str">
        <f>"10/21/2020 18:25:32.315"</f>
        <v>10/21/2020 18:25:32.315</v>
      </c>
      <c r="B1496" t="str">
        <f>"18:25:40.273"</f>
        <v>18:25:40.273</v>
      </c>
      <c r="C1496" t="str">
        <f>"18:25:39.973"</f>
        <v>18:25:39.973</v>
      </c>
      <c r="D1496" t="s">
        <v>604</v>
      </c>
      <c r="E1496">
        <v>30.584028</v>
      </c>
      <c r="F1496" t="s">
        <v>605</v>
      </c>
      <c r="G1496">
        <v>-89.846084000000005</v>
      </c>
      <c r="H1496">
        <v>1600</v>
      </c>
      <c r="I1496">
        <v>-16</v>
      </c>
      <c r="J1496">
        <v>-151</v>
      </c>
      <c r="K1496">
        <v>64</v>
      </c>
      <c r="L1496">
        <v>1200</v>
      </c>
      <c r="M1496" t="str">
        <f t="shared" si="78"/>
        <v xml:space="preserve">N35DC   </v>
      </c>
      <c r="N1496">
        <v>1</v>
      </c>
      <c r="O1496">
        <v>1700</v>
      </c>
    </row>
    <row r="1497" spans="1:15" x14ac:dyDescent="0.25">
      <c r="A1497" t="str">
        <f>"10/21/2020 18:25:33.385"</f>
        <v>10/21/2020 18:25:33.385</v>
      </c>
      <c r="B1497" t="str">
        <f>"18:25:41.305"</f>
        <v>18:25:41.305</v>
      </c>
      <c r="C1497" t="str">
        <f>"18:25:41.005"</f>
        <v>18:25:41.005</v>
      </c>
      <c r="D1497" t="s">
        <v>606</v>
      </c>
      <c r="E1497">
        <v>30.583320000000001</v>
      </c>
      <c r="F1497" t="s">
        <v>607</v>
      </c>
      <c r="G1497">
        <v>-89.846191000000005</v>
      </c>
      <c r="H1497">
        <v>1600</v>
      </c>
      <c r="I1497">
        <v>-17</v>
      </c>
      <c r="J1497">
        <v>-151</v>
      </c>
      <c r="K1497">
        <v>0</v>
      </c>
      <c r="L1497">
        <v>1200</v>
      </c>
      <c r="M1497" t="str">
        <f t="shared" si="78"/>
        <v xml:space="preserve">N35DC   </v>
      </c>
      <c r="N1497">
        <v>1</v>
      </c>
      <c r="O1497">
        <v>1700</v>
      </c>
    </row>
    <row r="1498" spans="1:15" x14ac:dyDescent="0.25">
      <c r="A1498" t="str">
        <f>"10/21/2020 18:25:33.385"</f>
        <v>10/21/2020 18:25:33.385</v>
      </c>
      <c r="B1498" t="str">
        <f>"18:25:41.305"</f>
        <v>18:25:41.305</v>
      </c>
      <c r="C1498" t="str">
        <f>"18:25:41.005"</f>
        <v>18:25:41.005</v>
      </c>
      <c r="D1498" t="s">
        <v>606</v>
      </c>
      <c r="E1498">
        <v>30.583320000000001</v>
      </c>
      <c r="F1498" t="s">
        <v>607</v>
      </c>
      <c r="G1498">
        <v>-89.846191000000005</v>
      </c>
      <c r="H1498">
        <v>1600</v>
      </c>
      <c r="I1498">
        <v>-17</v>
      </c>
      <c r="J1498">
        <v>-151</v>
      </c>
      <c r="K1498">
        <v>0</v>
      </c>
      <c r="L1498">
        <v>1200</v>
      </c>
      <c r="M1498" t="str">
        <f t="shared" si="78"/>
        <v xml:space="preserve">N35DC   </v>
      </c>
      <c r="N1498">
        <v>1</v>
      </c>
      <c r="O1498">
        <v>1700</v>
      </c>
    </row>
    <row r="1499" spans="1:15" x14ac:dyDescent="0.25">
      <c r="A1499" t="str">
        <f>"10/21/2020 18:25:33.385"</f>
        <v>10/21/2020 18:25:33.385</v>
      </c>
      <c r="B1499" t="str">
        <f>"18:25:41.305"</f>
        <v>18:25:41.305</v>
      </c>
      <c r="C1499" t="str">
        <f>"18:25:41.005"</f>
        <v>18:25:41.005</v>
      </c>
      <c r="D1499" t="s">
        <v>606</v>
      </c>
      <c r="E1499">
        <v>30.583320000000001</v>
      </c>
      <c r="F1499" t="s">
        <v>607</v>
      </c>
      <c r="G1499">
        <v>-89.846191000000005</v>
      </c>
      <c r="H1499">
        <v>1600</v>
      </c>
      <c r="I1499">
        <v>-17</v>
      </c>
      <c r="J1499">
        <v>-151</v>
      </c>
      <c r="K1499">
        <v>0</v>
      </c>
      <c r="L1499">
        <v>1200</v>
      </c>
      <c r="M1499" t="str">
        <f t="shared" si="78"/>
        <v xml:space="preserve">N35DC   </v>
      </c>
      <c r="N1499">
        <v>1</v>
      </c>
      <c r="O1499">
        <v>1700</v>
      </c>
    </row>
    <row r="1500" spans="1:15" x14ac:dyDescent="0.25">
      <c r="A1500" t="str">
        <f>"10/21/2020 18:25:33.385"</f>
        <v>10/21/2020 18:25:33.385</v>
      </c>
      <c r="B1500" t="str">
        <f>"18:25:41.305"</f>
        <v>18:25:41.305</v>
      </c>
      <c r="C1500" t="str">
        <f>"18:25:41.005"</f>
        <v>18:25:41.005</v>
      </c>
      <c r="D1500" t="s">
        <v>606</v>
      </c>
      <c r="E1500">
        <v>30.583320000000001</v>
      </c>
      <c r="F1500" t="s">
        <v>607</v>
      </c>
      <c r="G1500">
        <v>-89.846191000000005</v>
      </c>
      <c r="H1500">
        <v>1600</v>
      </c>
      <c r="I1500">
        <v>-17</v>
      </c>
      <c r="J1500">
        <v>-151</v>
      </c>
      <c r="K1500">
        <v>0</v>
      </c>
      <c r="L1500">
        <v>1200</v>
      </c>
      <c r="M1500" t="str">
        <f t="shared" si="78"/>
        <v xml:space="preserve">N35DC   </v>
      </c>
      <c r="N1500">
        <v>1</v>
      </c>
      <c r="O1500">
        <v>1700</v>
      </c>
    </row>
    <row r="1501" spans="1:15" x14ac:dyDescent="0.25">
      <c r="A1501" t="str">
        <f>"10/21/2020 18:25:33.385"</f>
        <v>10/21/2020 18:25:33.385</v>
      </c>
      <c r="B1501" t="str">
        <f>"18:25:41.305"</f>
        <v>18:25:41.305</v>
      </c>
      <c r="C1501" t="str">
        <f>"18:25:41.005"</f>
        <v>18:25:41.005</v>
      </c>
      <c r="D1501" t="s">
        <v>606</v>
      </c>
      <c r="E1501">
        <v>30.583320000000001</v>
      </c>
      <c r="F1501" t="s">
        <v>607</v>
      </c>
      <c r="G1501">
        <v>-89.846191000000005</v>
      </c>
      <c r="H1501">
        <v>1600</v>
      </c>
      <c r="I1501">
        <v>-17</v>
      </c>
      <c r="J1501">
        <v>-151</v>
      </c>
      <c r="K1501">
        <v>0</v>
      </c>
      <c r="L1501">
        <v>1200</v>
      </c>
      <c r="M1501" t="str">
        <f t="shared" si="78"/>
        <v xml:space="preserve">N35DC   </v>
      </c>
      <c r="N1501">
        <v>1</v>
      </c>
      <c r="O1501">
        <v>1700</v>
      </c>
    </row>
    <row r="1502" spans="1:15" x14ac:dyDescent="0.25">
      <c r="A1502" t="str">
        <f>"10/21/2020 18:25:36.346"</f>
        <v>10/21/2020 18:25:36.346</v>
      </c>
      <c r="B1502" t="str">
        <f>"18:25:44.266"</f>
        <v>18:25:44.266</v>
      </c>
      <c r="C1502" t="str">
        <f>"18:25:44.066"</f>
        <v>18:25:44.066</v>
      </c>
      <c r="D1502" t="s">
        <v>608</v>
      </c>
      <c r="E1502">
        <v>30.581237999999999</v>
      </c>
      <c r="F1502" t="s">
        <v>609</v>
      </c>
      <c r="G1502">
        <v>-89.846469999999997</v>
      </c>
      <c r="H1502">
        <v>1600</v>
      </c>
      <c r="I1502">
        <v>-17</v>
      </c>
      <c r="J1502">
        <v>-150</v>
      </c>
      <c r="K1502">
        <v>64</v>
      </c>
      <c r="L1502">
        <v>1200</v>
      </c>
      <c r="M1502" t="str">
        <f t="shared" si="78"/>
        <v xml:space="preserve">N35DC   </v>
      </c>
      <c r="N1502">
        <v>1</v>
      </c>
      <c r="O1502">
        <v>1700</v>
      </c>
    </row>
    <row r="1503" spans="1:15" x14ac:dyDescent="0.25">
      <c r="A1503" t="str">
        <f>"10/21/2020 18:25:36.346"</f>
        <v>10/21/2020 18:25:36.346</v>
      </c>
      <c r="B1503" t="str">
        <f>"18:25:44.266"</f>
        <v>18:25:44.266</v>
      </c>
      <c r="C1503" t="str">
        <f>"18:25:44.066"</f>
        <v>18:25:44.066</v>
      </c>
      <c r="D1503" t="s">
        <v>608</v>
      </c>
      <c r="E1503">
        <v>30.581237999999999</v>
      </c>
      <c r="F1503" t="s">
        <v>609</v>
      </c>
      <c r="G1503">
        <v>-89.846469999999997</v>
      </c>
      <c r="H1503">
        <v>1600</v>
      </c>
      <c r="I1503">
        <v>-17</v>
      </c>
      <c r="J1503">
        <v>-150</v>
      </c>
      <c r="K1503">
        <v>64</v>
      </c>
      <c r="L1503">
        <v>1200</v>
      </c>
      <c r="M1503" t="str">
        <f t="shared" si="78"/>
        <v xml:space="preserve">N35DC   </v>
      </c>
      <c r="N1503">
        <v>1</v>
      </c>
      <c r="O1503">
        <v>1700</v>
      </c>
    </row>
    <row r="1504" spans="1:15" x14ac:dyDescent="0.25">
      <c r="A1504" t="str">
        <f>"10/21/2020 18:25:36.346"</f>
        <v>10/21/2020 18:25:36.346</v>
      </c>
      <c r="B1504" t="str">
        <f>"18:25:44.266"</f>
        <v>18:25:44.266</v>
      </c>
      <c r="C1504" t="str">
        <f>"18:25:44.066"</f>
        <v>18:25:44.066</v>
      </c>
      <c r="D1504" t="s">
        <v>608</v>
      </c>
      <c r="E1504">
        <v>30.581237999999999</v>
      </c>
      <c r="F1504" t="s">
        <v>609</v>
      </c>
      <c r="G1504">
        <v>-89.846469999999997</v>
      </c>
      <c r="H1504">
        <v>1600</v>
      </c>
      <c r="I1504">
        <v>-17</v>
      </c>
      <c r="J1504">
        <v>-150</v>
      </c>
      <c r="K1504">
        <v>64</v>
      </c>
      <c r="L1504">
        <v>1200</v>
      </c>
      <c r="M1504" t="str">
        <f t="shared" si="78"/>
        <v xml:space="preserve">N35DC   </v>
      </c>
      <c r="N1504">
        <v>1</v>
      </c>
      <c r="O1504">
        <v>1700</v>
      </c>
    </row>
    <row r="1505" spans="1:15" x14ac:dyDescent="0.25">
      <c r="A1505" t="str">
        <f>"10/21/2020 18:25:36.346"</f>
        <v>10/21/2020 18:25:36.346</v>
      </c>
      <c r="B1505" t="str">
        <f>"18:25:44.266"</f>
        <v>18:25:44.266</v>
      </c>
      <c r="C1505" t="str">
        <f>"18:25:44.066"</f>
        <v>18:25:44.066</v>
      </c>
      <c r="D1505" t="s">
        <v>608</v>
      </c>
      <c r="E1505">
        <v>30.581237999999999</v>
      </c>
      <c r="F1505" t="s">
        <v>609</v>
      </c>
      <c r="G1505">
        <v>-89.846469999999997</v>
      </c>
      <c r="H1505">
        <v>1600</v>
      </c>
      <c r="I1505">
        <v>-17</v>
      </c>
      <c r="J1505">
        <v>-150</v>
      </c>
      <c r="K1505">
        <v>64</v>
      </c>
      <c r="L1505">
        <v>1200</v>
      </c>
      <c r="M1505" t="str">
        <f t="shared" si="78"/>
        <v xml:space="preserve">N35DC   </v>
      </c>
      <c r="N1505">
        <v>1</v>
      </c>
      <c r="O1505">
        <v>1700</v>
      </c>
    </row>
    <row r="1506" spans="1:15" x14ac:dyDescent="0.25">
      <c r="A1506" t="str">
        <f>"10/21/2020 18:25:36.346"</f>
        <v>10/21/2020 18:25:36.346</v>
      </c>
      <c r="B1506" t="str">
        <f>"18:25:44.266"</f>
        <v>18:25:44.266</v>
      </c>
      <c r="C1506" t="str">
        <f>"18:25:44.066"</f>
        <v>18:25:44.066</v>
      </c>
      <c r="D1506" t="s">
        <v>608</v>
      </c>
      <c r="E1506">
        <v>30.581237999999999</v>
      </c>
      <c r="F1506" t="s">
        <v>609</v>
      </c>
      <c r="G1506">
        <v>-89.846469999999997</v>
      </c>
      <c r="H1506">
        <v>1600</v>
      </c>
      <c r="I1506">
        <v>-17</v>
      </c>
      <c r="J1506">
        <v>-150</v>
      </c>
      <c r="K1506">
        <v>64</v>
      </c>
      <c r="L1506">
        <v>1200</v>
      </c>
      <c r="M1506" t="str">
        <f t="shared" si="78"/>
        <v xml:space="preserve">N35DC   </v>
      </c>
      <c r="N1506">
        <v>1</v>
      </c>
      <c r="O1506">
        <v>1700</v>
      </c>
    </row>
    <row r="1507" spans="1:15" x14ac:dyDescent="0.25">
      <c r="A1507" t="str">
        <f>"10/21/2020 18:25:37.309"</f>
        <v>10/21/2020 18:25:37.309</v>
      </c>
      <c r="B1507" t="str">
        <f>"18:25:45.250"</f>
        <v>18:25:45.250</v>
      </c>
      <c r="C1507" t="str">
        <f>"18:25:45.150"</f>
        <v>18:25:45.150</v>
      </c>
      <c r="D1507" t="s">
        <v>610</v>
      </c>
      <c r="E1507">
        <v>30.58053</v>
      </c>
      <c r="F1507" t="s">
        <v>611</v>
      </c>
      <c r="G1507">
        <v>-89.846577999999994</v>
      </c>
      <c r="H1507">
        <v>1600</v>
      </c>
      <c r="I1507">
        <v>-16</v>
      </c>
      <c r="J1507">
        <v>-150</v>
      </c>
      <c r="K1507">
        <v>64</v>
      </c>
      <c r="L1507">
        <v>1200</v>
      </c>
      <c r="M1507" t="str">
        <f t="shared" si="78"/>
        <v xml:space="preserve">N35DC   </v>
      </c>
      <c r="N1507">
        <v>1</v>
      </c>
      <c r="O1507">
        <v>1700</v>
      </c>
    </row>
    <row r="1508" spans="1:15" x14ac:dyDescent="0.25">
      <c r="A1508" t="str">
        <f>"10/21/2020 18:25:37.309"</f>
        <v>10/21/2020 18:25:37.309</v>
      </c>
      <c r="B1508" t="str">
        <f>"18:25:45.250"</f>
        <v>18:25:45.250</v>
      </c>
      <c r="C1508" t="str">
        <f>"18:25:45.150"</f>
        <v>18:25:45.150</v>
      </c>
      <c r="D1508" t="s">
        <v>610</v>
      </c>
      <c r="E1508">
        <v>30.58053</v>
      </c>
      <c r="F1508" t="s">
        <v>611</v>
      </c>
      <c r="G1508">
        <v>-89.846577999999994</v>
      </c>
      <c r="H1508">
        <v>1600</v>
      </c>
      <c r="I1508">
        <v>-16</v>
      </c>
      <c r="J1508">
        <v>-150</v>
      </c>
      <c r="K1508">
        <v>64</v>
      </c>
      <c r="L1508">
        <v>1200</v>
      </c>
      <c r="M1508" t="str">
        <f t="shared" si="78"/>
        <v xml:space="preserve">N35DC   </v>
      </c>
      <c r="N1508">
        <v>1</v>
      </c>
      <c r="O1508">
        <v>1700</v>
      </c>
    </row>
    <row r="1509" spans="1:15" x14ac:dyDescent="0.25">
      <c r="A1509" t="str">
        <f>"10/21/2020 18:25:37.309"</f>
        <v>10/21/2020 18:25:37.309</v>
      </c>
      <c r="B1509" t="str">
        <f>"18:25:45.250"</f>
        <v>18:25:45.250</v>
      </c>
      <c r="C1509" t="str">
        <f>"18:25:45.150"</f>
        <v>18:25:45.150</v>
      </c>
      <c r="D1509" t="s">
        <v>610</v>
      </c>
      <c r="E1509">
        <v>30.58053</v>
      </c>
      <c r="F1509" t="s">
        <v>611</v>
      </c>
      <c r="G1509">
        <v>-89.846577999999994</v>
      </c>
      <c r="H1509">
        <v>1600</v>
      </c>
      <c r="I1509">
        <v>-16</v>
      </c>
      <c r="J1509">
        <v>-150</v>
      </c>
      <c r="K1509">
        <v>64</v>
      </c>
      <c r="L1509">
        <v>1200</v>
      </c>
      <c r="M1509" t="str">
        <f t="shared" si="78"/>
        <v xml:space="preserve">N35DC   </v>
      </c>
      <c r="N1509">
        <v>1</v>
      </c>
      <c r="O1509">
        <v>1700</v>
      </c>
    </row>
    <row r="1510" spans="1:15" x14ac:dyDescent="0.25">
      <c r="A1510" t="str">
        <f>"10/21/2020 18:25:37.309"</f>
        <v>10/21/2020 18:25:37.309</v>
      </c>
      <c r="B1510" t="str">
        <f>"18:25:45.250"</f>
        <v>18:25:45.250</v>
      </c>
      <c r="C1510" t="str">
        <f>"18:25:45.150"</f>
        <v>18:25:45.150</v>
      </c>
      <c r="D1510" t="s">
        <v>610</v>
      </c>
      <c r="E1510">
        <v>30.58053</v>
      </c>
      <c r="F1510" t="s">
        <v>611</v>
      </c>
      <c r="G1510">
        <v>-89.846577999999994</v>
      </c>
      <c r="H1510">
        <v>1600</v>
      </c>
      <c r="I1510">
        <v>-16</v>
      </c>
      <c r="J1510">
        <v>-150</v>
      </c>
      <c r="K1510">
        <v>64</v>
      </c>
      <c r="L1510">
        <v>1200</v>
      </c>
      <c r="M1510" t="str">
        <f t="shared" si="78"/>
        <v xml:space="preserve">N35DC   </v>
      </c>
      <c r="N1510">
        <v>1</v>
      </c>
      <c r="O1510">
        <v>1700</v>
      </c>
    </row>
    <row r="1511" spans="1:15" x14ac:dyDescent="0.25">
      <c r="A1511" t="str">
        <f>"10/21/2020 18:25:37.309"</f>
        <v>10/21/2020 18:25:37.309</v>
      </c>
      <c r="B1511" t="str">
        <f>"18:25:45.250"</f>
        <v>18:25:45.250</v>
      </c>
      <c r="C1511" t="str">
        <f>"18:25:45.150"</f>
        <v>18:25:45.150</v>
      </c>
      <c r="D1511" t="s">
        <v>610</v>
      </c>
      <c r="E1511">
        <v>30.58053</v>
      </c>
      <c r="F1511" t="s">
        <v>611</v>
      </c>
      <c r="G1511">
        <v>-89.846577999999994</v>
      </c>
      <c r="H1511">
        <v>1600</v>
      </c>
      <c r="I1511">
        <v>-16</v>
      </c>
      <c r="J1511">
        <v>-150</v>
      </c>
      <c r="K1511">
        <v>64</v>
      </c>
      <c r="L1511">
        <v>1200</v>
      </c>
      <c r="M1511" t="str">
        <f t="shared" si="78"/>
        <v xml:space="preserve">N35DC   </v>
      </c>
      <c r="N1511">
        <v>1</v>
      </c>
      <c r="O1511">
        <v>1700</v>
      </c>
    </row>
    <row r="1512" spans="1:15" x14ac:dyDescent="0.25">
      <c r="A1512" t="str">
        <f>"10/21/2020 18:25:40.395"</f>
        <v>10/21/2020 18:25:40.395</v>
      </c>
      <c r="B1512" t="str">
        <f>"18:25:48.344"</f>
        <v>18:25:48.344</v>
      </c>
      <c r="C1512" t="str">
        <f>"18:25:48.144"</f>
        <v>18:25:48.144</v>
      </c>
      <c r="D1512" t="s">
        <v>612</v>
      </c>
      <c r="E1512">
        <v>30.578406000000001</v>
      </c>
      <c r="F1512" t="s">
        <v>613</v>
      </c>
      <c r="G1512">
        <v>-89.846791999999994</v>
      </c>
      <c r="H1512">
        <v>1600</v>
      </c>
      <c r="I1512">
        <v>-14</v>
      </c>
      <c r="J1512">
        <v>-150</v>
      </c>
      <c r="K1512">
        <v>-128</v>
      </c>
      <c r="L1512">
        <v>1200</v>
      </c>
      <c r="M1512" t="str">
        <f t="shared" si="78"/>
        <v xml:space="preserve">N35DC   </v>
      </c>
      <c r="N1512">
        <v>1</v>
      </c>
      <c r="O1512">
        <v>1700</v>
      </c>
    </row>
    <row r="1513" spans="1:15" x14ac:dyDescent="0.25">
      <c r="A1513" t="str">
        <f>"10/21/2020 18:25:40.395"</f>
        <v>10/21/2020 18:25:40.395</v>
      </c>
      <c r="B1513" t="str">
        <f>"18:25:48.344"</f>
        <v>18:25:48.344</v>
      </c>
      <c r="C1513" t="str">
        <f>"18:25:48.144"</f>
        <v>18:25:48.144</v>
      </c>
      <c r="D1513" t="s">
        <v>612</v>
      </c>
      <c r="E1513">
        <v>30.578406000000001</v>
      </c>
      <c r="F1513" t="s">
        <v>613</v>
      </c>
      <c r="G1513">
        <v>-89.846791999999994</v>
      </c>
      <c r="H1513">
        <v>1600</v>
      </c>
      <c r="I1513">
        <v>-14</v>
      </c>
      <c r="J1513">
        <v>-150</v>
      </c>
      <c r="K1513">
        <v>-128</v>
      </c>
      <c r="L1513">
        <v>1200</v>
      </c>
      <c r="M1513" t="str">
        <f t="shared" si="78"/>
        <v xml:space="preserve">N35DC   </v>
      </c>
      <c r="N1513">
        <v>1</v>
      </c>
      <c r="O1513">
        <v>1700</v>
      </c>
    </row>
    <row r="1514" spans="1:15" x14ac:dyDescent="0.25">
      <c r="A1514" t="str">
        <f>"10/21/2020 18:25:40.395"</f>
        <v>10/21/2020 18:25:40.395</v>
      </c>
      <c r="B1514" t="str">
        <f>"18:25:48.344"</f>
        <v>18:25:48.344</v>
      </c>
      <c r="C1514" t="str">
        <f>"18:25:48.144"</f>
        <v>18:25:48.144</v>
      </c>
      <c r="D1514" t="s">
        <v>612</v>
      </c>
      <c r="E1514">
        <v>30.578406000000001</v>
      </c>
      <c r="F1514" t="s">
        <v>613</v>
      </c>
      <c r="G1514">
        <v>-89.846791999999994</v>
      </c>
      <c r="H1514">
        <v>1600</v>
      </c>
      <c r="I1514">
        <v>-14</v>
      </c>
      <c r="J1514">
        <v>-150</v>
      </c>
      <c r="K1514">
        <v>-128</v>
      </c>
      <c r="L1514">
        <v>1200</v>
      </c>
      <c r="M1514" t="str">
        <f t="shared" si="78"/>
        <v xml:space="preserve">N35DC   </v>
      </c>
      <c r="N1514">
        <v>1</v>
      </c>
      <c r="O1514">
        <v>1700</v>
      </c>
    </row>
    <row r="1515" spans="1:15" x14ac:dyDescent="0.25">
      <c r="A1515" t="str">
        <f>"10/21/2020 18:25:40.395"</f>
        <v>10/21/2020 18:25:40.395</v>
      </c>
      <c r="B1515" t="str">
        <f>"18:25:48.344"</f>
        <v>18:25:48.344</v>
      </c>
      <c r="C1515" t="str">
        <f>"18:25:48.144"</f>
        <v>18:25:48.144</v>
      </c>
      <c r="D1515" t="s">
        <v>612</v>
      </c>
      <c r="E1515">
        <v>30.578406000000001</v>
      </c>
      <c r="F1515" t="s">
        <v>613</v>
      </c>
      <c r="G1515">
        <v>-89.846791999999994</v>
      </c>
      <c r="H1515">
        <v>1600</v>
      </c>
      <c r="I1515">
        <v>-14</v>
      </c>
      <c r="J1515">
        <v>-150</v>
      </c>
      <c r="K1515">
        <v>-128</v>
      </c>
      <c r="L1515">
        <v>1200</v>
      </c>
      <c r="M1515" t="str">
        <f t="shared" si="78"/>
        <v xml:space="preserve">N35DC   </v>
      </c>
      <c r="N1515">
        <v>1</v>
      </c>
      <c r="O1515">
        <v>1700</v>
      </c>
    </row>
    <row r="1516" spans="1:15" x14ac:dyDescent="0.25">
      <c r="A1516" t="str">
        <f>"10/21/2020 18:25:40.395"</f>
        <v>10/21/2020 18:25:40.395</v>
      </c>
      <c r="B1516" t="str">
        <f>"18:25:48.344"</f>
        <v>18:25:48.344</v>
      </c>
      <c r="C1516" t="str">
        <f>"18:25:48.144"</f>
        <v>18:25:48.144</v>
      </c>
      <c r="D1516" t="s">
        <v>612</v>
      </c>
      <c r="E1516">
        <v>30.578406000000001</v>
      </c>
      <c r="F1516" t="s">
        <v>613</v>
      </c>
      <c r="G1516">
        <v>-89.846791999999994</v>
      </c>
      <c r="H1516">
        <v>1600</v>
      </c>
      <c r="I1516">
        <v>-14</v>
      </c>
      <c r="J1516">
        <v>-150</v>
      </c>
      <c r="K1516">
        <v>-128</v>
      </c>
      <c r="L1516">
        <v>1200</v>
      </c>
      <c r="M1516" t="str">
        <f t="shared" si="78"/>
        <v xml:space="preserve">N35DC   </v>
      </c>
      <c r="N1516">
        <v>1</v>
      </c>
      <c r="O1516">
        <v>1700</v>
      </c>
    </row>
    <row r="1517" spans="1:15" x14ac:dyDescent="0.25">
      <c r="A1517" t="str">
        <f>"10/21/2020 18:25:41.303"</f>
        <v>10/21/2020 18:25:41.303</v>
      </c>
      <c r="B1517" t="str">
        <f>"18:25:49.227"</f>
        <v>18:25:49.227</v>
      </c>
      <c r="C1517" t="str">
        <f>"18:25:48.927"</f>
        <v>18:25:48.927</v>
      </c>
      <c r="D1517" t="s">
        <v>614</v>
      </c>
      <c r="E1517">
        <v>30.577784000000001</v>
      </c>
      <c r="F1517" t="s">
        <v>615</v>
      </c>
      <c r="G1517">
        <v>-89.846834999999999</v>
      </c>
      <c r="H1517">
        <v>1600</v>
      </c>
      <c r="I1517">
        <v>-13</v>
      </c>
      <c r="J1517">
        <v>-150</v>
      </c>
      <c r="K1517">
        <v>-64</v>
      </c>
      <c r="L1517">
        <v>1200</v>
      </c>
      <c r="M1517" t="str">
        <f t="shared" si="78"/>
        <v xml:space="preserve">N35DC   </v>
      </c>
      <c r="N1517">
        <v>1</v>
      </c>
      <c r="O1517">
        <v>1700</v>
      </c>
    </row>
    <row r="1518" spans="1:15" x14ac:dyDescent="0.25">
      <c r="A1518" t="str">
        <f>"10/21/2020 18:25:41.303"</f>
        <v>10/21/2020 18:25:41.303</v>
      </c>
      <c r="B1518" t="str">
        <f>"18:25:49.227"</f>
        <v>18:25:49.227</v>
      </c>
      <c r="C1518" t="str">
        <f>"18:25:48.927"</f>
        <v>18:25:48.927</v>
      </c>
      <c r="D1518" t="s">
        <v>614</v>
      </c>
      <c r="E1518">
        <v>30.577784000000001</v>
      </c>
      <c r="F1518" t="s">
        <v>615</v>
      </c>
      <c r="G1518">
        <v>-89.846834999999999</v>
      </c>
      <c r="H1518">
        <v>1600</v>
      </c>
      <c r="I1518">
        <v>-13</v>
      </c>
      <c r="J1518">
        <v>-150</v>
      </c>
      <c r="K1518">
        <v>-64</v>
      </c>
      <c r="L1518">
        <v>1200</v>
      </c>
      <c r="M1518" t="str">
        <f t="shared" si="78"/>
        <v xml:space="preserve">N35DC   </v>
      </c>
      <c r="N1518">
        <v>1</v>
      </c>
      <c r="O1518">
        <v>1700</v>
      </c>
    </row>
    <row r="1519" spans="1:15" x14ac:dyDescent="0.25">
      <c r="A1519" t="str">
        <f>"10/21/2020 18:25:41.303"</f>
        <v>10/21/2020 18:25:41.303</v>
      </c>
      <c r="B1519" t="str">
        <f>"18:25:49.227"</f>
        <v>18:25:49.227</v>
      </c>
      <c r="C1519" t="str">
        <f>"18:25:48.927"</f>
        <v>18:25:48.927</v>
      </c>
      <c r="D1519" t="s">
        <v>614</v>
      </c>
      <c r="E1519">
        <v>30.577784000000001</v>
      </c>
      <c r="F1519" t="s">
        <v>615</v>
      </c>
      <c r="G1519">
        <v>-89.846834999999999</v>
      </c>
      <c r="H1519">
        <v>1600</v>
      </c>
      <c r="I1519">
        <v>-13</v>
      </c>
      <c r="J1519">
        <v>-150</v>
      </c>
      <c r="K1519">
        <v>-64</v>
      </c>
      <c r="L1519">
        <v>1200</v>
      </c>
      <c r="M1519" t="str">
        <f t="shared" si="78"/>
        <v xml:space="preserve">N35DC   </v>
      </c>
      <c r="N1519">
        <v>1</v>
      </c>
      <c r="O1519">
        <v>1700</v>
      </c>
    </row>
    <row r="1520" spans="1:15" x14ac:dyDescent="0.25">
      <c r="A1520" t="str">
        <f>"10/21/2020 18:25:41.303"</f>
        <v>10/21/2020 18:25:41.303</v>
      </c>
      <c r="B1520" t="str">
        <f>"18:25:49.227"</f>
        <v>18:25:49.227</v>
      </c>
      <c r="C1520" t="str">
        <f>"18:25:48.927"</f>
        <v>18:25:48.927</v>
      </c>
      <c r="D1520" t="s">
        <v>614</v>
      </c>
      <c r="E1520">
        <v>30.577784000000001</v>
      </c>
      <c r="F1520" t="s">
        <v>615</v>
      </c>
      <c r="G1520">
        <v>-89.846834999999999</v>
      </c>
      <c r="H1520">
        <v>1600</v>
      </c>
      <c r="I1520">
        <v>-13</v>
      </c>
      <c r="J1520">
        <v>-150</v>
      </c>
      <c r="K1520">
        <v>-64</v>
      </c>
      <c r="L1520">
        <v>1200</v>
      </c>
      <c r="M1520" t="str">
        <f t="shared" si="78"/>
        <v xml:space="preserve">N35DC   </v>
      </c>
      <c r="N1520">
        <v>1</v>
      </c>
      <c r="O1520">
        <v>1700</v>
      </c>
    </row>
    <row r="1521" spans="1:15" x14ac:dyDescent="0.25">
      <c r="A1521" t="str">
        <f>"10/21/2020 18:25:41.303"</f>
        <v>10/21/2020 18:25:41.303</v>
      </c>
      <c r="B1521" t="str">
        <f>"18:25:49.227"</f>
        <v>18:25:49.227</v>
      </c>
      <c r="C1521" t="str">
        <f>"18:25:48.927"</f>
        <v>18:25:48.927</v>
      </c>
      <c r="D1521" t="s">
        <v>614</v>
      </c>
      <c r="E1521">
        <v>30.577784000000001</v>
      </c>
      <c r="F1521" t="s">
        <v>615</v>
      </c>
      <c r="G1521">
        <v>-89.846834999999999</v>
      </c>
      <c r="H1521">
        <v>1600</v>
      </c>
      <c r="I1521">
        <v>-13</v>
      </c>
      <c r="J1521">
        <v>-150</v>
      </c>
      <c r="K1521">
        <v>-64</v>
      </c>
      <c r="L1521">
        <v>1200</v>
      </c>
      <c r="M1521" t="str">
        <f t="shared" si="78"/>
        <v xml:space="preserve">N35DC   </v>
      </c>
      <c r="N1521">
        <v>1</v>
      </c>
      <c r="O1521">
        <v>1700</v>
      </c>
    </row>
    <row r="1522" spans="1:15" x14ac:dyDescent="0.25">
      <c r="A1522" t="str">
        <f>"10/21/2020 18:25:46.276"</f>
        <v>10/21/2020 18:25:46.276</v>
      </c>
      <c r="B1522" t="str">
        <f>"18:25:54.219"</f>
        <v>18:25:54.219</v>
      </c>
      <c r="C1522" t="str">
        <f>"18:25:54.119"</f>
        <v>18:25:54.119</v>
      </c>
      <c r="D1522" t="s">
        <v>616</v>
      </c>
      <c r="E1522">
        <v>30.574307000000001</v>
      </c>
      <c r="F1522" t="s">
        <v>617</v>
      </c>
      <c r="G1522">
        <v>-89.847136000000006</v>
      </c>
      <c r="H1522">
        <v>1600</v>
      </c>
      <c r="I1522">
        <v>-6</v>
      </c>
      <c r="J1522">
        <v>-150</v>
      </c>
      <c r="K1522">
        <v>0</v>
      </c>
      <c r="L1522">
        <v>1200</v>
      </c>
      <c r="M1522" t="str">
        <f t="shared" si="78"/>
        <v xml:space="preserve">N35DC   </v>
      </c>
      <c r="N1522">
        <v>1</v>
      </c>
      <c r="O1522">
        <v>1700</v>
      </c>
    </row>
    <row r="1523" spans="1:15" x14ac:dyDescent="0.25">
      <c r="A1523" t="str">
        <f>"10/21/2020 18:25:46.276"</f>
        <v>10/21/2020 18:25:46.276</v>
      </c>
      <c r="B1523" t="str">
        <f>"18:25:54.219"</f>
        <v>18:25:54.219</v>
      </c>
      <c r="C1523" t="str">
        <f>"18:25:54.119"</f>
        <v>18:25:54.119</v>
      </c>
      <c r="D1523" t="s">
        <v>616</v>
      </c>
      <c r="E1523">
        <v>30.574307000000001</v>
      </c>
      <c r="F1523" t="s">
        <v>617</v>
      </c>
      <c r="G1523">
        <v>-89.847136000000006</v>
      </c>
      <c r="H1523">
        <v>1600</v>
      </c>
      <c r="I1523">
        <v>-6</v>
      </c>
      <c r="J1523">
        <v>-150</v>
      </c>
      <c r="K1523">
        <v>0</v>
      </c>
      <c r="L1523">
        <v>1200</v>
      </c>
      <c r="M1523" t="str">
        <f t="shared" si="78"/>
        <v xml:space="preserve">N35DC   </v>
      </c>
      <c r="N1523">
        <v>1</v>
      </c>
      <c r="O1523">
        <v>1700</v>
      </c>
    </row>
    <row r="1524" spans="1:15" x14ac:dyDescent="0.25">
      <c r="A1524" t="str">
        <f>"10/21/2020 18:25:46.276"</f>
        <v>10/21/2020 18:25:46.276</v>
      </c>
      <c r="B1524" t="str">
        <f>"18:25:54.219"</f>
        <v>18:25:54.219</v>
      </c>
      <c r="C1524" t="str">
        <f>"18:25:54.119"</f>
        <v>18:25:54.119</v>
      </c>
      <c r="D1524" t="s">
        <v>616</v>
      </c>
      <c r="E1524">
        <v>30.574307000000001</v>
      </c>
      <c r="F1524" t="s">
        <v>617</v>
      </c>
      <c r="G1524">
        <v>-89.847136000000006</v>
      </c>
      <c r="H1524">
        <v>1600</v>
      </c>
      <c r="I1524">
        <v>-6</v>
      </c>
      <c r="J1524">
        <v>-150</v>
      </c>
      <c r="K1524">
        <v>0</v>
      </c>
      <c r="L1524">
        <v>1200</v>
      </c>
      <c r="M1524" t="str">
        <f t="shared" si="78"/>
        <v xml:space="preserve">N35DC   </v>
      </c>
      <c r="N1524">
        <v>1</v>
      </c>
      <c r="O1524">
        <v>1700</v>
      </c>
    </row>
    <row r="1525" spans="1:15" x14ac:dyDescent="0.25">
      <c r="A1525" t="str">
        <f>"10/21/2020 18:25:46.276"</f>
        <v>10/21/2020 18:25:46.276</v>
      </c>
      <c r="B1525" t="str">
        <f>"18:25:54.219"</f>
        <v>18:25:54.219</v>
      </c>
      <c r="C1525" t="str">
        <f>"18:25:54.119"</f>
        <v>18:25:54.119</v>
      </c>
      <c r="D1525" t="s">
        <v>616</v>
      </c>
      <c r="E1525">
        <v>30.574307000000001</v>
      </c>
      <c r="F1525" t="s">
        <v>617</v>
      </c>
      <c r="G1525">
        <v>-89.847136000000006</v>
      </c>
      <c r="H1525">
        <v>1600</v>
      </c>
      <c r="I1525">
        <v>-6</v>
      </c>
      <c r="J1525">
        <v>-150</v>
      </c>
      <c r="K1525">
        <v>0</v>
      </c>
      <c r="L1525">
        <v>1200</v>
      </c>
      <c r="M1525" t="str">
        <f t="shared" si="78"/>
        <v xml:space="preserve">N35DC   </v>
      </c>
      <c r="N1525">
        <v>1</v>
      </c>
      <c r="O1525">
        <v>1700</v>
      </c>
    </row>
    <row r="1526" spans="1:15" x14ac:dyDescent="0.25">
      <c r="A1526" t="str">
        <f>"10/21/2020 18:25:46.276"</f>
        <v>10/21/2020 18:25:46.276</v>
      </c>
      <c r="B1526" t="str">
        <f>"18:25:54.219"</f>
        <v>18:25:54.219</v>
      </c>
      <c r="C1526" t="str">
        <f>"18:25:54.119"</f>
        <v>18:25:54.119</v>
      </c>
      <c r="D1526" t="s">
        <v>616</v>
      </c>
      <c r="E1526">
        <v>30.574307000000001</v>
      </c>
      <c r="F1526" t="s">
        <v>617</v>
      </c>
      <c r="G1526">
        <v>-89.847136000000006</v>
      </c>
      <c r="H1526">
        <v>1600</v>
      </c>
      <c r="I1526">
        <v>-6</v>
      </c>
      <c r="J1526">
        <v>-150</v>
      </c>
      <c r="K1526">
        <v>0</v>
      </c>
      <c r="L1526">
        <v>1200</v>
      </c>
      <c r="M1526" t="str">
        <f t="shared" si="78"/>
        <v xml:space="preserve">N35DC   </v>
      </c>
      <c r="N1526">
        <v>1</v>
      </c>
      <c r="O1526">
        <v>1700</v>
      </c>
    </row>
    <row r="1527" spans="1:15" x14ac:dyDescent="0.25">
      <c r="A1527" t="str">
        <f>"10/21/2020 18:25:48.419"</f>
        <v>10/21/2020 18:25:48.419</v>
      </c>
      <c r="B1527" t="str">
        <f>"18:25:56.367"</f>
        <v>18:25:56.367</v>
      </c>
      <c r="C1527" t="str">
        <f>"18:25:56.067"</f>
        <v>18:25:56.067</v>
      </c>
      <c r="D1527" t="s">
        <v>618</v>
      </c>
      <c r="E1527">
        <v>30.572804999999999</v>
      </c>
      <c r="F1527" t="s">
        <v>619</v>
      </c>
      <c r="G1527">
        <v>-89.847114000000005</v>
      </c>
      <c r="H1527">
        <v>1600</v>
      </c>
      <c r="I1527">
        <v>-2</v>
      </c>
      <c r="J1527">
        <v>-150</v>
      </c>
      <c r="K1527">
        <v>0</v>
      </c>
      <c r="L1527">
        <v>1200</v>
      </c>
      <c r="M1527" t="str">
        <f t="shared" si="78"/>
        <v xml:space="preserve">N35DC   </v>
      </c>
      <c r="N1527">
        <v>1</v>
      </c>
      <c r="O1527">
        <v>1700</v>
      </c>
    </row>
    <row r="1528" spans="1:15" x14ac:dyDescent="0.25">
      <c r="A1528" t="str">
        <f>"10/21/2020 18:25:48.419"</f>
        <v>10/21/2020 18:25:48.419</v>
      </c>
      <c r="B1528" t="str">
        <f>"18:25:56.367"</f>
        <v>18:25:56.367</v>
      </c>
      <c r="C1528" t="str">
        <f>"18:25:56.067"</f>
        <v>18:25:56.067</v>
      </c>
      <c r="D1528" t="s">
        <v>618</v>
      </c>
      <c r="E1528">
        <v>30.572804999999999</v>
      </c>
      <c r="F1528" t="s">
        <v>619</v>
      </c>
      <c r="G1528">
        <v>-89.847114000000005</v>
      </c>
      <c r="H1528">
        <v>1600</v>
      </c>
      <c r="I1528">
        <v>-2</v>
      </c>
      <c r="J1528">
        <v>-150</v>
      </c>
      <c r="K1528">
        <v>0</v>
      </c>
      <c r="L1528">
        <v>1200</v>
      </c>
      <c r="M1528" t="str">
        <f t="shared" si="78"/>
        <v xml:space="preserve">N35DC   </v>
      </c>
      <c r="N1528">
        <v>1</v>
      </c>
      <c r="O1528">
        <v>1700</v>
      </c>
    </row>
    <row r="1529" spans="1:15" x14ac:dyDescent="0.25">
      <c r="A1529" t="str">
        <f>"10/21/2020 18:25:48.419"</f>
        <v>10/21/2020 18:25:48.419</v>
      </c>
      <c r="B1529" t="str">
        <f>"18:25:56.367"</f>
        <v>18:25:56.367</v>
      </c>
      <c r="C1529" t="str">
        <f>"18:25:56.067"</f>
        <v>18:25:56.067</v>
      </c>
      <c r="D1529" t="s">
        <v>618</v>
      </c>
      <c r="E1529">
        <v>30.572804999999999</v>
      </c>
      <c r="F1529" t="s">
        <v>619</v>
      </c>
      <c r="G1529">
        <v>-89.847114000000005</v>
      </c>
      <c r="H1529">
        <v>1600</v>
      </c>
      <c r="I1529">
        <v>-2</v>
      </c>
      <c r="J1529">
        <v>-150</v>
      </c>
      <c r="K1529">
        <v>0</v>
      </c>
      <c r="L1529">
        <v>1200</v>
      </c>
      <c r="M1529" t="str">
        <f t="shared" si="78"/>
        <v xml:space="preserve">N35DC   </v>
      </c>
      <c r="N1529">
        <v>1</v>
      </c>
      <c r="O1529">
        <v>1700</v>
      </c>
    </row>
    <row r="1530" spans="1:15" x14ac:dyDescent="0.25">
      <c r="A1530" t="str">
        <f>"10/21/2020 18:25:48.419"</f>
        <v>10/21/2020 18:25:48.419</v>
      </c>
      <c r="B1530" t="str">
        <f>"18:25:56.367"</f>
        <v>18:25:56.367</v>
      </c>
      <c r="C1530" t="str">
        <f>"18:25:56.067"</f>
        <v>18:25:56.067</v>
      </c>
      <c r="D1530" t="s">
        <v>618</v>
      </c>
      <c r="E1530">
        <v>30.572804999999999</v>
      </c>
      <c r="F1530" t="s">
        <v>619</v>
      </c>
      <c r="G1530">
        <v>-89.847114000000005</v>
      </c>
      <c r="H1530">
        <v>1600</v>
      </c>
      <c r="I1530">
        <v>-2</v>
      </c>
      <c r="J1530">
        <v>-150</v>
      </c>
      <c r="K1530">
        <v>0</v>
      </c>
      <c r="L1530">
        <v>1200</v>
      </c>
      <c r="M1530" t="str">
        <f t="shared" si="78"/>
        <v xml:space="preserve">N35DC   </v>
      </c>
      <c r="N1530">
        <v>1</v>
      </c>
      <c r="O1530">
        <v>1700</v>
      </c>
    </row>
    <row r="1531" spans="1:15" x14ac:dyDescent="0.25">
      <c r="A1531" t="str">
        <f>"10/21/2020 18:25:48.419"</f>
        <v>10/21/2020 18:25:48.419</v>
      </c>
      <c r="B1531" t="str">
        <f>"18:25:56.367"</f>
        <v>18:25:56.367</v>
      </c>
      <c r="C1531" t="str">
        <f>"18:25:56.067"</f>
        <v>18:25:56.067</v>
      </c>
      <c r="D1531" t="s">
        <v>618</v>
      </c>
      <c r="E1531">
        <v>30.572804999999999</v>
      </c>
      <c r="F1531" t="s">
        <v>619</v>
      </c>
      <c r="G1531">
        <v>-89.847114000000005</v>
      </c>
      <c r="H1531">
        <v>1600</v>
      </c>
      <c r="I1531">
        <v>-2</v>
      </c>
      <c r="J1531">
        <v>-150</v>
      </c>
      <c r="K1531">
        <v>0</v>
      </c>
      <c r="L1531">
        <v>1200</v>
      </c>
      <c r="M1531" t="str">
        <f t="shared" si="78"/>
        <v xml:space="preserve">N35DC   </v>
      </c>
      <c r="N1531">
        <v>1</v>
      </c>
      <c r="O1531">
        <v>1700</v>
      </c>
    </row>
    <row r="1532" spans="1:15" x14ac:dyDescent="0.25">
      <c r="A1532" t="str">
        <f>"10/21/2020 18:25:49.426"</f>
        <v>10/21/2020 18:25:49.426</v>
      </c>
      <c r="B1532" t="str">
        <f>"18:25:57.375"</f>
        <v>18:25:57.375</v>
      </c>
      <c r="C1532" t="str">
        <f>"18:25:57.175"</f>
        <v>18:25:57.175</v>
      </c>
      <c r="D1532" t="s">
        <v>620</v>
      </c>
      <c r="E1532">
        <v>30.572119000000001</v>
      </c>
      <c r="F1532" t="s">
        <v>617</v>
      </c>
      <c r="G1532">
        <v>-89.847136000000006</v>
      </c>
      <c r="H1532">
        <v>1600</v>
      </c>
      <c r="I1532">
        <v>-1</v>
      </c>
      <c r="J1532">
        <v>-150</v>
      </c>
      <c r="K1532">
        <v>-256</v>
      </c>
      <c r="L1532">
        <v>1200</v>
      </c>
      <c r="M1532" t="str">
        <f t="shared" si="78"/>
        <v xml:space="preserve">N35DC   </v>
      </c>
      <c r="N1532">
        <v>1</v>
      </c>
      <c r="O1532">
        <v>1700</v>
      </c>
    </row>
    <row r="1533" spans="1:15" x14ac:dyDescent="0.25">
      <c r="A1533" t="str">
        <f>"10/21/2020 18:25:49.426"</f>
        <v>10/21/2020 18:25:49.426</v>
      </c>
      <c r="B1533" t="str">
        <f>"18:25:57.375"</f>
        <v>18:25:57.375</v>
      </c>
      <c r="C1533" t="str">
        <f>"18:25:57.175"</f>
        <v>18:25:57.175</v>
      </c>
      <c r="D1533" t="s">
        <v>620</v>
      </c>
      <c r="E1533">
        <v>30.572119000000001</v>
      </c>
      <c r="F1533" t="s">
        <v>617</v>
      </c>
      <c r="G1533">
        <v>-89.847136000000006</v>
      </c>
      <c r="H1533">
        <v>1600</v>
      </c>
      <c r="I1533">
        <v>-1</v>
      </c>
      <c r="J1533">
        <v>-150</v>
      </c>
      <c r="K1533">
        <v>-256</v>
      </c>
      <c r="L1533">
        <v>1200</v>
      </c>
      <c r="M1533" t="str">
        <f t="shared" si="78"/>
        <v xml:space="preserve">N35DC   </v>
      </c>
      <c r="N1533">
        <v>1</v>
      </c>
      <c r="O1533">
        <v>1700</v>
      </c>
    </row>
    <row r="1534" spans="1:15" x14ac:dyDescent="0.25">
      <c r="A1534" t="str">
        <f>"10/21/2020 18:25:49.426"</f>
        <v>10/21/2020 18:25:49.426</v>
      </c>
      <c r="B1534" t="str">
        <f>"18:25:57.375"</f>
        <v>18:25:57.375</v>
      </c>
      <c r="C1534" t="str">
        <f>"18:25:57.175"</f>
        <v>18:25:57.175</v>
      </c>
      <c r="D1534" t="s">
        <v>620</v>
      </c>
      <c r="E1534">
        <v>30.572119000000001</v>
      </c>
      <c r="F1534" t="s">
        <v>617</v>
      </c>
      <c r="G1534">
        <v>-89.847136000000006</v>
      </c>
      <c r="H1534">
        <v>1600</v>
      </c>
      <c r="I1534">
        <v>-1</v>
      </c>
      <c r="J1534">
        <v>-150</v>
      </c>
      <c r="K1534">
        <v>-256</v>
      </c>
      <c r="L1534">
        <v>1200</v>
      </c>
      <c r="M1534" t="str">
        <f t="shared" si="78"/>
        <v xml:space="preserve">N35DC   </v>
      </c>
      <c r="N1534">
        <v>1</v>
      </c>
      <c r="O1534">
        <v>1700</v>
      </c>
    </row>
    <row r="1535" spans="1:15" x14ac:dyDescent="0.25">
      <c r="A1535" t="str">
        <f>"10/21/2020 18:25:49.426"</f>
        <v>10/21/2020 18:25:49.426</v>
      </c>
      <c r="B1535" t="str">
        <f>"18:25:57.375"</f>
        <v>18:25:57.375</v>
      </c>
      <c r="C1535" t="str">
        <f>"18:25:57.175"</f>
        <v>18:25:57.175</v>
      </c>
      <c r="D1535" t="s">
        <v>620</v>
      </c>
      <c r="E1535">
        <v>30.572119000000001</v>
      </c>
      <c r="F1535" t="s">
        <v>617</v>
      </c>
      <c r="G1535">
        <v>-89.847136000000006</v>
      </c>
      <c r="H1535">
        <v>1600</v>
      </c>
      <c r="I1535">
        <v>-1</v>
      </c>
      <c r="J1535">
        <v>-150</v>
      </c>
      <c r="K1535">
        <v>-256</v>
      </c>
      <c r="L1535">
        <v>1200</v>
      </c>
      <c r="M1535" t="str">
        <f t="shared" si="78"/>
        <v xml:space="preserve">N35DC   </v>
      </c>
      <c r="N1535">
        <v>1</v>
      </c>
      <c r="O1535">
        <v>1700</v>
      </c>
    </row>
    <row r="1536" spans="1:15" x14ac:dyDescent="0.25">
      <c r="A1536" t="str">
        <f>"10/21/2020 18:25:49.426"</f>
        <v>10/21/2020 18:25:49.426</v>
      </c>
      <c r="B1536" t="str">
        <f>"18:25:57.375"</f>
        <v>18:25:57.375</v>
      </c>
      <c r="C1536" t="str">
        <f>"18:25:57.175"</f>
        <v>18:25:57.175</v>
      </c>
      <c r="D1536" t="s">
        <v>620</v>
      </c>
      <c r="E1536">
        <v>30.572119000000001</v>
      </c>
      <c r="F1536" t="s">
        <v>617</v>
      </c>
      <c r="G1536">
        <v>-89.847136000000006</v>
      </c>
      <c r="H1536">
        <v>1600</v>
      </c>
      <c r="I1536">
        <v>-1</v>
      </c>
      <c r="J1536">
        <v>-150</v>
      </c>
      <c r="K1536">
        <v>-256</v>
      </c>
      <c r="L1536">
        <v>1200</v>
      </c>
      <c r="M1536" t="str">
        <f t="shared" si="78"/>
        <v xml:space="preserve">N35DC   </v>
      </c>
      <c r="N1536">
        <v>1</v>
      </c>
      <c r="O1536">
        <v>1700</v>
      </c>
    </row>
    <row r="1537" spans="1:15" x14ac:dyDescent="0.25">
      <c r="A1537" t="str">
        <f>"10/21/2020 18:25:50.282"</f>
        <v>10/21/2020 18:25:50.282</v>
      </c>
      <c r="B1537" t="str">
        <f>"18:25:58.227"</f>
        <v>18:25:58.227</v>
      </c>
      <c r="C1537" t="str">
        <f>"18:25:58.027"</f>
        <v>18:25:58.027</v>
      </c>
      <c r="D1537" t="s">
        <v>621</v>
      </c>
      <c r="E1537">
        <v>30.571496</v>
      </c>
      <c r="F1537" t="s">
        <v>622</v>
      </c>
      <c r="G1537">
        <v>-89.847178</v>
      </c>
      <c r="H1537">
        <v>1600</v>
      </c>
      <c r="I1537">
        <v>-1</v>
      </c>
      <c r="J1537">
        <v>-151</v>
      </c>
      <c r="K1537">
        <v>-192</v>
      </c>
      <c r="L1537">
        <v>1200</v>
      </c>
      <c r="M1537" t="str">
        <f t="shared" si="78"/>
        <v xml:space="preserve">N35DC   </v>
      </c>
      <c r="N1537">
        <v>1</v>
      </c>
      <c r="O1537">
        <v>1700</v>
      </c>
    </row>
    <row r="1538" spans="1:15" x14ac:dyDescent="0.25">
      <c r="A1538" t="str">
        <f>"10/21/2020 18:25:50.282"</f>
        <v>10/21/2020 18:25:50.282</v>
      </c>
      <c r="B1538" t="str">
        <f>"18:25:58.227"</f>
        <v>18:25:58.227</v>
      </c>
      <c r="C1538" t="str">
        <f>"18:25:58.027"</f>
        <v>18:25:58.027</v>
      </c>
      <c r="D1538" t="s">
        <v>621</v>
      </c>
      <c r="E1538">
        <v>30.571496</v>
      </c>
      <c r="F1538" t="s">
        <v>622</v>
      </c>
      <c r="G1538">
        <v>-89.847178</v>
      </c>
      <c r="H1538">
        <v>1600</v>
      </c>
      <c r="I1538">
        <v>-1</v>
      </c>
      <c r="J1538">
        <v>-151</v>
      </c>
      <c r="K1538">
        <v>-192</v>
      </c>
      <c r="L1538">
        <v>1200</v>
      </c>
      <c r="M1538" t="str">
        <f t="shared" si="78"/>
        <v xml:space="preserve">N35DC   </v>
      </c>
      <c r="N1538">
        <v>1</v>
      </c>
      <c r="O1538">
        <v>1700</v>
      </c>
    </row>
    <row r="1539" spans="1:15" x14ac:dyDescent="0.25">
      <c r="A1539" t="str">
        <f>"10/21/2020 18:25:50.282"</f>
        <v>10/21/2020 18:25:50.282</v>
      </c>
      <c r="B1539" t="str">
        <f>"18:25:58.227"</f>
        <v>18:25:58.227</v>
      </c>
      <c r="C1539" t="str">
        <f>"18:25:58.027"</f>
        <v>18:25:58.027</v>
      </c>
      <c r="D1539" t="s">
        <v>621</v>
      </c>
      <c r="E1539">
        <v>30.571496</v>
      </c>
      <c r="F1539" t="s">
        <v>622</v>
      </c>
      <c r="G1539">
        <v>-89.847178</v>
      </c>
      <c r="H1539">
        <v>1600</v>
      </c>
      <c r="I1539">
        <v>-1</v>
      </c>
      <c r="J1539">
        <v>-151</v>
      </c>
      <c r="K1539">
        <v>-192</v>
      </c>
      <c r="L1539">
        <v>1200</v>
      </c>
      <c r="M1539" t="str">
        <f t="shared" si="78"/>
        <v xml:space="preserve">N35DC   </v>
      </c>
      <c r="N1539">
        <v>1</v>
      </c>
      <c r="O1539">
        <v>1700</v>
      </c>
    </row>
    <row r="1540" spans="1:15" x14ac:dyDescent="0.25">
      <c r="A1540" t="str">
        <f>"10/21/2020 18:25:50.282"</f>
        <v>10/21/2020 18:25:50.282</v>
      </c>
      <c r="B1540" t="str">
        <f>"18:25:58.227"</f>
        <v>18:25:58.227</v>
      </c>
      <c r="C1540" t="str">
        <f>"18:25:58.027"</f>
        <v>18:25:58.027</v>
      </c>
      <c r="D1540" t="s">
        <v>621</v>
      </c>
      <c r="E1540">
        <v>30.571496</v>
      </c>
      <c r="F1540" t="s">
        <v>622</v>
      </c>
      <c r="G1540">
        <v>-89.847178</v>
      </c>
      <c r="H1540">
        <v>1600</v>
      </c>
      <c r="I1540">
        <v>-1</v>
      </c>
      <c r="J1540">
        <v>-151</v>
      </c>
      <c r="K1540">
        <v>-192</v>
      </c>
      <c r="L1540">
        <v>1200</v>
      </c>
      <c r="M1540" t="str">
        <f t="shared" si="78"/>
        <v xml:space="preserve">N35DC   </v>
      </c>
      <c r="N1540">
        <v>1</v>
      </c>
      <c r="O1540">
        <v>1700</v>
      </c>
    </row>
    <row r="1541" spans="1:15" x14ac:dyDescent="0.25">
      <c r="A1541" t="str">
        <f>"10/21/2020 18:25:50.282"</f>
        <v>10/21/2020 18:25:50.282</v>
      </c>
      <c r="B1541" t="str">
        <f>"18:25:58.227"</f>
        <v>18:25:58.227</v>
      </c>
      <c r="C1541" t="str">
        <f>"18:25:58.027"</f>
        <v>18:25:58.027</v>
      </c>
      <c r="D1541" t="s">
        <v>621</v>
      </c>
      <c r="E1541">
        <v>30.571496</v>
      </c>
      <c r="F1541" t="s">
        <v>622</v>
      </c>
      <c r="G1541">
        <v>-89.847178</v>
      </c>
      <c r="H1541">
        <v>1600</v>
      </c>
      <c r="I1541">
        <v>-1</v>
      </c>
      <c r="J1541">
        <v>-151</v>
      </c>
      <c r="K1541">
        <v>-192</v>
      </c>
      <c r="L1541">
        <v>1200</v>
      </c>
      <c r="M1541" t="str">
        <f t="shared" si="78"/>
        <v xml:space="preserve">N35DC   </v>
      </c>
      <c r="N1541">
        <v>1</v>
      </c>
      <c r="O1541">
        <v>1700</v>
      </c>
    </row>
    <row r="1542" spans="1:15" x14ac:dyDescent="0.25">
      <c r="A1542" t="str">
        <f>"10/21/2020 18:25:52.498"</f>
        <v>10/21/2020 18:25:52.498</v>
      </c>
      <c r="B1542" t="str">
        <f t="shared" ref="B1542:C1546" si="79">"18:26:00.430"</f>
        <v>18:26:00.430</v>
      </c>
      <c r="C1542" t="str">
        <f t="shared" si="79"/>
        <v>18:26:00.430</v>
      </c>
      <c r="D1542" t="s">
        <v>623</v>
      </c>
      <c r="E1542">
        <v>30.569952000000001</v>
      </c>
      <c r="F1542" t="s">
        <v>624</v>
      </c>
      <c r="G1542">
        <v>-89.847156999999996</v>
      </c>
      <c r="H1542">
        <v>1600</v>
      </c>
      <c r="I1542">
        <v>-1</v>
      </c>
      <c r="J1542">
        <v>-151</v>
      </c>
      <c r="K1542">
        <v>-128</v>
      </c>
      <c r="L1542">
        <v>1200</v>
      </c>
      <c r="M1542" t="str">
        <f t="shared" si="78"/>
        <v xml:space="preserve">N35DC   </v>
      </c>
      <c r="N1542">
        <v>1</v>
      </c>
      <c r="O1542">
        <v>1675</v>
      </c>
    </row>
    <row r="1543" spans="1:15" x14ac:dyDescent="0.25">
      <c r="A1543" t="str">
        <f>"10/21/2020 18:25:52.498"</f>
        <v>10/21/2020 18:25:52.498</v>
      </c>
      <c r="B1543" t="str">
        <f t="shared" si="79"/>
        <v>18:26:00.430</v>
      </c>
      <c r="C1543" t="str">
        <f t="shared" si="79"/>
        <v>18:26:00.430</v>
      </c>
      <c r="D1543" t="s">
        <v>623</v>
      </c>
      <c r="E1543">
        <v>30.569952000000001</v>
      </c>
      <c r="F1543" t="s">
        <v>624</v>
      </c>
      <c r="G1543">
        <v>-89.847156999999996</v>
      </c>
      <c r="H1543">
        <v>1600</v>
      </c>
      <c r="I1543">
        <v>-1</v>
      </c>
      <c r="J1543">
        <v>-151</v>
      </c>
      <c r="K1543">
        <v>-128</v>
      </c>
      <c r="L1543">
        <v>1200</v>
      </c>
      <c r="M1543" t="str">
        <f t="shared" ref="M1543:M1606" si="80">"N35DC   "</f>
        <v xml:space="preserve">N35DC   </v>
      </c>
      <c r="N1543">
        <v>1</v>
      </c>
      <c r="O1543">
        <v>1675</v>
      </c>
    </row>
    <row r="1544" spans="1:15" x14ac:dyDescent="0.25">
      <c r="A1544" t="str">
        <f>"10/21/2020 18:25:52.498"</f>
        <v>10/21/2020 18:25:52.498</v>
      </c>
      <c r="B1544" t="str">
        <f t="shared" si="79"/>
        <v>18:26:00.430</v>
      </c>
      <c r="C1544" t="str">
        <f t="shared" si="79"/>
        <v>18:26:00.430</v>
      </c>
      <c r="D1544" t="s">
        <v>623</v>
      </c>
      <c r="E1544">
        <v>30.569952000000001</v>
      </c>
      <c r="F1544" t="s">
        <v>624</v>
      </c>
      <c r="G1544">
        <v>-89.847156999999996</v>
      </c>
      <c r="H1544">
        <v>1600</v>
      </c>
      <c r="I1544">
        <v>-1</v>
      </c>
      <c r="J1544">
        <v>-151</v>
      </c>
      <c r="K1544">
        <v>-128</v>
      </c>
      <c r="L1544">
        <v>1200</v>
      </c>
      <c r="M1544" t="str">
        <f t="shared" si="80"/>
        <v xml:space="preserve">N35DC   </v>
      </c>
      <c r="N1544">
        <v>1</v>
      </c>
      <c r="O1544">
        <v>1675</v>
      </c>
    </row>
    <row r="1545" spans="1:15" x14ac:dyDescent="0.25">
      <c r="A1545" t="str">
        <f>"10/21/2020 18:25:52.498"</f>
        <v>10/21/2020 18:25:52.498</v>
      </c>
      <c r="B1545" t="str">
        <f t="shared" si="79"/>
        <v>18:26:00.430</v>
      </c>
      <c r="C1545" t="str">
        <f t="shared" si="79"/>
        <v>18:26:00.430</v>
      </c>
      <c r="D1545" t="s">
        <v>623</v>
      </c>
      <c r="E1545">
        <v>30.569952000000001</v>
      </c>
      <c r="F1545" t="s">
        <v>624</v>
      </c>
      <c r="G1545">
        <v>-89.847156999999996</v>
      </c>
      <c r="H1545">
        <v>1600</v>
      </c>
      <c r="I1545">
        <v>-1</v>
      </c>
      <c r="J1545">
        <v>-151</v>
      </c>
      <c r="K1545">
        <v>-128</v>
      </c>
      <c r="L1545">
        <v>1200</v>
      </c>
      <c r="M1545" t="str">
        <f t="shared" si="80"/>
        <v xml:space="preserve">N35DC   </v>
      </c>
      <c r="N1545">
        <v>1</v>
      </c>
      <c r="O1545">
        <v>1675</v>
      </c>
    </row>
    <row r="1546" spans="1:15" x14ac:dyDescent="0.25">
      <c r="A1546" t="str">
        <f>"10/21/2020 18:25:52.498"</f>
        <v>10/21/2020 18:25:52.498</v>
      </c>
      <c r="B1546" t="str">
        <f t="shared" si="79"/>
        <v>18:26:00.430</v>
      </c>
      <c r="C1546" t="str">
        <f t="shared" si="79"/>
        <v>18:26:00.430</v>
      </c>
      <c r="D1546" t="s">
        <v>623</v>
      </c>
      <c r="E1546">
        <v>30.569952000000001</v>
      </c>
      <c r="F1546" t="s">
        <v>624</v>
      </c>
      <c r="G1546">
        <v>-89.847156999999996</v>
      </c>
      <c r="H1546">
        <v>1600</v>
      </c>
      <c r="I1546">
        <v>-1</v>
      </c>
      <c r="J1546">
        <v>-151</v>
      </c>
      <c r="K1546">
        <v>-128</v>
      </c>
      <c r="L1546">
        <v>1200</v>
      </c>
      <c r="M1546" t="str">
        <f t="shared" si="80"/>
        <v xml:space="preserve">N35DC   </v>
      </c>
      <c r="N1546">
        <v>1</v>
      </c>
      <c r="O1546">
        <v>1675</v>
      </c>
    </row>
    <row r="1547" spans="1:15" x14ac:dyDescent="0.25">
      <c r="A1547" t="str">
        <f>"10/21/2020 18:25:53.606"</f>
        <v>10/21/2020 18:25:53.606</v>
      </c>
      <c r="B1547" t="str">
        <f>"18:26:01.555"</f>
        <v>18:26:01.555</v>
      </c>
      <c r="C1547" t="str">
        <f>"18:26:01.455"</f>
        <v>18:26:01.455</v>
      </c>
      <c r="D1547" t="s">
        <v>625</v>
      </c>
      <c r="E1547">
        <v>30.569178999999998</v>
      </c>
      <c r="F1547" t="s">
        <v>622</v>
      </c>
      <c r="G1547">
        <v>-89.847178</v>
      </c>
      <c r="H1547">
        <v>1600</v>
      </c>
      <c r="I1547">
        <v>-1</v>
      </c>
      <c r="J1547">
        <v>-151</v>
      </c>
      <c r="K1547">
        <v>0</v>
      </c>
      <c r="L1547">
        <v>1200</v>
      </c>
      <c r="M1547" t="str">
        <f t="shared" si="80"/>
        <v xml:space="preserve">N35DC   </v>
      </c>
      <c r="N1547">
        <v>1</v>
      </c>
      <c r="O1547">
        <v>1675</v>
      </c>
    </row>
    <row r="1548" spans="1:15" x14ac:dyDescent="0.25">
      <c r="A1548" t="str">
        <f>"10/21/2020 18:25:53.606"</f>
        <v>10/21/2020 18:25:53.606</v>
      </c>
      <c r="B1548" t="str">
        <f>"18:26:01.555"</f>
        <v>18:26:01.555</v>
      </c>
      <c r="C1548" t="str">
        <f>"18:26:01.455"</f>
        <v>18:26:01.455</v>
      </c>
      <c r="D1548" t="s">
        <v>625</v>
      </c>
      <c r="E1548">
        <v>30.569178999999998</v>
      </c>
      <c r="F1548" t="s">
        <v>622</v>
      </c>
      <c r="G1548">
        <v>-89.847178</v>
      </c>
      <c r="H1548">
        <v>1600</v>
      </c>
      <c r="I1548">
        <v>-1</v>
      </c>
      <c r="J1548">
        <v>-151</v>
      </c>
      <c r="K1548">
        <v>0</v>
      </c>
      <c r="L1548">
        <v>1200</v>
      </c>
      <c r="M1548" t="str">
        <f t="shared" si="80"/>
        <v xml:space="preserve">N35DC   </v>
      </c>
      <c r="N1548">
        <v>1</v>
      </c>
      <c r="O1548">
        <v>1675</v>
      </c>
    </row>
    <row r="1549" spans="1:15" x14ac:dyDescent="0.25">
      <c r="A1549" t="str">
        <f>"10/21/2020 18:25:53.606"</f>
        <v>10/21/2020 18:25:53.606</v>
      </c>
      <c r="B1549" t="str">
        <f>"18:26:01.555"</f>
        <v>18:26:01.555</v>
      </c>
      <c r="C1549" t="str">
        <f>"18:26:01.455"</f>
        <v>18:26:01.455</v>
      </c>
      <c r="D1549" t="s">
        <v>625</v>
      </c>
      <c r="E1549">
        <v>30.569178999999998</v>
      </c>
      <c r="F1549" t="s">
        <v>622</v>
      </c>
      <c r="G1549">
        <v>-89.847178</v>
      </c>
      <c r="H1549">
        <v>1600</v>
      </c>
      <c r="I1549">
        <v>-1</v>
      </c>
      <c r="J1549">
        <v>-151</v>
      </c>
      <c r="K1549">
        <v>0</v>
      </c>
      <c r="L1549">
        <v>1200</v>
      </c>
      <c r="M1549" t="str">
        <f t="shared" si="80"/>
        <v xml:space="preserve">N35DC   </v>
      </c>
      <c r="N1549">
        <v>1</v>
      </c>
      <c r="O1549">
        <v>1675</v>
      </c>
    </row>
    <row r="1550" spans="1:15" x14ac:dyDescent="0.25">
      <c r="A1550" t="str">
        <f>"10/21/2020 18:25:53.606"</f>
        <v>10/21/2020 18:25:53.606</v>
      </c>
      <c r="B1550" t="str">
        <f>"18:26:01.555"</f>
        <v>18:26:01.555</v>
      </c>
      <c r="C1550" t="str">
        <f>"18:26:01.455"</f>
        <v>18:26:01.455</v>
      </c>
      <c r="D1550" t="s">
        <v>625</v>
      </c>
      <c r="E1550">
        <v>30.569178999999998</v>
      </c>
      <c r="F1550" t="s">
        <v>622</v>
      </c>
      <c r="G1550">
        <v>-89.847178</v>
      </c>
      <c r="H1550">
        <v>1600</v>
      </c>
      <c r="I1550">
        <v>-1</v>
      </c>
      <c r="J1550">
        <v>-151</v>
      </c>
      <c r="K1550">
        <v>0</v>
      </c>
      <c r="L1550">
        <v>1200</v>
      </c>
      <c r="M1550" t="str">
        <f t="shared" si="80"/>
        <v xml:space="preserve">N35DC   </v>
      </c>
      <c r="N1550">
        <v>1</v>
      </c>
      <c r="O1550">
        <v>1675</v>
      </c>
    </row>
    <row r="1551" spans="1:15" x14ac:dyDescent="0.25">
      <c r="A1551" t="str">
        <f>"10/21/2020 18:25:53.606"</f>
        <v>10/21/2020 18:25:53.606</v>
      </c>
      <c r="B1551" t="str">
        <f>"18:26:01.555"</f>
        <v>18:26:01.555</v>
      </c>
      <c r="C1551" t="str">
        <f>"18:26:01.455"</f>
        <v>18:26:01.455</v>
      </c>
      <c r="D1551" t="s">
        <v>625</v>
      </c>
      <c r="E1551">
        <v>30.569178999999998</v>
      </c>
      <c r="F1551" t="s">
        <v>622</v>
      </c>
      <c r="G1551">
        <v>-89.847178</v>
      </c>
      <c r="H1551">
        <v>1600</v>
      </c>
      <c r="I1551">
        <v>-1</v>
      </c>
      <c r="J1551">
        <v>-151</v>
      </c>
      <c r="K1551">
        <v>0</v>
      </c>
      <c r="L1551">
        <v>1200</v>
      </c>
      <c r="M1551" t="str">
        <f t="shared" si="80"/>
        <v xml:space="preserve">N35DC   </v>
      </c>
      <c r="N1551">
        <v>1</v>
      </c>
      <c r="O1551">
        <v>1675</v>
      </c>
    </row>
    <row r="1552" spans="1:15" x14ac:dyDescent="0.25">
      <c r="A1552" t="str">
        <f>"10/21/2020 18:25:57.459"</f>
        <v>10/21/2020 18:25:57.459</v>
      </c>
      <c r="B1552" t="str">
        <f>"18:26:05.383"</f>
        <v>18:26:05.383</v>
      </c>
      <c r="C1552" t="str">
        <f>"18:26:05.083"</f>
        <v>18:26:05.083</v>
      </c>
      <c r="D1552" t="s">
        <v>626</v>
      </c>
      <c r="E1552">
        <v>30.566475000000001</v>
      </c>
      <c r="F1552" t="s">
        <v>622</v>
      </c>
      <c r="G1552">
        <v>-89.847178</v>
      </c>
      <c r="H1552">
        <v>1600</v>
      </c>
      <c r="I1552">
        <v>-2</v>
      </c>
      <c r="J1552">
        <v>-151</v>
      </c>
      <c r="K1552">
        <v>64</v>
      </c>
      <c r="L1552">
        <v>1200</v>
      </c>
      <c r="M1552" t="str">
        <f t="shared" si="80"/>
        <v xml:space="preserve">N35DC   </v>
      </c>
      <c r="N1552">
        <v>1</v>
      </c>
      <c r="O1552">
        <v>1700</v>
      </c>
    </row>
    <row r="1553" spans="1:15" x14ac:dyDescent="0.25">
      <c r="A1553" t="str">
        <f>"10/21/2020 18:25:57.459"</f>
        <v>10/21/2020 18:25:57.459</v>
      </c>
      <c r="B1553" t="str">
        <f>"18:26:05.383"</f>
        <v>18:26:05.383</v>
      </c>
      <c r="C1553" t="str">
        <f>"18:26:05.083"</f>
        <v>18:26:05.083</v>
      </c>
      <c r="D1553" t="s">
        <v>626</v>
      </c>
      <c r="E1553">
        <v>30.566475000000001</v>
      </c>
      <c r="F1553" t="s">
        <v>622</v>
      </c>
      <c r="G1553">
        <v>-89.847178</v>
      </c>
      <c r="H1553">
        <v>1600</v>
      </c>
      <c r="I1553">
        <v>-2</v>
      </c>
      <c r="J1553">
        <v>-151</v>
      </c>
      <c r="K1553">
        <v>64</v>
      </c>
      <c r="L1553">
        <v>1200</v>
      </c>
      <c r="M1553" t="str">
        <f t="shared" si="80"/>
        <v xml:space="preserve">N35DC   </v>
      </c>
      <c r="N1553">
        <v>1</v>
      </c>
      <c r="O1553">
        <v>1700</v>
      </c>
    </row>
    <row r="1554" spans="1:15" x14ac:dyDescent="0.25">
      <c r="A1554" t="str">
        <f>"10/21/2020 18:25:57.459"</f>
        <v>10/21/2020 18:25:57.459</v>
      </c>
      <c r="B1554" t="str">
        <f>"18:26:05.383"</f>
        <v>18:26:05.383</v>
      </c>
      <c r="C1554" t="str">
        <f>"18:26:05.083"</f>
        <v>18:26:05.083</v>
      </c>
      <c r="D1554" t="s">
        <v>626</v>
      </c>
      <c r="E1554">
        <v>30.566475000000001</v>
      </c>
      <c r="F1554" t="s">
        <v>622</v>
      </c>
      <c r="G1554">
        <v>-89.847178</v>
      </c>
      <c r="H1554">
        <v>1600</v>
      </c>
      <c r="I1554">
        <v>-2</v>
      </c>
      <c r="J1554">
        <v>-151</v>
      </c>
      <c r="K1554">
        <v>64</v>
      </c>
      <c r="L1554">
        <v>1200</v>
      </c>
      <c r="M1554" t="str">
        <f t="shared" si="80"/>
        <v xml:space="preserve">N35DC   </v>
      </c>
      <c r="N1554">
        <v>1</v>
      </c>
      <c r="O1554">
        <v>1700</v>
      </c>
    </row>
    <row r="1555" spans="1:15" x14ac:dyDescent="0.25">
      <c r="A1555" t="str">
        <f>"10/21/2020 18:25:57.459"</f>
        <v>10/21/2020 18:25:57.459</v>
      </c>
      <c r="B1555" t="str">
        <f>"18:26:05.383"</f>
        <v>18:26:05.383</v>
      </c>
      <c r="C1555" t="str">
        <f>"18:26:05.083"</f>
        <v>18:26:05.083</v>
      </c>
      <c r="D1555" t="s">
        <v>626</v>
      </c>
      <c r="E1555">
        <v>30.566475000000001</v>
      </c>
      <c r="F1555" t="s">
        <v>622</v>
      </c>
      <c r="G1555">
        <v>-89.847178</v>
      </c>
      <c r="H1555">
        <v>1600</v>
      </c>
      <c r="I1555">
        <v>-2</v>
      </c>
      <c r="J1555">
        <v>-151</v>
      </c>
      <c r="K1555">
        <v>64</v>
      </c>
      <c r="L1555">
        <v>1200</v>
      </c>
      <c r="M1555" t="str">
        <f t="shared" si="80"/>
        <v xml:space="preserve">N35DC   </v>
      </c>
      <c r="N1555">
        <v>1</v>
      </c>
      <c r="O1555">
        <v>1700</v>
      </c>
    </row>
    <row r="1556" spans="1:15" x14ac:dyDescent="0.25">
      <c r="A1556" t="str">
        <f>"10/21/2020 18:25:57.459"</f>
        <v>10/21/2020 18:25:57.459</v>
      </c>
      <c r="B1556" t="str">
        <f>"18:26:05.383"</f>
        <v>18:26:05.383</v>
      </c>
      <c r="C1556" t="str">
        <f>"18:26:05.083"</f>
        <v>18:26:05.083</v>
      </c>
      <c r="D1556" t="s">
        <v>626</v>
      </c>
      <c r="E1556">
        <v>30.566475000000001</v>
      </c>
      <c r="F1556" t="s">
        <v>622</v>
      </c>
      <c r="G1556">
        <v>-89.847178</v>
      </c>
      <c r="H1556">
        <v>1600</v>
      </c>
      <c r="I1556">
        <v>-2</v>
      </c>
      <c r="J1556">
        <v>-151</v>
      </c>
      <c r="K1556">
        <v>64</v>
      </c>
      <c r="L1556">
        <v>1200</v>
      </c>
      <c r="M1556" t="str">
        <f t="shared" si="80"/>
        <v xml:space="preserve">N35DC   </v>
      </c>
      <c r="N1556">
        <v>1</v>
      </c>
      <c r="O1556">
        <v>1700</v>
      </c>
    </row>
    <row r="1557" spans="1:15" x14ac:dyDescent="0.25">
      <c r="A1557" t="str">
        <f>"10/21/2020 18:26:00.457"</f>
        <v>10/21/2020 18:26:00.457</v>
      </c>
      <c r="B1557" t="str">
        <f>"18:26:08.367"</f>
        <v>18:26:08.367</v>
      </c>
      <c r="C1557" t="str">
        <f>"18:26:08.067"</f>
        <v>18:26:08.067</v>
      </c>
      <c r="D1557" t="s">
        <v>627</v>
      </c>
      <c r="E1557">
        <v>30.564437000000002</v>
      </c>
      <c r="F1557" t="s">
        <v>628</v>
      </c>
      <c r="G1557">
        <v>-89.847243000000006</v>
      </c>
      <c r="H1557">
        <v>1600</v>
      </c>
      <c r="I1557">
        <v>-3</v>
      </c>
      <c r="J1557">
        <v>-150</v>
      </c>
      <c r="K1557">
        <v>128</v>
      </c>
      <c r="L1557">
        <v>1200</v>
      </c>
      <c r="M1557" t="str">
        <f t="shared" si="80"/>
        <v xml:space="preserve">N35DC   </v>
      </c>
      <c r="N1557">
        <v>1</v>
      </c>
      <c r="O1557">
        <v>1700</v>
      </c>
    </row>
    <row r="1558" spans="1:15" x14ac:dyDescent="0.25">
      <c r="A1558" t="str">
        <f>"10/21/2020 18:26:00.457"</f>
        <v>10/21/2020 18:26:00.457</v>
      </c>
      <c r="B1558" t="str">
        <f>"18:26:08.367"</f>
        <v>18:26:08.367</v>
      </c>
      <c r="C1558" t="str">
        <f>"18:26:08.067"</f>
        <v>18:26:08.067</v>
      </c>
      <c r="D1558" t="s">
        <v>627</v>
      </c>
      <c r="E1558">
        <v>30.564437000000002</v>
      </c>
      <c r="F1558" t="s">
        <v>628</v>
      </c>
      <c r="G1558">
        <v>-89.847243000000006</v>
      </c>
      <c r="H1558">
        <v>1600</v>
      </c>
      <c r="I1558">
        <v>-3</v>
      </c>
      <c r="J1558">
        <v>-150</v>
      </c>
      <c r="K1558">
        <v>128</v>
      </c>
      <c r="L1558">
        <v>1200</v>
      </c>
      <c r="M1558" t="str">
        <f t="shared" si="80"/>
        <v xml:space="preserve">N35DC   </v>
      </c>
      <c r="N1558">
        <v>1</v>
      </c>
      <c r="O1558">
        <v>1700</v>
      </c>
    </row>
    <row r="1559" spans="1:15" x14ac:dyDescent="0.25">
      <c r="A1559" t="str">
        <f>"10/21/2020 18:26:00.457"</f>
        <v>10/21/2020 18:26:00.457</v>
      </c>
      <c r="B1559" t="str">
        <f>"18:26:08.367"</f>
        <v>18:26:08.367</v>
      </c>
      <c r="C1559" t="str">
        <f>"18:26:08.067"</f>
        <v>18:26:08.067</v>
      </c>
      <c r="D1559" t="s">
        <v>627</v>
      </c>
      <c r="E1559">
        <v>30.564437000000002</v>
      </c>
      <c r="F1559" t="s">
        <v>628</v>
      </c>
      <c r="G1559">
        <v>-89.847243000000006</v>
      </c>
      <c r="H1559">
        <v>1600</v>
      </c>
      <c r="I1559">
        <v>-3</v>
      </c>
      <c r="J1559">
        <v>-150</v>
      </c>
      <c r="K1559">
        <v>128</v>
      </c>
      <c r="L1559">
        <v>1200</v>
      </c>
      <c r="M1559" t="str">
        <f t="shared" si="80"/>
        <v xml:space="preserve">N35DC   </v>
      </c>
      <c r="N1559">
        <v>1</v>
      </c>
      <c r="O1559">
        <v>1700</v>
      </c>
    </row>
    <row r="1560" spans="1:15" x14ac:dyDescent="0.25">
      <c r="A1560" t="str">
        <f>"10/21/2020 18:26:00.457"</f>
        <v>10/21/2020 18:26:00.457</v>
      </c>
      <c r="B1560" t="str">
        <f>"18:26:08.367"</f>
        <v>18:26:08.367</v>
      </c>
      <c r="C1560" t="str">
        <f>"18:26:08.067"</f>
        <v>18:26:08.067</v>
      </c>
      <c r="D1560" t="s">
        <v>627</v>
      </c>
      <c r="E1560">
        <v>30.564437000000002</v>
      </c>
      <c r="F1560" t="s">
        <v>628</v>
      </c>
      <c r="G1560">
        <v>-89.847243000000006</v>
      </c>
      <c r="H1560">
        <v>1600</v>
      </c>
      <c r="I1560">
        <v>-3</v>
      </c>
      <c r="J1560">
        <v>-150</v>
      </c>
      <c r="K1560">
        <v>128</v>
      </c>
      <c r="L1560">
        <v>1200</v>
      </c>
      <c r="M1560" t="str">
        <f t="shared" si="80"/>
        <v xml:space="preserve">N35DC   </v>
      </c>
      <c r="N1560">
        <v>1</v>
      </c>
      <c r="O1560">
        <v>1700</v>
      </c>
    </row>
    <row r="1561" spans="1:15" x14ac:dyDescent="0.25">
      <c r="A1561" t="str">
        <f>"10/21/2020 18:26:00.457"</f>
        <v>10/21/2020 18:26:00.457</v>
      </c>
      <c r="B1561" t="str">
        <f>"18:26:08.367"</f>
        <v>18:26:08.367</v>
      </c>
      <c r="C1561" t="str">
        <f>"18:26:08.067"</f>
        <v>18:26:08.067</v>
      </c>
      <c r="D1561" t="s">
        <v>627</v>
      </c>
      <c r="E1561">
        <v>30.564437000000002</v>
      </c>
      <c r="F1561" t="s">
        <v>628</v>
      </c>
      <c r="G1561">
        <v>-89.847243000000006</v>
      </c>
      <c r="H1561">
        <v>1600</v>
      </c>
      <c r="I1561">
        <v>-3</v>
      </c>
      <c r="J1561">
        <v>-150</v>
      </c>
      <c r="K1561">
        <v>128</v>
      </c>
      <c r="L1561">
        <v>1200</v>
      </c>
      <c r="M1561" t="str">
        <f t="shared" si="80"/>
        <v xml:space="preserve">N35DC   </v>
      </c>
      <c r="N1561">
        <v>1</v>
      </c>
      <c r="O1561">
        <v>1700</v>
      </c>
    </row>
    <row r="1562" spans="1:15" x14ac:dyDescent="0.25">
      <c r="A1562" t="str">
        <f>"10/21/2020 18:26:01.504"</f>
        <v>10/21/2020 18:26:01.504</v>
      </c>
      <c r="B1562" t="str">
        <f>"18:26:09.445"</f>
        <v>18:26:09.445</v>
      </c>
      <c r="C1562" t="str">
        <f>"18:26:09.045"</f>
        <v>18:26:09.045</v>
      </c>
      <c r="D1562" t="s">
        <v>629</v>
      </c>
      <c r="E1562">
        <v>30.563642999999999</v>
      </c>
      <c r="F1562" t="s">
        <v>628</v>
      </c>
      <c r="G1562">
        <v>-89.847243000000006</v>
      </c>
      <c r="H1562">
        <v>1600</v>
      </c>
      <c r="I1562">
        <v>-3</v>
      </c>
      <c r="J1562">
        <v>-150</v>
      </c>
      <c r="K1562">
        <v>128</v>
      </c>
      <c r="L1562">
        <v>1200</v>
      </c>
      <c r="M1562" t="str">
        <f t="shared" si="80"/>
        <v xml:space="preserve">N35DC   </v>
      </c>
      <c r="N1562">
        <v>1</v>
      </c>
      <c r="O1562">
        <v>1700</v>
      </c>
    </row>
    <row r="1563" spans="1:15" x14ac:dyDescent="0.25">
      <c r="A1563" t="str">
        <f>"10/21/2020 18:26:01.504"</f>
        <v>10/21/2020 18:26:01.504</v>
      </c>
      <c r="B1563" t="str">
        <f>"18:26:09.445"</f>
        <v>18:26:09.445</v>
      </c>
      <c r="C1563" t="str">
        <f>"18:26:09.045"</f>
        <v>18:26:09.045</v>
      </c>
      <c r="D1563" t="s">
        <v>629</v>
      </c>
      <c r="E1563">
        <v>30.563642999999999</v>
      </c>
      <c r="F1563" t="s">
        <v>628</v>
      </c>
      <c r="G1563">
        <v>-89.847243000000006</v>
      </c>
      <c r="H1563">
        <v>1600</v>
      </c>
      <c r="I1563">
        <v>-3</v>
      </c>
      <c r="J1563">
        <v>-150</v>
      </c>
      <c r="K1563">
        <v>128</v>
      </c>
      <c r="L1563">
        <v>1200</v>
      </c>
      <c r="M1563" t="str">
        <f t="shared" si="80"/>
        <v xml:space="preserve">N35DC   </v>
      </c>
      <c r="N1563">
        <v>1</v>
      </c>
      <c r="O1563">
        <v>1700</v>
      </c>
    </row>
    <row r="1564" spans="1:15" x14ac:dyDescent="0.25">
      <c r="A1564" t="str">
        <f>"10/21/2020 18:26:01.504"</f>
        <v>10/21/2020 18:26:01.504</v>
      </c>
      <c r="B1564" t="str">
        <f>"18:26:09.445"</f>
        <v>18:26:09.445</v>
      </c>
      <c r="C1564" t="str">
        <f>"18:26:09.045"</f>
        <v>18:26:09.045</v>
      </c>
      <c r="D1564" t="s">
        <v>629</v>
      </c>
      <c r="E1564">
        <v>30.563642999999999</v>
      </c>
      <c r="F1564" t="s">
        <v>628</v>
      </c>
      <c r="G1564">
        <v>-89.847243000000006</v>
      </c>
      <c r="H1564">
        <v>1600</v>
      </c>
      <c r="I1564">
        <v>-3</v>
      </c>
      <c r="J1564">
        <v>-150</v>
      </c>
      <c r="K1564">
        <v>128</v>
      </c>
      <c r="L1564">
        <v>1200</v>
      </c>
      <c r="M1564" t="str">
        <f t="shared" si="80"/>
        <v xml:space="preserve">N35DC   </v>
      </c>
      <c r="N1564">
        <v>1</v>
      </c>
      <c r="O1564">
        <v>1700</v>
      </c>
    </row>
    <row r="1565" spans="1:15" x14ac:dyDescent="0.25">
      <c r="A1565" t="str">
        <f>"10/21/2020 18:26:01.504"</f>
        <v>10/21/2020 18:26:01.504</v>
      </c>
      <c r="B1565" t="str">
        <f>"18:26:09.445"</f>
        <v>18:26:09.445</v>
      </c>
      <c r="C1565" t="str">
        <f>"18:26:09.045"</f>
        <v>18:26:09.045</v>
      </c>
      <c r="D1565" t="s">
        <v>629</v>
      </c>
      <c r="E1565">
        <v>30.563642999999999</v>
      </c>
      <c r="F1565" t="s">
        <v>628</v>
      </c>
      <c r="G1565">
        <v>-89.847243000000006</v>
      </c>
      <c r="H1565">
        <v>1600</v>
      </c>
      <c r="I1565">
        <v>-3</v>
      </c>
      <c r="J1565">
        <v>-150</v>
      </c>
      <c r="K1565">
        <v>128</v>
      </c>
      <c r="L1565">
        <v>1200</v>
      </c>
      <c r="M1565" t="str">
        <f t="shared" si="80"/>
        <v xml:space="preserve">N35DC   </v>
      </c>
      <c r="N1565">
        <v>1</v>
      </c>
      <c r="O1565">
        <v>1700</v>
      </c>
    </row>
    <row r="1566" spans="1:15" x14ac:dyDescent="0.25">
      <c r="A1566" t="str">
        <f>"10/21/2020 18:26:01.504"</f>
        <v>10/21/2020 18:26:01.504</v>
      </c>
      <c r="B1566" t="str">
        <f>"18:26:09.445"</f>
        <v>18:26:09.445</v>
      </c>
      <c r="C1566" t="str">
        <f>"18:26:09.045"</f>
        <v>18:26:09.045</v>
      </c>
      <c r="D1566" t="s">
        <v>629</v>
      </c>
      <c r="E1566">
        <v>30.563642999999999</v>
      </c>
      <c r="F1566" t="s">
        <v>628</v>
      </c>
      <c r="G1566">
        <v>-89.847243000000006</v>
      </c>
      <c r="H1566">
        <v>1600</v>
      </c>
      <c r="I1566">
        <v>-3</v>
      </c>
      <c r="J1566">
        <v>-150</v>
      </c>
      <c r="K1566">
        <v>128</v>
      </c>
      <c r="L1566">
        <v>1200</v>
      </c>
      <c r="M1566" t="str">
        <f t="shared" si="80"/>
        <v xml:space="preserve">N35DC   </v>
      </c>
      <c r="N1566">
        <v>1</v>
      </c>
      <c r="O1566">
        <v>1700</v>
      </c>
    </row>
    <row r="1567" spans="1:15" x14ac:dyDescent="0.25">
      <c r="A1567" t="str">
        <f>"10/21/2020 18:26:04.248"</f>
        <v>10/21/2020 18:26:04.248</v>
      </c>
      <c r="B1567" t="str">
        <f>"18:26:12.187"</f>
        <v>18:26:12.187</v>
      </c>
      <c r="C1567" t="str">
        <f>"18:26:12.087"</f>
        <v>18:26:12.087</v>
      </c>
      <c r="D1567" t="s">
        <v>630</v>
      </c>
      <c r="E1567">
        <v>30.561733</v>
      </c>
      <c r="F1567" t="s">
        <v>631</v>
      </c>
      <c r="G1567">
        <v>-89.847285999999997</v>
      </c>
      <c r="H1567">
        <v>1600</v>
      </c>
      <c r="I1567">
        <v>-3</v>
      </c>
      <c r="J1567">
        <v>-150</v>
      </c>
      <c r="K1567">
        <v>0</v>
      </c>
      <c r="L1567">
        <v>1200</v>
      </c>
      <c r="M1567" t="str">
        <f t="shared" si="80"/>
        <v xml:space="preserve">N35DC   </v>
      </c>
      <c r="N1567">
        <v>1</v>
      </c>
      <c r="O1567">
        <v>1700</v>
      </c>
    </row>
    <row r="1568" spans="1:15" x14ac:dyDescent="0.25">
      <c r="A1568" t="str">
        <f>"10/21/2020 18:26:04.248"</f>
        <v>10/21/2020 18:26:04.248</v>
      </c>
      <c r="B1568" t="str">
        <f>"18:26:12.187"</f>
        <v>18:26:12.187</v>
      </c>
      <c r="C1568" t="str">
        <f>"18:26:12.087"</f>
        <v>18:26:12.087</v>
      </c>
      <c r="D1568" t="s">
        <v>630</v>
      </c>
      <c r="E1568">
        <v>30.561733</v>
      </c>
      <c r="F1568" t="s">
        <v>631</v>
      </c>
      <c r="G1568">
        <v>-89.847285999999997</v>
      </c>
      <c r="H1568">
        <v>1600</v>
      </c>
      <c r="I1568">
        <v>-3</v>
      </c>
      <c r="J1568">
        <v>-150</v>
      </c>
      <c r="K1568">
        <v>0</v>
      </c>
      <c r="L1568">
        <v>1200</v>
      </c>
      <c r="M1568" t="str">
        <f t="shared" si="80"/>
        <v xml:space="preserve">N35DC   </v>
      </c>
      <c r="N1568">
        <v>1</v>
      </c>
      <c r="O1568">
        <v>1700</v>
      </c>
    </row>
    <row r="1569" spans="1:15" x14ac:dyDescent="0.25">
      <c r="A1569" t="str">
        <f>"10/21/2020 18:26:04.248"</f>
        <v>10/21/2020 18:26:04.248</v>
      </c>
      <c r="B1569" t="str">
        <f>"18:26:12.187"</f>
        <v>18:26:12.187</v>
      </c>
      <c r="C1569" t="str">
        <f>"18:26:12.087"</f>
        <v>18:26:12.087</v>
      </c>
      <c r="D1569" t="s">
        <v>630</v>
      </c>
      <c r="E1569">
        <v>30.561733</v>
      </c>
      <c r="F1569" t="s">
        <v>631</v>
      </c>
      <c r="G1569">
        <v>-89.847285999999997</v>
      </c>
      <c r="H1569">
        <v>1600</v>
      </c>
      <c r="I1569">
        <v>-3</v>
      </c>
      <c r="J1569">
        <v>-150</v>
      </c>
      <c r="K1569">
        <v>0</v>
      </c>
      <c r="L1569">
        <v>1200</v>
      </c>
      <c r="M1569" t="str">
        <f t="shared" si="80"/>
        <v xml:space="preserve">N35DC   </v>
      </c>
      <c r="N1569">
        <v>1</v>
      </c>
      <c r="O1569">
        <v>1700</v>
      </c>
    </row>
    <row r="1570" spans="1:15" x14ac:dyDescent="0.25">
      <c r="A1570" t="str">
        <f>"10/21/2020 18:26:04.248"</f>
        <v>10/21/2020 18:26:04.248</v>
      </c>
      <c r="B1570" t="str">
        <f>"18:26:12.187"</f>
        <v>18:26:12.187</v>
      </c>
      <c r="C1570" t="str">
        <f>"18:26:12.087"</f>
        <v>18:26:12.087</v>
      </c>
      <c r="D1570" t="s">
        <v>630</v>
      </c>
      <c r="E1570">
        <v>30.561733</v>
      </c>
      <c r="F1570" t="s">
        <v>631</v>
      </c>
      <c r="G1570">
        <v>-89.847285999999997</v>
      </c>
      <c r="H1570">
        <v>1600</v>
      </c>
      <c r="I1570">
        <v>-3</v>
      </c>
      <c r="J1570">
        <v>-150</v>
      </c>
      <c r="K1570">
        <v>0</v>
      </c>
      <c r="L1570">
        <v>1200</v>
      </c>
      <c r="M1570" t="str">
        <f t="shared" si="80"/>
        <v xml:space="preserve">N35DC   </v>
      </c>
      <c r="N1570">
        <v>1</v>
      </c>
      <c r="O1570">
        <v>1700</v>
      </c>
    </row>
    <row r="1571" spans="1:15" x14ac:dyDescent="0.25">
      <c r="A1571" t="str">
        <f>"10/21/2020 18:26:04.248"</f>
        <v>10/21/2020 18:26:04.248</v>
      </c>
      <c r="B1571" t="str">
        <f>"18:26:12.187"</f>
        <v>18:26:12.187</v>
      </c>
      <c r="C1571" t="str">
        <f>"18:26:12.087"</f>
        <v>18:26:12.087</v>
      </c>
      <c r="D1571" t="s">
        <v>630</v>
      </c>
      <c r="E1571">
        <v>30.561733</v>
      </c>
      <c r="F1571" t="s">
        <v>631</v>
      </c>
      <c r="G1571">
        <v>-89.847285999999997</v>
      </c>
      <c r="H1571">
        <v>1600</v>
      </c>
      <c r="I1571">
        <v>-3</v>
      </c>
      <c r="J1571">
        <v>-150</v>
      </c>
      <c r="K1571">
        <v>0</v>
      </c>
      <c r="L1571">
        <v>1200</v>
      </c>
      <c r="M1571" t="str">
        <f t="shared" si="80"/>
        <v xml:space="preserve">N35DC   </v>
      </c>
      <c r="N1571">
        <v>1</v>
      </c>
      <c r="O1571">
        <v>1700</v>
      </c>
    </row>
    <row r="1572" spans="1:15" x14ac:dyDescent="0.25">
      <c r="A1572" t="str">
        <f>"10/21/2020 18:26:05.414"</f>
        <v>10/21/2020 18:26:05.414</v>
      </c>
      <c r="B1572" t="str">
        <f>"18:26:13.344"</f>
        <v>18:26:13.344</v>
      </c>
      <c r="C1572" t="str">
        <f>"18:26:13.144"</f>
        <v>18:26:13.144</v>
      </c>
      <c r="D1572" t="s">
        <v>395</v>
      </c>
      <c r="E1572">
        <v>30.560939000000001</v>
      </c>
      <c r="F1572" t="s">
        <v>632</v>
      </c>
      <c r="G1572">
        <v>-89.847329000000002</v>
      </c>
      <c r="H1572">
        <v>1600</v>
      </c>
      <c r="I1572">
        <v>-3</v>
      </c>
      <c r="J1572">
        <v>-150</v>
      </c>
      <c r="K1572">
        <v>0</v>
      </c>
      <c r="L1572">
        <v>1200</v>
      </c>
      <c r="M1572" t="str">
        <f t="shared" si="80"/>
        <v xml:space="preserve">N35DC   </v>
      </c>
      <c r="N1572">
        <v>1</v>
      </c>
      <c r="O1572">
        <v>1700</v>
      </c>
    </row>
    <row r="1573" spans="1:15" x14ac:dyDescent="0.25">
      <c r="A1573" t="str">
        <f>"10/21/2020 18:26:05.414"</f>
        <v>10/21/2020 18:26:05.414</v>
      </c>
      <c r="B1573" t="str">
        <f>"18:26:13.344"</f>
        <v>18:26:13.344</v>
      </c>
      <c r="C1573" t="str">
        <f>"18:26:13.144"</f>
        <v>18:26:13.144</v>
      </c>
      <c r="D1573" t="s">
        <v>395</v>
      </c>
      <c r="E1573">
        <v>30.560939000000001</v>
      </c>
      <c r="F1573" t="s">
        <v>632</v>
      </c>
      <c r="G1573">
        <v>-89.847329000000002</v>
      </c>
      <c r="H1573">
        <v>1600</v>
      </c>
      <c r="I1573">
        <v>-3</v>
      </c>
      <c r="J1573">
        <v>-150</v>
      </c>
      <c r="K1573">
        <v>0</v>
      </c>
      <c r="L1573">
        <v>1200</v>
      </c>
      <c r="M1573" t="str">
        <f t="shared" si="80"/>
        <v xml:space="preserve">N35DC   </v>
      </c>
      <c r="N1573">
        <v>1</v>
      </c>
      <c r="O1573">
        <v>1700</v>
      </c>
    </row>
    <row r="1574" spans="1:15" x14ac:dyDescent="0.25">
      <c r="A1574" t="str">
        <f>"10/21/2020 18:26:05.414"</f>
        <v>10/21/2020 18:26:05.414</v>
      </c>
      <c r="B1574" t="str">
        <f>"18:26:13.344"</f>
        <v>18:26:13.344</v>
      </c>
      <c r="C1574" t="str">
        <f>"18:26:13.144"</f>
        <v>18:26:13.144</v>
      </c>
      <c r="D1574" t="s">
        <v>395</v>
      </c>
      <c r="E1574">
        <v>30.560939000000001</v>
      </c>
      <c r="F1574" t="s">
        <v>632</v>
      </c>
      <c r="G1574">
        <v>-89.847329000000002</v>
      </c>
      <c r="H1574">
        <v>1600</v>
      </c>
      <c r="I1574">
        <v>-3</v>
      </c>
      <c r="J1574">
        <v>-150</v>
      </c>
      <c r="K1574">
        <v>0</v>
      </c>
      <c r="L1574">
        <v>1200</v>
      </c>
      <c r="M1574" t="str">
        <f t="shared" si="80"/>
        <v xml:space="preserve">N35DC   </v>
      </c>
      <c r="N1574">
        <v>1</v>
      </c>
      <c r="O1574">
        <v>1700</v>
      </c>
    </row>
    <row r="1575" spans="1:15" x14ac:dyDescent="0.25">
      <c r="A1575" t="str">
        <f>"10/21/2020 18:26:05.414"</f>
        <v>10/21/2020 18:26:05.414</v>
      </c>
      <c r="B1575" t="str">
        <f>"18:26:13.344"</f>
        <v>18:26:13.344</v>
      </c>
      <c r="C1575" t="str">
        <f>"18:26:13.144"</f>
        <v>18:26:13.144</v>
      </c>
      <c r="D1575" t="s">
        <v>395</v>
      </c>
      <c r="E1575">
        <v>30.560939000000001</v>
      </c>
      <c r="F1575" t="s">
        <v>632</v>
      </c>
      <c r="G1575">
        <v>-89.847329000000002</v>
      </c>
      <c r="H1575">
        <v>1600</v>
      </c>
      <c r="I1575">
        <v>-3</v>
      </c>
      <c r="J1575">
        <v>-150</v>
      </c>
      <c r="K1575">
        <v>0</v>
      </c>
      <c r="L1575">
        <v>1200</v>
      </c>
      <c r="M1575" t="str">
        <f t="shared" si="80"/>
        <v xml:space="preserve">N35DC   </v>
      </c>
      <c r="N1575">
        <v>1</v>
      </c>
      <c r="O1575">
        <v>1700</v>
      </c>
    </row>
    <row r="1576" spans="1:15" x14ac:dyDescent="0.25">
      <c r="A1576" t="str">
        <f>"10/21/2020 18:26:05.414"</f>
        <v>10/21/2020 18:26:05.414</v>
      </c>
      <c r="B1576" t="str">
        <f>"18:26:13.344"</f>
        <v>18:26:13.344</v>
      </c>
      <c r="C1576" t="str">
        <f>"18:26:13.144"</f>
        <v>18:26:13.144</v>
      </c>
      <c r="D1576" t="s">
        <v>395</v>
      </c>
      <c r="E1576">
        <v>30.560939000000001</v>
      </c>
      <c r="F1576" t="s">
        <v>632</v>
      </c>
      <c r="G1576">
        <v>-89.847329000000002</v>
      </c>
      <c r="H1576">
        <v>1600</v>
      </c>
      <c r="I1576">
        <v>-3</v>
      </c>
      <c r="J1576">
        <v>-150</v>
      </c>
      <c r="K1576">
        <v>0</v>
      </c>
      <c r="L1576">
        <v>1200</v>
      </c>
      <c r="M1576" t="str">
        <f t="shared" si="80"/>
        <v xml:space="preserve">N35DC   </v>
      </c>
      <c r="N1576">
        <v>1</v>
      </c>
      <c r="O1576">
        <v>1700</v>
      </c>
    </row>
    <row r="1577" spans="1:15" x14ac:dyDescent="0.25">
      <c r="A1577" t="str">
        <f>"10/21/2020 18:26:08.547"</f>
        <v>10/21/2020 18:26:08.547</v>
      </c>
      <c r="B1577" t="str">
        <f>"18:26:16.477"</f>
        <v>18:26:16.477</v>
      </c>
      <c r="C1577" t="str">
        <f>"18:26:16.277"</f>
        <v>18:26:16.277</v>
      </c>
      <c r="D1577" t="s">
        <v>633</v>
      </c>
      <c r="E1577">
        <v>30.558793999999999</v>
      </c>
      <c r="F1577" t="s">
        <v>634</v>
      </c>
      <c r="G1577">
        <v>-89.847371999999993</v>
      </c>
      <c r="H1577">
        <v>1600</v>
      </c>
      <c r="I1577">
        <v>-4</v>
      </c>
      <c r="J1577">
        <v>-150</v>
      </c>
      <c r="K1577">
        <v>0</v>
      </c>
      <c r="L1577">
        <v>1200</v>
      </c>
      <c r="M1577" t="str">
        <f t="shared" si="80"/>
        <v xml:space="preserve">N35DC   </v>
      </c>
      <c r="N1577">
        <v>1</v>
      </c>
      <c r="O1577">
        <v>1700</v>
      </c>
    </row>
    <row r="1578" spans="1:15" x14ac:dyDescent="0.25">
      <c r="A1578" t="str">
        <f>"10/21/2020 18:26:08.547"</f>
        <v>10/21/2020 18:26:08.547</v>
      </c>
      <c r="B1578" t="str">
        <f>"18:26:16.477"</f>
        <v>18:26:16.477</v>
      </c>
      <c r="C1578" t="str">
        <f>"18:26:16.277"</f>
        <v>18:26:16.277</v>
      </c>
      <c r="D1578" t="s">
        <v>633</v>
      </c>
      <c r="E1578">
        <v>30.558793999999999</v>
      </c>
      <c r="F1578" t="s">
        <v>634</v>
      </c>
      <c r="G1578">
        <v>-89.847371999999993</v>
      </c>
      <c r="H1578">
        <v>1600</v>
      </c>
      <c r="I1578">
        <v>-4</v>
      </c>
      <c r="J1578">
        <v>-150</v>
      </c>
      <c r="K1578">
        <v>0</v>
      </c>
      <c r="L1578">
        <v>1200</v>
      </c>
      <c r="M1578" t="str">
        <f t="shared" si="80"/>
        <v xml:space="preserve">N35DC   </v>
      </c>
      <c r="N1578">
        <v>1</v>
      </c>
      <c r="O1578">
        <v>1700</v>
      </c>
    </row>
    <row r="1579" spans="1:15" x14ac:dyDescent="0.25">
      <c r="A1579" t="str">
        <f>"10/21/2020 18:26:08.547"</f>
        <v>10/21/2020 18:26:08.547</v>
      </c>
      <c r="B1579" t="str">
        <f>"18:26:16.477"</f>
        <v>18:26:16.477</v>
      </c>
      <c r="C1579" t="str">
        <f>"18:26:16.277"</f>
        <v>18:26:16.277</v>
      </c>
      <c r="D1579" t="s">
        <v>633</v>
      </c>
      <c r="E1579">
        <v>30.558793999999999</v>
      </c>
      <c r="F1579" t="s">
        <v>634</v>
      </c>
      <c r="G1579">
        <v>-89.847371999999993</v>
      </c>
      <c r="H1579">
        <v>1600</v>
      </c>
      <c r="I1579">
        <v>-4</v>
      </c>
      <c r="J1579">
        <v>-150</v>
      </c>
      <c r="K1579">
        <v>0</v>
      </c>
      <c r="L1579">
        <v>1200</v>
      </c>
      <c r="M1579" t="str">
        <f t="shared" si="80"/>
        <v xml:space="preserve">N35DC   </v>
      </c>
      <c r="N1579">
        <v>1</v>
      </c>
      <c r="O1579">
        <v>1700</v>
      </c>
    </row>
    <row r="1580" spans="1:15" x14ac:dyDescent="0.25">
      <c r="A1580" t="str">
        <f>"10/21/2020 18:26:08.547"</f>
        <v>10/21/2020 18:26:08.547</v>
      </c>
      <c r="B1580" t="str">
        <f>"18:26:16.477"</f>
        <v>18:26:16.477</v>
      </c>
      <c r="C1580" t="str">
        <f>"18:26:16.277"</f>
        <v>18:26:16.277</v>
      </c>
      <c r="D1580" t="s">
        <v>633</v>
      </c>
      <c r="E1580">
        <v>30.558793999999999</v>
      </c>
      <c r="F1580" t="s">
        <v>634</v>
      </c>
      <c r="G1580">
        <v>-89.847371999999993</v>
      </c>
      <c r="H1580">
        <v>1600</v>
      </c>
      <c r="I1580">
        <v>-4</v>
      </c>
      <c r="J1580">
        <v>-150</v>
      </c>
      <c r="K1580">
        <v>0</v>
      </c>
      <c r="L1580">
        <v>1200</v>
      </c>
      <c r="M1580" t="str">
        <f t="shared" si="80"/>
        <v xml:space="preserve">N35DC   </v>
      </c>
      <c r="N1580">
        <v>1</v>
      </c>
      <c r="O1580">
        <v>1700</v>
      </c>
    </row>
    <row r="1581" spans="1:15" x14ac:dyDescent="0.25">
      <c r="A1581" t="str">
        <f>"10/21/2020 18:26:08.547"</f>
        <v>10/21/2020 18:26:08.547</v>
      </c>
      <c r="B1581" t="str">
        <f>"18:26:16.477"</f>
        <v>18:26:16.477</v>
      </c>
      <c r="C1581" t="str">
        <f>"18:26:16.277"</f>
        <v>18:26:16.277</v>
      </c>
      <c r="D1581" t="s">
        <v>633</v>
      </c>
      <c r="E1581">
        <v>30.558793999999999</v>
      </c>
      <c r="F1581" t="s">
        <v>634</v>
      </c>
      <c r="G1581">
        <v>-89.847371999999993</v>
      </c>
      <c r="H1581">
        <v>1600</v>
      </c>
      <c r="I1581">
        <v>-4</v>
      </c>
      <c r="J1581">
        <v>-150</v>
      </c>
      <c r="K1581">
        <v>0</v>
      </c>
      <c r="L1581">
        <v>1200</v>
      </c>
      <c r="M1581" t="str">
        <f t="shared" si="80"/>
        <v xml:space="preserve">N35DC   </v>
      </c>
      <c r="N1581">
        <v>1</v>
      </c>
      <c r="O1581">
        <v>1700</v>
      </c>
    </row>
    <row r="1582" spans="1:15" x14ac:dyDescent="0.25">
      <c r="A1582" t="str">
        <f>"10/21/2020 18:26:09.376"</f>
        <v>10/21/2020 18:26:09.376</v>
      </c>
      <c r="B1582" t="str">
        <f>"18:26:17.320"</f>
        <v>18:26:17.320</v>
      </c>
      <c r="C1582" t="str">
        <f>"18:26:17.120"</f>
        <v>18:26:17.120</v>
      </c>
      <c r="D1582" t="s">
        <v>635</v>
      </c>
      <c r="E1582">
        <v>30.558192999999999</v>
      </c>
      <c r="F1582" t="s">
        <v>636</v>
      </c>
      <c r="G1582">
        <v>-89.847436000000002</v>
      </c>
      <c r="H1582">
        <v>1600</v>
      </c>
      <c r="I1582">
        <v>-4</v>
      </c>
      <c r="J1582">
        <v>-150</v>
      </c>
      <c r="K1582">
        <v>-64</v>
      </c>
      <c r="L1582">
        <v>1200</v>
      </c>
      <c r="M1582" t="str">
        <f t="shared" si="80"/>
        <v xml:space="preserve">N35DC   </v>
      </c>
      <c r="N1582">
        <v>1</v>
      </c>
      <c r="O1582">
        <v>1700</v>
      </c>
    </row>
    <row r="1583" spans="1:15" x14ac:dyDescent="0.25">
      <c r="A1583" t="str">
        <f>"10/21/2020 18:26:09.376"</f>
        <v>10/21/2020 18:26:09.376</v>
      </c>
      <c r="B1583" t="str">
        <f>"18:26:17.320"</f>
        <v>18:26:17.320</v>
      </c>
      <c r="C1583" t="str">
        <f>"18:26:17.120"</f>
        <v>18:26:17.120</v>
      </c>
      <c r="D1583" t="s">
        <v>635</v>
      </c>
      <c r="E1583">
        <v>30.558192999999999</v>
      </c>
      <c r="F1583" t="s">
        <v>636</v>
      </c>
      <c r="G1583">
        <v>-89.847436000000002</v>
      </c>
      <c r="H1583">
        <v>1600</v>
      </c>
      <c r="I1583">
        <v>-4</v>
      </c>
      <c r="J1583">
        <v>-150</v>
      </c>
      <c r="K1583">
        <v>-64</v>
      </c>
      <c r="L1583">
        <v>1200</v>
      </c>
      <c r="M1583" t="str">
        <f t="shared" si="80"/>
        <v xml:space="preserve">N35DC   </v>
      </c>
      <c r="N1583">
        <v>1</v>
      </c>
      <c r="O1583">
        <v>1700</v>
      </c>
    </row>
    <row r="1584" spans="1:15" x14ac:dyDescent="0.25">
      <c r="A1584" t="str">
        <f>"10/21/2020 18:26:09.376"</f>
        <v>10/21/2020 18:26:09.376</v>
      </c>
      <c r="B1584" t="str">
        <f>"18:26:17.320"</f>
        <v>18:26:17.320</v>
      </c>
      <c r="C1584" t="str">
        <f>"18:26:17.120"</f>
        <v>18:26:17.120</v>
      </c>
      <c r="D1584" t="s">
        <v>635</v>
      </c>
      <c r="E1584">
        <v>30.558192999999999</v>
      </c>
      <c r="F1584" t="s">
        <v>636</v>
      </c>
      <c r="G1584">
        <v>-89.847436000000002</v>
      </c>
      <c r="H1584">
        <v>1600</v>
      </c>
      <c r="I1584">
        <v>-4</v>
      </c>
      <c r="J1584">
        <v>-150</v>
      </c>
      <c r="K1584">
        <v>-64</v>
      </c>
      <c r="L1584">
        <v>1200</v>
      </c>
      <c r="M1584" t="str">
        <f t="shared" si="80"/>
        <v xml:space="preserve">N35DC   </v>
      </c>
      <c r="N1584">
        <v>1</v>
      </c>
      <c r="O1584">
        <v>1700</v>
      </c>
    </row>
    <row r="1585" spans="1:15" x14ac:dyDescent="0.25">
      <c r="A1585" t="str">
        <f>"10/21/2020 18:26:09.376"</f>
        <v>10/21/2020 18:26:09.376</v>
      </c>
      <c r="B1585" t="str">
        <f>"18:26:17.320"</f>
        <v>18:26:17.320</v>
      </c>
      <c r="C1585" t="str">
        <f>"18:26:17.120"</f>
        <v>18:26:17.120</v>
      </c>
      <c r="D1585" t="s">
        <v>635</v>
      </c>
      <c r="E1585">
        <v>30.558192999999999</v>
      </c>
      <c r="F1585" t="s">
        <v>636</v>
      </c>
      <c r="G1585">
        <v>-89.847436000000002</v>
      </c>
      <c r="H1585">
        <v>1600</v>
      </c>
      <c r="I1585">
        <v>-4</v>
      </c>
      <c r="J1585">
        <v>-150</v>
      </c>
      <c r="K1585">
        <v>-64</v>
      </c>
      <c r="L1585">
        <v>1200</v>
      </c>
      <c r="M1585" t="str">
        <f t="shared" si="80"/>
        <v xml:space="preserve">N35DC   </v>
      </c>
      <c r="N1585">
        <v>1</v>
      </c>
      <c r="O1585">
        <v>1700</v>
      </c>
    </row>
    <row r="1586" spans="1:15" x14ac:dyDescent="0.25">
      <c r="A1586" t="str">
        <f>"10/21/2020 18:26:09.376"</f>
        <v>10/21/2020 18:26:09.376</v>
      </c>
      <c r="B1586" t="str">
        <f>"18:26:17.320"</f>
        <v>18:26:17.320</v>
      </c>
      <c r="C1586" t="str">
        <f>"18:26:17.120"</f>
        <v>18:26:17.120</v>
      </c>
      <c r="D1586" t="s">
        <v>635</v>
      </c>
      <c r="E1586">
        <v>30.558192999999999</v>
      </c>
      <c r="F1586" t="s">
        <v>636</v>
      </c>
      <c r="G1586">
        <v>-89.847436000000002</v>
      </c>
      <c r="H1586">
        <v>1600</v>
      </c>
      <c r="I1586">
        <v>-4</v>
      </c>
      <c r="J1586">
        <v>-150</v>
      </c>
      <c r="K1586">
        <v>-64</v>
      </c>
      <c r="L1586">
        <v>1200</v>
      </c>
      <c r="M1586" t="str">
        <f t="shared" si="80"/>
        <v xml:space="preserve">N35DC   </v>
      </c>
      <c r="N1586">
        <v>1</v>
      </c>
      <c r="O1586">
        <v>1700</v>
      </c>
    </row>
    <row r="1587" spans="1:15" x14ac:dyDescent="0.25">
      <c r="A1587" t="str">
        <f>"10/21/2020 18:26:12.378"</f>
        <v>10/21/2020 18:26:12.378</v>
      </c>
      <c r="B1587" t="str">
        <f>"18:26:20.289"</f>
        <v>18:26:20.289</v>
      </c>
      <c r="C1587" t="str">
        <f>"18:26:19.789"</f>
        <v>18:26:19.789</v>
      </c>
      <c r="D1587" t="s">
        <v>637</v>
      </c>
      <c r="E1587">
        <v>30.556153999999999</v>
      </c>
      <c r="F1587" t="s">
        <v>638</v>
      </c>
      <c r="G1587">
        <v>-89.847457000000006</v>
      </c>
      <c r="H1587">
        <v>1600</v>
      </c>
      <c r="I1587">
        <v>-5</v>
      </c>
      <c r="J1587">
        <v>-150</v>
      </c>
      <c r="K1587">
        <v>-128</v>
      </c>
      <c r="L1587">
        <v>1200</v>
      </c>
      <c r="M1587" t="str">
        <f t="shared" si="80"/>
        <v xml:space="preserve">N35DC   </v>
      </c>
      <c r="N1587">
        <v>1</v>
      </c>
      <c r="O1587">
        <v>1700</v>
      </c>
    </row>
    <row r="1588" spans="1:15" x14ac:dyDescent="0.25">
      <c r="A1588" t="str">
        <f>"10/21/2020 18:26:12.378"</f>
        <v>10/21/2020 18:26:12.378</v>
      </c>
      <c r="B1588" t="str">
        <f>"18:26:20.289"</f>
        <v>18:26:20.289</v>
      </c>
      <c r="C1588" t="str">
        <f>"18:26:19.789"</f>
        <v>18:26:19.789</v>
      </c>
      <c r="D1588" t="s">
        <v>637</v>
      </c>
      <c r="E1588">
        <v>30.556153999999999</v>
      </c>
      <c r="F1588" t="s">
        <v>638</v>
      </c>
      <c r="G1588">
        <v>-89.847457000000006</v>
      </c>
      <c r="H1588">
        <v>1600</v>
      </c>
      <c r="I1588">
        <v>-5</v>
      </c>
      <c r="J1588">
        <v>-150</v>
      </c>
      <c r="K1588">
        <v>-128</v>
      </c>
      <c r="L1588">
        <v>1200</v>
      </c>
      <c r="M1588" t="str">
        <f t="shared" si="80"/>
        <v xml:space="preserve">N35DC   </v>
      </c>
      <c r="N1588">
        <v>1</v>
      </c>
      <c r="O1588">
        <v>1700</v>
      </c>
    </row>
    <row r="1589" spans="1:15" x14ac:dyDescent="0.25">
      <c r="A1589" t="str">
        <f>"10/21/2020 18:26:12.378"</f>
        <v>10/21/2020 18:26:12.378</v>
      </c>
      <c r="B1589" t="str">
        <f>"18:26:20.289"</f>
        <v>18:26:20.289</v>
      </c>
      <c r="C1589" t="str">
        <f>"18:26:19.789"</f>
        <v>18:26:19.789</v>
      </c>
      <c r="D1589" t="s">
        <v>637</v>
      </c>
      <c r="E1589">
        <v>30.556153999999999</v>
      </c>
      <c r="F1589" t="s">
        <v>638</v>
      </c>
      <c r="G1589">
        <v>-89.847457000000006</v>
      </c>
      <c r="H1589">
        <v>1600</v>
      </c>
      <c r="I1589">
        <v>-5</v>
      </c>
      <c r="J1589">
        <v>-150</v>
      </c>
      <c r="K1589">
        <v>-128</v>
      </c>
      <c r="L1589">
        <v>1200</v>
      </c>
      <c r="M1589" t="str">
        <f t="shared" si="80"/>
        <v xml:space="preserve">N35DC   </v>
      </c>
      <c r="N1589">
        <v>1</v>
      </c>
      <c r="O1589">
        <v>1700</v>
      </c>
    </row>
    <row r="1590" spans="1:15" x14ac:dyDescent="0.25">
      <c r="A1590" t="str">
        <f>"10/21/2020 18:26:12.378"</f>
        <v>10/21/2020 18:26:12.378</v>
      </c>
      <c r="B1590" t="str">
        <f>"18:26:20.289"</f>
        <v>18:26:20.289</v>
      </c>
      <c r="C1590" t="str">
        <f>"18:26:19.789"</f>
        <v>18:26:19.789</v>
      </c>
      <c r="D1590" t="s">
        <v>637</v>
      </c>
      <c r="E1590">
        <v>30.556153999999999</v>
      </c>
      <c r="F1590" t="s">
        <v>638</v>
      </c>
      <c r="G1590">
        <v>-89.847457000000006</v>
      </c>
      <c r="H1590">
        <v>1600</v>
      </c>
      <c r="I1590">
        <v>-5</v>
      </c>
      <c r="J1590">
        <v>-150</v>
      </c>
      <c r="K1590">
        <v>-128</v>
      </c>
      <c r="L1590">
        <v>1200</v>
      </c>
      <c r="M1590" t="str">
        <f t="shared" si="80"/>
        <v xml:space="preserve">N35DC   </v>
      </c>
      <c r="N1590">
        <v>1</v>
      </c>
      <c r="O1590">
        <v>1700</v>
      </c>
    </row>
    <row r="1591" spans="1:15" x14ac:dyDescent="0.25">
      <c r="A1591" t="str">
        <f>"10/21/2020 18:26:12.378"</f>
        <v>10/21/2020 18:26:12.378</v>
      </c>
      <c r="B1591" t="str">
        <f>"18:26:20.289"</f>
        <v>18:26:20.289</v>
      </c>
      <c r="C1591" t="str">
        <f>"18:26:19.789"</f>
        <v>18:26:19.789</v>
      </c>
      <c r="D1591" t="s">
        <v>637</v>
      </c>
      <c r="E1591">
        <v>30.556153999999999</v>
      </c>
      <c r="F1591" t="s">
        <v>638</v>
      </c>
      <c r="G1591">
        <v>-89.847457000000006</v>
      </c>
      <c r="H1591">
        <v>1600</v>
      </c>
      <c r="I1591">
        <v>-5</v>
      </c>
      <c r="J1591">
        <v>-150</v>
      </c>
      <c r="K1591">
        <v>-128</v>
      </c>
      <c r="L1591">
        <v>1200</v>
      </c>
      <c r="M1591" t="str">
        <f t="shared" si="80"/>
        <v xml:space="preserve">N35DC   </v>
      </c>
      <c r="N1591">
        <v>1</v>
      </c>
      <c r="O1591">
        <v>1700</v>
      </c>
    </row>
    <row r="1592" spans="1:15" x14ac:dyDescent="0.25">
      <c r="A1592" t="str">
        <f>"10/21/2020 18:26:13.338"</f>
        <v>10/21/2020 18:26:13.338</v>
      </c>
      <c r="B1592" t="str">
        <f>"18:26:21.250"</f>
        <v>18:26:21.250</v>
      </c>
      <c r="C1592" t="str">
        <f>"18:26:20.950"</f>
        <v>18:26:20.950</v>
      </c>
      <c r="D1592" t="s">
        <v>639</v>
      </c>
      <c r="E1592">
        <v>30.555446</v>
      </c>
      <c r="F1592" t="s">
        <v>640</v>
      </c>
      <c r="G1592">
        <v>-89.847479000000007</v>
      </c>
      <c r="H1592">
        <v>1600</v>
      </c>
      <c r="I1592">
        <v>-4</v>
      </c>
      <c r="J1592">
        <v>-150</v>
      </c>
      <c r="K1592">
        <v>0</v>
      </c>
      <c r="L1592">
        <v>1200</v>
      </c>
      <c r="M1592" t="str">
        <f t="shared" si="80"/>
        <v xml:space="preserve">N35DC   </v>
      </c>
      <c r="N1592">
        <v>1</v>
      </c>
      <c r="O1592">
        <v>1700</v>
      </c>
    </row>
    <row r="1593" spans="1:15" x14ac:dyDescent="0.25">
      <c r="A1593" t="str">
        <f>"10/21/2020 18:26:13.338"</f>
        <v>10/21/2020 18:26:13.338</v>
      </c>
      <c r="B1593" t="str">
        <f>"18:26:21.250"</f>
        <v>18:26:21.250</v>
      </c>
      <c r="C1593" t="str">
        <f>"18:26:20.950"</f>
        <v>18:26:20.950</v>
      </c>
      <c r="D1593" t="s">
        <v>639</v>
      </c>
      <c r="E1593">
        <v>30.555446</v>
      </c>
      <c r="F1593" t="s">
        <v>640</v>
      </c>
      <c r="G1593">
        <v>-89.847479000000007</v>
      </c>
      <c r="H1593">
        <v>1600</v>
      </c>
      <c r="I1593">
        <v>-4</v>
      </c>
      <c r="J1593">
        <v>-150</v>
      </c>
      <c r="K1593">
        <v>0</v>
      </c>
      <c r="L1593">
        <v>1200</v>
      </c>
      <c r="M1593" t="str">
        <f t="shared" si="80"/>
        <v xml:space="preserve">N35DC   </v>
      </c>
      <c r="N1593">
        <v>1</v>
      </c>
      <c r="O1593">
        <v>1700</v>
      </c>
    </row>
    <row r="1594" spans="1:15" x14ac:dyDescent="0.25">
      <c r="A1594" t="str">
        <f>"10/21/2020 18:26:13.338"</f>
        <v>10/21/2020 18:26:13.338</v>
      </c>
      <c r="B1594" t="str">
        <f>"18:26:21.250"</f>
        <v>18:26:21.250</v>
      </c>
      <c r="C1594" t="str">
        <f>"18:26:20.950"</f>
        <v>18:26:20.950</v>
      </c>
      <c r="D1594" t="s">
        <v>639</v>
      </c>
      <c r="E1594">
        <v>30.555446</v>
      </c>
      <c r="F1594" t="s">
        <v>640</v>
      </c>
      <c r="G1594">
        <v>-89.847479000000007</v>
      </c>
      <c r="H1594">
        <v>1600</v>
      </c>
      <c r="I1594">
        <v>-4</v>
      </c>
      <c r="J1594">
        <v>-150</v>
      </c>
      <c r="K1594">
        <v>0</v>
      </c>
      <c r="L1594">
        <v>1200</v>
      </c>
      <c r="M1594" t="str">
        <f t="shared" si="80"/>
        <v xml:space="preserve">N35DC   </v>
      </c>
      <c r="N1594">
        <v>1</v>
      </c>
      <c r="O1594">
        <v>1700</v>
      </c>
    </row>
    <row r="1595" spans="1:15" x14ac:dyDescent="0.25">
      <c r="A1595" t="str">
        <f>"10/21/2020 18:26:13.338"</f>
        <v>10/21/2020 18:26:13.338</v>
      </c>
      <c r="B1595" t="str">
        <f>"18:26:21.250"</f>
        <v>18:26:21.250</v>
      </c>
      <c r="C1595" t="str">
        <f>"18:26:20.950"</f>
        <v>18:26:20.950</v>
      </c>
      <c r="D1595" t="s">
        <v>639</v>
      </c>
      <c r="E1595">
        <v>30.555446</v>
      </c>
      <c r="F1595" t="s">
        <v>640</v>
      </c>
      <c r="G1595">
        <v>-89.847479000000007</v>
      </c>
      <c r="H1595">
        <v>1600</v>
      </c>
      <c r="I1595">
        <v>-4</v>
      </c>
      <c r="J1595">
        <v>-150</v>
      </c>
      <c r="K1595">
        <v>0</v>
      </c>
      <c r="L1595">
        <v>1200</v>
      </c>
      <c r="M1595" t="str">
        <f t="shared" si="80"/>
        <v xml:space="preserve">N35DC   </v>
      </c>
      <c r="N1595">
        <v>1</v>
      </c>
      <c r="O1595">
        <v>1700</v>
      </c>
    </row>
    <row r="1596" spans="1:15" x14ac:dyDescent="0.25">
      <c r="A1596" t="str">
        <f>"10/21/2020 18:26:13.338"</f>
        <v>10/21/2020 18:26:13.338</v>
      </c>
      <c r="B1596" t="str">
        <f>"18:26:21.250"</f>
        <v>18:26:21.250</v>
      </c>
      <c r="C1596" t="str">
        <f>"18:26:20.950"</f>
        <v>18:26:20.950</v>
      </c>
      <c r="D1596" t="s">
        <v>639</v>
      </c>
      <c r="E1596">
        <v>30.555446</v>
      </c>
      <c r="F1596" t="s">
        <v>640</v>
      </c>
      <c r="G1596">
        <v>-89.847479000000007</v>
      </c>
      <c r="H1596">
        <v>1600</v>
      </c>
      <c r="I1596">
        <v>-4</v>
      </c>
      <c r="J1596">
        <v>-150</v>
      </c>
      <c r="K1596">
        <v>0</v>
      </c>
      <c r="L1596">
        <v>1200</v>
      </c>
      <c r="M1596" t="str">
        <f t="shared" si="80"/>
        <v xml:space="preserve">N35DC   </v>
      </c>
      <c r="N1596">
        <v>1</v>
      </c>
      <c r="O1596">
        <v>1700</v>
      </c>
    </row>
    <row r="1597" spans="1:15" x14ac:dyDescent="0.25">
      <c r="A1597" t="str">
        <f>"10/21/2020 18:26:15.580"</f>
        <v>10/21/2020 18:26:15.580</v>
      </c>
      <c r="B1597" t="str">
        <f>"18:26:23.516"</f>
        <v>18:26:23.516</v>
      </c>
      <c r="C1597" t="str">
        <f>"18:26:23.116"</f>
        <v>18:26:23.116</v>
      </c>
      <c r="D1597" t="s">
        <v>641</v>
      </c>
      <c r="E1597">
        <v>30.553858000000002</v>
      </c>
      <c r="F1597" t="s">
        <v>642</v>
      </c>
      <c r="G1597">
        <v>-89.847499999999997</v>
      </c>
      <c r="H1597">
        <v>1600</v>
      </c>
      <c r="I1597">
        <v>-5</v>
      </c>
      <c r="J1597">
        <v>-151</v>
      </c>
      <c r="K1597">
        <v>0</v>
      </c>
      <c r="L1597">
        <v>1200</v>
      </c>
      <c r="M1597" t="str">
        <f t="shared" si="80"/>
        <v xml:space="preserve">N35DC   </v>
      </c>
      <c r="N1597">
        <v>1</v>
      </c>
      <c r="O1597">
        <v>1700</v>
      </c>
    </row>
    <row r="1598" spans="1:15" x14ac:dyDescent="0.25">
      <c r="A1598" t="str">
        <f>"10/21/2020 18:26:15.580"</f>
        <v>10/21/2020 18:26:15.580</v>
      </c>
      <c r="B1598" t="str">
        <f>"18:26:23.516"</f>
        <v>18:26:23.516</v>
      </c>
      <c r="C1598" t="str">
        <f>"18:26:23.116"</f>
        <v>18:26:23.116</v>
      </c>
      <c r="D1598" t="s">
        <v>641</v>
      </c>
      <c r="E1598">
        <v>30.553858000000002</v>
      </c>
      <c r="F1598" t="s">
        <v>642</v>
      </c>
      <c r="G1598">
        <v>-89.847499999999997</v>
      </c>
      <c r="H1598">
        <v>1600</v>
      </c>
      <c r="I1598">
        <v>-5</v>
      </c>
      <c r="J1598">
        <v>-151</v>
      </c>
      <c r="K1598">
        <v>0</v>
      </c>
      <c r="L1598">
        <v>1200</v>
      </c>
      <c r="M1598" t="str">
        <f t="shared" si="80"/>
        <v xml:space="preserve">N35DC   </v>
      </c>
      <c r="N1598">
        <v>1</v>
      </c>
      <c r="O1598">
        <v>1700</v>
      </c>
    </row>
    <row r="1599" spans="1:15" x14ac:dyDescent="0.25">
      <c r="A1599" t="str">
        <f>"10/21/2020 18:26:15.580"</f>
        <v>10/21/2020 18:26:15.580</v>
      </c>
      <c r="B1599" t="str">
        <f>"18:26:23.516"</f>
        <v>18:26:23.516</v>
      </c>
      <c r="C1599" t="str">
        <f>"18:26:23.116"</f>
        <v>18:26:23.116</v>
      </c>
      <c r="D1599" t="s">
        <v>641</v>
      </c>
      <c r="E1599">
        <v>30.553858000000002</v>
      </c>
      <c r="F1599" t="s">
        <v>642</v>
      </c>
      <c r="G1599">
        <v>-89.847499999999997</v>
      </c>
      <c r="H1599">
        <v>1600</v>
      </c>
      <c r="I1599">
        <v>-5</v>
      </c>
      <c r="J1599">
        <v>-151</v>
      </c>
      <c r="K1599">
        <v>0</v>
      </c>
      <c r="L1599">
        <v>1200</v>
      </c>
      <c r="M1599" t="str">
        <f t="shared" si="80"/>
        <v xml:space="preserve">N35DC   </v>
      </c>
      <c r="N1599">
        <v>1</v>
      </c>
      <c r="O1599">
        <v>1700</v>
      </c>
    </row>
    <row r="1600" spans="1:15" x14ac:dyDescent="0.25">
      <c r="A1600" t="str">
        <f>"10/21/2020 18:26:15.580"</f>
        <v>10/21/2020 18:26:15.580</v>
      </c>
      <c r="B1600" t="str">
        <f>"18:26:23.516"</f>
        <v>18:26:23.516</v>
      </c>
      <c r="C1600" t="str">
        <f>"18:26:23.116"</f>
        <v>18:26:23.116</v>
      </c>
      <c r="D1600" t="s">
        <v>641</v>
      </c>
      <c r="E1600">
        <v>30.553858000000002</v>
      </c>
      <c r="F1600" t="s">
        <v>642</v>
      </c>
      <c r="G1600">
        <v>-89.847499999999997</v>
      </c>
      <c r="H1600">
        <v>1600</v>
      </c>
      <c r="I1600">
        <v>-5</v>
      </c>
      <c r="J1600">
        <v>-151</v>
      </c>
      <c r="K1600">
        <v>0</v>
      </c>
      <c r="L1600">
        <v>1200</v>
      </c>
      <c r="M1600" t="str">
        <f t="shared" si="80"/>
        <v xml:space="preserve">N35DC   </v>
      </c>
      <c r="N1600">
        <v>1</v>
      </c>
      <c r="O1600">
        <v>1700</v>
      </c>
    </row>
    <row r="1601" spans="1:15" x14ac:dyDescent="0.25">
      <c r="A1601" t="str">
        <f>"10/21/2020 18:26:15.580"</f>
        <v>10/21/2020 18:26:15.580</v>
      </c>
      <c r="B1601" t="str">
        <f>"18:26:23.516"</f>
        <v>18:26:23.516</v>
      </c>
      <c r="C1601" t="str">
        <f>"18:26:23.116"</f>
        <v>18:26:23.116</v>
      </c>
      <c r="D1601" t="s">
        <v>641</v>
      </c>
      <c r="E1601">
        <v>30.553858000000002</v>
      </c>
      <c r="F1601" t="s">
        <v>642</v>
      </c>
      <c r="G1601">
        <v>-89.847499999999997</v>
      </c>
      <c r="H1601">
        <v>1600</v>
      </c>
      <c r="I1601">
        <v>-5</v>
      </c>
      <c r="J1601">
        <v>-151</v>
      </c>
      <c r="K1601">
        <v>0</v>
      </c>
      <c r="L1601">
        <v>1200</v>
      </c>
      <c r="M1601" t="str">
        <f t="shared" si="80"/>
        <v xml:space="preserve">N35DC   </v>
      </c>
      <c r="N1601">
        <v>1</v>
      </c>
      <c r="O1601">
        <v>1700</v>
      </c>
    </row>
    <row r="1602" spans="1:15" x14ac:dyDescent="0.25">
      <c r="A1602" t="str">
        <f>"10/21/2020 18:26:16.725"</f>
        <v>10/21/2020 18:26:16.725</v>
      </c>
      <c r="B1602" t="str">
        <f>"18:26:24.641"</f>
        <v>18:26:24.641</v>
      </c>
      <c r="C1602" t="str">
        <f>"18:26:24.241"</f>
        <v>18:26:24.241</v>
      </c>
      <c r="D1602" t="s">
        <v>643</v>
      </c>
      <c r="E1602">
        <v>30.553063999999999</v>
      </c>
      <c r="F1602" t="s">
        <v>644</v>
      </c>
      <c r="G1602">
        <v>-89.847565000000003</v>
      </c>
      <c r="H1602">
        <v>1600</v>
      </c>
      <c r="I1602">
        <v>-5</v>
      </c>
      <c r="J1602">
        <v>-151</v>
      </c>
      <c r="K1602">
        <v>-64</v>
      </c>
      <c r="L1602">
        <v>1200</v>
      </c>
      <c r="M1602" t="str">
        <f t="shared" si="80"/>
        <v xml:space="preserve">N35DC   </v>
      </c>
      <c r="N1602">
        <v>1</v>
      </c>
      <c r="O1602">
        <v>1700</v>
      </c>
    </row>
    <row r="1603" spans="1:15" x14ac:dyDescent="0.25">
      <c r="A1603" t="str">
        <f>"10/21/2020 18:26:16.725"</f>
        <v>10/21/2020 18:26:16.725</v>
      </c>
      <c r="B1603" t="str">
        <f>"18:26:24.641"</f>
        <v>18:26:24.641</v>
      </c>
      <c r="C1603" t="str">
        <f>"18:26:24.241"</f>
        <v>18:26:24.241</v>
      </c>
      <c r="D1603" t="s">
        <v>643</v>
      </c>
      <c r="E1603">
        <v>30.553063999999999</v>
      </c>
      <c r="F1603" t="s">
        <v>644</v>
      </c>
      <c r="G1603">
        <v>-89.847565000000003</v>
      </c>
      <c r="H1603">
        <v>1600</v>
      </c>
      <c r="I1603">
        <v>-5</v>
      </c>
      <c r="J1603">
        <v>-151</v>
      </c>
      <c r="K1603">
        <v>-64</v>
      </c>
      <c r="L1603">
        <v>1200</v>
      </c>
      <c r="M1603" t="str">
        <f t="shared" si="80"/>
        <v xml:space="preserve">N35DC   </v>
      </c>
      <c r="N1603">
        <v>1</v>
      </c>
      <c r="O1603">
        <v>1700</v>
      </c>
    </row>
    <row r="1604" spans="1:15" x14ac:dyDescent="0.25">
      <c r="A1604" t="str">
        <f>"10/21/2020 18:26:16.725"</f>
        <v>10/21/2020 18:26:16.725</v>
      </c>
      <c r="B1604" t="str">
        <f>"18:26:24.641"</f>
        <v>18:26:24.641</v>
      </c>
      <c r="C1604" t="str">
        <f>"18:26:24.241"</f>
        <v>18:26:24.241</v>
      </c>
      <c r="D1604" t="s">
        <v>643</v>
      </c>
      <c r="E1604">
        <v>30.553063999999999</v>
      </c>
      <c r="F1604" t="s">
        <v>644</v>
      </c>
      <c r="G1604">
        <v>-89.847565000000003</v>
      </c>
      <c r="H1604">
        <v>1600</v>
      </c>
      <c r="I1604">
        <v>-5</v>
      </c>
      <c r="J1604">
        <v>-151</v>
      </c>
      <c r="K1604">
        <v>-64</v>
      </c>
      <c r="L1604">
        <v>1200</v>
      </c>
      <c r="M1604" t="str">
        <f t="shared" si="80"/>
        <v xml:space="preserve">N35DC   </v>
      </c>
      <c r="N1604">
        <v>1</v>
      </c>
      <c r="O1604">
        <v>1700</v>
      </c>
    </row>
    <row r="1605" spans="1:15" x14ac:dyDescent="0.25">
      <c r="A1605" t="str">
        <f>"10/21/2020 18:26:16.725"</f>
        <v>10/21/2020 18:26:16.725</v>
      </c>
      <c r="B1605" t="str">
        <f>"18:26:24.641"</f>
        <v>18:26:24.641</v>
      </c>
      <c r="C1605" t="str">
        <f>"18:26:24.241"</f>
        <v>18:26:24.241</v>
      </c>
      <c r="D1605" t="s">
        <v>643</v>
      </c>
      <c r="E1605">
        <v>30.553063999999999</v>
      </c>
      <c r="F1605" t="s">
        <v>644</v>
      </c>
      <c r="G1605">
        <v>-89.847565000000003</v>
      </c>
      <c r="H1605">
        <v>1600</v>
      </c>
      <c r="I1605">
        <v>-5</v>
      </c>
      <c r="J1605">
        <v>-151</v>
      </c>
      <c r="K1605">
        <v>-64</v>
      </c>
      <c r="L1605">
        <v>1200</v>
      </c>
      <c r="M1605" t="str">
        <f t="shared" si="80"/>
        <v xml:space="preserve">N35DC   </v>
      </c>
      <c r="N1605">
        <v>1</v>
      </c>
      <c r="O1605">
        <v>1700</v>
      </c>
    </row>
    <row r="1606" spans="1:15" x14ac:dyDescent="0.25">
      <c r="A1606" t="str">
        <f>"10/21/2020 18:26:16.725"</f>
        <v>10/21/2020 18:26:16.725</v>
      </c>
      <c r="B1606" t="str">
        <f>"18:26:24.641"</f>
        <v>18:26:24.641</v>
      </c>
      <c r="C1606" t="str">
        <f>"18:26:24.241"</f>
        <v>18:26:24.241</v>
      </c>
      <c r="D1606" t="s">
        <v>643</v>
      </c>
      <c r="E1606">
        <v>30.553063999999999</v>
      </c>
      <c r="F1606" t="s">
        <v>644</v>
      </c>
      <c r="G1606">
        <v>-89.847565000000003</v>
      </c>
      <c r="H1606">
        <v>1600</v>
      </c>
      <c r="I1606">
        <v>-5</v>
      </c>
      <c r="J1606">
        <v>-151</v>
      </c>
      <c r="K1606">
        <v>-64</v>
      </c>
      <c r="L1606">
        <v>1200</v>
      </c>
      <c r="M1606" t="str">
        <f t="shared" si="80"/>
        <v xml:space="preserve">N35DC   </v>
      </c>
      <c r="N1606">
        <v>1</v>
      </c>
      <c r="O1606">
        <v>1700</v>
      </c>
    </row>
    <row r="1607" spans="1:15" x14ac:dyDescent="0.25">
      <c r="A1607" t="str">
        <f>"10/21/2020 18:26:17.703"</f>
        <v>10/21/2020 18:26:17.703</v>
      </c>
      <c r="B1607" t="str">
        <f t="shared" ref="B1607:C1611" si="81">"18:26:25.656"</f>
        <v>18:26:25.656</v>
      </c>
      <c r="C1607" t="str">
        <f t="shared" si="81"/>
        <v>18:26:25.656</v>
      </c>
      <c r="D1607" t="s">
        <v>645</v>
      </c>
      <c r="E1607">
        <v>30.552378000000001</v>
      </c>
      <c r="F1607" t="s">
        <v>646</v>
      </c>
      <c r="G1607">
        <v>-89.847586000000007</v>
      </c>
      <c r="H1607">
        <v>1600</v>
      </c>
      <c r="I1607">
        <v>-5</v>
      </c>
      <c r="J1607">
        <v>-151</v>
      </c>
      <c r="K1607">
        <v>0</v>
      </c>
      <c r="L1607">
        <v>1200</v>
      </c>
      <c r="M1607" t="str">
        <f t="shared" ref="M1607:M1670" si="82">"N35DC   "</f>
        <v xml:space="preserve">N35DC   </v>
      </c>
      <c r="N1607">
        <v>1</v>
      </c>
      <c r="O1607">
        <v>1700</v>
      </c>
    </row>
    <row r="1608" spans="1:15" x14ac:dyDescent="0.25">
      <c r="A1608" t="str">
        <f>"10/21/2020 18:26:17.703"</f>
        <v>10/21/2020 18:26:17.703</v>
      </c>
      <c r="B1608" t="str">
        <f t="shared" si="81"/>
        <v>18:26:25.656</v>
      </c>
      <c r="C1608" t="str">
        <f t="shared" si="81"/>
        <v>18:26:25.656</v>
      </c>
      <c r="D1608" t="s">
        <v>645</v>
      </c>
      <c r="E1608">
        <v>30.552378000000001</v>
      </c>
      <c r="F1608" t="s">
        <v>646</v>
      </c>
      <c r="G1608">
        <v>-89.847586000000007</v>
      </c>
      <c r="H1608">
        <v>1600</v>
      </c>
      <c r="I1608">
        <v>-5</v>
      </c>
      <c r="J1608">
        <v>-151</v>
      </c>
      <c r="K1608">
        <v>0</v>
      </c>
      <c r="L1608">
        <v>1200</v>
      </c>
      <c r="M1608" t="str">
        <f t="shared" si="82"/>
        <v xml:space="preserve">N35DC   </v>
      </c>
      <c r="N1608">
        <v>1</v>
      </c>
      <c r="O1608">
        <v>1700</v>
      </c>
    </row>
    <row r="1609" spans="1:15" x14ac:dyDescent="0.25">
      <c r="A1609" t="str">
        <f>"10/21/2020 18:26:17.703"</f>
        <v>10/21/2020 18:26:17.703</v>
      </c>
      <c r="B1609" t="str">
        <f t="shared" si="81"/>
        <v>18:26:25.656</v>
      </c>
      <c r="C1609" t="str">
        <f t="shared" si="81"/>
        <v>18:26:25.656</v>
      </c>
      <c r="D1609" t="s">
        <v>645</v>
      </c>
      <c r="E1609">
        <v>30.552378000000001</v>
      </c>
      <c r="F1609" t="s">
        <v>646</v>
      </c>
      <c r="G1609">
        <v>-89.847586000000007</v>
      </c>
      <c r="H1609">
        <v>1600</v>
      </c>
      <c r="I1609">
        <v>-5</v>
      </c>
      <c r="J1609">
        <v>-151</v>
      </c>
      <c r="K1609">
        <v>0</v>
      </c>
      <c r="L1609">
        <v>1200</v>
      </c>
      <c r="M1609" t="str">
        <f t="shared" si="82"/>
        <v xml:space="preserve">N35DC   </v>
      </c>
      <c r="N1609">
        <v>1</v>
      </c>
      <c r="O1609">
        <v>1700</v>
      </c>
    </row>
    <row r="1610" spans="1:15" x14ac:dyDescent="0.25">
      <c r="A1610" t="str">
        <f>"10/21/2020 18:26:17.703"</f>
        <v>10/21/2020 18:26:17.703</v>
      </c>
      <c r="B1610" t="str">
        <f t="shared" si="81"/>
        <v>18:26:25.656</v>
      </c>
      <c r="C1610" t="str">
        <f t="shared" si="81"/>
        <v>18:26:25.656</v>
      </c>
      <c r="D1610" t="s">
        <v>645</v>
      </c>
      <c r="E1610">
        <v>30.552378000000001</v>
      </c>
      <c r="F1610" t="s">
        <v>646</v>
      </c>
      <c r="G1610">
        <v>-89.847586000000007</v>
      </c>
      <c r="H1610">
        <v>1600</v>
      </c>
      <c r="I1610">
        <v>-5</v>
      </c>
      <c r="J1610">
        <v>-151</v>
      </c>
      <c r="K1610">
        <v>0</v>
      </c>
      <c r="L1610">
        <v>1200</v>
      </c>
      <c r="M1610" t="str">
        <f t="shared" si="82"/>
        <v xml:space="preserve">N35DC   </v>
      </c>
      <c r="N1610">
        <v>1</v>
      </c>
      <c r="O1610">
        <v>1700</v>
      </c>
    </row>
    <row r="1611" spans="1:15" x14ac:dyDescent="0.25">
      <c r="A1611" t="str">
        <f>"10/21/2020 18:26:17.703"</f>
        <v>10/21/2020 18:26:17.703</v>
      </c>
      <c r="B1611" t="str">
        <f t="shared" si="81"/>
        <v>18:26:25.656</v>
      </c>
      <c r="C1611" t="str">
        <f t="shared" si="81"/>
        <v>18:26:25.656</v>
      </c>
      <c r="D1611" t="s">
        <v>645</v>
      </c>
      <c r="E1611">
        <v>30.552378000000001</v>
      </c>
      <c r="F1611" t="s">
        <v>646</v>
      </c>
      <c r="G1611">
        <v>-89.847586000000007</v>
      </c>
      <c r="H1611">
        <v>1600</v>
      </c>
      <c r="I1611">
        <v>-5</v>
      </c>
      <c r="J1611">
        <v>-151</v>
      </c>
      <c r="K1611">
        <v>0</v>
      </c>
      <c r="L1611">
        <v>1200</v>
      </c>
      <c r="M1611" t="str">
        <f t="shared" si="82"/>
        <v xml:space="preserve">N35DC   </v>
      </c>
      <c r="N1611">
        <v>1</v>
      </c>
      <c r="O1611">
        <v>1700</v>
      </c>
    </row>
    <row r="1612" spans="1:15" x14ac:dyDescent="0.25">
      <c r="A1612" t="str">
        <f>"10/21/2020 18:26:20.738"</f>
        <v>10/21/2020 18:26:20.738</v>
      </c>
      <c r="B1612" t="str">
        <f>"18:26:28.687"</f>
        <v>18:26:28.687</v>
      </c>
      <c r="C1612" t="str">
        <f>"18:26:28.187"</f>
        <v>18:26:28.187</v>
      </c>
      <c r="D1612" t="s">
        <v>647</v>
      </c>
      <c r="E1612">
        <v>30.550232000000001</v>
      </c>
      <c r="F1612" t="s">
        <v>648</v>
      </c>
      <c r="G1612">
        <v>-89.847735999999998</v>
      </c>
      <c r="H1612">
        <v>1600</v>
      </c>
      <c r="I1612">
        <v>-6</v>
      </c>
      <c r="J1612">
        <v>-151</v>
      </c>
      <c r="K1612">
        <v>64</v>
      </c>
      <c r="L1612">
        <v>1200</v>
      </c>
      <c r="M1612" t="str">
        <f t="shared" si="82"/>
        <v xml:space="preserve">N35DC   </v>
      </c>
      <c r="N1612">
        <v>1</v>
      </c>
      <c r="O1612">
        <v>1700</v>
      </c>
    </row>
    <row r="1613" spans="1:15" x14ac:dyDescent="0.25">
      <c r="A1613" t="str">
        <f>"10/21/2020 18:26:20.738"</f>
        <v>10/21/2020 18:26:20.738</v>
      </c>
      <c r="B1613" t="str">
        <f>"18:26:28.687"</f>
        <v>18:26:28.687</v>
      </c>
      <c r="C1613" t="str">
        <f>"18:26:28.187"</f>
        <v>18:26:28.187</v>
      </c>
      <c r="D1613" t="s">
        <v>647</v>
      </c>
      <c r="E1613">
        <v>30.550232000000001</v>
      </c>
      <c r="F1613" t="s">
        <v>648</v>
      </c>
      <c r="G1613">
        <v>-89.847735999999998</v>
      </c>
      <c r="H1613">
        <v>1600</v>
      </c>
      <c r="I1613">
        <v>-6</v>
      </c>
      <c r="J1613">
        <v>-151</v>
      </c>
      <c r="K1613">
        <v>64</v>
      </c>
      <c r="L1613">
        <v>1200</v>
      </c>
      <c r="M1613" t="str">
        <f t="shared" si="82"/>
        <v xml:space="preserve">N35DC   </v>
      </c>
      <c r="N1613">
        <v>1</v>
      </c>
      <c r="O1613">
        <v>1700</v>
      </c>
    </row>
    <row r="1614" spans="1:15" x14ac:dyDescent="0.25">
      <c r="A1614" t="str">
        <f>"10/21/2020 18:26:20.738"</f>
        <v>10/21/2020 18:26:20.738</v>
      </c>
      <c r="B1614" t="str">
        <f>"18:26:28.687"</f>
        <v>18:26:28.687</v>
      </c>
      <c r="C1614" t="str">
        <f>"18:26:28.187"</f>
        <v>18:26:28.187</v>
      </c>
      <c r="D1614" t="s">
        <v>647</v>
      </c>
      <c r="E1614">
        <v>30.550232000000001</v>
      </c>
      <c r="F1614" t="s">
        <v>648</v>
      </c>
      <c r="G1614">
        <v>-89.847735999999998</v>
      </c>
      <c r="H1614">
        <v>1600</v>
      </c>
      <c r="I1614">
        <v>-6</v>
      </c>
      <c r="J1614">
        <v>-151</v>
      </c>
      <c r="K1614">
        <v>64</v>
      </c>
      <c r="L1614">
        <v>1200</v>
      </c>
      <c r="M1614" t="str">
        <f t="shared" si="82"/>
        <v xml:space="preserve">N35DC   </v>
      </c>
      <c r="N1614">
        <v>1</v>
      </c>
      <c r="O1614">
        <v>1700</v>
      </c>
    </row>
    <row r="1615" spans="1:15" x14ac:dyDescent="0.25">
      <c r="A1615" t="str">
        <f>"10/21/2020 18:26:20.738"</f>
        <v>10/21/2020 18:26:20.738</v>
      </c>
      <c r="B1615" t="str">
        <f>"18:26:28.687"</f>
        <v>18:26:28.687</v>
      </c>
      <c r="C1615" t="str">
        <f>"18:26:28.187"</f>
        <v>18:26:28.187</v>
      </c>
      <c r="D1615" t="s">
        <v>647</v>
      </c>
      <c r="E1615">
        <v>30.550232000000001</v>
      </c>
      <c r="F1615" t="s">
        <v>648</v>
      </c>
      <c r="G1615">
        <v>-89.847735999999998</v>
      </c>
      <c r="H1615">
        <v>1600</v>
      </c>
      <c r="I1615">
        <v>-6</v>
      </c>
      <c r="J1615">
        <v>-151</v>
      </c>
      <c r="K1615">
        <v>64</v>
      </c>
      <c r="L1615">
        <v>1200</v>
      </c>
      <c r="M1615" t="str">
        <f t="shared" si="82"/>
        <v xml:space="preserve">N35DC   </v>
      </c>
      <c r="N1615">
        <v>1</v>
      </c>
      <c r="O1615">
        <v>1700</v>
      </c>
    </row>
    <row r="1616" spans="1:15" x14ac:dyDescent="0.25">
      <c r="A1616" t="str">
        <f>"10/21/2020 18:26:20.738"</f>
        <v>10/21/2020 18:26:20.738</v>
      </c>
      <c r="B1616" t="str">
        <f>"18:26:28.687"</f>
        <v>18:26:28.687</v>
      </c>
      <c r="C1616" t="str">
        <f>"18:26:28.187"</f>
        <v>18:26:28.187</v>
      </c>
      <c r="D1616" t="s">
        <v>647</v>
      </c>
      <c r="E1616">
        <v>30.550232000000001</v>
      </c>
      <c r="F1616" t="s">
        <v>648</v>
      </c>
      <c r="G1616">
        <v>-89.847735999999998</v>
      </c>
      <c r="H1616">
        <v>1600</v>
      </c>
      <c r="I1616">
        <v>-6</v>
      </c>
      <c r="J1616">
        <v>-151</v>
      </c>
      <c r="K1616">
        <v>64</v>
      </c>
      <c r="L1616">
        <v>1200</v>
      </c>
      <c r="M1616" t="str">
        <f t="shared" si="82"/>
        <v xml:space="preserve">N35DC   </v>
      </c>
      <c r="N1616">
        <v>1</v>
      </c>
      <c r="O1616">
        <v>1700</v>
      </c>
    </row>
    <row r="1617" spans="1:15" x14ac:dyDescent="0.25">
      <c r="A1617" t="str">
        <f>"10/21/2020 18:26:21.734"</f>
        <v>10/21/2020 18:26:21.734</v>
      </c>
      <c r="B1617" t="str">
        <f t="shared" ref="B1617:C1621" si="83">"18:26:29.680"</f>
        <v>18:26:29.680</v>
      </c>
      <c r="C1617" t="str">
        <f t="shared" si="83"/>
        <v>18:26:29.680</v>
      </c>
      <c r="D1617" t="s">
        <v>649</v>
      </c>
      <c r="E1617">
        <v>30.549544999999998</v>
      </c>
      <c r="F1617" t="s">
        <v>650</v>
      </c>
      <c r="G1617">
        <v>-89.847693000000007</v>
      </c>
      <c r="H1617">
        <v>1600</v>
      </c>
      <c r="I1617">
        <v>-7</v>
      </c>
      <c r="J1617">
        <v>-151</v>
      </c>
      <c r="K1617">
        <v>0</v>
      </c>
      <c r="L1617">
        <v>1200</v>
      </c>
      <c r="M1617" t="str">
        <f t="shared" si="82"/>
        <v xml:space="preserve">N35DC   </v>
      </c>
      <c r="N1617">
        <v>1</v>
      </c>
      <c r="O1617">
        <v>1700</v>
      </c>
    </row>
    <row r="1618" spans="1:15" x14ac:dyDescent="0.25">
      <c r="A1618" t="str">
        <f>"10/21/2020 18:26:21.734"</f>
        <v>10/21/2020 18:26:21.734</v>
      </c>
      <c r="B1618" t="str">
        <f t="shared" si="83"/>
        <v>18:26:29.680</v>
      </c>
      <c r="C1618" t="str">
        <f t="shared" si="83"/>
        <v>18:26:29.680</v>
      </c>
      <c r="D1618" t="s">
        <v>649</v>
      </c>
      <c r="E1618">
        <v>30.549544999999998</v>
      </c>
      <c r="F1618" t="s">
        <v>650</v>
      </c>
      <c r="G1618">
        <v>-89.847693000000007</v>
      </c>
      <c r="H1618">
        <v>1600</v>
      </c>
      <c r="I1618">
        <v>-7</v>
      </c>
      <c r="J1618">
        <v>-151</v>
      </c>
      <c r="K1618">
        <v>0</v>
      </c>
      <c r="L1618">
        <v>1200</v>
      </c>
      <c r="M1618" t="str">
        <f t="shared" si="82"/>
        <v xml:space="preserve">N35DC   </v>
      </c>
      <c r="N1618">
        <v>1</v>
      </c>
      <c r="O1618">
        <v>1700</v>
      </c>
    </row>
    <row r="1619" spans="1:15" x14ac:dyDescent="0.25">
      <c r="A1619" t="str">
        <f>"10/21/2020 18:26:21.734"</f>
        <v>10/21/2020 18:26:21.734</v>
      </c>
      <c r="B1619" t="str">
        <f t="shared" si="83"/>
        <v>18:26:29.680</v>
      </c>
      <c r="C1619" t="str">
        <f t="shared" si="83"/>
        <v>18:26:29.680</v>
      </c>
      <c r="D1619" t="s">
        <v>649</v>
      </c>
      <c r="E1619">
        <v>30.549544999999998</v>
      </c>
      <c r="F1619" t="s">
        <v>650</v>
      </c>
      <c r="G1619">
        <v>-89.847693000000007</v>
      </c>
      <c r="H1619">
        <v>1600</v>
      </c>
      <c r="I1619">
        <v>-7</v>
      </c>
      <c r="J1619">
        <v>-151</v>
      </c>
      <c r="K1619">
        <v>0</v>
      </c>
      <c r="L1619">
        <v>1200</v>
      </c>
      <c r="M1619" t="str">
        <f t="shared" si="82"/>
        <v xml:space="preserve">N35DC   </v>
      </c>
      <c r="N1619">
        <v>1</v>
      </c>
      <c r="O1619">
        <v>1700</v>
      </c>
    </row>
    <row r="1620" spans="1:15" x14ac:dyDescent="0.25">
      <c r="A1620" t="str">
        <f>"10/21/2020 18:26:21.734"</f>
        <v>10/21/2020 18:26:21.734</v>
      </c>
      <c r="B1620" t="str">
        <f t="shared" si="83"/>
        <v>18:26:29.680</v>
      </c>
      <c r="C1620" t="str">
        <f t="shared" si="83"/>
        <v>18:26:29.680</v>
      </c>
      <c r="D1620" t="s">
        <v>649</v>
      </c>
      <c r="E1620">
        <v>30.549544999999998</v>
      </c>
      <c r="F1620" t="s">
        <v>650</v>
      </c>
      <c r="G1620">
        <v>-89.847693000000007</v>
      </c>
      <c r="H1620">
        <v>1600</v>
      </c>
      <c r="I1620">
        <v>-7</v>
      </c>
      <c r="J1620">
        <v>-151</v>
      </c>
      <c r="K1620">
        <v>0</v>
      </c>
      <c r="L1620">
        <v>1200</v>
      </c>
      <c r="M1620" t="str">
        <f t="shared" si="82"/>
        <v xml:space="preserve">N35DC   </v>
      </c>
      <c r="N1620">
        <v>1</v>
      </c>
      <c r="O1620">
        <v>1700</v>
      </c>
    </row>
    <row r="1621" spans="1:15" x14ac:dyDescent="0.25">
      <c r="A1621" t="str">
        <f>"10/21/2020 18:26:21.734"</f>
        <v>10/21/2020 18:26:21.734</v>
      </c>
      <c r="B1621" t="str">
        <f t="shared" si="83"/>
        <v>18:26:29.680</v>
      </c>
      <c r="C1621" t="str">
        <f t="shared" si="83"/>
        <v>18:26:29.680</v>
      </c>
      <c r="D1621" t="s">
        <v>649</v>
      </c>
      <c r="E1621">
        <v>30.549544999999998</v>
      </c>
      <c r="F1621" t="s">
        <v>650</v>
      </c>
      <c r="G1621">
        <v>-89.847693000000007</v>
      </c>
      <c r="H1621">
        <v>1600</v>
      </c>
      <c r="I1621">
        <v>-7</v>
      </c>
      <c r="J1621">
        <v>-151</v>
      </c>
      <c r="K1621">
        <v>0</v>
      </c>
      <c r="L1621">
        <v>1200</v>
      </c>
      <c r="M1621" t="str">
        <f t="shared" si="82"/>
        <v xml:space="preserve">N35DC   </v>
      </c>
      <c r="N1621">
        <v>1</v>
      </c>
      <c r="O1621">
        <v>1700</v>
      </c>
    </row>
    <row r="1622" spans="1:15" x14ac:dyDescent="0.25">
      <c r="A1622" t="str">
        <f>"10/21/2020 18:26:22.602"</f>
        <v>10/21/2020 18:26:22.602</v>
      </c>
      <c r="B1622" t="str">
        <f>"18:26:30.547"</f>
        <v>18:26:30.547</v>
      </c>
      <c r="C1622" t="str">
        <f>"18:26:30.147"</f>
        <v>18:26:30.147</v>
      </c>
      <c r="D1622" t="s">
        <v>651</v>
      </c>
      <c r="E1622">
        <v>30.548943999999999</v>
      </c>
      <c r="F1622" t="s">
        <v>652</v>
      </c>
      <c r="G1622">
        <v>-89.847757999999999</v>
      </c>
      <c r="H1622">
        <v>1600</v>
      </c>
      <c r="I1622">
        <v>-7</v>
      </c>
      <c r="J1622">
        <v>-151</v>
      </c>
      <c r="K1622">
        <v>0</v>
      </c>
      <c r="L1622">
        <v>1200</v>
      </c>
      <c r="M1622" t="str">
        <f t="shared" si="82"/>
        <v xml:space="preserve">N35DC   </v>
      </c>
      <c r="N1622">
        <v>1</v>
      </c>
      <c r="O1622">
        <v>1700</v>
      </c>
    </row>
    <row r="1623" spans="1:15" x14ac:dyDescent="0.25">
      <c r="A1623" t="str">
        <f>"10/21/2020 18:26:22.602"</f>
        <v>10/21/2020 18:26:22.602</v>
      </c>
      <c r="B1623" t="str">
        <f>"18:26:30.547"</f>
        <v>18:26:30.547</v>
      </c>
      <c r="C1623" t="str">
        <f>"18:26:30.147"</f>
        <v>18:26:30.147</v>
      </c>
      <c r="D1623" t="s">
        <v>651</v>
      </c>
      <c r="E1623">
        <v>30.548943999999999</v>
      </c>
      <c r="F1623" t="s">
        <v>652</v>
      </c>
      <c r="G1623">
        <v>-89.847757999999999</v>
      </c>
      <c r="H1623">
        <v>1600</v>
      </c>
      <c r="I1623">
        <v>-7</v>
      </c>
      <c r="J1623">
        <v>-151</v>
      </c>
      <c r="K1623">
        <v>0</v>
      </c>
      <c r="L1623">
        <v>1200</v>
      </c>
      <c r="M1623" t="str">
        <f t="shared" si="82"/>
        <v xml:space="preserve">N35DC   </v>
      </c>
      <c r="N1623">
        <v>1</v>
      </c>
      <c r="O1623">
        <v>1700</v>
      </c>
    </row>
    <row r="1624" spans="1:15" x14ac:dyDescent="0.25">
      <c r="A1624" t="str">
        <f>"10/21/2020 18:26:22.602"</f>
        <v>10/21/2020 18:26:22.602</v>
      </c>
      <c r="B1624" t="str">
        <f>"18:26:30.547"</f>
        <v>18:26:30.547</v>
      </c>
      <c r="C1624" t="str">
        <f>"18:26:30.147"</f>
        <v>18:26:30.147</v>
      </c>
      <c r="D1624" t="s">
        <v>651</v>
      </c>
      <c r="E1624">
        <v>30.548943999999999</v>
      </c>
      <c r="F1624" t="s">
        <v>652</v>
      </c>
      <c r="G1624">
        <v>-89.847757999999999</v>
      </c>
      <c r="H1624">
        <v>1600</v>
      </c>
      <c r="I1624">
        <v>-7</v>
      </c>
      <c r="J1624">
        <v>-151</v>
      </c>
      <c r="K1624">
        <v>0</v>
      </c>
      <c r="L1624">
        <v>1200</v>
      </c>
      <c r="M1624" t="str">
        <f t="shared" si="82"/>
        <v xml:space="preserve">N35DC   </v>
      </c>
      <c r="N1624">
        <v>1</v>
      </c>
      <c r="O1624">
        <v>1700</v>
      </c>
    </row>
    <row r="1625" spans="1:15" x14ac:dyDescent="0.25">
      <c r="A1625" t="str">
        <f>"10/21/2020 18:26:22.602"</f>
        <v>10/21/2020 18:26:22.602</v>
      </c>
      <c r="B1625" t="str">
        <f>"18:26:30.547"</f>
        <v>18:26:30.547</v>
      </c>
      <c r="C1625" t="str">
        <f>"18:26:30.147"</f>
        <v>18:26:30.147</v>
      </c>
      <c r="D1625" t="s">
        <v>651</v>
      </c>
      <c r="E1625">
        <v>30.548943999999999</v>
      </c>
      <c r="F1625" t="s">
        <v>652</v>
      </c>
      <c r="G1625">
        <v>-89.847757999999999</v>
      </c>
      <c r="H1625">
        <v>1600</v>
      </c>
      <c r="I1625">
        <v>-7</v>
      </c>
      <c r="J1625">
        <v>-151</v>
      </c>
      <c r="K1625">
        <v>0</v>
      </c>
      <c r="L1625">
        <v>1200</v>
      </c>
      <c r="M1625" t="str">
        <f t="shared" si="82"/>
        <v xml:space="preserve">N35DC   </v>
      </c>
      <c r="N1625">
        <v>1</v>
      </c>
      <c r="O1625">
        <v>1700</v>
      </c>
    </row>
    <row r="1626" spans="1:15" x14ac:dyDescent="0.25">
      <c r="A1626" t="str">
        <f>"10/21/2020 18:26:22.602"</f>
        <v>10/21/2020 18:26:22.602</v>
      </c>
      <c r="B1626" t="str">
        <f>"18:26:30.547"</f>
        <v>18:26:30.547</v>
      </c>
      <c r="C1626" t="str">
        <f>"18:26:30.147"</f>
        <v>18:26:30.147</v>
      </c>
      <c r="D1626" t="s">
        <v>651</v>
      </c>
      <c r="E1626">
        <v>30.548943999999999</v>
      </c>
      <c r="F1626" t="s">
        <v>652</v>
      </c>
      <c r="G1626">
        <v>-89.847757999999999</v>
      </c>
      <c r="H1626">
        <v>1600</v>
      </c>
      <c r="I1626">
        <v>-7</v>
      </c>
      <c r="J1626">
        <v>-151</v>
      </c>
      <c r="K1626">
        <v>0</v>
      </c>
      <c r="L1626">
        <v>1200</v>
      </c>
      <c r="M1626" t="str">
        <f t="shared" si="82"/>
        <v xml:space="preserve">N35DC   </v>
      </c>
      <c r="N1626">
        <v>1</v>
      </c>
      <c r="O1626">
        <v>1700</v>
      </c>
    </row>
    <row r="1627" spans="1:15" x14ac:dyDescent="0.25">
      <c r="A1627" t="str">
        <f>"10/21/2020 18:26:25.374"</f>
        <v>10/21/2020 18:26:25.374</v>
      </c>
      <c r="B1627" t="str">
        <f>"18:26:33.320"</f>
        <v>18:26:33.320</v>
      </c>
      <c r="C1627" t="str">
        <f>"18:26:33.120"</f>
        <v>18:26:33.120</v>
      </c>
      <c r="D1627" t="s">
        <v>653</v>
      </c>
      <c r="E1627">
        <v>30.547035000000001</v>
      </c>
      <c r="F1627" t="s">
        <v>432</v>
      </c>
      <c r="G1627">
        <v>-89.847864999999999</v>
      </c>
      <c r="H1627">
        <v>1600</v>
      </c>
      <c r="I1627">
        <v>-6</v>
      </c>
      <c r="J1627">
        <v>-150</v>
      </c>
      <c r="K1627">
        <v>-64</v>
      </c>
      <c r="L1627">
        <v>1200</v>
      </c>
      <c r="M1627" t="str">
        <f t="shared" si="82"/>
        <v xml:space="preserve">N35DC   </v>
      </c>
      <c r="N1627">
        <v>1</v>
      </c>
      <c r="O1627">
        <v>1700</v>
      </c>
    </row>
    <row r="1628" spans="1:15" x14ac:dyDescent="0.25">
      <c r="A1628" t="str">
        <f>"10/21/2020 18:26:25.374"</f>
        <v>10/21/2020 18:26:25.374</v>
      </c>
      <c r="B1628" t="str">
        <f>"18:26:33.320"</f>
        <v>18:26:33.320</v>
      </c>
      <c r="C1628" t="str">
        <f>"18:26:33.120"</f>
        <v>18:26:33.120</v>
      </c>
      <c r="D1628" t="s">
        <v>653</v>
      </c>
      <c r="E1628">
        <v>30.547035000000001</v>
      </c>
      <c r="F1628" t="s">
        <v>432</v>
      </c>
      <c r="G1628">
        <v>-89.847864999999999</v>
      </c>
      <c r="H1628">
        <v>1600</v>
      </c>
      <c r="I1628">
        <v>-6</v>
      </c>
      <c r="J1628">
        <v>-150</v>
      </c>
      <c r="K1628">
        <v>-64</v>
      </c>
      <c r="L1628">
        <v>1200</v>
      </c>
      <c r="M1628" t="str">
        <f t="shared" si="82"/>
        <v xml:space="preserve">N35DC   </v>
      </c>
      <c r="N1628">
        <v>1</v>
      </c>
      <c r="O1628">
        <v>1700</v>
      </c>
    </row>
    <row r="1629" spans="1:15" x14ac:dyDescent="0.25">
      <c r="A1629" t="str">
        <f>"10/21/2020 18:26:25.374"</f>
        <v>10/21/2020 18:26:25.374</v>
      </c>
      <c r="B1629" t="str">
        <f>"18:26:33.320"</f>
        <v>18:26:33.320</v>
      </c>
      <c r="C1629" t="str">
        <f>"18:26:33.120"</f>
        <v>18:26:33.120</v>
      </c>
      <c r="D1629" t="s">
        <v>653</v>
      </c>
      <c r="E1629">
        <v>30.547035000000001</v>
      </c>
      <c r="F1629" t="s">
        <v>432</v>
      </c>
      <c r="G1629">
        <v>-89.847864999999999</v>
      </c>
      <c r="H1629">
        <v>1600</v>
      </c>
      <c r="I1629">
        <v>-6</v>
      </c>
      <c r="J1629">
        <v>-150</v>
      </c>
      <c r="K1629">
        <v>-64</v>
      </c>
      <c r="L1629">
        <v>1200</v>
      </c>
      <c r="M1629" t="str">
        <f t="shared" si="82"/>
        <v xml:space="preserve">N35DC   </v>
      </c>
      <c r="N1629">
        <v>1</v>
      </c>
      <c r="O1629">
        <v>1700</v>
      </c>
    </row>
    <row r="1630" spans="1:15" x14ac:dyDescent="0.25">
      <c r="A1630" t="str">
        <f>"10/21/2020 18:26:25.374"</f>
        <v>10/21/2020 18:26:25.374</v>
      </c>
      <c r="B1630" t="str">
        <f>"18:26:33.320"</f>
        <v>18:26:33.320</v>
      </c>
      <c r="C1630" t="str">
        <f>"18:26:33.120"</f>
        <v>18:26:33.120</v>
      </c>
      <c r="D1630" t="s">
        <v>653</v>
      </c>
      <c r="E1630">
        <v>30.547035000000001</v>
      </c>
      <c r="F1630" t="s">
        <v>432</v>
      </c>
      <c r="G1630">
        <v>-89.847864999999999</v>
      </c>
      <c r="H1630">
        <v>1600</v>
      </c>
      <c r="I1630">
        <v>-6</v>
      </c>
      <c r="J1630">
        <v>-150</v>
      </c>
      <c r="K1630">
        <v>-64</v>
      </c>
      <c r="L1630">
        <v>1200</v>
      </c>
      <c r="M1630" t="str">
        <f t="shared" si="82"/>
        <v xml:space="preserve">N35DC   </v>
      </c>
      <c r="N1630">
        <v>1</v>
      </c>
      <c r="O1630">
        <v>1700</v>
      </c>
    </row>
    <row r="1631" spans="1:15" x14ac:dyDescent="0.25">
      <c r="A1631" t="str">
        <f>"10/21/2020 18:26:25.374"</f>
        <v>10/21/2020 18:26:25.374</v>
      </c>
      <c r="B1631" t="str">
        <f>"18:26:33.320"</f>
        <v>18:26:33.320</v>
      </c>
      <c r="C1631" t="str">
        <f>"18:26:33.120"</f>
        <v>18:26:33.120</v>
      </c>
      <c r="D1631" t="s">
        <v>653</v>
      </c>
      <c r="E1631">
        <v>30.547035000000001</v>
      </c>
      <c r="F1631" t="s">
        <v>432</v>
      </c>
      <c r="G1631">
        <v>-89.847864999999999</v>
      </c>
      <c r="H1631">
        <v>1600</v>
      </c>
      <c r="I1631">
        <v>-6</v>
      </c>
      <c r="J1631">
        <v>-150</v>
      </c>
      <c r="K1631">
        <v>-64</v>
      </c>
      <c r="L1631">
        <v>1200</v>
      </c>
      <c r="M1631" t="str">
        <f t="shared" si="82"/>
        <v xml:space="preserve">N35DC   </v>
      </c>
      <c r="N1631">
        <v>1</v>
      </c>
      <c r="O1631">
        <v>1700</v>
      </c>
    </row>
    <row r="1632" spans="1:15" x14ac:dyDescent="0.25">
      <c r="A1632" t="str">
        <f>"10/21/2020 18:26:26.588"</f>
        <v>10/21/2020 18:26:26.588</v>
      </c>
      <c r="B1632" t="str">
        <f>"18:26:34.508"</f>
        <v>18:26:34.508</v>
      </c>
      <c r="C1632" t="str">
        <f>"18:26:34.108"</f>
        <v>18:26:34.108</v>
      </c>
      <c r="D1632" t="s">
        <v>654</v>
      </c>
      <c r="E1632">
        <v>30.546198</v>
      </c>
      <c r="F1632" t="s">
        <v>655</v>
      </c>
      <c r="G1632">
        <v>-89.847908000000004</v>
      </c>
      <c r="H1632">
        <v>1600</v>
      </c>
      <c r="I1632">
        <v>-6</v>
      </c>
      <c r="J1632">
        <v>-150</v>
      </c>
      <c r="K1632">
        <v>-64</v>
      </c>
      <c r="L1632">
        <v>1200</v>
      </c>
      <c r="M1632" t="str">
        <f t="shared" si="82"/>
        <v xml:space="preserve">N35DC   </v>
      </c>
      <c r="N1632">
        <v>1</v>
      </c>
      <c r="O1632">
        <v>1700</v>
      </c>
    </row>
    <row r="1633" spans="1:15" x14ac:dyDescent="0.25">
      <c r="A1633" t="str">
        <f>"10/21/2020 18:26:26.588"</f>
        <v>10/21/2020 18:26:26.588</v>
      </c>
      <c r="B1633" t="str">
        <f>"18:26:34.508"</f>
        <v>18:26:34.508</v>
      </c>
      <c r="C1633" t="str">
        <f>"18:26:34.108"</f>
        <v>18:26:34.108</v>
      </c>
      <c r="D1633" t="s">
        <v>654</v>
      </c>
      <c r="E1633">
        <v>30.546198</v>
      </c>
      <c r="F1633" t="s">
        <v>655</v>
      </c>
      <c r="G1633">
        <v>-89.847908000000004</v>
      </c>
      <c r="H1633">
        <v>1600</v>
      </c>
      <c r="I1633">
        <v>-6</v>
      </c>
      <c r="J1633">
        <v>-150</v>
      </c>
      <c r="K1633">
        <v>-64</v>
      </c>
      <c r="L1633">
        <v>1200</v>
      </c>
      <c r="M1633" t="str">
        <f t="shared" si="82"/>
        <v xml:space="preserve">N35DC   </v>
      </c>
      <c r="N1633">
        <v>1</v>
      </c>
      <c r="O1633">
        <v>1700</v>
      </c>
    </row>
    <row r="1634" spans="1:15" x14ac:dyDescent="0.25">
      <c r="A1634" t="str">
        <f>"10/21/2020 18:26:26.588"</f>
        <v>10/21/2020 18:26:26.588</v>
      </c>
      <c r="B1634" t="str">
        <f>"18:26:34.508"</f>
        <v>18:26:34.508</v>
      </c>
      <c r="C1634" t="str">
        <f>"18:26:34.108"</f>
        <v>18:26:34.108</v>
      </c>
      <c r="D1634" t="s">
        <v>654</v>
      </c>
      <c r="E1634">
        <v>30.546198</v>
      </c>
      <c r="F1634" t="s">
        <v>655</v>
      </c>
      <c r="G1634">
        <v>-89.847908000000004</v>
      </c>
      <c r="H1634">
        <v>1600</v>
      </c>
      <c r="I1634">
        <v>-6</v>
      </c>
      <c r="J1634">
        <v>-150</v>
      </c>
      <c r="K1634">
        <v>-64</v>
      </c>
      <c r="L1634">
        <v>1200</v>
      </c>
      <c r="M1634" t="str">
        <f t="shared" si="82"/>
        <v xml:space="preserve">N35DC   </v>
      </c>
      <c r="N1634">
        <v>1</v>
      </c>
      <c r="O1634">
        <v>1700</v>
      </c>
    </row>
    <row r="1635" spans="1:15" x14ac:dyDescent="0.25">
      <c r="A1635" t="str">
        <f>"10/21/2020 18:26:26.588"</f>
        <v>10/21/2020 18:26:26.588</v>
      </c>
      <c r="B1635" t="str">
        <f>"18:26:34.508"</f>
        <v>18:26:34.508</v>
      </c>
      <c r="C1635" t="str">
        <f>"18:26:34.108"</f>
        <v>18:26:34.108</v>
      </c>
      <c r="D1635" t="s">
        <v>654</v>
      </c>
      <c r="E1635">
        <v>30.546198</v>
      </c>
      <c r="F1635" t="s">
        <v>655</v>
      </c>
      <c r="G1635">
        <v>-89.847908000000004</v>
      </c>
      <c r="H1635">
        <v>1600</v>
      </c>
      <c r="I1635">
        <v>-6</v>
      </c>
      <c r="J1635">
        <v>-150</v>
      </c>
      <c r="K1635">
        <v>-64</v>
      </c>
      <c r="L1635">
        <v>1200</v>
      </c>
      <c r="M1635" t="str">
        <f t="shared" si="82"/>
        <v xml:space="preserve">N35DC   </v>
      </c>
      <c r="N1635">
        <v>1</v>
      </c>
      <c r="O1635">
        <v>1700</v>
      </c>
    </row>
    <row r="1636" spans="1:15" x14ac:dyDescent="0.25">
      <c r="A1636" t="str">
        <f>"10/21/2020 18:26:26.588"</f>
        <v>10/21/2020 18:26:26.588</v>
      </c>
      <c r="B1636" t="str">
        <f>"18:26:34.508"</f>
        <v>18:26:34.508</v>
      </c>
      <c r="C1636" t="str">
        <f>"18:26:34.108"</f>
        <v>18:26:34.108</v>
      </c>
      <c r="D1636" t="s">
        <v>654</v>
      </c>
      <c r="E1636">
        <v>30.546198</v>
      </c>
      <c r="F1636" t="s">
        <v>655</v>
      </c>
      <c r="G1636">
        <v>-89.847908000000004</v>
      </c>
      <c r="H1636">
        <v>1600</v>
      </c>
      <c r="I1636">
        <v>-6</v>
      </c>
      <c r="J1636">
        <v>-150</v>
      </c>
      <c r="K1636">
        <v>-64</v>
      </c>
      <c r="L1636">
        <v>1200</v>
      </c>
      <c r="M1636" t="str">
        <f t="shared" si="82"/>
        <v xml:space="preserve">N35DC   </v>
      </c>
      <c r="N1636">
        <v>1</v>
      </c>
      <c r="O1636">
        <v>1700</v>
      </c>
    </row>
    <row r="1637" spans="1:15" x14ac:dyDescent="0.25">
      <c r="A1637" t="str">
        <f>"10/21/2020 18:26:27.649"</f>
        <v>10/21/2020 18:26:27.649</v>
      </c>
      <c r="B1637" t="str">
        <f>"18:26:35.586"</f>
        <v>18:26:35.586</v>
      </c>
      <c r="C1637" t="str">
        <f>"18:26:35.186"</f>
        <v>18:26:35.186</v>
      </c>
      <c r="D1637" t="s">
        <v>656</v>
      </c>
      <c r="E1637">
        <v>30.545425000000002</v>
      </c>
      <c r="F1637" t="s">
        <v>655</v>
      </c>
      <c r="G1637">
        <v>-89.847908000000004</v>
      </c>
      <c r="H1637">
        <v>1600</v>
      </c>
      <c r="I1637">
        <v>-6</v>
      </c>
      <c r="J1637">
        <v>-150</v>
      </c>
      <c r="K1637">
        <v>0</v>
      </c>
      <c r="L1637">
        <v>1200</v>
      </c>
      <c r="M1637" t="str">
        <f t="shared" si="82"/>
        <v xml:space="preserve">N35DC   </v>
      </c>
      <c r="N1637">
        <v>1</v>
      </c>
      <c r="O1637">
        <v>1700</v>
      </c>
    </row>
    <row r="1638" spans="1:15" x14ac:dyDescent="0.25">
      <c r="A1638" t="str">
        <f>"10/21/2020 18:26:27.649"</f>
        <v>10/21/2020 18:26:27.649</v>
      </c>
      <c r="B1638" t="str">
        <f>"18:26:35.586"</f>
        <v>18:26:35.586</v>
      </c>
      <c r="C1638" t="str">
        <f>"18:26:35.186"</f>
        <v>18:26:35.186</v>
      </c>
      <c r="D1638" t="s">
        <v>656</v>
      </c>
      <c r="E1638">
        <v>30.545425000000002</v>
      </c>
      <c r="F1638" t="s">
        <v>655</v>
      </c>
      <c r="G1638">
        <v>-89.847908000000004</v>
      </c>
      <c r="H1638">
        <v>1600</v>
      </c>
      <c r="I1638">
        <v>-6</v>
      </c>
      <c r="J1638">
        <v>-150</v>
      </c>
      <c r="K1638">
        <v>0</v>
      </c>
      <c r="L1638">
        <v>1200</v>
      </c>
      <c r="M1638" t="str">
        <f t="shared" si="82"/>
        <v xml:space="preserve">N35DC   </v>
      </c>
      <c r="N1638">
        <v>1</v>
      </c>
      <c r="O1638">
        <v>1700</v>
      </c>
    </row>
    <row r="1639" spans="1:15" x14ac:dyDescent="0.25">
      <c r="A1639" t="str">
        <f>"10/21/2020 18:26:27.649"</f>
        <v>10/21/2020 18:26:27.649</v>
      </c>
      <c r="B1639" t="str">
        <f>"18:26:35.586"</f>
        <v>18:26:35.586</v>
      </c>
      <c r="C1639" t="str">
        <f>"18:26:35.186"</f>
        <v>18:26:35.186</v>
      </c>
      <c r="D1639" t="s">
        <v>656</v>
      </c>
      <c r="E1639">
        <v>30.545425000000002</v>
      </c>
      <c r="F1639" t="s">
        <v>655</v>
      </c>
      <c r="G1639">
        <v>-89.847908000000004</v>
      </c>
      <c r="H1639">
        <v>1600</v>
      </c>
      <c r="I1639">
        <v>-6</v>
      </c>
      <c r="J1639">
        <v>-150</v>
      </c>
      <c r="K1639">
        <v>0</v>
      </c>
      <c r="L1639">
        <v>1200</v>
      </c>
      <c r="M1639" t="str">
        <f t="shared" si="82"/>
        <v xml:space="preserve">N35DC   </v>
      </c>
      <c r="N1639">
        <v>1</v>
      </c>
      <c r="O1639">
        <v>1700</v>
      </c>
    </row>
    <row r="1640" spans="1:15" x14ac:dyDescent="0.25">
      <c r="A1640" t="str">
        <f>"10/21/2020 18:26:27.649"</f>
        <v>10/21/2020 18:26:27.649</v>
      </c>
      <c r="B1640" t="str">
        <f>"18:26:35.586"</f>
        <v>18:26:35.586</v>
      </c>
      <c r="C1640" t="str">
        <f>"18:26:35.186"</f>
        <v>18:26:35.186</v>
      </c>
      <c r="D1640" t="s">
        <v>656</v>
      </c>
      <c r="E1640">
        <v>30.545425000000002</v>
      </c>
      <c r="F1640" t="s">
        <v>655</v>
      </c>
      <c r="G1640">
        <v>-89.847908000000004</v>
      </c>
      <c r="H1640">
        <v>1600</v>
      </c>
      <c r="I1640">
        <v>-6</v>
      </c>
      <c r="J1640">
        <v>-150</v>
      </c>
      <c r="K1640">
        <v>0</v>
      </c>
      <c r="L1640">
        <v>1200</v>
      </c>
      <c r="M1640" t="str">
        <f t="shared" si="82"/>
        <v xml:space="preserve">N35DC   </v>
      </c>
      <c r="N1640">
        <v>1</v>
      </c>
      <c r="O1640">
        <v>1700</v>
      </c>
    </row>
    <row r="1641" spans="1:15" x14ac:dyDescent="0.25">
      <c r="A1641" t="str">
        <f>"10/21/2020 18:26:27.649"</f>
        <v>10/21/2020 18:26:27.649</v>
      </c>
      <c r="B1641" t="str">
        <f>"18:26:35.586"</f>
        <v>18:26:35.586</v>
      </c>
      <c r="C1641" t="str">
        <f>"18:26:35.186"</f>
        <v>18:26:35.186</v>
      </c>
      <c r="D1641" t="s">
        <v>656</v>
      </c>
      <c r="E1641">
        <v>30.545425000000002</v>
      </c>
      <c r="F1641" t="s">
        <v>655</v>
      </c>
      <c r="G1641">
        <v>-89.847908000000004</v>
      </c>
      <c r="H1641">
        <v>1600</v>
      </c>
      <c r="I1641">
        <v>-6</v>
      </c>
      <c r="J1641">
        <v>-150</v>
      </c>
      <c r="K1641">
        <v>0</v>
      </c>
      <c r="L1641">
        <v>1200</v>
      </c>
      <c r="M1641" t="str">
        <f t="shared" si="82"/>
        <v xml:space="preserve">N35DC   </v>
      </c>
      <c r="N1641">
        <v>1</v>
      </c>
      <c r="O1641">
        <v>1700</v>
      </c>
    </row>
    <row r="1642" spans="1:15" x14ac:dyDescent="0.25">
      <c r="A1642" t="str">
        <f>"10/21/2020 18:26:30.746"</f>
        <v>10/21/2020 18:26:30.746</v>
      </c>
      <c r="B1642" t="str">
        <f>"18:26:38.695"</f>
        <v>18:26:38.695</v>
      </c>
      <c r="C1642" t="str">
        <f>"18:26:38.295"</f>
        <v>18:26:38.295</v>
      </c>
      <c r="D1642" t="s">
        <v>657</v>
      </c>
      <c r="E1642">
        <v>30.543258000000002</v>
      </c>
      <c r="F1642" t="s">
        <v>658</v>
      </c>
      <c r="G1642">
        <v>-89.847994</v>
      </c>
      <c r="H1642">
        <v>1600</v>
      </c>
      <c r="I1642">
        <v>-6</v>
      </c>
      <c r="J1642">
        <v>-150</v>
      </c>
      <c r="K1642">
        <v>64</v>
      </c>
      <c r="L1642">
        <v>1200</v>
      </c>
      <c r="M1642" t="str">
        <f t="shared" si="82"/>
        <v xml:space="preserve">N35DC   </v>
      </c>
      <c r="N1642">
        <v>1</v>
      </c>
      <c r="O1642">
        <v>1700</v>
      </c>
    </row>
    <row r="1643" spans="1:15" x14ac:dyDescent="0.25">
      <c r="A1643" t="str">
        <f>"10/21/2020 18:26:30.746"</f>
        <v>10/21/2020 18:26:30.746</v>
      </c>
      <c r="B1643" t="str">
        <f>"18:26:38.695"</f>
        <v>18:26:38.695</v>
      </c>
      <c r="C1643" t="str">
        <f>"18:26:38.295"</f>
        <v>18:26:38.295</v>
      </c>
      <c r="D1643" t="s">
        <v>657</v>
      </c>
      <c r="E1643">
        <v>30.543258000000002</v>
      </c>
      <c r="F1643" t="s">
        <v>658</v>
      </c>
      <c r="G1643">
        <v>-89.847994</v>
      </c>
      <c r="H1643">
        <v>1600</v>
      </c>
      <c r="I1643">
        <v>-6</v>
      </c>
      <c r="J1643">
        <v>-150</v>
      </c>
      <c r="K1643">
        <v>64</v>
      </c>
      <c r="L1643">
        <v>1200</v>
      </c>
      <c r="M1643" t="str">
        <f t="shared" si="82"/>
        <v xml:space="preserve">N35DC   </v>
      </c>
      <c r="N1643">
        <v>1</v>
      </c>
      <c r="O1643">
        <v>1700</v>
      </c>
    </row>
    <row r="1644" spans="1:15" x14ac:dyDescent="0.25">
      <c r="A1644" t="str">
        <f>"10/21/2020 18:26:30.746"</f>
        <v>10/21/2020 18:26:30.746</v>
      </c>
      <c r="B1644" t="str">
        <f>"18:26:38.695"</f>
        <v>18:26:38.695</v>
      </c>
      <c r="C1644" t="str">
        <f>"18:26:38.295"</f>
        <v>18:26:38.295</v>
      </c>
      <c r="D1644" t="s">
        <v>657</v>
      </c>
      <c r="E1644">
        <v>30.543258000000002</v>
      </c>
      <c r="F1644" t="s">
        <v>658</v>
      </c>
      <c r="G1644">
        <v>-89.847994</v>
      </c>
      <c r="H1644">
        <v>1600</v>
      </c>
      <c r="I1644">
        <v>-6</v>
      </c>
      <c r="J1644">
        <v>-150</v>
      </c>
      <c r="K1644">
        <v>64</v>
      </c>
      <c r="L1644">
        <v>1200</v>
      </c>
      <c r="M1644" t="str">
        <f t="shared" si="82"/>
        <v xml:space="preserve">N35DC   </v>
      </c>
      <c r="N1644">
        <v>1</v>
      </c>
      <c r="O1644">
        <v>1700</v>
      </c>
    </row>
    <row r="1645" spans="1:15" x14ac:dyDescent="0.25">
      <c r="A1645" t="str">
        <f>"10/21/2020 18:26:30.746"</f>
        <v>10/21/2020 18:26:30.746</v>
      </c>
      <c r="B1645" t="str">
        <f>"18:26:38.695"</f>
        <v>18:26:38.695</v>
      </c>
      <c r="C1645" t="str">
        <f>"18:26:38.295"</f>
        <v>18:26:38.295</v>
      </c>
      <c r="D1645" t="s">
        <v>657</v>
      </c>
      <c r="E1645">
        <v>30.543258000000002</v>
      </c>
      <c r="F1645" t="s">
        <v>658</v>
      </c>
      <c r="G1645">
        <v>-89.847994</v>
      </c>
      <c r="H1645">
        <v>1600</v>
      </c>
      <c r="I1645">
        <v>-6</v>
      </c>
      <c r="J1645">
        <v>-150</v>
      </c>
      <c r="K1645">
        <v>64</v>
      </c>
      <c r="L1645">
        <v>1200</v>
      </c>
      <c r="M1645" t="str">
        <f t="shared" si="82"/>
        <v xml:space="preserve">N35DC   </v>
      </c>
      <c r="N1645">
        <v>1</v>
      </c>
      <c r="O1645">
        <v>1700</v>
      </c>
    </row>
    <row r="1646" spans="1:15" x14ac:dyDescent="0.25">
      <c r="A1646" t="str">
        <f>"10/21/2020 18:26:30.746"</f>
        <v>10/21/2020 18:26:30.746</v>
      </c>
      <c r="B1646" t="str">
        <f>"18:26:38.695"</f>
        <v>18:26:38.695</v>
      </c>
      <c r="C1646" t="str">
        <f>"18:26:38.295"</f>
        <v>18:26:38.295</v>
      </c>
      <c r="D1646" t="s">
        <v>657</v>
      </c>
      <c r="E1646">
        <v>30.543258000000002</v>
      </c>
      <c r="F1646" t="s">
        <v>658</v>
      </c>
      <c r="G1646">
        <v>-89.847994</v>
      </c>
      <c r="H1646">
        <v>1600</v>
      </c>
      <c r="I1646">
        <v>-6</v>
      </c>
      <c r="J1646">
        <v>-150</v>
      </c>
      <c r="K1646">
        <v>64</v>
      </c>
      <c r="L1646">
        <v>1200</v>
      </c>
      <c r="M1646" t="str">
        <f t="shared" si="82"/>
        <v xml:space="preserve">N35DC   </v>
      </c>
      <c r="N1646">
        <v>1</v>
      </c>
      <c r="O1646">
        <v>1700</v>
      </c>
    </row>
    <row r="1647" spans="1:15" x14ac:dyDescent="0.25">
      <c r="A1647" t="str">
        <f>"10/21/2020 18:26:31.691"</f>
        <v>10/21/2020 18:26:31.691</v>
      </c>
      <c r="B1647" t="str">
        <f>"18:26:39.625"</f>
        <v>18:26:39.625</v>
      </c>
      <c r="C1647" t="str">
        <f>"18:26:39.225"</f>
        <v>18:26:39.225</v>
      </c>
      <c r="D1647" t="s">
        <v>659</v>
      </c>
      <c r="E1647">
        <v>30.542636000000002</v>
      </c>
      <c r="F1647" t="s">
        <v>660</v>
      </c>
      <c r="G1647">
        <v>-89.848015000000004</v>
      </c>
      <c r="H1647">
        <v>1600</v>
      </c>
      <c r="I1647">
        <v>-6</v>
      </c>
      <c r="J1647">
        <v>-150</v>
      </c>
      <c r="K1647">
        <v>0</v>
      </c>
      <c r="L1647">
        <v>1200</v>
      </c>
      <c r="M1647" t="str">
        <f t="shared" si="82"/>
        <v xml:space="preserve">N35DC   </v>
      </c>
      <c r="N1647">
        <v>1</v>
      </c>
      <c r="O1647">
        <v>1700</v>
      </c>
    </row>
    <row r="1648" spans="1:15" x14ac:dyDescent="0.25">
      <c r="A1648" t="str">
        <f>"10/21/2020 18:26:31.691"</f>
        <v>10/21/2020 18:26:31.691</v>
      </c>
      <c r="B1648" t="str">
        <f>"18:26:39.625"</f>
        <v>18:26:39.625</v>
      </c>
      <c r="C1648" t="str">
        <f>"18:26:39.225"</f>
        <v>18:26:39.225</v>
      </c>
      <c r="D1648" t="s">
        <v>659</v>
      </c>
      <c r="E1648">
        <v>30.542636000000002</v>
      </c>
      <c r="F1648" t="s">
        <v>660</v>
      </c>
      <c r="G1648">
        <v>-89.848015000000004</v>
      </c>
      <c r="H1648">
        <v>1600</v>
      </c>
      <c r="I1648">
        <v>-6</v>
      </c>
      <c r="J1648">
        <v>-150</v>
      </c>
      <c r="K1648">
        <v>0</v>
      </c>
      <c r="L1648">
        <v>1200</v>
      </c>
      <c r="M1648" t="str">
        <f t="shared" si="82"/>
        <v xml:space="preserve">N35DC   </v>
      </c>
      <c r="N1648">
        <v>1</v>
      </c>
      <c r="O1648">
        <v>1700</v>
      </c>
    </row>
    <row r="1649" spans="1:15" x14ac:dyDescent="0.25">
      <c r="A1649" t="str">
        <f>"10/21/2020 18:26:31.691"</f>
        <v>10/21/2020 18:26:31.691</v>
      </c>
      <c r="B1649" t="str">
        <f>"18:26:39.625"</f>
        <v>18:26:39.625</v>
      </c>
      <c r="C1649" t="str">
        <f>"18:26:39.225"</f>
        <v>18:26:39.225</v>
      </c>
      <c r="D1649" t="s">
        <v>659</v>
      </c>
      <c r="E1649">
        <v>30.542636000000002</v>
      </c>
      <c r="F1649" t="s">
        <v>660</v>
      </c>
      <c r="G1649">
        <v>-89.848015000000004</v>
      </c>
      <c r="H1649">
        <v>1600</v>
      </c>
      <c r="I1649">
        <v>-6</v>
      </c>
      <c r="J1649">
        <v>-150</v>
      </c>
      <c r="K1649">
        <v>0</v>
      </c>
      <c r="L1649">
        <v>1200</v>
      </c>
      <c r="M1649" t="str">
        <f t="shared" si="82"/>
        <v xml:space="preserve">N35DC   </v>
      </c>
      <c r="N1649">
        <v>1</v>
      </c>
      <c r="O1649">
        <v>1700</v>
      </c>
    </row>
    <row r="1650" spans="1:15" x14ac:dyDescent="0.25">
      <c r="A1650" t="str">
        <f>"10/21/2020 18:26:31.691"</f>
        <v>10/21/2020 18:26:31.691</v>
      </c>
      <c r="B1650" t="str">
        <f>"18:26:39.625"</f>
        <v>18:26:39.625</v>
      </c>
      <c r="C1650" t="str">
        <f>"18:26:39.225"</f>
        <v>18:26:39.225</v>
      </c>
      <c r="D1650" t="s">
        <v>659</v>
      </c>
      <c r="E1650">
        <v>30.542636000000002</v>
      </c>
      <c r="F1650" t="s">
        <v>660</v>
      </c>
      <c r="G1650">
        <v>-89.848015000000004</v>
      </c>
      <c r="H1650">
        <v>1600</v>
      </c>
      <c r="I1650">
        <v>-6</v>
      </c>
      <c r="J1650">
        <v>-150</v>
      </c>
      <c r="K1650">
        <v>0</v>
      </c>
      <c r="L1650">
        <v>1200</v>
      </c>
      <c r="M1650" t="str">
        <f t="shared" si="82"/>
        <v xml:space="preserve">N35DC   </v>
      </c>
      <c r="N1650">
        <v>1</v>
      </c>
      <c r="O1650">
        <v>1700</v>
      </c>
    </row>
    <row r="1651" spans="1:15" x14ac:dyDescent="0.25">
      <c r="A1651" t="str">
        <f>"10/21/2020 18:26:31.691"</f>
        <v>10/21/2020 18:26:31.691</v>
      </c>
      <c r="B1651" t="str">
        <f>"18:26:39.625"</f>
        <v>18:26:39.625</v>
      </c>
      <c r="C1651" t="str">
        <f>"18:26:39.225"</f>
        <v>18:26:39.225</v>
      </c>
      <c r="D1651" t="s">
        <v>659</v>
      </c>
      <c r="E1651">
        <v>30.542636000000002</v>
      </c>
      <c r="F1651" t="s">
        <v>660</v>
      </c>
      <c r="G1651">
        <v>-89.848015000000004</v>
      </c>
      <c r="H1651">
        <v>1600</v>
      </c>
      <c r="I1651">
        <v>-6</v>
      </c>
      <c r="J1651">
        <v>-150</v>
      </c>
      <c r="K1651">
        <v>0</v>
      </c>
      <c r="L1651">
        <v>1200</v>
      </c>
      <c r="M1651" t="str">
        <f t="shared" si="82"/>
        <v xml:space="preserve">N35DC   </v>
      </c>
      <c r="N1651">
        <v>1</v>
      </c>
      <c r="O1651">
        <v>1700</v>
      </c>
    </row>
    <row r="1652" spans="1:15" x14ac:dyDescent="0.25">
      <c r="A1652" t="str">
        <f>"10/21/2020 18:26:32.603"</f>
        <v>10/21/2020 18:26:32.603</v>
      </c>
      <c r="B1652" t="str">
        <f t="shared" ref="B1652:C1656" si="84">"18:26:40.539"</f>
        <v>18:26:40.539</v>
      </c>
      <c r="C1652" t="str">
        <f t="shared" si="84"/>
        <v>18:26:40.539</v>
      </c>
      <c r="D1652" t="s">
        <v>661</v>
      </c>
      <c r="E1652">
        <v>30.541992</v>
      </c>
      <c r="F1652" t="s">
        <v>545</v>
      </c>
      <c r="G1652">
        <v>-89.848079999999996</v>
      </c>
      <c r="H1652">
        <v>1600</v>
      </c>
      <c r="I1652">
        <v>-7</v>
      </c>
      <c r="J1652">
        <v>-150</v>
      </c>
      <c r="K1652">
        <v>64</v>
      </c>
      <c r="L1652">
        <v>1200</v>
      </c>
      <c r="M1652" t="str">
        <f t="shared" si="82"/>
        <v xml:space="preserve">N35DC   </v>
      </c>
      <c r="N1652">
        <v>1</v>
      </c>
      <c r="O1652">
        <v>1700</v>
      </c>
    </row>
    <row r="1653" spans="1:15" x14ac:dyDescent="0.25">
      <c r="A1653" t="str">
        <f>"10/21/2020 18:26:32.603"</f>
        <v>10/21/2020 18:26:32.603</v>
      </c>
      <c r="B1653" t="str">
        <f t="shared" si="84"/>
        <v>18:26:40.539</v>
      </c>
      <c r="C1653" t="str">
        <f t="shared" si="84"/>
        <v>18:26:40.539</v>
      </c>
      <c r="D1653" t="s">
        <v>661</v>
      </c>
      <c r="E1653">
        <v>30.541992</v>
      </c>
      <c r="F1653" t="s">
        <v>545</v>
      </c>
      <c r="G1653">
        <v>-89.848079999999996</v>
      </c>
      <c r="H1653">
        <v>1600</v>
      </c>
      <c r="I1653">
        <v>-7</v>
      </c>
      <c r="J1653">
        <v>-150</v>
      </c>
      <c r="K1653">
        <v>64</v>
      </c>
      <c r="L1653">
        <v>1200</v>
      </c>
      <c r="M1653" t="str">
        <f t="shared" si="82"/>
        <v xml:space="preserve">N35DC   </v>
      </c>
      <c r="N1653">
        <v>1</v>
      </c>
      <c r="O1653">
        <v>1700</v>
      </c>
    </row>
    <row r="1654" spans="1:15" x14ac:dyDescent="0.25">
      <c r="A1654" t="str">
        <f>"10/21/2020 18:26:32.603"</f>
        <v>10/21/2020 18:26:32.603</v>
      </c>
      <c r="B1654" t="str">
        <f t="shared" si="84"/>
        <v>18:26:40.539</v>
      </c>
      <c r="C1654" t="str">
        <f t="shared" si="84"/>
        <v>18:26:40.539</v>
      </c>
      <c r="D1654" t="s">
        <v>661</v>
      </c>
      <c r="E1654">
        <v>30.541992</v>
      </c>
      <c r="F1654" t="s">
        <v>545</v>
      </c>
      <c r="G1654">
        <v>-89.848079999999996</v>
      </c>
      <c r="H1654">
        <v>1600</v>
      </c>
      <c r="I1654">
        <v>-7</v>
      </c>
      <c r="J1654">
        <v>-150</v>
      </c>
      <c r="K1654">
        <v>64</v>
      </c>
      <c r="L1654">
        <v>1200</v>
      </c>
      <c r="M1654" t="str">
        <f t="shared" si="82"/>
        <v xml:space="preserve">N35DC   </v>
      </c>
      <c r="N1654">
        <v>1</v>
      </c>
      <c r="O1654">
        <v>1700</v>
      </c>
    </row>
    <row r="1655" spans="1:15" x14ac:dyDescent="0.25">
      <c r="A1655" t="str">
        <f>"10/21/2020 18:26:32.603"</f>
        <v>10/21/2020 18:26:32.603</v>
      </c>
      <c r="B1655" t="str">
        <f t="shared" si="84"/>
        <v>18:26:40.539</v>
      </c>
      <c r="C1655" t="str">
        <f t="shared" si="84"/>
        <v>18:26:40.539</v>
      </c>
      <c r="D1655" t="s">
        <v>661</v>
      </c>
      <c r="E1655">
        <v>30.541992</v>
      </c>
      <c r="F1655" t="s">
        <v>545</v>
      </c>
      <c r="G1655">
        <v>-89.848079999999996</v>
      </c>
      <c r="H1655">
        <v>1600</v>
      </c>
      <c r="I1655">
        <v>-7</v>
      </c>
      <c r="J1655">
        <v>-150</v>
      </c>
      <c r="K1655">
        <v>64</v>
      </c>
      <c r="L1655">
        <v>1200</v>
      </c>
      <c r="M1655" t="str">
        <f t="shared" si="82"/>
        <v xml:space="preserve">N35DC   </v>
      </c>
      <c r="N1655">
        <v>1</v>
      </c>
      <c r="O1655">
        <v>1700</v>
      </c>
    </row>
    <row r="1656" spans="1:15" x14ac:dyDescent="0.25">
      <c r="A1656" t="str">
        <f>"10/21/2020 18:26:32.603"</f>
        <v>10/21/2020 18:26:32.603</v>
      </c>
      <c r="B1656" t="str">
        <f t="shared" si="84"/>
        <v>18:26:40.539</v>
      </c>
      <c r="C1656" t="str">
        <f t="shared" si="84"/>
        <v>18:26:40.539</v>
      </c>
      <c r="D1656" t="s">
        <v>661</v>
      </c>
      <c r="E1656">
        <v>30.541992</v>
      </c>
      <c r="F1656" t="s">
        <v>545</v>
      </c>
      <c r="G1656">
        <v>-89.848079999999996</v>
      </c>
      <c r="H1656">
        <v>1600</v>
      </c>
      <c r="I1656">
        <v>-7</v>
      </c>
      <c r="J1656">
        <v>-150</v>
      </c>
      <c r="K1656">
        <v>64</v>
      </c>
      <c r="L1656">
        <v>1200</v>
      </c>
      <c r="M1656" t="str">
        <f t="shared" si="82"/>
        <v xml:space="preserve">N35DC   </v>
      </c>
      <c r="N1656">
        <v>1</v>
      </c>
      <c r="O1656">
        <v>1700</v>
      </c>
    </row>
    <row r="1657" spans="1:15" x14ac:dyDescent="0.25">
      <c r="A1657" t="str">
        <f>"10/21/2020 18:26:35.586"</f>
        <v>10/21/2020 18:26:35.586</v>
      </c>
      <c r="B1657" t="str">
        <f>"18:26:43.539"</f>
        <v>18:26:43.539</v>
      </c>
      <c r="C1657" t="str">
        <f>"18:26:43.139"</f>
        <v>18:26:43.139</v>
      </c>
      <c r="D1657" t="s">
        <v>662</v>
      </c>
      <c r="E1657">
        <v>30.539888999999999</v>
      </c>
      <c r="F1657" t="s">
        <v>663</v>
      </c>
      <c r="G1657">
        <v>-89.848230000000001</v>
      </c>
      <c r="H1657">
        <v>1600</v>
      </c>
      <c r="I1657">
        <v>-8</v>
      </c>
      <c r="J1657">
        <v>-150</v>
      </c>
      <c r="K1657">
        <v>256</v>
      </c>
      <c r="L1657">
        <v>1200</v>
      </c>
      <c r="M1657" t="str">
        <f t="shared" si="82"/>
        <v xml:space="preserve">N35DC   </v>
      </c>
      <c r="N1657">
        <v>1</v>
      </c>
      <c r="O1657">
        <v>1700</v>
      </c>
    </row>
    <row r="1658" spans="1:15" x14ac:dyDescent="0.25">
      <c r="A1658" t="str">
        <f>"10/21/2020 18:26:35.586"</f>
        <v>10/21/2020 18:26:35.586</v>
      </c>
      <c r="B1658" t="str">
        <f>"18:26:43.539"</f>
        <v>18:26:43.539</v>
      </c>
      <c r="C1658" t="str">
        <f>"18:26:43.139"</f>
        <v>18:26:43.139</v>
      </c>
      <c r="D1658" t="s">
        <v>662</v>
      </c>
      <c r="E1658">
        <v>30.539888999999999</v>
      </c>
      <c r="F1658" t="s">
        <v>663</v>
      </c>
      <c r="G1658">
        <v>-89.848230000000001</v>
      </c>
      <c r="H1658">
        <v>1600</v>
      </c>
      <c r="I1658">
        <v>-8</v>
      </c>
      <c r="J1658">
        <v>-150</v>
      </c>
      <c r="K1658">
        <v>256</v>
      </c>
      <c r="L1658">
        <v>1200</v>
      </c>
      <c r="M1658" t="str">
        <f t="shared" si="82"/>
        <v xml:space="preserve">N35DC   </v>
      </c>
      <c r="N1658">
        <v>1</v>
      </c>
      <c r="O1658">
        <v>1700</v>
      </c>
    </row>
    <row r="1659" spans="1:15" x14ac:dyDescent="0.25">
      <c r="A1659" t="str">
        <f>"10/21/2020 18:26:35.586"</f>
        <v>10/21/2020 18:26:35.586</v>
      </c>
      <c r="B1659" t="str">
        <f>"18:26:43.539"</f>
        <v>18:26:43.539</v>
      </c>
      <c r="C1659" t="str">
        <f>"18:26:43.139"</f>
        <v>18:26:43.139</v>
      </c>
      <c r="D1659" t="s">
        <v>662</v>
      </c>
      <c r="E1659">
        <v>30.539888999999999</v>
      </c>
      <c r="F1659" t="s">
        <v>663</v>
      </c>
      <c r="G1659">
        <v>-89.848230000000001</v>
      </c>
      <c r="H1659">
        <v>1600</v>
      </c>
      <c r="I1659">
        <v>-8</v>
      </c>
      <c r="J1659">
        <v>-150</v>
      </c>
      <c r="K1659">
        <v>256</v>
      </c>
      <c r="L1659">
        <v>1200</v>
      </c>
      <c r="M1659" t="str">
        <f t="shared" si="82"/>
        <v xml:space="preserve">N35DC   </v>
      </c>
      <c r="N1659">
        <v>1</v>
      </c>
      <c r="O1659">
        <v>1700</v>
      </c>
    </row>
    <row r="1660" spans="1:15" x14ac:dyDescent="0.25">
      <c r="A1660" t="str">
        <f>"10/21/2020 18:26:35.586"</f>
        <v>10/21/2020 18:26:35.586</v>
      </c>
      <c r="B1660" t="str">
        <f>"18:26:43.539"</f>
        <v>18:26:43.539</v>
      </c>
      <c r="C1660" t="str">
        <f>"18:26:43.139"</f>
        <v>18:26:43.139</v>
      </c>
      <c r="D1660" t="s">
        <v>662</v>
      </c>
      <c r="E1660">
        <v>30.539888999999999</v>
      </c>
      <c r="F1660" t="s">
        <v>663</v>
      </c>
      <c r="G1660">
        <v>-89.848230000000001</v>
      </c>
      <c r="H1660">
        <v>1600</v>
      </c>
      <c r="I1660">
        <v>-8</v>
      </c>
      <c r="J1660">
        <v>-150</v>
      </c>
      <c r="K1660">
        <v>256</v>
      </c>
      <c r="L1660">
        <v>1200</v>
      </c>
      <c r="M1660" t="str">
        <f t="shared" si="82"/>
        <v xml:space="preserve">N35DC   </v>
      </c>
      <c r="N1660">
        <v>1</v>
      </c>
      <c r="O1660">
        <v>1700</v>
      </c>
    </row>
    <row r="1661" spans="1:15" x14ac:dyDescent="0.25">
      <c r="A1661" t="str">
        <f>"10/21/2020 18:26:35.586"</f>
        <v>10/21/2020 18:26:35.586</v>
      </c>
      <c r="B1661" t="str">
        <f>"18:26:43.539"</f>
        <v>18:26:43.539</v>
      </c>
      <c r="C1661" t="str">
        <f>"18:26:43.139"</f>
        <v>18:26:43.139</v>
      </c>
      <c r="D1661" t="s">
        <v>662</v>
      </c>
      <c r="E1661">
        <v>30.539888999999999</v>
      </c>
      <c r="F1661" t="s">
        <v>663</v>
      </c>
      <c r="G1661">
        <v>-89.848230000000001</v>
      </c>
      <c r="H1661">
        <v>1600</v>
      </c>
      <c r="I1661">
        <v>-8</v>
      </c>
      <c r="J1661">
        <v>-150</v>
      </c>
      <c r="K1661">
        <v>256</v>
      </c>
      <c r="L1661">
        <v>1200</v>
      </c>
      <c r="M1661" t="str">
        <f t="shared" si="82"/>
        <v xml:space="preserve">N35DC   </v>
      </c>
      <c r="N1661">
        <v>1</v>
      </c>
      <c r="O1661">
        <v>1700</v>
      </c>
    </row>
    <row r="1662" spans="1:15" x14ac:dyDescent="0.25">
      <c r="A1662" t="str">
        <f>"10/21/2020 18:26:36.663"</f>
        <v>10/21/2020 18:26:36.663</v>
      </c>
      <c r="B1662" t="str">
        <f>"18:26:44.617"</f>
        <v>18:26:44.617</v>
      </c>
      <c r="C1662" t="str">
        <f>"18:26:44.217"</f>
        <v>18:26:44.217</v>
      </c>
      <c r="D1662" t="s">
        <v>664</v>
      </c>
      <c r="E1662">
        <v>30.539159999999999</v>
      </c>
      <c r="F1662" t="s">
        <v>665</v>
      </c>
      <c r="G1662">
        <v>-89.848273000000006</v>
      </c>
      <c r="H1662">
        <v>1600</v>
      </c>
      <c r="I1662">
        <v>-10</v>
      </c>
      <c r="J1662">
        <v>-150</v>
      </c>
      <c r="K1662">
        <v>128</v>
      </c>
      <c r="L1662">
        <v>1200</v>
      </c>
      <c r="M1662" t="str">
        <f t="shared" si="82"/>
        <v xml:space="preserve">N35DC   </v>
      </c>
      <c r="N1662">
        <v>1</v>
      </c>
      <c r="O1662">
        <v>1700</v>
      </c>
    </row>
    <row r="1663" spans="1:15" x14ac:dyDescent="0.25">
      <c r="A1663" t="str">
        <f>"10/21/2020 18:26:36.663"</f>
        <v>10/21/2020 18:26:36.663</v>
      </c>
      <c r="B1663" t="str">
        <f>"18:26:44.617"</f>
        <v>18:26:44.617</v>
      </c>
      <c r="C1663" t="str">
        <f>"18:26:44.217"</f>
        <v>18:26:44.217</v>
      </c>
      <c r="D1663" t="s">
        <v>664</v>
      </c>
      <c r="E1663">
        <v>30.539159999999999</v>
      </c>
      <c r="F1663" t="s">
        <v>665</v>
      </c>
      <c r="G1663">
        <v>-89.848273000000006</v>
      </c>
      <c r="H1663">
        <v>1600</v>
      </c>
      <c r="I1663">
        <v>-10</v>
      </c>
      <c r="J1663">
        <v>-150</v>
      </c>
      <c r="K1663">
        <v>128</v>
      </c>
      <c r="L1663">
        <v>1200</v>
      </c>
      <c r="M1663" t="str">
        <f t="shared" si="82"/>
        <v xml:space="preserve">N35DC   </v>
      </c>
      <c r="N1663">
        <v>1</v>
      </c>
      <c r="O1663">
        <v>1700</v>
      </c>
    </row>
    <row r="1664" spans="1:15" x14ac:dyDescent="0.25">
      <c r="A1664" t="str">
        <f>"10/21/2020 18:26:36.663"</f>
        <v>10/21/2020 18:26:36.663</v>
      </c>
      <c r="B1664" t="str">
        <f>"18:26:44.617"</f>
        <v>18:26:44.617</v>
      </c>
      <c r="C1664" t="str">
        <f>"18:26:44.217"</f>
        <v>18:26:44.217</v>
      </c>
      <c r="D1664" t="s">
        <v>664</v>
      </c>
      <c r="E1664">
        <v>30.539159999999999</v>
      </c>
      <c r="F1664" t="s">
        <v>665</v>
      </c>
      <c r="G1664">
        <v>-89.848273000000006</v>
      </c>
      <c r="H1664">
        <v>1600</v>
      </c>
      <c r="I1664">
        <v>-10</v>
      </c>
      <c r="J1664">
        <v>-150</v>
      </c>
      <c r="K1664">
        <v>128</v>
      </c>
      <c r="L1664">
        <v>1200</v>
      </c>
      <c r="M1664" t="str">
        <f t="shared" si="82"/>
        <v xml:space="preserve">N35DC   </v>
      </c>
      <c r="N1664">
        <v>1</v>
      </c>
      <c r="O1664">
        <v>1700</v>
      </c>
    </row>
    <row r="1665" spans="1:15" x14ac:dyDescent="0.25">
      <c r="A1665" t="str">
        <f>"10/21/2020 18:26:36.663"</f>
        <v>10/21/2020 18:26:36.663</v>
      </c>
      <c r="B1665" t="str">
        <f>"18:26:44.617"</f>
        <v>18:26:44.617</v>
      </c>
      <c r="C1665" t="str">
        <f>"18:26:44.217"</f>
        <v>18:26:44.217</v>
      </c>
      <c r="D1665" t="s">
        <v>664</v>
      </c>
      <c r="E1665">
        <v>30.539159999999999</v>
      </c>
      <c r="F1665" t="s">
        <v>665</v>
      </c>
      <c r="G1665">
        <v>-89.848273000000006</v>
      </c>
      <c r="H1665">
        <v>1600</v>
      </c>
      <c r="I1665">
        <v>-10</v>
      </c>
      <c r="J1665">
        <v>-150</v>
      </c>
      <c r="K1665">
        <v>128</v>
      </c>
      <c r="L1665">
        <v>1200</v>
      </c>
      <c r="M1665" t="str">
        <f t="shared" si="82"/>
        <v xml:space="preserve">N35DC   </v>
      </c>
      <c r="N1665">
        <v>1</v>
      </c>
      <c r="O1665">
        <v>1700</v>
      </c>
    </row>
    <row r="1666" spans="1:15" x14ac:dyDescent="0.25">
      <c r="A1666" t="str">
        <f>"10/21/2020 18:26:36.663"</f>
        <v>10/21/2020 18:26:36.663</v>
      </c>
      <c r="B1666" t="str">
        <f>"18:26:44.617"</f>
        <v>18:26:44.617</v>
      </c>
      <c r="C1666" t="str">
        <f>"18:26:44.217"</f>
        <v>18:26:44.217</v>
      </c>
      <c r="D1666" t="s">
        <v>664</v>
      </c>
      <c r="E1666">
        <v>30.539159999999999</v>
      </c>
      <c r="F1666" t="s">
        <v>665</v>
      </c>
      <c r="G1666">
        <v>-89.848273000000006</v>
      </c>
      <c r="H1666">
        <v>1600</v>
      </c>
      <c r="I1666">
        <v>-10</v>
      </c>
      <c r="J1666">
        <v>-150</v>
      </c>
      <c r="K1666">
        <v>128</v>
      </c>
      <c r="L1666">
        <v>1200</v>
      </c>
      <c r="M1666" t="str">
        <f t="shared" si="82"/>
        <v xml:space="preserve">N35DC   </v>
      </c>
      <c r="N1666">
        <v>1</v>
      </c>
      <c r="O1666">
        <v>1700</v>
      </c>
    </row>
    <row r="1667" spans="1:15" x14ac:dyDescent="0.25">
      <c r="A1667" t="str">
        <f>"10/21/2020 18:26:39.432"</f>
        <v>10/21/2020 18:26:39.432</v>
      </c>
      <c r="B1667" t="str">
        <f>"18:26:47.359"</f>
        <v>18:26:47.359</v>
      </c>
      <c r="C1667" t="str">
        <f>"18:26:47.259"</f>
        <v>18:26:47.259</v>
      </c>
      <c r="D1667" t="s">
        <v>666</v>
      </c>
      <c r="E1667">
        <v>30.537206999999999</v>
      </c>
      <c r="F1667" t="s">
        <v>667</v>
      </c>
      <c r="G1667">
        <v>-89.848509000000007</v>
      </c>
      <c r="H1667">
        <v>1600</v>
      </c>
      <c r="I1667">
        <v>-17</v>
      </c>
      <c r="J1667">
        <v>-151</v>
      </c>
      <c r="K1667">
        <v>-64</v>
      </c>
      <c r="L1667">
        <v>1200</v>
      </c>
      <c r="M1667" t="str">
        <f t="shared" si="82"/>
        <v xml:space="preserve">N35DC   </v>
      </c>
      <c r="N1667">
        <v>1</v>
      </c>
      <c r="O1667">
        <v>1700</v>
      </c>
    </row>
    <row r="1668" spans="1:15" x14ac:dyDescent="0.25">
      <c r="A1668" t="str">
        <f>"10/21/2020 18:26:39.432"</f>
        <v>10/21/2020 18:26:39.432</v>
      </c>
      <c r="B1668" t="str">
        <f>"18:26:47.359"</f>
        <v>18:26:47.359</v>
      </c>
      <c r="C1668" t="str">
        <f>"18:26:47.259"</f>
        <v>18:26:47.259</v>
      </c>
      <c r="D1668" t="s">
        <v>666</v>
      </c>
      <c r="E1668">
        <v>30.537206999999999</v>
      </c>
      <c r="F1668" t="s">
        <v>667</v>
      </c>
      <c r="G1668">
        <v>-89.848509000000007</v>
      </c>
      <c r="H1668">
        <v>1600</v>
      </c>
      <c r="I1668">
        <v>-17</v>
      </c>
      <c r="J1668">
        <v>-151</v>
      </c>
      <c r="K1668">
        <v>-64</v>
      </c>
      <c r="L1668">
        <v>1200</v>
      </c>
      <c r="M1668" t="str">
        <f t="shared" si="82"/>
        <v xml:space="preserve">N35DC   </v>
      </c>
      <c r="N1668">
        <v>1</v>
      </c>
      <c r="O1668">
        <v>1700</v>
      </c>
    </row>
    <row r="1669" spans="1:15" x14ac:dyDescent="0.25">
      <c r="A1669" t="str">
        <f>"10/21/2020 18:26:39.432"</f>
        <v>10/21/2020 18:26:39.432</v>
      </c>
      <c r="B1669" t="str">
        <f>"18:26:47.359"</f>
        <v>18:26:47.359</v>
      </c>
      <c r="C1669" t="str">
        <f>"18:26:47.259"</f>
        <v>18:26:47.259</v>
      </c>
      <c r="D1669" t="s">
        <v>666</v>
      </c>
      <c r="E1669">
        <v>30.537206999999999</v>
      </c>
      <c r="F1669" t="s">
        <v>667</v>
      </c>
      <c r="G1669">
        <v>-89.848509000000007</v>
      </c>
      <c r="H1669">
        <v>1600</v>
      </c>
      <c r="I1669">
        <v>-17</v>
      </c>
      <c r="J1669">
        <v>-151</v>
      </c>
      <c r="K1669">
        <v>-64</v>
      </c>
      <c r="L1669">
        <v>1200</v>
      </c>
      <c r="M1669" t="str">
        <f t="shared" si="82"/>
        <v xml:space="preserve">N35DC   </v>
      </c>
      <c r="N1669">
        <v>1</v>
      </c>
      <c r="O1669">
        <v>1700</v>
      </c>
    </row>
    <row r="1670" spans="1:15" x14ac:dyDescent="0.25">
      <c r="A1670" t="str">
        <f>"10/21/2020 18:26:39.432"</f>
        <v>10/21/2020 18:26:39.432</v>
      </c>
      <c r="B1670" t="str">
        <f>"18:26:47.359"</f>
        <v>18:26:47.359</v>
      </c>
      <c r="C1670" t="str">
        <f>"18:26:47.259"</f>
        <v>18:26:47.259</v>
      </c>
      <c r="D1670" t="s">
        <v>666</v>
      </c>
      <c r="E1670">
        <v>30.537206999999999</v>
      </c>
      <c r="F1670" t="s">
        <v>667</v>
      </c>
      <c r="G1670">
        <v>-89.848509000000007</v>
      </c>
      <c r="H1670">
        <v>1600</v>
      </c>
      <c r="I1670">
        <v>-17</v>
      </c>
      <c r="J1670">
        <v>-151</v>
      </c>
      <c r="K1670">
        <v>-64</v>
      </c>
      <c r="L1670">
        <v>1200</v>
      </c>
      <c r="M1670" t="str">
        <f t="shared" si="82"/>
        <v xml:space="preserve">N35DC   </v>
      </c>
      <c r="N1670">
        <v>1</v>
      </c>
      <c r="O1670">
        <v>1700</v>
      </c>
    </row>
    <row r="1671" spans="1:15" x14ac:dyDescent="0.25">
      <c r="A1671" t="str">
        <f>"10/21/2020 18:26:39.432"</f>
        <v>10/21/2020 18:26:39.432</v>
      </c>
      <c r="B1671" t="str">
        <f>"18:26:47.359"</f>
        <v>18:26:47.359</v>
      </c>
      <c r="C1671" t="str">
        <f>"18:26:47.259"</f>
        <v>18:26:47.259</v>
      </c>
      <c r="D1671" t="s">
        <v>666</v>
      </c>
      <c r="E1671">
        <v>30.537206999999999</v>
      </c>
      <c r="F1671" t="s">
        <v>667</v>
      </c>
      <c r="G1671">
        <v>-89.848509000000007</v>
      </c>
      <c r="H1671">
        <v>1600</v>
      </c>
      <c r="I1671">
        <v>-17</v>
      </c>
      <c r="J1671">
        <v>-151</v>
      </c>
      <c r="K1671">
        <v>-64</v>
      </c>
      <c r="L1671">
        <v>1200</v>
      </c>
      <c r="M1671" t="str">
        <f t="shared" ref="M1671:M1734" si="85">"N35DC   "</f>
        <v xml:space="preserve">N35DC   </v>
      </c>
      <c r="N1671">
        <v>1</v>
      </c>
      <c r="O1671">
        <v>1700</v>
      </c>
    </row>
    <row r="1672" spans="1:15" x14ac:dyDescent="0.25">
      <c r="A1672" t="str">
        <f>"10/21/2020 18:26:40.455"</f>
        <v>10/21/2020 18:26:40.455</v>
      </c>
      <c r="B1672" t="str">
        <f>"18:26:48.398"</f>
        <v>18:26:48.398</v>
      </c>
      <c r="C1672" t="str">
        <f>"18:26:48.098"</f>
        <v>18:26:48.098</v>
      </c>
      <c r="D1672" t="s">
        <v>343</v>
      </c>
      <c r="E1672">
        <v>30.536498999999999</v>
      </c>
      <c r="F1672" t="s">
        <v>668</v>
      </c>
      <c r="G1672">
        <v>-89.848616000000007</v>
      </c>
      <c r="H1672">
        <v>1600</v>
      </c>
      <c r="I1672">
        <v>-20</v>
      </c>
      <c r="J1672">
        <v>-151</v>
      </c>
      <c r="K1672">
        <v>-256</v>
      </c>
      <c r="L1672">
        <v>1200</v>
      </c>
      <c r="M1672" t="str">
        <f t="shared" si="85"/>
        <v xml:space="preserve">N35DC   </v>
      </c>
      <c r="N1672">
        <v>1</v>
      </c>
      <c r="O1672">
        <v>1700</v>
      </c>
    </row>
    <row r="1673" spans="1:15" x14ac:dyDescent="0.25">
      <c r="A1673" t="str">
        <f>"10/21/2020 18:26:40.455"</f>
        <v>10/21/2020 18:26:40.455</v>
      </c>
      <c r="B1673" t="str">
        <f>"18:26:48.398"</f>
        <v>18:26:48.398</v>
      </c>
      <c r="C1673" t="str">
        <f>"18:26:48.098"</f>
        <v>18:26:48.098</v>
      </c>
      <c r="D1673" t="s">
        <v>343</v>
      </c>
      <c r="E1673">
        <v>30.536498999999999</v>
      </c>
      <c r="F1673" t="s">
        <v>668</v>
      </c>
      <c r="G1673">
        <v>-89.848616000000007</v>
      </c>
      <c r="H1673">
        <v>1600</v>
      </c>
      <c r="I1673">
        <v>-20</v>
      </c>
      <c r="J1673">
        <v>-151</v>
      </c>
      <c r="K1673">
        <v>-256</v>
      </c>
      <c r="L1673">
        <v>1200</v>
      </c>
      <c r="M1673" t="str">
        <f t="shared" si="85"/>
        <v xml:space="preserve">N35DC   </v>
      </c>
      <c r="N1673">
        <v>1</v>
      </c>
      <c r="O1673">
        <v>1700</v>
      </c>
    </row>
    <row r="1674" spans="1:15" x14ac:dyDescent="0.25">
      <c r="A1674" t="str">
        <f>"10/21/2020 18:26:40.455"</f>
        <v>10/21/2020 18:26:40.455</v>
      </c>
      <c r="B1674" t="str">
        <f>"18:26:48.398"</f>
        <v>18:26:48.398</v>
      </c>
      <c r="C1674" t="str">
        <f>"18:26:48.098"</f>
        <v>18:26:48.098</v>
      </c>
      <c r="D1674" t="s">
        <v>343</v>
      </c>
      <c r="E1674">
        <v>30.536498999999999</v>
      </c>
      <c r="F1674" t="s">
        <v>668</v>
      </c>
      <c r="G1674">
        <v>-89.848616000000007</v>
      </c>
      <c r="H1674">
        <v>1600</v>
      </c>
      <c r="I1674">
        <v>-20</v>
      </c>
      <c r="J1674">
        <v>-151</v>
      </c>
      <c r="K1674">
        <v>-256</v>
      </c>
      <c r="L1674">
        <v>1200</v>
      </c>
      <c r="M1674" t="str">
        <f t="shared" si="85"/>
        <v xml:space="preserve">N35DC   </v>
      </c>
      <c r="N1674">
        <v>1</v>
      </c>
      <c r="O1674">
        <v>1700</v>
      </c>
    </row>
    <row r="1675" spans="1:15" x14ac:dyDescent="0.25">
      <c r="A1675" t="str">
        <f>"10/21/2020 18:26:40.455"</f>
        <v>10/21/2020 18:26:40.455</v>
      </c>
      <c r="B1675" t="str">
        <f>"18:26:48.398"</f>
        <v>18:26:48.398</v>
      </c>
      <c r="C1675" t="str">
        <f>"18:26:48.098"</f>
        <v>18:26:48.098</v>
      </c>
      <c r="D1675" t="s">
        <v>343</v>
      </c>
      <c r="E1675">
        <v>30.536498999999999</v>
      </c>
      <c r="F1675" t="s">
        <v>668</v>
      </c>
      <c r="G1675">
        <v>-89.848616000000007</v>
      </c>
      <c r="H1675">
        <v>1600</v>
      </c>
      <c r="I1675">
        <v>-20</v>
      </c>
      <c r="J1675">
        <v>-151</v>
      </c>
      <c r="K1675">
        <v>-256</v>
      </c>
      <c r="L1675">
        <v>1200</v>
      </c>
      <c r="M1675" t="str">
        <f t="shared" si="85"/>
        <v xml:space="preserve">N35DC   </v>
      </c>
      <c r="N1675">
        <v>1</v>
      </c>
      <c r="O1675">
        <v>1700</v>
      </c>
    </row>
    <row r="1676" spans="1:15" x14ac:dyDescent="0.25">
      <c r="A1676" t="str">
        <f>"10/21/2020 18:26:40.455"</f>
        <v>10/21/2020 18:26:40.455</v>
      </c>
      <c r="B1676" t="str">
        <f>"18:26:48.398"</f>
        <v>18:26:48.398</v>
      </c>
      <c r="C1676" t="str">
        <f>"18:26:48.098"</f>
        <v>18:26:48.098</v>
      </c>
      <c r="D1676" t="s">
        <v>343</v>
      </c>
      <c r="E1676">
        <v>30.536498999999999</v>
      </c>
      <c r="F1676" t="s">
        <v>668</v>
      </c>
      <c r="G1676">
        <v>-89.848616000000007</v>
      </c>
      <c r="H1676">
        <v>1600</v>
      </c>
      <c r="I1676">
        <v>-20</v>
      </c>
      <c r="J1676">
        <v>-151</v>
      </c>
      <c r="K1676">
        <v>-256</v>
      </c>
      <c r="L1676">
        <v>1200</v>
      </c>
      <c r="M1676" t="str">
        <f t="shared" si="85"/>
        <v xml:space="preserve">N35DC   </v>
      </c>
      <c r="N1676">
        <v>1</v>
      </c>
      <c r="O1676">
        <v>1700</v>
      </c>
    </row>
    <row r="1677" spans="1:15" x14ac:dyDescent="0.25">
      <c r="A1677" t="str">
        <f>"10/21/2020 18:26:42.530"</f>
        <v>10/21/2020 18:26:42.530</v>
      </c>
      <c r="B1677" t="str">
        <f>"18:26:50.484"</f>
        <v>18:26:50.484</v>
      </c>
      <c r="C1677" t="str">
        <f>"18:26:50.284"</f>
        <v>18:26:50.284</v>
      </c>
      <c r="D1677" t="s">
        <v>669</v>
      </c>
      <c r="E1677">
        <v>30.535039999999999</v>
      </c>
      <c r="F1677" t="s">
        <v>670</v>
      </c>
      <c r="G1677">
        <v>-89.848873999999995</v>
      </c>
      <c r="H1677">
        <v>1600</v>
      </c>
      <c r="I1677">
        <v>-29</v>
      </c>
      <c r="J1677">
        <v>-151</v>
      </c>
      <c r="K1677">
        <v>-320</v>
      </c>
      <c r="L1677">
        <v>1200</v>
      </c>
      <c r="M1677" t="str">
        <f t="shared" si="85"/>
        <v xml:space="preserve">N35DC   </v>
      </c>
      <c r="N1677">
        <v>1</v>
      </c>
      <c r="O1677">
        <v>1700</v>
      </c>
    </row>
    <row r="1678" spans="1:15" x14ac:dyDescent="0.25">
      <c r="A1678" t="str">
        <f>"10/21/2020 18:26:42.530"</f>
        <v>10/21/2020 18:26:42.530</v>
      </c>
      <c r="B1678" t="str">
        <f>"18:26:50.484"</f>
        <v>18:26:50.484</v>
      </c>
      <c r="C1678" t="str">
        <f>"18:26:50.284"</f>
        <v>18:26:50.284</v>
      </c>
      <c r="D1678" t="s">
        <v>669</v>
      </c>
      <c r="E1678">
        <v>30.535039999999999</v>
      </c>
      <c r="F1678" t="s">
        <v>670</v>
      </c>
      <c r="G1678">
        <v>-89.848873999999995</v>
      </c>
      <c r="H1678">
        <v>1600</v>
      </c>
      <c r="I1678">
        <v>-29</v>
      </c>
      <c r="J1678">
        <v>-151</v>
      </c>
      <c r="K1678">
        <v>-320</v>
      </c>
      <c r="L1678">
        <v>1200</v>
      </c>
      <c r="M1678" t="str">
        <f t="shared" si="85"/>
        <v xml:space="preserve">N35DC   </v>
      </c>
      <c r="N1678">
        <v>1</v>
      </c>
      <c r="O1678">
        <v>1700</v>
      </c>
    </row>
    <row r="1679" spans="1:15" x14ac:dyDescent="0.25">
      <c r="A1679" t="str">
        <f>"10/21/2020 18:26:42.530"</f>
        <v>10/21/2020 18:26:42.530</v>
      </c>
      <c r="B1679" t="str">
        <f>"18:26:50.484"</f>
        <v>18:26:50.484</v>
      </c>
      <c r="C1679" t="str">
        <f>"18:26:50.284"</f>
        <v>18:26:50.284</v>
      </c>
      <c r="D1679" t="s">
        <v>669</v>
      </c>
      <c r="E1679">
        <v>30.535039999999999</v>
      </c>
      <c r="F1679" t="s">
        <v>670</v>
      </c>
      <c r="G1679">
        <v>-89.848873999999995</v>
      </c>
      <c r="H1679">
        <v>1600</v>
      </c>
      <c r="I1679">
        <v>-29</v>
      </c>
      <c r="J1679">
        <v>-151</v>
      </c>
      <c r="K1679">
        <v>-320</v>
      </c>
      <c r="L1679">
        <v>1200</v>
      </c>
      <c r="M1679" t="str">
        <f t="shared" si="85"/>
        <v xml:space="preserve">N35DC   </v>
      </c>
      <c r="N1679">
        <v>1</v>
      </c>
      <c r="O1679">
        <v>1700</v>
      </c>
    </row>
    <row r="1680" spans="1:15" x14ac:dyDescent="0.25">
      <c r="A1680" t="str">
        <f>"10/21/2020 18:26:42.530"</f>
        <v>10/21/2020 18:26:42.530</v>
      </c>
      <c r="B1680" t="str">
        <f>"18:26:50.484"</f>
        <v>18:26:50.484</v>
      </c>
      <c r="C1680" t="str">
        <f>"18:26:50.284"</f>
        <v>18:26:50.284</v>
      </c>
      <c r="D1680" t="s">
        <v>669</v>
      </c>
      <c r="E1680">
        <v>30.535039999999999</v>
      </c>
      <c r="F1680" t="s">
        <v>670</v>
      </c>
      <c r="G1680">
        <v>-89.848873999999995</v>
      </c>
      <c r="H1680">
        <v>1600</v>
      </c>
      <c r="I1680">
        <v>-29</v>
      </c>
      <c r="J1680">
        <v>-151</v>
      </c>
      <c r="K1680">
        <v>-320</v>
      </c>
      <c r="L1680">
        <v>1200</v>
      </c>
      <c r="M1680" t="str">
        <f t="shared" si="85"/>
        <v xml:space="preserve">N35DC   </v>
      </c>
      <c r="N1680">
        <v>1</v>
      </c>
      <c r="O1680">
        <v>1700</v>
      </c>
    </row>
    <row r="1681" spans="1:15" x14ac:dyDescent="0.25">
      <c r="A1681" t="str">
        <f>"10/21/2020 18:26:42.530"</f>
        <v>10/21/2020 18:26:42.530</v>
      </c>
      <c r="B1681" t="str">
        <f>"18:26:50.484"</f>
        <v>18:26:50.484</v>
      </c>
      <c r="C1681" t="str">
        <f>"18:26:50.284"</f>
        <v>18:26:50.284</v>
      </c>
      <c r="D1681" t="s">
        <v>669</v>
      </c>
      <c r="E1681">
        <v>30.535039999999999</v>
      </c>
      <c r="F1681" t="s">
        <v>670</v>
      </c>
      <c r="G1681">
        <v>-89.848873999999995</v>
      </c>
      <c r="H1681">
        <v>1600</v>
      </c>
      <c r="I1681">
        <v>-29</v>
      </c>
      <c r="J1681">
        <v>-151</v>
      </c>
      <c r="K1681">
        <v>-320</v>
      </c>
      <c r="L1681">
        <v>1200</v>
      </c>
      <c r="M1681" t="str">
        <f t="shared" si="85"/>
        <v xml:space="preserve">N35DC   </v>
      </c>
      <c r="N1681">
        <v>1</v>
      </c>
      <c r="O1681">
        <v>1700</v>
      </c>
    </row>
    <row r="1682" spans="1:15" x14ac:dyDescent="0.25">
      <c r="A1682" t="str">
        <f>"10/21/2020 18:26:43.726"</f>
        <v>10/21/2020 18:26:43.726</v>
      </c>
      <c r="B1682" t="str">
        <f>"18:26:51.648"</f>
        <v>18:26:51.648</v>
      </c>
      <c r="C1682" t="str">
        <f>"18:26:51.348"</f>
        <v>18:26:51.348</v>
      </c>
      <c r="D1682" t="s">
        <v>671</v>
      </c>
      <c r="E1682">
        <v>30.534203000000002</v>
      </c>
      <c r="F1682" t="s">
        <v>672</v>
      </c>
      <c r="G1682">
        <v>-89.849109999999996</v>
      </c>
      <c r="H1682">
        <v>1600</v>
      </c>
      <c r="I1682">
        <v>-35</v>
      </c>
      <c r="J1682">
        <v>-150</v>
      </c>
      <c r="K1682">
        <v>-448</v>
      </c>
      <c r="L1682">
        <v>1200</v>
      </c>
      <c r="M1682" t="str">
        <f t="shared" si="85"/>
        <v xml:space="preserve">N35DC   </v>
      </c>
      <c r="N1682">
        <v>1</v>
      </c>
      <c r="O1682">
        <v>1675</v>
      </c>
    </row>
    <row r="1683" spans="1:15" x14ac:dyDescent="0.25">
      <c r="A1683" t="str">
        <f>"10/21/2020 18:26:43.726"</f>
        <v>10/21/2020 18:26:43.726</v>
      </c>
      <c r="B1683" t="str">
        <f>"18:26:51.648"</f>
        <v>18:26:51.648</v>
      </c>
      <c r="C1683" t="str">
        <f>"18:26:51.348"</f>
        <v>18:26:51.348</v>
      </c>
      <c r="D1683" t="s">
        <v>671</v>
      </c>
      <c r="E1683">
        <v>30.534203000000002</v>
      </c>
      <c r="F1683" t="s">
        <v>672</v>
      </c>
      <c r="G1683">
        <v>-89.849109999999996</v>
      </c>
      <c r="H1683">
        <v>1600</v>
      </c>
      <c r="I1683">
        <v>-35</v>
      </c>
      <c r="J1683">
        <v>-150</v>
      </c>
      <c r="K1683">
        <v>-448</v>
      </c>
      <c r="L1683">
        <v>1200</v>
      </c>
      <c r="M1683" t="str">
        <f t="shared" si="85"/>
        <v xml:space="preserve">N35DC   </v>
      </c>
      <c r="N1683">
        <v>1</v>
      </c>
      <c r="O1683">
        <v>1675</v>
      </c>
    </row>
    <row r="1684" spans="1:15" x14ac:dyDescent="0.25">
      <c r="A1684" t="str">
        <f>"10/21/2020 18:26:43.726"</f>
        <v>10/21/2020 18:26:43.726</v>
      </c>
      <c r="B1684" t="str">
        <f>"18:26:51.648"</f>
        <v>18:26:51.648</v>
      </c>
      <c r="C1684" t="str">
        <f>"18:26:51.348"</f>
        <v>18:26:51.348</v>
      </c>
      <c r="D1684" t="s">
        <v>671</v>
      </c>
      <c r="E1684">
        <v>30.534203000000002</v>
      </c>
      <c r="F1684" t="s">
        <v>672</v>
      </c>
      <c r="G1684">
        <v>-89.849109999999996</v>
      </c>
      <c r="H1684">
        <v>1600</v>
      </c>
      <c r="I1684">
        <v>-35</v>
      </c>
      <c r="J1684">
        <v>-150</v>
      </c>
      <c r="K1684">
        <v>-448</v>
      </c>
      <c r="L1684">
        <v>1200</v>
      </c>
      <c r="M1684" t="str">
        <f t="shared" si="85"/>
        <v xml:space="preserve">N35DC   </v>
      </c>
      <c r="N1684">
        <v>1</v>
      </c>
      <c r="O1684">
        <v>1675</v>
      </c>
    </row>
    <row r="1685" spans="1:15" x14ac:dyDescent="0.25">
      <c r="A1685" t="str">
        <f>"10/21/2020 18:26:43.726"</f>
        <v>10/21/2020 18:26:43.726</v>
      </c>
      <c r="B1685" t="str">
        <f>"18:26:51.648"</f>
        <v>18:26:51.648</v>
      </c>
      <c r="C1685" t="str">
        <f>"18:26:51.348"</f>
        <v>18:26:51.348</v>
      </c>
      <c r="D1685" t="s">
        <v>671</v>
      </c>
      <c r="E1685">
        <v>30.534203000000002</v>
      </c>
      <c r="F1685" t="s">
        <v>672</v>
      </c>
      <c r="G1685">
        <v>-89.849109999999996</v>
      </c>
      <c r="H1685">
        <v>1600</v>
      </c>
      <c r="I1685">
        <v>-35</v>
      </c>
      <c r="J1685">
        <v>-150</v>
      </c>
      <c r="K1685">
        <v>-448</v>
      </c>
      <c r="L1685">
        <v>1200</v>
      </c>
      <c r="M1685" t="str">
        <f t="shared" si="85"/>
        <v xml:space="preserve">N35DC   </v>
      </c>
      <c r="N1685">
        <v>1</v>
      </c>
      <c r="O1685">
        <v>1675</v>
      </c>
    </row>
    <row r="1686" spans="1:15" x14ac:dyDescent="0.25">
      <c r="A1686" t="str">
        <f>"10/21/2020 18:26:43.726"</f>
        <v>10/21/2020 18:26:43.726</v>
      </c>
      <c r="B1686" t="str">
        <f>"18:26:51.648"</f>
        <v>18:26:51.648</v>
      </c>
      <c r="C1686" t="str">
        <f>"18:26:51.348"</f>
        <v>18:26:51.348</v>
      </c>
      <c r="D1686" t="s">
        <v>671</v>
      </c>
      <c r="E1686">
        <v>30.534203000000002</v>
      </c>
      <c r="F1686" t="s">
        <v>672</v>
      </c>
      <c r="G1686">
        <v>-89.849109999999996</v>
      </c>
      <c r="H1686">
        <v>1600</v>
      </c>
      <c r="I1686">
        <v>-35</v>
      </c>
      <c r="J1686">
        <v>-150</v>
      </c>
      <c r="K1686">
        <v>-448</v>
      </c>
      <c r="L1686">
        <v>1200</v>
      </c>
      <c r="M1686" t="str">
        <f t="shared" si="85"/>
        <v xml:space="preserve">N35DC   </v>
      </c>
      <c r="N1686">
        <v>1</v>
      </c>
      <c r="O1686">
        <v>1675</v>
      </c>
    </row>
    <row r="1687" spans="1:15" x14ac:dyDescent="0.25">
      <c r="A1687" t="str">
        <f>"10/21/2020 18:26:46.705"</f>
        <v>10/21/2020 18:26:46.705</v>
      </c>
      <c r="B1687" t="str">
        <f>"18:26:54.617"</f>
        <v>18:26:54.617</v>
      </c>
      <c r="C1687" t="str">
        <f>"18:26:54.217"</f>
        <v>18:26:54.217</v>
      </c>
      <c r="D1687" t="s">
        <v>673</v>
      </c>
      <c r="E1687">
        <v>30.532207</v>
      </c>
      <c r="F1687" t="s">
        <v>674</v>
      </c>
      <c r="G1687">
        <v>-89.849881999999994</v>
      </c>
      <c r="H1687">
        <v>1600</v>
      </c>
      <c r="I1687">
        <v>-54</v>
      </c>
      <c r="J1687">
        <v>-146</v>
      </c>
      <c r="K1687">
        <v>-256</v>
      </c>
      <c r="L1687">
        <v>1200</v>
      </c>
      <c r="M1687" t="str">
        <f t="shared" si="85"/>
        <v xml:space="preserve">N35DC   </v>
      </c>
      <c r="N1687">
        <v>1</v>
      </c>
      <c r="O1687">
        <v>1675</v>
      </c>
    </row>
    <row r="1688" spans="1:15" x14ac:dyDescent="0.25">
      <c r="A1688" t="str">
        <f>"10/21/2020 18:26:46.705"</f>
        <v>10/21/2020 18:26:46.705</v>
      </c>
      <c r="B1688" t="str">
        <f>"18:26:54.617"</f>
        <v>18:26:54.617</v>
      </c>
      <c r="C1688" t="str">
        <f>"18:26:54.217"</f>
        <v>18:26:54.217</v>
      </c>
      <c r="D1688" t="s">
        <v>673</v>
      </c>
      <c r="E1688">
        <v>30.532207</v>
      </c>
      <c r="F1688" t="s">
        <v>674</v>
      </c>
      <c r="G1688">
        <v>-89.849881999999994</v>
      </c>
      <c r="H1688">
        <v>1600</v>
      </c>
      <c r="I1688">
        <v>-54</v>
      </c>
      <c r="J1688">
        <v>-146</v>
      </c>
      <c r="K1688">
        <v>-256</v>
      </c>
      <c r="L1688">
        <v>1200</v>
      </c>
      <c r="M1688" t="str">
        <f t="shared" si="85"/>
        <v xml:space="preserve">N35DC   </v>
      </c>
      <c r="N1688">
        <v>1</v>
      </c>
      <c r="O1688">
        <v>1675</v>
      </c>
    </row>
    <row r="1689" spans="1:15" x14ac:dyDescent="0.25">
      <c r="A1689" t="str">
        <f>"10/21/2020 18:26:46.705"</f>
        <v>10/21/2020 18:26:46.705</v>
      </c>
      <c r="B1689" t="str">
        <f>"18:26:54.617"</f>
        <v>18:26:54.617</v>
      </c>
      <c r="C1689" t="str">
        <f>"18:26:54.217"</f>
        <v>18:26:54.217</v>
      </c>
      <c r="D1689" t="s">
        <v>673</v>
      </c>
      <c r="E1689">
        <v>30.532207</v>
      </c>
      <c r="F1689" t="s">
        <v>674</v>
      </c>
      <c r="G1689">
        <v>-89.849881999999994</v>
      </c>
      <c r="H1689">
        <v>1600</v>
      </c>
      <c r="I1689">
        <v>-54</v>
      </c>
      <c r="J1689">
        <v>-146</v>
      </c>
      <c r="K1689">
        <v>-256</v>
      </c>
      <c r="L1689">
        <v>1200</v>
      </c>
      <c r="M1689" t="str">
        <f t="shared" si="85"/>
        <v xml:space="preserve">N35DC   </v>
      </c>
      <c r="N1689">
        <v>1</v>
      </c>
      <c r="O1689">
        <v>1675</v>
      </c>
    </row>
    <row r="1690" spans="1:15" x14ac:dyDescent="0.25">
      <c r="A1690" t="str">
        <f>"10/21/2020 18:26:46.705"</f>
        <v>10/21/2020 18:26:46.705</v>
      </c>
      <c r="B1690" t="str">
        <f>"18:26:54.617"</f>
        <v>18:26:54.617</v>
      </c>
      <c r="C1690" t="str">
        <f>"18:26:54.217"</f>
        <v>18:26:54.217</v>
      </c>
      <c r="D1690" t="s">
        <v>673</v>
      </c>
      <c r="E1690">
        <v>30.532207</v>
      </c>
      <c r="F1690" t="s">
        <v>674</v>
      </c>
      <c r="G1690">
        <v>-89.849881999999994</v>
      </c>
      <c r="H1690">
        <v>1600</v>
      </c>
      <c r="I1690">
        <v>-54</v>
      </c>
      <c r="J1690">
        <v>-146</v>
      </c>
      <c r="K1690">
        <v>-256</v>
      </c>
      <c r="L1690">
        <v>1200</v>
      </c>
      <c r="M1690" t="str">
        <f t="shared" si="85"/>
        <v xml:space="preserve">N35DC   </v>
      </c>
      <c r="N1690">
        <v>1</v>
      </c>
      <c r="O1690">
        <v>1675</v>
      </c>
    </row>
    <row r="1691" spans="1:15" x14ac:dyDescent="0.25">
      <c r="A1691" t="str">
        <f>"10/21/2020 18:26:46.705"</f>
        <v>10/21/2020 18:26:46.705</v>
      </c>
      <c r="B1691" t="str">
        <f>"18:26:54.617"</f>
        <v>18:26:54.617</v>
      </c>
      <c r="C1691" t="str">
        <f>"18:26:54.217"</f>
        <v>18:26:54.217</v>
      </c>
      <c r="D1691" t="s">
        <v>673</v>
      </c>
      <c r="E1691">
        <v>30.532207</v>
      </c>
      <c r="F1691" t="s">
        <v>674</v>
      </c>
      <c r="G1691">
        <v>-89.849881999999994</v>
      </c>
      <c r="H1691">
        <v>1600</v>
      </c>
      <c r="I1691">
        <v>-54</v>
      </c>
      <c r="J1691">
        <v>-146</v>
      </c>
      <c r="K1691">
        <v>-256</v>
      </c>
      <c r="L1691">
        <v>1200</v>
      </c>
      <c r="M1691" t="str">
        <f t="shared" si="85"/>
        <v xml:space="preserve">N35DC   </v>
      </c>
      <c r="N1691">
        <v>1</v>
      </c>
      <c r="O1691">
        <v>1675</v>
      </c>
    </row>
    <row r="1692" spans="1:15" x14ac:dyDescent="0.25">
      <c r="A1692" t="str">
        <f>"10/21/2020 18:26:49.629"</f>
        <v>10/21/2020 18:26:49.629</v>
      </c>
      <c r="B1692" t="str">
        <f>"18:26:57.562"</f>
        <v>18:26:57.562</v>
      </c>
      <c r="C1692" t="str">
        <f>"18:26:57.363"</f>
        <v>18:26:57.363</v>
      </c>
      <c r="D1692" t="s">
        <v>675</v>
      </c>
      <c r="E1692">
        <v>30.530276000000001</v>
      </c>
      <c r="F1692" t="s">
        <v>676</v>
      </c>
      <c r="G1692">
        <v>-89.850933999999995</v>
      </c>
      <c r="H1692">
        <v>1600</v>
      </c>
      <c r="I1692">
        <v>-71</v>
      </c>
      <c r="J1692">
        <v>-140</v>
      </c>
      <c r="K1692">
        <v>-256</v>
      </c>
      <c r="L1692">
        <v>1200</v>
      </c>
      <c r="M1692" t="str">
        <f t="shared" si="85"/>
        <v xml:space="preserve">N35DC   </v>
      </c>
      <c r="N1692">
        <v>1</v>
      </c>
      <c r="O1692">
        <v>1650</v>
      </c>
    </row>
    <row r="1693" spans="1:15" x14ac:dyDescent="0.25">
      <c r="A1693" t="str">
        <f>"10/21/2020 18:26:49.629"</f>
        <v>10/21/2020 18:26:49.629</v>
      </c>
      <c r="B1693" t="str">
        <f>"18:26:57.562"</f>
        <v>18:26:57.562</v>
      </c>
      <c r="C1693" t="str">
        <f>"18:26:57.363"</f>
        <v>18:26:57.363</v>
      </c>
      <c r="D1693" t="s">
        <v>675</v>
      </c>
      <c r="E1693">
        <v>30.530276000000001</v>
      </c>
      <c r="F1693" t="s">
        <v>676</v>
      </c>
      <c r="G1693">
        <v>-89.850933999999995</v>
      </c>
      <c r="H1693">
        <v>1600</v>
      </c>
      <c r="I1693">
        <v>-71</v>
      </c>
      <c r="J1693">
        <v>-140</v>
      </c>
      <c r="K1693">
        <v>-256</v>
      </c>
      <c r="L1693">
        <v>1200</v>
      </c>
      <c r="M1693" t="str">
        <f t="shared" si="85"/>
        <v xml:space="preserve">N35DC   </v>
      </c>
      <c r="N1693">
        <v>1</v>
      </c>
      <c r="O1693">
        <v>1650</v>
      </c>
    </row>
    <row r="1694" spans="1:15" x14ac:dyDescent="0.25">
      <c r="A1694" t="str">
        <f>"10/21/2020 18:26:49.629"</f>
        <v>10/21/2020 18:26:49.629</v>
      </c>
      <c r="B1694" t="str">
        <f>"18:26:57.562"</f>
        <v>18:26:57.562</v>
      </c>
      <c r="C1694" t="str">
        <f>"18:26:57.363"</f>
        <v>18:26:57.363</v>
      </c>
      <c r="D1694" t="s">
        <v>675</v>
      </c>
      <c r="E1694">
        <v>30.530276000000001</v>
      </c>
      <c r="F1694" t="s">
        <v>676</v>
      </c>
      <c r="G1694">
        <v>-89.850933999999995</v>
      </c>
      <c r="H1694">
        <v>1600</v>
      </c>
      <c r="I1694">
        <v>-71</v>
      </c>
      <c r="J1694">
        <v>-140</v>
      </c>
      <c r="K1694">
        <v>-256</v>
      </c>
      <c r="L1694">
        <v>1200</v>
      </c>
      <c r="M1694" t="str">
        <f t="shared" si="85"/>
        <v xml:space="preserve">N35DC   </v>
      </c>
      <c r="N1694">
        <v>1</v>
      </c>
      <c r="O1694">
        <v>1650</v>
      </c>
    </row>
    <row r="1695" spans="1:15" x14ac:dyDescent="0.25">
      <c r="A1695" t="str">
        <f>"10/21/2020 18:26:49.629"</f>
        <v>10/21/2020 18:26:49.629</v>
      </c>
      <c r="B1695" t="str">
        <f>"18:26:57.562"</f>
        <v>18:26:57.562</v>
      </c>
      <c r="C1695" t="str">
        <f>"18:26:57.363"</f>
        <v>18:26:57.363</v>
      </c>
      <c r="D1695" t="s">
        <v>675</v>
      </c>
      <c r="E1695">
        <v>30.530276000000001</v>
      </c>
      <c r="F1695" t="s">
        <v>676</v>
      </c>
      <c r="G1695">
        <v>-89.850933999999995</v>
      </c>
      <c r="H1695">
        <v>1600</v>
      </c>
      <c r="I1695">
        <v>-71</v>
      </c>
      <c r="J1695">
        <v>-140</v>
      </c>
      <c r="K1695">
        <v>-256</v>
      </c>
      <c r="L1695">
        <v>1200</v>
      </c>
      <c r="M1695" t="str">
        <f t="shared" si="85"/>
        <v xml:space="preserve">N35DC   </v>
      </c>
      <c r="N1695">
        <v>1</v>
      </c>
      <c r="O1695">
        <v>1650</v>
      </c>
    </row>
    <row r="1696" spans="1:15" x14ac:dyDescent="0.25">
      <c r="A1696" t="str">
        <f>"10/21/2020 18:26:49.629"</f>
        <v>10/21/2020 18:26:49.629</v>
      </c>
      <c r="B1696" t="str">
        <f>"18:26:57.562"</f>
        <v>18:26:57.562</v>
      </c>
      <c r="C1696" t="str">
        <f>"18:26:57.363"</f>
        <v>18:26:57.363</v>
      </c>
      <c r="D1696" t="s">
        <v>675</v>
      </c>
      <c r="E1696">
        <v>30.530276000000001</v>
      </c>
      <c r="F1696" t="s">
        <v>676</v>
      </c>
      <c r="G1696">
        <v>-89.850933999999995</v>
      </c>
      <c r="H1696">
        <v>1600</v>
      </c>
      <c r="I1696">
        <v>-71</v>
      </c>
      <c r="J1696">
        <v>-140</v>
      </c>
      <c r="K1696">
        <v>-256</v>
      </c>
      <c r="L1696">
        <v>1200</v>
      </c>
      <c r="M1696" t="str">
        <f t="shared" si="85"/>
        <v xml:space="preserve">N35DC   </v>
      </c>
      <c r="N1696">
        <v>1</v>
      </c>
      <c r="O1696">
        <v>1650</v>
      </c>
    </row>
    <row r="1697" spans="1:15" x14ac:dyDescent="0.25">
      <c r="A1697" t="str">
        <f>"10/21/2020 18:26:52.753"</f>
        <v>10/21/2020 18:26:52.753</v>
      </c>
      <c r="B1697" t="str">
        <f t="shared" ref="B1697:C1701" si="86">"18:27:00.695"</f>
        <v>18:27:00.695</v>
      </c>
      <c r="C1697" t="str">
        <f t="shared" si="86"/>
        <v>18:27:00.695</v>
      </c>
      <c r="D1697" t="s">
        <v>677</v>
      </c>
      <c r="E1697">
        <v>30.528345000000002</v>
      </c>
      <c r="F1697" t="s">
        <v>678</v>
      </c>
      <c r="G1697">
        <v>-89.852350000000001</v>
      </c>
      <c r="H1697">
        <v>1600</v>
      </c>
      <c r="I1697">
        <v>-91</v>
      </c>
      <c r="J1697">
        <v>-129</v>
      </c>
      <c r="K1697">
        <v>-64</v>
      </c>
      <c r="L1697">
        <v>1200</v>
      </c>
      <c r="M1697" t="str">
        <f t="shared" si="85"/>
        <v xml:space="preserve">N35DC   </v>
      </c>
      <c r="N1697">
        <v>1</v>
      </c>
      <c r="O1697">
        <v>1650</v>
      </c>
    </row>
    <row r="1698" spans="1:15" x14ac:dyDescent="0.25">
      <c r="A1698" t="str">
        <f>"10/21/2020 18:26:52.753"</f>
        <v>10/21/2020 18:26:52.753</v>
      </c>
      <c r="B1698" t="str">
        <f t="shared" si="86"/>
        <v>18:27:00.695</v>
      </c>
      <c r="C1698" t="str">
        <f t="shared" si="86"/>
        <v>18:27:00.695</v>
      </c>
      <c r="D1698" t="s">
        <v>677</v>
      </c>
      <c r="E1698">
        <v>30.528345000000002</v>
      </c>
      <c r="F1698" t="s">
        <v>678</v>
      </c>
      <c r="G1698">
        <v>-89.852350000000001</v>
      </c>
      <c r="H1698">
        <v>1600</v>
      </c>
      <c r="I1698">
        <v>-91</v>
      </c>
      <c r="J1698">
        <v>-129</v>
      </c>
      <c r="K1698">
        <v>-64</v>
      </c>
      <c r="L1698">
        <v>1200</v>
      </c>
      <c r="M1698" t="str">
        <f t="shared" si="85"/>
        <v xml:space="preserve">N35DC   </v>
      </c>
      <c r="N1698">
        <v>1</v>
      </c>
      <c r="O1698">
        <v>1650</v>
      </c>
    </row>
    <row r="1699" spans="1:15" x14ac:dyDescent="0.25">
      <c r="A1699" t="str">
        <f>"10/21/2020 18:26:52.753"</f>
        <v>10/21/2020 18:26:52.753</v>
      </c>
      <c r="B1699" t="str">
        <f t="shared" si="86"/>
        <v>18:27:00.695</v>
      </c>
      <c r="C1699" t="str">
        <f t="shared" si="86"/>
        <v>18:27:00.695</v>
      </c>
      <c r="D1699" t="s">
        <v>677</v>
      </c>
      <c r="E1699">
        <v>30.528345000000002</v>
      </c>
      <c r="F1699" t="s">
        <v>678</v>
      </c>
      <c r="G1699">
        <v>-89.852350000000001</v>
      </c>
      <c r="H1699">
        <v>1600</v>
      </c>
      <c r="I1699">
        <v>-91</v>
      </c>
      <c r="J1699">
        <v>-129</v>
      </c>
      <c r="K1699">
        <v>-64</v>
      </c>
      <c r="L1699">
        <v>1200</v>
      </c>
      <c r="M1699" t="str">
        <f t="shared" si="85"/>
        <v xml:space="preserve">N35DC   </v>
      </c>
      <c r="N1699">
        <v>1</v>
      </c>
      <c r="O1699">
        <v>1650</v>
      </c>
    </row>
    <row r="1700" spans="1:15" x14ac:dyDescent="0.25">
      <c r="A1700" t="str">
        <f>"10/21/2020 18:26:52.753"</f>
        <v>10/21/2020 18:26:52.753</v>
      </c>
      <c r="B1700" t="str">
        <f t="shared" si="86"/>
        <v>18:27:00.695</v>
      </c>
      <c r="C1700" t="str">
        <f t="shared" si="86"/>
        <v>18:27:00.695</v>
      </c>
      <c r="D1700" t="s">
        <v>677</v>
      </c>
      <c r="E1700">
        <v>30.528345000000002</v>
      </c>
      <c r="F1700" t="s">
        <v>678</v>
      </c>
      <c r="G1700">
        <v>-89.852350000000001</v>
      </c>
      <c r="H1700">
        <v>1600</v>
      </c>
      <c r="I1700">
        <v>-91</v>
      </c>
      <c r="J1700">
        <v>-129</v>
      </c>
      <c r="K1700">
        <v>-64</v>
      </c>
      <c r="L1700">
        <v>1200</v>
      </c>
      <c r="M1700" t="str">
        <f t="shared" si="85"/>
        <v xml:space="preserve">N35DC   </v>
      </c>
      <c r="N1700">
        <v>1</v>
      </c>
      <c r="O1700">
        <v>1650</v>
      </c>
    </row>
    <row r="1701" spans="1:15" x14ac:dyDescent="0.25">
      <c r="A1701" t="str">
        <f>"10/21/2020 18:26:52.753"</f>
        <v>10/21/2020 18:26:52.753</v>
      </c>
      <c r="B1701" t="str">
        <f t="shared" si="86"/>
        <v>18:27:00.695</v>
      </c>
      <c r="C1701" t="str">
        <f t="shared" si="86"/>
        <v>18:27:00.695</v>
      </c>
      <c r="D1701" t="s">
        <v>677</v>
      </c>
      <c r="E1701">
        <v>30.528345000000002</v>
      </c>
      <c r="F1701" t="s">
        <v>678</v>
      </c>
      <c r="G1701">
        <v>-89.852350000000001</v>
      </c>
      <c r="H1701">
        <v>1600</v>
      </c>
      <c r="I1701">
        <v>-91</v>
      </c>
      <c r="J1701">
        <v>-129</v>
      </c>
      <c r="K1701">
        <v>-64</v>
      </c>
      <c r="L1701">
        <v>1200</v>
      </c>
      <c r="M1701" t="str">
        <f t="shared" si="85"/>
        <v xml:space="preserve">N35DC   </v>
      </c>
      <c r="N1701">
        <v>1</v>
      </c>
      <c r="O1701">
        <v>1650</v>
      </c>
    </row>
    <row r="1702" spans="1:15" x14ac:dyDescent="0.25">
      <c r="A1702" t="str">
        <f>"10/21/2020 18:26:55.910"</f>
        <v>10/21/2020 18:26:55.910</v>
      </c>
      <c r="B1702" t="str">
        <f t="shared" ref="B1702:C1706" si="87">"18:27:03.844"</f>
        <v>18:27:03.844</v>
      </c>
      <c r="C1702" t="str">
        <f t="shared" si="87"/>
        <v>18:27:03.844</v>
      </c>
      <c r="D1702" t="s">
        <v>679</v>
      </c>
      <c r="E1702">
        <v>30.526586000000002</v>
      </c>
      <c r="F1702" t="s">
        <v>680</v>
      </c>
      <c r="G1702">
        <v>-89.854044999999999</v>
      </c>
      <c r="H1702">
        <v>1600</v>
      </c>
      <c r="I1702">
        <v>-108</v>
      </c>
      <c r="J1702">
        <v>-115</v>
      </c>
      <c r="K1702">
        <v>128</v>
      </c>
      <c r="L1702">
        <v>1200</v>
      </c>
      <c r="M1702" t="str">
        <f t="shared" si="85"/>
        <v xml:space="preserve">N35DC   </v>
      </c>
      <c r="N1702">
        <v>1</v>
      </c>
      <c r="O1702">
        <v>1650</v>
      </c>
    </row>
    <row r="1703" spans="1:15" x14ac:dyDescent="0.25">
      <c r="A1703" t="str">
        <f>"10/21/2020 18:26:55.910"</f>
        <v>10/21/2020 18:26:55.910</v>
      </c>
      <c r="B1703" t="str">
        <f t="shared" si="87"/>
        <v>18:27:03.844</v>
      </c>
      <c r="C1703" t="str">
        <f t="shared" si="87"/>
        <v>18:27:03.844</v>
      </c>
      <c r="D1703" t="s">
        <v>679</v>
      </c>
      <c r="E1703">
        <v>30.526586000000002</v>
      </c>
      <c r="F1703" t="s">
        <v>680</v>
      </c>
      <c r="G1703">
        <v>-89.854044999999999</v>
      </c>
      <c r="H1703">
        <v>1600</v>
      </c>
      <c r="I1703">
        <v>-108</v>
      </c>
      <c r="J1703">
        <v>-115</v>
      </c>
      <c r="K1703">
        <v>128</v>
      </c>
      <c r="L1703">
        <v>1200</v>
      </c>
      <c r="M1703" t="str">
        <f t="shared" si="85"/>
        <v xml:space="preserve">N35DC   </v>
      </c>
      <c r="N1703">
        <v>1</v>
      </c>
      <c r="O1703">
        <v>1650</v>
      </c>
    </row>
    <row r="1704" spans="1:15" x14ac:dyDescent="0.25">
      <c r="A1704" t="str">
        <f>"10/21/2020 18:26:55.910"</f>
        <v>10/21/2020 18:26:55.910</v>
      </c>
      <c r="B1704" t="str">
        <f t="shared" si="87"/>
        <v>18:27:03.844</v>
      </c>
      <c r="C1704" t="str">
        <f t="shared" si="87"/>
        <v>18:27:03.844</v>
      </c>
      <c r="D1704" t="s">
        <v>679</v>
      </c>
      <c r="E1704">
        <v>30.526586000000002</v>
      </c>
      <c r="F1704" t="s">
        <v>680</v>
      </c>
      <c r="G1704">
        <v>-89.854044999999999</v>
      </c>
      <c r="H1704">
        <v>1600</v>
      </c>
      <c r="I1704">
        <v>-108</v>
      </c>
      <c r="J1704">
        <v>-115</v>
      </c>
      <c r="K1704">
        <v>128</v>
      </c>
      <c r="L1704">
        <v>1200</v>
      </c>
      <c r="M1704" t="str">
        <f t="shared" si="85"/>
        <v xml:space="preserve">N35DC   </v>
      </c>
      <c r="N1704">
        <v>1</v>
      </c>
      <c r="O1704">
        <v>1650</v>
      </c>
    </row>
    <row r="1705" spans="1:15" x14ac:dyDescent="0.25">
      <c r="A1705" t="str">
        <f>"10/21/2020 18:26:55.910"</f>
        <v>10/21/2020 18:26:55.910</v>
      </c>
      <c r="B1705" t="str">
        <f t="shared" si="87"/>
        <v>18:27:03.844</v>
      </c>
      <c r="C1705" t="str">
        <f t="shared" si="87"/>
        <v>18:27:03.844</v>
      </c>
      <c r="D1705" t="s">
        <v>679</v>
      </c>
      <c r="E1705">
        <v>30.526586000000002</v>
      </c>
      <c r="F1705" t="s">
        <v>680</v>
      </c>
      <c r="G1705">
        <v>-89.854044999999999</v>
      </c>
      <c r="H1705">
        <v>1600</v>
      </c>
      <c r="I1705">
        <v>-108</v>
      </c>
      <c r="J1705">
        <v>-115</v>
      </c>
      <c r="K1705">
        <v>128</v>
      </c>
      <c r="L1705">
        <v>1200</v>
      </c>
      <c r="M1705" t="str">
        <f t="shared" si="85"/>
        <v xml:space="preserve">N35DC   </v>
      </c>
      <c r="N1705">
        <v>1</v>
      </c>
      <c r="O1705">
        <v>1650</v>
      </c>
    </row>
    <row r="1706" spans="1:15" x14ac:dyDescent="0.25">
      <c r="A1706" t="str">
        <f>"10/21/2020 18:26:55.910"</f>
        <v>10/21/2020 18:26:55.910</v>
      </c>
      <c r="B1706" t="str">
        <f t="shared" si="87"/>
        <v>18:27:03.844</v>
      </c>
      <c r="C1706" t="str">
        <f t="shared" si="87"/>
        <v>18:27:03.844</v>
      </c>
      <c r="D1706" t="s">
        <v>679</v>
      </c>
      <c r="E1706">
        <v>30.526586000000002</v>
      </c>
      <c r="F1706" t="s">
        <v>680</v>
      </c>
      <c r="G1706">
        <v>-89.854044999999999</v>
      </c>
      <c r="H1706">
        <v>1600</v>
      </c>
      <c r="I1706">
        <v>-108</v>
      </c>
      <c r="J1706">
        <v>-115</v>
      </c>
      <c r="K1706">
        <v>128</v>
      </c>
      <c r="L1706">
        <v>1200</v>
      </c>
      <c r="M1706" t="str">
        <f t="shared" si="85"/>
        <v xml:space="preserve">N35DC   </v>
      </c>
      <c r="N1706">
        <v>1</v>
      </c>
      <c r="O1706">
        <v>1650</v>
      </c>
    </row>
    <row r="1707" spans="1:15" x14ac:dyDescent="0.25">
      <c r="A1707" t="str">
        <f>"10/21/2020 18:26:56.785"</f>
        <v>10/21/2020 18:26:56.785</v>
      </c>
      <c r="B1707" t="str">
        <f>"18:27:04.711"</f>
        <v>18:27:04.711</v>
      </c>
      <c r="C1707" t="str">
        <f>"18:27:04.311"</f>
        <v>18:27:04.311</v>
      </c>
      <c r="D1707" t="s">
        <v>681</v>
      </c>
      <c r="E1707">
        <v>30.526114</v>
      </c>
      <c r="F1707" t="s">
        <v>682</v>
      </c>
      <c r="G1707">
        <v>-89.854538000000005</v>
      </c>
      <c r="H1707">
        <v>1600</v>
      </c>
      <c r="I1707">
        <v>-111</v>
      </c>
      <c r="J1707">
        <v>-113</v>
      </c>
      <c r="K1707">
        <v>128</v>
      </c>
      <c r="L1707">
        <v>1200</v>
      </c>
      <c r="M1707" t="str">
        <f t="shared" si="85"/>
        <v xml:space="preserve">N35DC   </v>
      </c>
      <c r="N1707">
        <v>1</v>
      </c>
      <c r="O1707">
        <v>1650</v>
      </c>
    </row>
    <row r="1708" spans="1:15" x14ac:dyDescent="0.25">
      <c r="A1708" t="str">
        <f>"10/21/2020 18:26:56.785"</f>
        <v>10/21/2020 18:26:56.785</v>
      </c>
      <c r="B1708" t="str">
        <f>"18:27:04.711"</f>
        <v>18:27:04.711</v>
      </c>
      <c r="C1708" t="str">
        <f>"18:27:04.311"</f>
        <v>18:27:04.311</v>
      </c>
      <c r="D1708" t="s">
        <v>681</v>
      </c>
      <c r="E1708">
        <v>30.526114</v>
      </c>
      <c r="F1708" t="s">
        <v>682</v>
      </c>
      <c r="G1708">
        <v>-89.854538000000005</v>
      </c>
      <c r="H1708">
        <v>1600</v>
      </c>
      <c r="I1708">
        <v>-111</v>
      </c>
      <c r="J1708">
        <v>-113</v>
      </c>
      <c r="K1708">
        <v>128</v>
      </c>
      <c r="L1708">
        <v>1200</v>
      </c>
      <c r="M1708" t="str">
        <f t="shared" si="85"/>
        <v xml:space="preserve">N35DC   </v>
      </c>
      <c r="N1708">
        <v>1</v>
      </c>
      <c r="O1708">
        <v>1650</v>
      </c>
    </row>
    <row r="1709" spans="1:15" x14ac:dyDescent="0.25">
      <c r="A1709" t="str">
        <f>"10/21/2020 18:26:56.785"</f>
        <v>10/21/2020 18:26:56.785</v>
      </c>
      <c r="B1709" t="str">
        <f>"18:27:04.711"</f>
        <v>18:27:04.711</v>
      </c>
      <c r="C1709" t="str">
        <f>"18:27:04.311"</f>
        <v>18:27:04.311</v>
      </c>
      <c r="D1709" t="s">
        <v>681</v>
      </c>
      <c r="E1709">
        <v>30.526114</v>
      </c>
      <c r="F1709" t="s">
        <v>682</v>
      </c>
      <c r="G1709">
        <v>-89.854538000000005</v>
      </c>
      <c r="H1709">
        <v>1600</v>
      </c>
      <c r="I1709">
        <v>-111</v>
      </c>
      <c r="J1709">
        <v>-113</v>
      </c>
      <c r="K1709">
        <v>128</v>
      </c>
      <c r="L1709">
        <v>1200</v>
      </c>
      <c r="M1709" t="str">
        <f t="shared" si="85"/>
        <v xml:space="preserve">N35DC   </v>
      </c>
      <c r="N1709">
        <v>1</v>
      </c>
      <c r="O1709">
        <v>1650</v>
      </c>
    </row>
    <row r="1710" spans="1:15" x14ac:dyDescent="0.25">
      <c r="A1710" t="str">
        <f>"10/21/2020 18:26:56.785"</f>
        <v>10/21/2020 18:26:56.785</v>
      </c>
      <c r="B1710" t="str">
        <f>"18:27:04.711"</f>
        <v>18:27:04.711</v>
      </c>
      <c r="C1710" t="str">
        <f>"18:27:04.311"</f>
        <v>18:27:04.311</v>
      </c>
      <c r="D1710" t="s">
        <v>681</v>
      </c>
      <c r="E1710">
        <v>30.526114</v>
      </c>
      <c r="F1710" t="s">
        <v>682</v>
      </c>
      <c r="G1710">
        <v>-89.854538000000005</v>
      </c>
      <c r="H1710">
        <v>1600</v>
      </c>
      <c r="I1710">
        <v>-111</v>
      </c>
      <c r="J1710">
        <v>-113</v>
      </c>
      <c r="K1710">
        <v>128</v>
      </c>
      <c r="L1710">
        <v>1200</v>
      </c>
      <c r="M1710" t="str">
        <f t="shared" si="85"/>
        <v xml:space="preserve">N35DC   </v>
      </c>
      <c r="N1710">
        <v>1</v>
      </c>
      <c r="O1710">
        <v>1650</v>
      </c>
    </row>
    <row r="1711" spans="1:15" x14ac:dyDescent="0.25">
      <c r="A1711" t="str">
        <f>"10/21/2020 18:26:56.785"</f>
        <v>10/21/2020 18:26:56.785</v>
      </c>
      <c r="B1711" t="str">
        <f>"18:27:04.711"</f>
        <v>18:27:04.711</v>
      </c>
      <c r="C1711" t="str">
        <f>"18:27:04.311"</f>
        <v>18:27:04.311</v>
      </c>
      <c r="D1711" t="s">
        <v>681</v>
      </c>
      <c r="E1711">
        <v>30.526114</v>
      </c>
      <c r="F1711" t="s">
        <v>682</v>
      </c>
      <c r="G1711">
        <v>-89.854538000000005</v>
      </c>
      <c r="H1711">
        <v>1600</v>
      </c>
      <c r="I1711">
        <v>-111</v>
      </c>
      <c r="J1711">
        <v>-113</v>
      </c>
      <c r="K1711">
        <v>128</v>
      </c>
      <c r="L1711">
        <v>1200</v>
      </c>
      <c r="M1711" t="str">
        <f t="shared" si="85"/>
        <v xml:space="preserve">N35DC   </v>
      </c>
      <c r="N1711">
        <v>1</v>
      </c>
      <c r="O1711">
        <v>1650</v>
      </c>
    </row>
    <row r="1712" spans="1:15" x14ac:dyDescent="0.25">
      <c r="A1712" t="str">
        <f>"10/21/2020 18:26:58.848"</f>
        <v>10/21/2020 18:26:58.848</v>
      </c>
      <c r="B1712" t="str">
        <f>"18:27:06.781"</f>
        <v>18:27:06.781</v>
      </c>
      <c r="C1712" t="str">
        <f>"18:27:06.381"</f>
        <v>18:27:06.381</v>
      </c>
      <c r="D1712" t="s">
        <v>683</v>
      </c>
      <c r="E1712">
        <v>30.525105</v>
      </c>
      <c r="F1712" t="s">
        <v>684</v>
      </c>
      <c r="G1712">
        <v>-89.855890000000002</v>
      </c>
      <c r="H1712">
        <v>1600</v>
      </c>
      <c r="I1712">
        <v>-120</v>
      </c>
      <c r="J1712">
        <v>-103</v>
      </c>
      <c r="K1712">
        <v>192</v>
      </c>
      <c r="L1712">
        <v>1200</v>
      </c>
      <c r="M1712" t="str">
        <f t="shared" si="85"/>
        <v xml:space="preserve">N35DC   </v>
      </c>
      <c r="N1712">
        <v>1</v>
      </c>
      <c r="O1712">
        <v>1650</v>
      </c>
    </row>
    <row r="1713" spans="1:15" x14ac:dyDescent="0.25">
      <c r="A1713" t="str">
        <f>"10/21/2020 18:26:58.848"</f>
        <v>10/21/2020 18:26:58.848</v>
      </c>
      <c r="B1713" t="str">
        <f>"18:27:06.781"</f>
        <v>18:27:06.781</v>
      </c>
      <c r="C1713" t="str">
        <f>"18:27:06.381"</f>
        <v>18:27:06.381</v>
      </c>
      <c r="D1713" t="s">
        <v>683</v>
      </c>
      <c r="E1713">
        <v>30.525105</v>
      </c>
      <c r="F1713" t="s">
        <v>684</v>
      </c>
      <c r="G1713">
        <v>-89.855890000000002</v>
      </c>
      <c r="H1713">
        <v>1600</v>
      </c>
      <c r="I1713">
        <v>-120</v>
      </c>
      <c r="J1713">
        <v>-103</v>
      </c>
      <c r="K1713">
        <v>192</v>
      </c>
      <c r="L1713">
        <v>1200</v>
      </c>
      <c r="M1713" t="str">
        <f t="shared" si="85"/>
        <v xml:space="preserve">N35DC   </v>
      </c>
      <c r="N1713">
        <v>1</v>
      </c>
      <c r="O1713">
        <v>1650</v>
      </c>
    </row>
    <row r="1714" spans="1:15" x14ac:dyDescent="0.25">
      <c r="A1714" t="str">
        <f>"10/21/2020 18:26:58.848"</f>
        <v>10/21/2020 18:26:58.848</v>
      </c>
      <c r="B1714" t="str">
        <f>"18:27:06.781"</f>
        <v>18:27:06.781</v>
      </c>
      <c r="C1714" t="str">
        <f>"18:27:06.381"</f>
        <v>18:27:06.381</v>
      </c>
      <c r="D1714" t="s">
        <v>683</v>
      </c>
      <c r="E1714">
        <v>30.525105</v>
      </c>
      <c r="F1714" t="s">
        <v>684</v>
      </c>
      <c r="G1714">
        <v>-89.855890000000002</v>
      </c>
      <c r="H1714">
        <v>1600</v>
      </c>
      <c r="I1714">
        <v>-120</v>
      </c>
      <c r="J1714">
        <v>-103</v>
      </c>
      <c r="K1714">
        <v>192</v>
      </c>
      <c r="L1714">
        <v>1200</v>
      </c>
      <c r="M1714" t="str">
        <f t="shared" si="85"/>
        <v xml:space="preserve">N35DC   </v>
      </c>
      <c r="N1714">
        <v>1</v>
      </c>
      <c r="O1714">
        <v>1650</v>
      </c>
    </row>
    <row r="1715" spans="1:15" x14ac:dyDescent="0.25">
      <c r="A1715" t="str">
        <f>"10/21/2020 18:26:58.848"</f>
        <v>10/21/2020 18:26:58.848</v>
      </c>
      <c r="B1715" t="str">
        <f>"18:27:06.781"</f>
        <v>18:27:06.781</v>
      </c>
      <c r="C1715" t="str">
        <f>"18:27:06.381"</f>
        <v>18:27:06.381</v>
      </c>
      <c r="D1715" t="s">
        <v>683</v>
      </c>
      <c r="E1715">
        <v>30.525105</v>
      </c>
      <c r="F1715" t="s">
        <v>684</v>
      </c>
      <c r="G1715">
        <v>-89.855890000000002</v>
      </c>
      <c r="H1715">
        <v>1600</v>
      </c>
      <c r="I1715">
        <v>-120</v>
      </c>
      <c r="J1715">
        <v>-103</v>
      </c>
      <c r="K1715">
        <v>192</v>
      </c>
      <c r="L1715">
        <v>1200</v>
      </c>
      <c r="M1715" t="str">
        <f t="shared" si="85"/>
        <v xml:space="preserve">N35DC   </v>
      </c>
      <c r="N1715">
        <v>1</v>
      </c>
      <c r="O1715">
        <v>1650</v>
      </c>
    </row>
    <row r="1716" spans="1:15" x14ac:dyDescent="0.25">
      <c r="A1716" t="str">
        <f>"10/21/2020 18:26:58.848"</f>
        <v>10/21/2020 18:26:58.848</v>
      </c>
      <c r="B1716" t="str">
        <f>"18:27:06.781"</f>
        <v>18:27:06.781</v>
      </c>
      <c r="C1716" t="str">
        <f>"18:27:06.381"</f>
        <v>18:27:06.381</v>
      </c>
      <c r="D1716" t="s">
        <v>683</v>
      </c>
      <c r="E1716">
        <v>30.525105</v>
      </c>
      <c r="F1716" t="s">
        <v>684</v>
      </c>
      <c r="G1716">
        <v>-89.855890000000002</v>
      </c>
      <c r="H1716">
        <v>1600</v>
      </c>
      <c r="I1716">
        <v>-120</v>
      </c>
      <c r="J1716">
        <v>-103</v>
      </c>
      <c r="K1716">
        <v>192</v>
      </c>
      <c r="L1716">
        <v>1200</v>
      </c>
      <c r="M1716" t="str">
        <f t="shared" si="85"/>
        <v xml:space="preserve">N35DC   </v>
      </c>
      <c r="N1716">
        <v>1</v>
      </c>
      <c r="O1716">
        <v>1650</v>
      </c>
    </row>
    <row r="1717" spans="1:15" x14ac:dyDescent="0.25">
      <c r="A1717" t="str">
        <f>"10/21/2020 18:26:59.717"</f>
        <v>10/21/2020 18:26:59.717</v>
      </c>
      <c r="B1717" t="str">
        <f>"18:27:07.641"</f>
        <v>18:27:07.641</v>
      </c>
      <c r="C1717" t="str">
        <f>"18:27:07.341"</f>
        <v>18:27:07.341</v>
      </c>
      <c r="D1717" t="s">
        <v>685</v>
      </c>
      <c r="E1717">
        <v>30.524740000000001</v>
      </c>
      <c r="F1717" t="s">
        <v>686</v>
      </c>
      <c r="G1717">
        <v>-89.856470000000002</v>
      </c>
      <c r="H1717">
        <v>1600</v>
      </c>
      <c r="I1717">
        <v>-125</v>
      </c>
      <c r="J1717">
        <v>-96</v>
      </c>
      <c r="K1717">
        <v>256</v>
      </c>
      <c r="L1717">
        <v>1200</v>
      </c>
      <c r="M1717" t="str">
        <f t="shared" si="85"/>
        <v xml:space="preserve">N35DC   </v>
      </c>
      <c r="N1717">
        <v>1</v>
      </c>
      <c r="O1717">
        <v>1675</v>
      </c>
    </row>
    <row r="1718" spans="1:15" x14ac:dyDescent="0.25">
      <c r="A1718" t="str">
        <f>"10/21/2020 18:26:59.717"</f>
        <v>10/21/2020 18:26:59.717</v>
      </c>
      <c r="B1718" t="str">
        <f>"18:27:07.641"</f>
        <v>18:27:07.641</v>
      </c>
      <c r="C1718" t="str">
        <f>"18:27:07.341"</f>
        <v>18:27:07.341</v>
      </c>
      <c r="D1718" t="s">
        <v>685</v>
      </c>
      <c r="E1718">
        <v>30.524740000000001</v>
      </c>
      <c r="F1718" t="s">
        <v>686</v>
      </c>
      <c r="G1718">
        <v>-89.856470000000002</v>
      </c>
      <c r="H1718">
        <v>1600</v>
      </c>
      <c r="I1718">
        <v>-125</v>
      </c>
      <c r="J1718">
        <v>-96</v>
      </c>
      <c r="K1718">
        <v>256</v>
      </c>
      <c r="L1718">
        <v>1200</v>
      </c>
      <c r="M1718" t="str">
        <f t="shared" si="85"/>
        <v xml:space="preserve">N35DC   </v>
      </c>
      <c r="N1718">
        <v>1</v>
      </c>
      <c r="O1718">
        <v>1675</v>
      </c>
    </row>
    <row r="1719" spans="1:15" x14ac:dyDescent="0.25">
      <c r="A1719" t="str">
        <f>"10/21/2020 18:26:59.717"</f>
        <v>10/21/2020 18:26:59.717</v>
      </c>
      <c r="B1719" t="str">
        <f>"18:27:07.641"</f>
        <v>18:27:07.641</v>
      </c>
      <c r="C1719" t="str">
        <f>"18:27:07.341"</f>
        <v>18:27:07.341</v>
      </c>
      <c r="D1719" t="s">
        <v>685</v>
      </c>
      <c r="E1719">
        <v>30.524740000000001</v>
      </c>
      <c r="F1719" t="s">
        <v>686</v>
      </c>
      <c r="G1719">
        <v>-89.856470000000002</v>
      </c>
      <c r="H1719">
        <v>1600</v>
      </c>
      <c r="I1719">
        <v>-125</v>
      </c>
      <c r="J1719">
        <v>-96</v>
      </c>
      <c r="K1719">
        <v>256</v>
      </c>
      <c r="L1719">
        <v>1200</v>
      </c>
      <c r="M1719" t="str">
        <f t="shared" si="85"/>
        <v xml:space="preserve">N35DC   </v>
      </c>
      <c r="N1719">
        <v>1</v>
      </c>
      <c r="O1719">
        <v>1675</v>
      </c>
    </row>
    <row r="1720" spans="1:15" x14ac:dyDescent="0.25">
      <c r="A1720" t="str">
        <f>"10/21/2020 18:26:59.717"</f>
        <v>10/21/2020 18:26:59.717</v>
      </c>
      <c r="B1720" t="str">
        <f>"18:27:07.641"</f>
        <v>18:27:07.641</v>
      </c>
      <c r="C1720" t="str">
        <f>"18:27:07.341"</f>
        <v>18:27:07.341</v>
      </c>
      <c r="D1720" t="s">
        <v>685</v>
      </c>
      <c r="E1720">
        <v>30.524740000000001</v>
      </c>
      <c r="F1720" t="s">
        <v>686</v>
      </c>
      <c r="G1720">
        <v>-89.856470000000002</v>
      </c>
      <c r="H1720">
        <v>1600</v>
      </c>
      <c r="I1720">
        <v>-125</v>
      </c>
      <c r="J1720">
        <v>-96</v>
      </c>
      <c r="K1720">
        <v>256</v>
      </c>
      <c r="L1720">
        <v>1200</v>
      </c>
      <c r="M1720" t="str">
        <f t="shared" si="85"/>
        <v xml:space="preserve">N35DC   </v>
      </c>
      <c r="N1720">
        <v>1</v>
      </c>
      <c r="O1720">
        <v>1675</v>
      </c>
    </row>
    <row r="1721" spans="1:15" x14ac:dyDescent="0.25">
      <c r="A1721" t="str">
        <f>"10/21/2020 18:26:59.717"</f>
        <v>10/21/2020 18:26:59.717</v>
      </c>
      <c r="B1721" t="str">
        <f>"18:27:07.641"</f>
        <v>18:27:07.641</v>
      </c>
      <c r="C1721" t="str">
        <f>"18:27:07.341"</f>
        <v>18:27:07.341</v>
      </c>
      <c r="D1721" t="s">
        <v>685</v>
      </c>
      <c r="E1721">
        <v>30.524740000000001</v>
      </c>
      <c r="F1721" t="s">
        <v>686</v>
      </c>
      <c r="G1721">
        <v>-89.856470000000002</v>
      </c>
      <c r="H1721">
        <v>1600</v>
      </c>
      <c r="I1721">
        <v>-125</v>
      </c>
      <c r="J1721">
        <v>-96</v>
      </c>
      <c r="K1721">
        <v>256</v>
      </c>
      <c r="L1721">
        <v>1200</v>
      </c>
      <c r="M1721" t="str">
        <f t="shared" si="85"/>
        <v xml:space="preserve">N35DC   </v>
      </c>
      <c r="N1721">
        <v>1</v>
      </c>
      <c r="O1721">
        <v>1675</v>
      </c>
    </row>
    <row r="1722" spans="1:15" x14ac:dyDescent="0.25">
      <c r="A1722" t="str">
        <f>"10/21/2020 18:27:02.795"</f>
        <v>10/21/2020 18:27:02.795</v>
      </c>
      <c r="B1722" t="str">
        <f t="shared" ref="B1722:C1726" si="88">"18:27:10.742"</f>
        <v>18:27:10.742</v>
      </c>
      <c r="C1722" t="str">
        <f t="shared" si="88"/>
        <v>18:27:10.742</v>
      </c>
      <c r="D1722" t="s">
        <v>687</v>
      </c>
      <c r="E1722">
        <v>30.52356</v>
      </c>
      <c r="F1722" t="s">
        <v>688</v>
      </c>
      <c r="G1722">
        <v>-89.858658000000005</v>
      </c>
      <c r="H1722">
        <v>1600</v>
      </c>
      <c r="I1722">
        <v>-137</v>
      </c>
      <c r="J1722">
        <v>-75</v>
      </c>
      <c r="K1722">
        <v>256</v>
      </c>
      <c r="L1722">
        <v>1200</v>
      </c>
      <c r="M1722" t="str">
        <f t="shared" si="85"/>
        <v xml:space="preserve">N35DC   </v>
      </c>
      <c r="N1722">
        <v>1</v>
      </c>
      <c r="O1722">
        <v>1675</v>
      </c>
    </row>
    <row r="1723" spans="1:15" x14ac:dyDescent="0.25">
      <c r="A1723" t="str">
        <f>"10/21/2020 18:27:02.795"</f>
        <v>10/21/2020 18:27:02.795</v>
      </c>
      <c r="B1723" t="str">
        <f t="shared" si="88"/>
        <v>18:27:10.742</v>
      </c>
      <c r="C1723" t="str">
        <f t="shared" si="88"/>
        <v>18:27:10.742</v>
      </c>
      <c r="D1723" t="s">
        <v>687</v>
      </c>
      <c r="E1723">
        <v>30.52356</v>
      </c>
      <c r="F1723" t="s">
        <v>688</v>
      </c>
      <c r="G1723">
        <v>-89.858658000000005</v>
      </c>
      <c r="H1723">
        <v>1600</v>
      </c>
      <c r="I1723">
        <v>-137</v>
      </c>
      <c r="J1723">
        <v>-75</v>
      </c>
      <c r="K1723">
        <v>256</v>
      </c>
      <c r="L1723">
        <v>1200</v>
      </c>
      <c r="M1723" t="str">
        <f t="shared" si="85"/>
        <v xml:space="preserve">N35DC   </v>
      </c>
      <c r="N1723">
        <v>1</v>
      </c>
      <c r="O1723">
        <v>1675</v>
      </c>
    </row>
    <row r="1724" spans="1:15" x14ac:dyDescent="0.25">
      <c r="A1724" t="str">
        <f>"10/21/2020 18:27:02.795"</f>
        <v>10/21/2020 18:27:02.795</v>
      </c>
      <c r="B1724" t="str">
        <f t="shared" si="88"/>
        <v>18:27:10.742</v>
      </c>
      <c r="C1724" t="str">
        <f t="shared" si="88"/>
        <v>18:27:10.742</v>
      </c>
      <c r="D1724" t="s">
        <v>687</v>
      </c>
      <c r="E1724">
        <v>30.52356</v>
      </c>
      <c r="F1724" t="s">
        <v>688</v>
      </c>
      <c r="G1724">
        <v>-89.858658000000005</v>
      </c>
      <c r="H1724">
        <v>1600</v>
      </c>
      <c r="I1724">
        <v>-137</v>
      </c>
      <c r="J1724">
        <v>-75</v>
      </c>
      <c r="K1724">
        <v>256</v>
      </c>
      <c r="L1724">
        <v>1200</v>
      </c>
      <c r="M1724" t="str">
        <f t="shared" si="85"/>
        <v xml:space="preserve">N35DC   </v>
      </c>
      <c r="N1724">
        <v>1</v>
      </c>
      <c r="O1724">
        <v>1675</v>
      </c>
    </row>
    <row r="1725" spans="1:15" x14ac:dyDescent="0.25">
      <c r="A1725" t="str">
        <f>"10/21/2020 18:27:02.795"</f>
        <v>10/21/2020 18:27:02.795</v>
      </c>
      <c r="B1725" t="str">
        <f t="shared" si="88"/>
        <v>18:27:10.742</v>
      </c>
      <c r="C1725" t="str">
        <f t="shared" si="88"/>
        <v>18:27:10.742</v>
      </c>
      <c r="D1725" t="s">
        <v>687</v>
      </c>
      <c r="E1725">
        <v>30.52356</v>
      </c>
      <c r="F1725" t="s">
        <v>688</v>
      </c>
      <c r="G1725">
        <v>-89.858658000000005</v>
      </c>
      <c r="H1725">
        <v>1600</v>
      </c>
      <c r="I1725">
        <v>-137</v>
      </c>
      <c r="J1725">
        <v>-75</v>
      </c>
      <c r="K1725">
        <v>256</v>
      </c>
      <c r="L1725">
        <v>1200</v>
      </c>
      <c r="M1725" t="str">
        <f t="shared" si="85"/>
        <v xml:space="preserve">N35DC   </v>
      </c>
      <c r="N1725">
        <v>1</v>
      </c>
      <c r="O1725">
        <v>1675</v>
      </c>
    </row>
    <row r="1726" spans="1:15" x14ac:dyDescent="0.25">
      <c r="A1726" t="str">
        <f>"10/21/2020 18:27:02.795"</f>
        <v>10/21/2020 18:27:02.795</v>
      </c>
      <c r="B1726" t="str">
        <f t="shared" si="88"/>
        <v>18:27:10.742</v>
      </c>
      <c r="C1726" t="str">
        <f t="shared" si="88"/>
        <v>18:27:10.742</v>
      </c>
      <c r="D1726" t="s">
        <v>687</v>
      </c>
      <c r="E1726">
        <v>30.52356</v>
      </c>
      <c r="F1726" t="s">
        <v>688</v>
      </c>
      <c r="G1726">
        <v>-89.858658000000005</v>
      </c>
      <c r="H1726">
        <v>1600</v>
      </c>
      <c r="I1726">
        <v>-137</v>
      </c>
      <c r="J1726">
        <v>-75</v>
      </c>
      <c r="K1726">
        <v>256</v>
      </c>
      <c r="L1726">
        <v>1200</v>
      </c>
      <c r="M1726" t="str">
        <f t="shared" si="85"/>
        <v xml:space="preserve">N35DC   </v>
      </c>
      <c r="N1726">
        <v>1</v>
      </c>
      <c r="O1726">
        <v>1675</v>
      </c>
    </row>
    <row r="1727" spans="1:15" x14ac:dyDescent="0.25">
      <c r="A1727" t="str">
        <f>"10/21/2020 18:27:03.802"</f>
        <v>10/21/2020 18:27:03.802</v>
      </c>
      <c r="B1727" t="str">
        <f t="shared" ref="B1727:C1731" si="89">"18:27:11.750"</f>
        <v>18:27:11.750</v>
      </c>
      <c r="C1727" t="str">
        <f t="shared" si="89"/>
        <v>18:27:11.750</v>
      </c>
      <c r="D1727" t="s">
        <v>689</v>
      </c>
      <c r="E1727">
        <v>30.523216999999999</v>
      </c>
      <c r="F1727" t="s">
        <v>690</v>
      </c>
      <c r="G1727">
        <v>-89.859431000000001</v>
      </c>
      <c r="H1727">
        <v>1600</v>
      </c>
      <c r="I1727">
        <v>-141</v>
      </c>
      <c r="J1727">
        <v>-67</v>
      </c>
      <c r="K1727">
        <v>384</v>
      </c>
      <c r="L1727">
        <v>1200</v>
      </c>
      <c r="M1727" t="str">
        <f t="shared" si="85"/>
        <v xml:space="preserve">N35DC   </v>
      </c>
      <c r="N1727">
        <v>1</v>
      </c>
      <c r="O1727">
        <v>1675</v>
      </c>
    </row>
    <row r="1728" spans="1:15" x14ac:dyDescent="0.25">
      <c r="A1728" t="str">
        <f>"10/21/2020 18:27:03.802"</f>
        <v>10/21/2020 18:27:03.802</v>
      </c>
      <c r="B1728" t="str">
        <f t="shared" si="89"/>
        <v>18:27:11.750</v>
      </c>
      <c r="C1728" t="str">
        <f t="shared" si="89"/>
        <v>18:27:11.750</v>
      </c>
      <c r="D1728" t="s">
        <v>689</v>
      </c>
      <c r="E1728">
        <v>30.523216999999999</v>
      </c>
      <c r="F1728" t="s">
        <v>690</v>
      </c>
      <c r="G1728">
        <v>-89.859431000000001</v>
      </c>
      <c r="H1728">
        <v>1600</v>
      </c>
      <c r="I1728">
        <v>-141</v>
      </c>
      <c r="J1728">
        <v>-67</v>
      </c>
      <c r="K1728">
        <v>384</v>
      </c>
      <c r="L1728">
        <v>1200</v>
      </c>
      <c r="M1728" t="str">
        <f t="shared" si="85"/>
        <v xml:space="preserve">N35DC   </v>
      </c>
      <c r="N1728">
        <v>1</v>
      </c>
      <c r="O1728">
        <v>1675</v>
      </c>
    </row>
    <row r="1729" spans="1:15" x14ac:dyDescent="0.25">
      <c r="A1729" t="str">
        <f>"10/21/2020 18:27:03.802"</f>
        <v>10/21/2020 18:27:03.802</v>
      </c>
      <c r="B1729" t="str">
        <f t="shared" si="89"/>
        <v>18:27:11.750</v>
      </c>
      <c r="C1729" t="str">
        <f t="shared" si="89"/>
        <v>18:27:11.750</v>
      </c>
      <c r="D1729" t="s">
        <v>689</v>
      </c>
      <c r="E1729">
        <v>30.523216999999999</v>
      </c>
      <c r="F1729" t="s">
        <v>690</v>
      </c>
      <c r="G1729">
        <v>-89.859431000000001</v>
      </c>
      <c r="H1729">
        <v>1600</v>
      </c>
      <c r="I1729">
        <v>-141</v>
      </c>
      <c r="J1729">
        <v>-67</v>
      </c>
      <c r="K1729">
        <v>384</v>
      </c>
      <c r="L1729">
        <v>1200</v>
      </c>
      <c r="M1729" t="str">
        <f t="shared" si="85"/>
        <v xml:space="preserve">N35DC   </v>
      </c>
      <c r="N1729">
        <v>1</v>
      </c>
      <c r="O1729">
        <v>1675</v>
      </c>
    </row>
    <row r="1730" spans="1:15" x14ac:dyDescent="0.25">
      <c r="A1730" t="str">
        <f>"10/21/2020 18:27:03.802"</f>
        <v>10/21/2020 18:27:03.802</v>
      </c>
      <c r="B1730" t="str">
        <f t="shared" si="89"/>
        <v>18:27:11.750</v>
      </c>
      <c r="C1730" t="str">
        <f t="shared" si="89"/>
        <v>18:27:11.750</v>
      </c>
      <c r="D1730" t="s">
        <v>689</v>
      </c>
      <c r="E1730">
        <v>30.523216999999999</v>
      </c>
      <c r="F1730" t="s">
        <v>690</v>
      </c>
      <c r="G1730">
        <v>-89.859431000000001</v>
      </c>
      <c r="H1730">
        <v>1600</v>
      </c>
      <c r="I1730">
        <v>-141</v>
      </c>
      <c r="J1730">
        <v>-67</v>
      </c>
      <c r="K1730">
        <v>384</v>
      </c>
      <c r="L1730">
        <v>1200</v>
      </c>
      <c r="M1730" t="str">
        <f t="shared" si="85"/>
        <v xml:space="preserve">N35DC   </v>
      </c>
      <c r="N1730">
        <v>1</v>
      </c>
      <c r="O1730">
        <v>1675</v>
      </c>
    </row>
    <row r="1731" spans="1:15" x14ac:dyDescent="0.25">
      <c r="A1731" t="str">
        <f>"10/21/2020 18:27:03.802"</f>
        <v>10/21/2020 18:27:03.802</v>
      </c>
      <c r="B1731" t="str">
        <f t="shared" si="89"/>
        <v>18:27:11.750</v>
      </c>
      <c r="C1731" t="str">
        <f t="shared" si="89"/>
        <v>18:27:11.750</v>
      </c>
      <c r="D1731" t="s">
        <v>689</v>
      </c>
      <c r="E1731">
        <v>30.523216999999999</v>
      </c>
      <c r="F1731" t="s">
        <v>690</v>
      </c>
      <c r="G1731">
        <v>-89.859431000000001</v>
      </c>
      <c r="H1731">
        <v>1600</v>
      </c>
      <c r="I1731">
        <v>-141</v>
      </c>
      <c r="J1731">
        <v>-67</v>
      </c>
      <c r="K1731">
        <v>384</v>
      </c>
      <c r="L1731">
        <v>1200</v>
      </c>
      <c r="M1731" t="str">
        <f t="shared" si="85"/>
        <v xml:space="preserve">N35DC   </v>
      </c>
      <c r="N1731">
        <v>1</v>
      </c>
      <c r="O1731">
        <v>1675</v>
      </c>
    </row>
    <row r="1732" spans="1:15" x14ac:dyDescent="0.25">
      <c r="A1732" t="str">
        <f>"10/21/2020 18:27:06.852"</f>
        <v>10/21/2020 18:27:06.852</v>
      </c>
      <c r="B1732" t="str">
        <f>"18:27:14.781"</f>
        <v>18:27:14.781</v>
      </c>
      <c r="C1732" t="str">
        <f>"18:27:14.481"</f>
        <v>18:27:14.481</v>
      </c>
      <c r="D1732" t="s">
        <v>691</v>
      </c>
      <c r="E1732">
        <v>30.522444</v>
      </c>
      <c r="F1732" t="s">
        <v>692</v>
      </c>
      <c r="G1732">
        <v>-89.861748000000006</v>
      </c>
      <c r="H1732">
        <v>1600</v>
      </c>
      <c r="I1732">
        <v>-147</v>
      </c>
      <c r="J1732">
        <v>-51</v>
      </c>
      <c r="K1732">
        <v>-64</v>
      </c>
      <c r="L1732">
        <v>1200</v>
      </c>
      <c r="M1732" t="str">
        <f t="shared" si="85"/>
        <v xml:space="preserve">N35DC   </v>
      </c>
      <c r="N1732">
        <v>1</v>
      </c>
      <c r="O1732">
        <v>1700</v>
      </c>
    </row>
    <row r="1733" spans="1:15" x14ac:dyDescent="0.25">
      <c r="A1733" t="str">
        <f>"10/21/2020 18:27:06.852"</f>
        <v>10/21/2020 18:27:06.852</v>
      </c>
      <c r="B1733" t="str">
        <f>"18:27:14.781"</f>
        <v>18:27:14.781</v>
      </c>
      <c r="C1733" t="str">
        <f>"18:27:14.481"</f>
        <v>18:27:14.481</v>
      </c>
      <c r="D1733" t="s">
        <v>691</v>
      </c>
      <c r="E1733">
        <v>30.522444</v>
      </c>
      <c r="F1733" t="s">
        <v>692</v>
      </c>
      <c r="G1733">
        <v>-89.861748000000006</v>
      </c>
      <c r="H1733">
        <v>1600</v>
      </c>
      <c r="I1733">
        <v>-147</v>
      </c>
      <c r="J1733">
        <v>-51</v>
      </c>
      <c r="K1733">
        <v>-64</v>
      </c>
      <c r="L1733">
        <v>1200</v>
      </c>
      <c r="M1733" t="str">
        <f t="shared" si="85"/>
        <v xml:space="preserve">N35DC   </v>
      </c>
      <c r="N1733">
        <v>1</v>
      </c>
      <c r="O1733">
        <v>1700</v>
      </c>
    </row>
    <row r="1734" spans="1:15" x14ac:dyDescent="0.25">
      <c r="A1734" t="str">
        <f>"10/21/2020 18:27:06.852"</f>
        <v>10/21/2020 18:27:06.852</v>
      </c>
      <c r="B1734" t="str">
        <f>"18:27:14.781"</f>
        <v>18:27:14.781</v>
      </c>
      <c r="C1734" t="str">
        <f>"18:27:14.481"</f>
        <v>18:27:14.481</v>
      </c>
      <c r="D1734" t="s">
        <v>691</v>
      </c>
      <c r="E1734">
        <v>30.522444</v>
      </c>
      <c r="F1734" t="s">
        <v>692</v>
      </c>
      <c r="G1734">
        <v>-89.861748000000006</v>
      </c>
      <c r="H1734">
        <v>1600</v>
      </c>
      <c r="I1734">
        <v>-147</v>
      </c>
      <c r="J1734">
        <v>-51</v>
      </c>
      <c r="K1734">
        <v>-64</v>
      </c>
      <c r="L1734">
        <v>1200</v>
      </c>
      <c r="M1734" t="str">
        <f t="shared" si="85"/>
        <v xml:space="preserve">N35DC   </v>
      </c>
      <c r="N1734">
        <v>1</v>
      </c>
      <c r="O1734">
        <v>1700</v>
      </c>
    </row>
    <row r="1735" spans="1:15" x14ac:dyDescent="0.25">
      <c r="A1735" t="str">
        <f>"10/21/2020 18:27:06.852"</f>
        <v>10/21/2020 18:27:06.852</v>
      </c>
      <c r="B1735" t="str">
        <f>"18:27:14.781"</f>
        <v>18:27:14.781</v>
      </c>
      <c r="C1735" t="str">
        <f>"18:27:14.481"</f>
        <v>18:27:14.481</v>
      </c>
      <c r="D1735" t="s">
        <v>691</v>
      </c>
      <c r="E1735">
        <v>30.522444</v>
      </c>
      <c r="F1735" t="s">
        <v>692</v>
      </c>
      <c r="G1735">
        <v>-89.861748000000006</v>
      </c>
      <c r="H1735">
        <v>1600</v>
      </c>
      <c r="I1735">
        <v>-147</v>
      </c>
      <c r="J1735">
        <v>-51</v>
      </c>
      <c r="K1735">
        <v>-64</v>
      </c>
      <c r="L1735">
        <v>1200</v>
      </c>
      <c r="M1735" t="str">
        <f t="shared" ref="M1735:M1798" si="90">"N35DC   "</f>
        <v xml:space="preserve">N35DC   </v>
      </c>
      <c r="N1735">
        <v>1</v>
      </c>
      <c r="O1735">
        <v>1700</v>
      </c>
    </row>
    <row r="1736" spans="1:15" x14ac:dyDescent="0.25">
      <c r="A1736" t="str">
        <f>"10/21/2020 18:27:06.852"</f>
        <v>10/21/2020 18:27:06.852</v>
      </c>
      <c r="B1736" t="str">
        <f>"18:27:14.781"</f>
        <v>18:27:14.781</v>
      </c>
      <c r="C1736" t="str">
        <f>"18:27:14.481"</f>
        <v>18:27:14.481</v>
      </c>
      <c r="D1736" t="s">
        <v>691</v>
      </c>
      <c r="E1736">
        <v>30.522444</v>
      </c>
      <c r="F1736" t="s">
        <v>692</v>
      </c>
      <c r="G1736">
        <v>-89.861748000000006</v>
      </c>
      <c r="H1736">
        <v>1600</v>
      </c>
      <c r="I1736">
        <v>-147</v>
      </c>
      <c r="J1736">
        <v>-51</v>
      </c>
      <c r="K1736">
        <v>-64</v>
      </c>
      <c r="L1736">
        <v>1200</v>
      </c>
      <c r="M1736" t="str">
        <f t="shared" si="90"/>
        <v xml:space="preserve">N35DC   </v>
      </c>
      <c r="N1736">
        <v>1</v>
      </c>
      <c r="O1736">
        <v>1700</v>
      </c>
    </row>
    <row r="1737" spans="1:15" x14ac:dyDescent="0.25">
      <c r="A1737" t="str">
        <f>"10/21/2020 18:27:07.888"</f>
        <v>10/21/2020 18:27:07.888</v>
      </c>
      <c r="B1737" t="str">
        <f>"18:27:15.828"</f>
        <v>18:27:15.828</v>
      </c>
      <c r="C1737" t="str">
        <f>"18:27:15.328"</f>
        <v>18:27:15.328</v>
      </c>
      <c r="D1737" t="s">
        <v>693</v>
      </c>
      <c r="E1737">
        <v>30.522207999999999</v>
      </c>
      <c r="F1737" t="s">
        <v>694</v>
      </c>
      <c r="G1737">
        <v>-89.862606999999997</v>
      </c>
      <c r="H1737">
        <v>1600</v>
      </c>
      <c r="I1737">
        <v>-148</v>
      </c>
      <c r="J1737">
        <v>-46</v>
      </c>
      <c r="K1737">
        <v>-64</v>
      </c>
      <c r="L1737">
        <v>1200</v>
      </c>
      <c r="M1737" t="str">
        <f t="shared" si="90"/>
        <v xml:space="preserve">N35DC   </v>
      </c>
      <c r="N1737">
        <v>1</v>
      </c>
      <c r="O1737">
        <v>1700</v>
      </c>
    </row>
    <row r="1738" spans="1:15" x14ac:dyDescent="0.25">
      <c r="A1738" t="str">
        <f>"10/21/2020 18:27:07.888"</f>
        <v>10/21/2020 18:27:07.888</v>
      </c>
      <c r="B1738" t="str">
        <f>"18:27:15.828"</f>
        <v>18:27:15.828</v>
      </c>
      <c r="C1738" t="str">
        <f>"18:27:15.328"</f>
        <v>18:27:15.328</v>
      </c>
      <c r="D1738" t="s">
        <v>693</v>
      </c>
      <c r="E1738">
        <v>30.522207999999999</v>
      </c>
      <c r="F1738" t="s">
        <v>694</v>
      </c>
      <c r="G1738">
        <v>-89.862606999999997</v>
      </c>
      <c r="H1738">
        <v>1600</v>
      </c>
      <c r="I1738">
        <v>-148</v>
      </c>
      <c r="J1738">
        <v>-46</v>
      </c>
      <c r="K1738">
        <v>-64</v>
      </c>
      <c r="L1738">
        <v>1200</v>
      </c>
      <c r="M1738" t="str">
        <f t="shared" si="90"/>
        <v xml:space="preserve">N35DC   </v>
      </c>
      <c r="N1738">
        <v>1</v>
      </c>
      <c r="O1738">
        <v>1700</v>
      </c>
    </row>
    <row r="1739" spans="1:15" x14ac:dyDescent="0.25">
      <c r="A1739" t="str">
        <f>"10/21/2020 18:27:07.888"</f>
        <v>10/21/2020 18:27:07.888</v>
      </c>
      <c r="B1739" t="str">
        <f>"18:27:15.828"</f>
        <v>18:27:15.828</v>
      </c>
      <c r="C1739" t="str">
        <f>"18:27:15.328"</f>
        <v>18:27:15.328</v>
      </c>
      <c r="D1739" t="s">
        <v>693</v>
      </c>
      <c r="E1739">
        <v>30.522207999999999</v>
      </c>
      <c r="F1739" t="s">
        <v>694</v>
      </c>
      <c r="G1739">
        <v>-89.862606999999997</v>
      </c>
      <c r="H1739">
        <v>1600</v>
      </c>
      <c r="I1739">
        <v>-148</v>
      </c>
      <c r="J1739">
        <v>-46</v>
      </c>
      <c r="K1739">
        <v>-64</v>
      </c>
      <c r="L1739">
        <v>1200</v>
      </c>
      <c r="M1739" t="str">
        <f t="shared" si="90"/>
        <v xml:space="preserve">N35DC   </v>
      </c>
      <c r="N1739">
        <v>1</v>
      </c>
      <c r="O1739">
        <v>1700</v>
      </c>
    </row>
    <row r="1740" spans="1:15" x14ac:dyDescent="0.25">
      <c r="A1740" t="str">
        <f>"10/21/2020 18:27:07.888"</f>
        <v>10/21/2020 18:27:07.888</v>
      </c>
      <c r="B1740" t="str">
        <f>"18:27:15.828"</f>
        <v>18:27:15.828</v>
      </c>
      <c r="C1740" t="str">
        <f>"18:27:15.328"</f>
        <v>18:27:15.328</v>
      </c>
      <c r="D1740" t="s">
        <v>693</v>
      </c>
      <c r="E1740">
        <v>30.522207999999999</v>
      </c>
      <c r="F1740" t="s">
        <v>694</v>
      </c>
      <c r="G1740">
        <v>-89.862606999999997</v>
      </c>
      <c r="H1740">
        <v>1600</v>
      </c>
      <c r="I1740">
        <v>-148</v>
      </c>
      <c r="J1740">
        <v>-46</v>
      </c>
      <c r="K1740">
        <v>-64</v>
      </c>
      <c r="L1740">
        <v>1200</v>
      </c>
      <c r="M1740" t="str">
        <f t="shared" si="90"/>
        <v xml:space="preserve">N35DC   </v>
      </c>
      <c r="N1740">
        <v>1</v>
      </c>
      <c r="O1740">
        <v>1700</v>
      </c>
    </row>
    <row r="1741" spans="1:15" x14ac:dyDescent="0.25">
      <c r="A1741" t="str">
        <f>"10/21/2020 18:27:07.888"</f>
        <v>10/21/2020 18:27:07.888</v>
      </c>
      <c r="B1741" t="str">
        <f>"18:27:15.828"</f>
        <v>18:27:15.828</v>
      </c>
      <c r="C1741" t="str">
        <f>"18:27:15.328"</f>
        <v>18:27:15.328</v>
      </c>
      <c r="D1741" t="s">
        <v>693</v>
      </c>
      <c r="E1741">
        <v>30.522207999999999</v>
      </c>
      <c r="F1741" t="s">
        <v>694</v>
      </c>
      <c r="G1741">
        <v>-89.862606999999997</v>
      </c>
      <c r="H1741">
        <v>1600</v>
      </c>
      <c r="I1741">
        <v>-148</v>
      </c>
      <c r="J1741">
        <v>-46</v>
      </c>
      <c r="K1741">
        <v>-64</v>
      </c>
      <c r="L1741">
        <v>1200</v>
      </c>
      <c r="M1741" t="str">
        <f t="shared" si="90"/>
        <v xml:space="preserve">N35DC   </v>
      </c>
      <c r="N1741">
        <v>1</v>
      </c>
      <c r="O1741">
        <v>1700</v>
      </c>
    </row>
    <row r="1742" spans="1:15" x14ac:dyDescent="0.25">
      <c r="A1742" t="str">
        <f>"10/21/2020 18:27:10.798"</f>
        <v>10/21/2020 18:27:10.798</v>
      </c>
      <c r="B1742" t="str">
        <f>"18:27:18.727"</f>
        <v>18:27:18.727</v>
      </c>
      <c r="C1742" t="str">
        <f>"18:27:18.527"</f>
        <v>18:27:18.527</v>
      </c>
      <c r="D1742" t="s">
        <v>695</v>
      </c>
      <c r="E1742">
        <v>30.521778999999999</v>
      </c>
      <c r="F1742" t="s">
        <v>696</v>
      </c>
      <c r="G1742">
        <v>-89.864987999999997</v>
      </c>
      <c r="H1742">
        <v>1600</v>
      </c>
      <c r="I1742">
        <v>-152</v>
      </c>
      <c r="J1742">
        <v>-25</v>
      </c>
      <c r="K1742">
        <v>-64</v>
      </c>
      <c r="L1742">
        <v>1200</v>
      </c>
      <c r="M1742" t="str">
        <f t="shared" si="90"/>
        <v xml:space="preserve">N35DC   </v>
      </c>
      <c r="N1742">
        <v>1</v>
      </c>
      <c r="O1742">
        <v>1700</v>
      </c>
    </row>
    <row r="1743" spans="1:15" x14ac:dyDescent="0.25">
      <c r="A1743" t="str">
        <f>"10/21/2020 18:27:10.798"</f>
        <v>10/21/2020 18:27:10.798</v>
      </c>
      <c r="B1743" t="str">
        <f>"18:27:18.727"</f>
        <v>18:27:18.727</v>
      </c>
      <c r="C1743" t="str">
        <f>"18:27:18.527"</f>
        <v>18:27:18.527</v>
      </c>
      <c r="D1743" t="s">
        <v>695</v>
      </c>
      <c r="E1743">
        <v>30.521778999999999</v>
      </c>
      <c r="F1743" t="s">
        <v>696</v>
      </c>
      <c r="G1743">
        <v>-89.864987999999997</v>
      </c>
      <c r="H1743">
        <v>1600</v>
      </c>
      <c r="I1743">
        <v>-152</v>
      </c>
      <c r="J1743">
        <v>-25</v>
      </c>
      <c r="K1743">
        <v>-64</v>
      </c>
      <c r="L1743">
        <v>1200</v>
      </c>
      <c r="M1743" t="str">
        <f t="shared" si="90"/>
        <v xml:space="preserve">N35DC   </v>
      </c>
      <c r="N1743">
        <v>1</v>
      </c>
      <c r="O1743">
        <v>1700</v>
      </c>
    </row>
    <row r="1744" spans="1:15" x14ac:dyDescent="0.25">
      <c r="A1744" t="str">
        <f>"10/21/2020 18:27:10.798"</f>
        <v>10/21/2020 18:27:10.798</v>
      </c>
      <c r="B1744" t="str">
        <f>"18:27:18.727"</f>
        <v>18:27:18.727</v>
      </c>
      <c r="C1744" t="str">
        <f>"18:27:18.527"</f>
        <v>18:27:18.527</v>
      </c>
      <c r="D1744" t="s">
        <v>695</v>
      </c>
      <c r="E1744">
        <v>30.521778999999999</v>
      </c>
      <c r="F1744" t="s">
        <v>696</v>
      </c>
      <c r="G1744">
        <v>-89.864987999999997</v>
      </c>
      <c r="H1744">
        <v>1600</v>
      </c>
      <c r="I1744">
        <v>-152</v>
      </c>
      <c r="J1744">
        <v>-25</v>
      </c>
      <c r="K1744">
        <v>-64</v>
      </c>
      <c r="L1744">
        <v>1200</v>
      </c>
      <c r="M1744" t="str">
        <f t="shared" si="90"/>
        <v xml:space="preserve">N35DC   </v>
      </c>
      <c r="N1744">
        <v>1</v>
      </c>
      <c r="O1744">
        <v>1700</v>
      </c>
    </row>
    <row r="1745" spans="1:15" x14ac:dyDescent="0.25">
      <c r="A1745" t="str">
        <f>"10/21/2020 18:27:10.798"</f>
        <v>10/21/2020 18:27:10.798</v>
      </c>
      <c r="B1745" t="str">
        <f>"18:27:18.727"</f>
        <v>18:27:18.727</v>
      </c>
      <c r="C1745" t="str">
        <f>"18:27:18.527"</f>
        <v>18:27:18.527</v>
      </c>
      <c r="D1745" t="s">
        <v>695</v>
      </c>
      <c r="E1745">
        <v>30.521778999999999</v>
      </c>
      <c r="F1745" t="s">
        <v>696</v>
      </c>
      <c r="G1745">
        <v>-89.864987999999997</v>
      </c>
      <c r="H1745">
        <v>1600</v>
      </c>
      <c r="I1745">
        <v>-152</v>
      </c>
      <c r="J1745">
        <v>-25</v>
      </c>
      <c r="K1745">
        <v>-64</v>
      </c>
      <c r="L1745">
        <v>1200</v>
      </c>
      <c r="M1745" t="str">
        <f t="shared" si="90"/>
        <v xml:space="preserve">N35DC   </v>
      </c>
      <c r="N1745">
        <v>1</v>
      </c>
      <c r="O1745">
        <v>1700</v>
      </c>
    </row>
    <row r="1746" spans="1:15" x14ac:dyDescent="0.25">
      <c r="A1746" t="str">
        <f>"10/21/2020 18:27:10.798"</f>
        <v>10/21/2020 18:27:10.798</v>
      </c>
      <c r="B1746" t="str">
        <f>"18:27:18.727"</f>
        <v>18:27:18.727</v>
      </c>
      <c r="C1746" t="str">
        <f>"18:27:18.527"</f>
        <v>18:27:18.527</v>
      </c>
      <c r="D1746" t="s">
        <v>695</v>
      </c>
      <c r="E1746">
        <v>30.521778999999999</v>
      </c>
      <c r="F1746" t="s">
        <v>696</v>
      </c>
      <c r="G1746">
        <v>-89.864987999999997</v>
      </c>
      <c r="H1746">
        <v>1600</v>
      </c>
      <c r="I1746">
        <v>-152</v>
      </c>
      <c r="J1746">
        <v>-25</v>
      </c>
      <c r="K1746">
        <v>-64</v>
      </c>
      <c r="L1746">
        <v>1200</v>
      </c>
      <c r="M1746" t="str">
        <f t="shared" si="90"/>
        <v xml:space="preserve">N35DC   </v>
      </c>
      <c r="N1746">
        <v>1</v>
      </c>
      <c r="O1746">
        <v>1700</v>
      </c>
    </row>
    <row r="1747" spans="1:15" x14ac:dyDescent="0.25">
      <c r="A1747" t="str">
        <f>"10/21/2020 18:27:11.880"</f>
        <v>10/21/2020 18:27:11.880</v>
      </c>
      <c r="B1747" t="str">
        <f>"18:27:19.789"</f>
        <v>18:27:19.789</v>
      </c>
      <c r="C1747" t="str">
        <f>"18:27:19.389"</f>
        <v>18:27:19.389</v>
      </c>
      <c r="D1747" t="s">
        <v>697</v>
      </c>
      <c r="E1747">
        <v>30.521736000000001</v>
      </c>
      <c r="F1747" t="s">
        <v>698</v>
      </c>
      <c r="G1747">
        <v>-89.865847000000002</v>
      </c>
      <c r="H1747">
        <v>1600</v>
      </c>
      <c r="I1747">
        <v>-153</v>
      </c>
      <c r="J1747">
        <v>-20</v>
      </c>
      <c r="K1747">
        <v>-64</v>
      </c>
      <c r="L1747">
        <v>1200</v>
      </c>
      <c r="M1747" t="str">
        <f t="shared" si="90"/>
        <v xml:space="preserve">N35DC   </v>
      </c>
      <c r="N1747">
        <v>1</v>
      </c>
      <c r="O1747">
        <v>1700</v>
      </c>
    </row>
    <row r="1748" spans="1:15" x14ac:dyDescent="0.25">
      <c r="A1748" t="str">
        <f>"10/21/2020 18:27:11.880"</f>
        <v>10/21/2020 18:27:11.880</v>
      </c>
      <c r="B1748" t="str">
        <f>"18:27:19.789"</f>
        <v>18:27:19.789</v>
      </c>
      <c r="C1748" t="str">
        <f>"18:27:19.389"</f>
        <v>18:27:19.389</v>
      </c>
      <c r="D1748" t="s">
        <v>697</v>
      </c>
      <c r="E1748">
        <v>30.521736000000001</v>
      </c>
      <c r="F1748" t="s">
        <v>698</v>
      </c>
      <c r="G1748">
        <v>-89.865847000000002</v>
      </c>
      <c r="H1748">
        <v>1600</v>
      </c>
      <c r="I1748">
        <v>-153</v>
      </c>
      <c r="J1748">
        <v>-20</v>
      </c>
      <c r="K1748">
        <v>-64</v>
      </c>
      <c r="L1748">
        <v>1200</v>
      </c>
      <c r="M1748" t="str">
        <f t="shared" si="90"/>
        <v xml:space="preserve">N35DC   </v>
      </c>
      <c r="N1748">
        <v>1</v>
      </c>
      <c r="O1748">
        <v>1700</v>
      </c>
    </row>
    <row r="1749" spans="1:15" x14ac:dyDescent="0.25">
      <c r="A1749" t="str">
        <f>"10/21/2020 18:27:11.880"</f>
        <v>10/21/2020 18:27:11.880</v>
      </c>
      <c r="B1749" t="str">
        <f>"18:27:19.789"</f>
        <v>18:27:19.789</v>
      </c>
      <c r="C1749" t="str">
        <f>"18:27:19.389"</f>
        <v>18:27:19.389</v>
      </c>
      <c r="D1749" t="s">
        <v>697</v>
      </c>
      <c r="E1749">
        <v>30.521736000000001</v>
      </c>
      <c r="F1749" t="s">
        <v>698</v>
      </c>
      <c r="G1749">
        <v>-89.865847000000002</v>
      </c>
      <c r="H1749">
        <v>1600</v>
      </c>
      <c r="I1749">
        <v>-153</v>
      </c>
      <c r="J1749">
        <v>-20</v>
      </c>
      <c r="K1749">
        <v>-64</v>
      </c>
      <c r="L1749">
        <v>1200</v>
      </c>
      <c r="M1749" t="str">
        <f t="shared" si="90"/>
        <v xml:space="preserve">N35DC   </v>
      </c>
      <c r="N1749">
        <v>1</v>
      </c>
      <c r="O1749">
        <v>1700</v>
      </c>
    </row>
    <row r="1750" spans="1:15" x14ac:dyDescent="0.25">
      <c r="A1750" t="str">
        <f>"10/21/2020 18:27:11.880"</f>
        <v>10/21/2020 18:27:11.880</v>
      </c>
      <c r="B1750" t="str">
        <f>"18:27:19.789"</f>
        <v>18:27:19.789</v>
      </c>
      <c r="C1750" t="str">
        <f>"18:27:19.389"</f>
        <v>18:27:19.389</v>
      </c>
      <c r="D1750" t="s">
        <v>697</v>
      </c>
      <c r="E1750">
        <v>30.521736000000001</v>
      </c>
      <c r="F1750" t="s">
        <v>698</v>
      </c>
      <c r="G1750">
        <v>-89.865847000000002</v>
      </c>
      <c r="H1750">
        <v>1600</v>
      </c>
      <c r="I1750">
        <v>-153</v>
      </c>
      <c r="J1750">
        <v>-20</v>
      </c>
      <c r="K1750">
        <v>-64</v>
      </c>
      <c r="L1750">
        <v>1200</v>
      </c>
      <c r="M1750" t="str">
        <f t="shared" si="90"/>
        <v xml:space="preserve">N35DC   </v>
      </c>
      <c r="N1750">
        <v>1</v>
      </c>
      <c r="O1750">
        <v>1700</v>
      </c>
    </row>
    <row r="1751" spans="1:15" x14ac:dyDescent="0.25">
      <c r="A1751" t="str">
        <f>"10/21/2020 18:27:11.880"</f>
        <v>10/21/2020 18:27:11.880</v>
      </c>
      <c r="B1751" t="str">
        <f>"18:27:19.789"</f>
        <v>18:27:19.789</v>
      </c>
      <c r="C1751" t="str">
        <f>"18:27:19.389"</f>
        <v>18:27:19.389</v>
      </c>
      <c r="D1751" t="s">
        <v>697</v>
      </c>
      <c r="E1751">
        <v>30.521736000000001</v>
      </c>
      <c r="F1751" t="s">
        <v>698</v>
      </c>
      <c r="G1751">
        <v>-89.865847000000002</v>
      </c>
      <c r="H1751">
        <v>1600</v>
      </c>
      <c r="I1751">
        <v>-153</v>
      </c>
      <c r="J1751">
        <v>-20</v>
      </c>
      <c r="K1751">
        <v>-64</v>
      </c>
      <c r="L1751">
        <v>1200</v>
      </c>
      <c r="M1751" t="str">
        <f t="shared" si="90"/>
        <v xml:space="preserve">N35DC   </v>
      </c>
      <c r="N1751">
        <v>1</v>
      </c>
      <c r="O1751">
        <v>1700</v>
      </c>
    </row>
    <row r="1752" spans="1:15" x14ac:dyDescent="0.25">
      <c r="A1752" t="str">
        <f>"10/21/2020 18:27:14.912"</f>
        <v>10/21/2020 18:27:14.912</v>
      </c>
      <c r="B1752" t="str">
        <f>"18:27:22.859"</f>
        <v>18:27:22.859</v>
      </c>
      <c r="C1752" t="str">
        <f>"18:27:22.659"</f>
        <v>18:27:22.659</v>
      </c>
      <c r="D1752" t="s">
        <v>699</v>
      </c>
      <c r="E1752">
        <v>30.521671999999999</v>
      </c>
      <c r="F1752" t="s">
        <v>700</v>
      </c>
      <c r="G1752">
        <v>-89.868335999999999</v>
      </c>
      <c r="H1752">
        <v>1600</v>
      </c>
      <c r="I1752">
        <v>-153</v>
      </c>
      <c r="J1752">
        <v>2</v>
      </c>
      <c r="K1752">
        <v>0</v>
      </c>
      <c r="L1752">
        <v>1200</v>
      </c>
      <c r="M1752" t="str">
        <f t="shared" si="90"/>
        <v xml:space="preserve">N35DC   </v>
      </c>
      <c r="N1752">
        <v>1</v>
      </c>
      <c r="O1752">
        <v>1700</v>
      </c>
    </row>
    <row r="1753" spans="1:15" x14ac:dyDescent="0.25">
      <c r="A1753" t="str">
        <f>"10/21/2020 18:27:14.912"</f>
        <v>10/21/2020 18:27:14.912</v>
      </c>
      <c r="B1753" t="str">
        <f>"18:27:22.859"</f>
        <v>18:27:22.859</v>
      </c>
      <c r="C1753" t="str">
        <f>"18:27:22.659"</f>
        <v>18:27:22.659</v>
      </c>
      <c r="D1753" t="s">
        <v>699</v>
      </c>
      <c r="E1753">
        <v>30.521671999999999</v>
      </c>
      <c r="F1753" t="s">
        <v>700</v>
      </c>
      <c r="G1753">
        <v>-89.868335999999999</v>
      </c>
      <c r="H1753">
        <v>1600</v>
      </c>
      <c r="I1753">
        <v>-153</v>
      </c>
      <c r="J1753">
        <v>2</v>
      </c>
      <c r="K1753">
        <v>0</v>
      </c>
      <c r="L1753">
        <v>1200</v>
      </c>
      <c r="M1753" t="str">
        <f t="shared" si="90"/>
        <v xml:space="preserve">N35DC   </v>
      </c>
      <c r="N1753">
        <v>1</v>
      </c>
      <c r="O1753">
        <v>1700</v>
      </c>
    </row>
    <row r="1754" spans="1:15" x14ac:dyDescent="0.25">
      <c r="A1754" t="str">
        <f>"10/21/2020 18:27:14.912"</f>
        <v>10/21/2020 18:27:14.912</v>
      </c>
      <c r="B1754" t="str">
        <f>"18:27:22.859"</f>
        <v>18:27:22.859</v>
      </c>
      <c r="C1754" t="str">
        <f>"18:27:22.659"</f>
        <v>18:27:22.659</v>
      </c>
      <c r="D1754" t="s">
        <v>699</v>
      </c>
      <c r="E1754">
        <v>30.521671999999999</v>
      </c>
      <c r="F1754" t="s">
        <v>700</v>
      </c>
      <c r="G1754">
        <v>-89.868335999999999</v>
      </c>
      <c r="H1754">
        <v>1600</v>
      </c>
      <c r="I1754">
        <v>-153</v>
      </c>
      <c r="J1754">
        <v>2</v>
      </c>
      <c r="K1754">
        <v>0</v>
      </c>
      <c r="L1754">
        <v>1200</v>
      </c>
      <c r="M1754" t="str">
        <f t="shared" si="90"/>
        <v xml:space="preserve">N35DC   </v>
      </c>
      <c r="N1754">
        <v>1</v>
      </c>
      <c r="O1754">
        <v>1700</v>
      </c>
    </row>
    <row r="1755" spans="1:15" x14ac:dyDescent="0.25">
      <c r="A1755" t="str">
        <f>"10/21/2020 18:27:14.912"</f>
        <v>10/21/2020 18:27:14.912</v>
      </c>
      <c r="B1755" t="str">
        <f>"18:27:22.859"</f>
        <v>18:27:22.859</v>
      </c>
      <c r="C1755" t="str">
        <f>"18:27:22.659"</f>
        <v>18:27:22.659</v>
      </c>
      <c r="D1755" t="s">
        <v>699</v>
      </c>
      <c r="E1755">
        <v>30.521671999999999</v>
      </c>
      <c r="F1755" t="s">
        <v>700</v>
      </c>
      <c r="G1755">
        <v>-89.868335999999999</v>
      </c>
      <c r="H1755">
        <v>1600</v>
      </c>
      <c r="I1755">
        <v>-153</v>
      </c>
      <c r="J1755">
        <v>2</v>
      </c>
      <c r="K1755">
        <v>0</v>
      </c>
      <c r="L1755">
        <v>1200</v>
      </c>
      <c r="M1755" t="str">
        <f t="shared" si="90"/>
        <v xml:space="preserve">N35DC   </v>
      </c>
      <c r="N1755">
        <v>1</v>
      </c>
      <c r="O1755">
        <v>1700</v>
      </c>
    </row>
    <row r="1756" spans="1:15" x14ac:dyDescent="0.25">
      <c r="A1756" t="str">
        <f>"10/21/2020 18:27:14.912"</f>
        <v>10/21/2020 18:27:14.912</v>
      </c>
      <c r="B1756" t="str">
        <f>"18:27:22.859"</f>
        <v>18:27:22.859</v>
      </c>
      <c r="C1756" t="str">
        <f>"18:27:22.659"</f>
        <v>18:27:22.659</v>
      </c>
      <c r="D1756" t="s">
        <v>699</v>
      </c>
      <c r="E1756">
        <v>30.521671999999999</v>
      </c>
      <c r="F1756" t="s">
        <v>700</v>
      </c>
      <c r="G1756">
        <v>-89.868335999999999</v>
      </c>
      <c r="H1756">
        <v>1600</v>
      </c>
      <c r="I1756">
        <v>-153</v>
      </c>
      <c r="J1756">
        <v>2</v>
      </c>
      <c r="K1756">
        <v>0</v>
      </c>
      <c r="L1756">
        <v>1200</v>
      </c>
      <c r="M1756" t="str">
        <f t="shared" si="90"/>
        <v xml:space="preserve">N35DC   </v>
      </c>
      <c r="N1756">
        <v>1</v>
      </c>
      <c r="O1756">
        <v>1700</v>
      </c>
    </row>
    <row r="1757" spans="1:15" x14ac:dyDescent="0.25">
      <c r="A1757" t="str">
        <f>"10/21/2020 18:27:15.752"</f>
        <v>10/21/2020 18:27:15.752</v>
      </c>
      <c r="B1757" t="str">
        <f t="shared" ref="B1757:C1761" si="91">"18:27:23.687"</f>
        <v>18:27:23.687</v>
      </c>
      <c r="C1757" t="str">
        <f t="shared" si="91"/>
        <v>18:27:23.687</v>
      </c>
      <c r="D1757" t="s">
        <v>699</v>
      </c>
      <c r="E1757">
        <v>30.521671999999999</v>
      </c>
      <c r="F1757" t="s">
        <v>701</v>
      </c>
      <c r="G1757">
        <v>-89.869022000000001</v>
      </c>
      <c r="H1757">
        <v>1600</v>
      </c>
      <c r="I1757">
        <v>-152</v>
      </c>
      <c r="J1757">
        <v>7</v>
      </c>
      <c r="K1757">
        <v>64</v>
      </c>
      <c r="L1757">
        <v>1200</v>
      </c>
      <c r="M1757" t="str">
        <f t="shared" si="90"/>
        <v xml:space="preserve">N35DC   </v>
      </c>
      <c r="N1757">
        <v>1</v>
      </c>
      <c r="O1757">
        <v>1700</v>
      </c>
    </row>
    <row r="1758" spans="1:15" x14ac:dyDescent="0.25">
      <c r="A1758" t="str">
        <f>"10/21/2020 18:27:15.752"</f>
        <v>10/21/2020 18:27:15.752</v>
      </c>
      <c r="B1758" t="str">
        <f t="shared" si="91"/>
        <v>18:27:23.687</v>
      </c>
      <c r="C1758" t="str">
        <f t="shared" si="91"/>
        <v>18:27:23.687</v>
      </c>
      <c r="D1758" t="s">
        <v>699</v>
      </c>
      <c r="E1758">
        <v>30.521671999999999</v>
      </c>
      <c r="F1758" t="s">
        <v>701</v>
      </c>
      <c r="G1758">
        <v>-89.869022000000001</v>
      </c>
      <c r="H1758">
        <v>1600</v>
      </c>
      <c r="I1758">
        <v>-152</v>
      </c>
      <c r="J1758">
        <v>7</v>
      </c>
      <c r="K1758">
        <v>64</v>
      </c>
      <c r="L1758">
        <v>1200</v>
      </c>
      <c r="M1758" t="str">
        <f t="shared" si="90"/>
        <v xml:space="preserve">N35DC   </v>
      </c>
      <c r="N1758">
        <v>1</v>
      </c>
      <c r="O1758">
        <v>1700</v>
      </c>
    </row>
    <row r="1759" spans="1:15" x14ac:dyDescent="0.25">
      <c r="A1759" t="str">
        <f>"10/21/2020 18:27:15.752"</f>
        <v>10/21/2020 18:27:15.752</v>
      </c>
      <c r="B1759" t="str">
        <f t="shared" si="91"/>
        <v>18:27:23.687</v>
      </c>
      <c r="C1759" t="str">
        <f t="shared" si="91"/>
        <v>18:27:23.687</v>
      </c>
      <c r="D1759" t="s">
        <v>699</v>
      </c>
      <c r="E1759">
        <v>30.521671999999999</v>
      </c>
      <c r="F1759" t="s">
        <v>701</v>
      </c>
      <c r="G1759">
        <v>-89.869022000000001</v>
      </c>
      <c r="H1759">
        <v>1600</v>
      </c>
      <c r="I1759">
        <v>-152</v>
      </c>
      <c r="J1759">
        <v>7</v>
      </c>
      <c r="K1759">
        <v>64</v>
      </c>
      <c r="L1759">
        <v>1200</v>
      </c>
      <c r="M1759" t="str">
        <f t="shared" si="90"/>
        <v xml:space="preserve">N35DC   </v>
      </c>
      <c r="N1759">
        <v>1</v>
      </c>
      <c r="O1759">
        <v>1700</v>
      </c>
    </row>
    <row r="1760" spans="1:15" x14ac:dyDescent="0.25">
      <c r="A1760" t="str">
        <f>"10/21/2020 18:27:15.752"</f>
        <v>10/21/2020 18:27:15.752</v>
      </c>
      <c r="B1760" t="str">
        <f t="shared" si="91"/>
        <v>18:27:23.687</v>
      </c>
      <c r="C1760" t="str">
        <f t="shared" si="91"/>
        <v>18:27:23.687</v>
      </c>
      <c r="D1760" t="s">
        <v>699</v>
      </c>
      <c r="E1760">
        <v>30.521671999999999</v>
      </c>
      <c r="F1760" t="s">
        <v>701</v>
      </c>
      <c r="G1760">
        <v>-89.869022000000001</v>
      </c>
      <c r="H1760">
        <v>1600</v>
      </c>
      <c r="I1760">
        <v>-152</v>
      </c>
      <c r="J1760">
        <v>7</v>
      </c>
      <c r="K1760">
        <v>64</v>
      </c>
      <c r="L1760">
        <v>1200</v>
      </c>
      <c r="M1760" t="str">
        <f t="shared" si="90"/>
        <v xml:space="preserve">N35DC   </v>
      </c>
      <c r="N1760">
        <v>1</v>
      </c>
      <c r="O1760">
        <v>1700</v>
      </c>
    </row>
    <row r="1761" spans="1:15" x14ac:dyDescent="0.25">
      <c r="A1761" t="str">
        <f>"10/21/2020 18:27:15.752"</f>
        <v>10/21/2020 18:27:15.752</v>
      </c>
      <c r="B1761" t="str">
        <f t="shared" si="91"/>
        <v>18:27:23.687</v>
      </c>
      <c r="C1761" t="str">
        <f t="shared" si="91"/>
        <v>18:27:23.687</v>
      </c>
      <c r="D1761" t="s">
        <v>699</v>
      </c>
      <c r="E1761">
        <v>30.521671999999999</v>
      </c>
      <c r="F1761" t="s">
        <v>701</v>
      </c>
      <c r="G1761">
        <v>-89.869022000000001</v>
      </c>
      <c r="H1761">
        <v>1600</v>
      </c>
      <c r="I1761">
        <v>-152</v>
      </c>
      <c r="J1761">
        <v>7</v>
      </c>
      <c r="K1761">
        <v>64</v>
      </c>
      <c r="L1761">
        <v>1200</v>
      </c>
      <c r="M1761" t="str">
        <f t="shared" si="90"/>
        <v xml:space="preserve">N35DC   </v>
      </c>
      <c r="N1761">
        <v>1</v>
      </c>
      <c r="O1761">
        <v>1700</v>
      </c>
    </row>
    <row r="1762" spans="1:15" x14ac:dyDescent="0.25">
      <c r="A1762" t="str">
        <f>"10/21/2020 18:27:19.820"</f>
        <v>10/21/2020 18:27:19.820</v>
      </c>
      <c r="B1762" t="str">
        <f>"18:27:27.766"</f>
        <v>18:27:27.766</v>
      </c>
      <c r="C1762" t="str">
        <f>"18:27:27.466"</f>
        <v>18:27:27.466</v>
      </c>
      <c r="D1762" t="s">
        <v>702</v>
      </c>
      <c r="E1762">
        <v>30.522122</v>
      </c>
      <c r="F1762" t="s">
        <v>703</v>
      </c>
      <c r="G1762">
        <v>-89.872283999999993</v>
      </c>
      <c r="H1762">
        <v>1600</v>
      </c>
      <c r="I1762">
        <v>-147</v>
      </c>
      <c r="J1762">
        <v>32</v>
      </c>
      <c r="K1762">
        <v>320</v>
      </c>
      <c r="L1762">
        <v>1200</v>
      </c>
      <c r="M1762" t="str">
        <f t="shared" si="90"/>
        <v xml:space="preserve">N35DC   </v>
      </c>
      <c r="N1762">
        <v>1</v>
      </c>
      <c r="O1762">
        <v>1700</v>
      </c>
    </row>
    <row r="1763" spans="1:15" x14ac:dyDescent="0.25">
      <c r="A1763" t="str">
        <f>"10/21/2020 18:27:19.820"</f>
        <v>10/21/2020 18:27:19.820</v>
      </c>
      <c r="B1763" t="str">
        <f>"18:27:27.766"</f>
        <v>18:27:27.766</v>
      </c>
      <c r="C1763" t="str">
        <f>"18:27:27.466"</f>
        <v>18:27:27.466</v>
      </c>
      <c r="D1763" t="s">
        <v>702</v>
      </c>
      <c r="E1763">
        <v>30.522122</v>
      </c>
      <c r="F1763" t="s">
        <v>703</v>
      </c>
      <c r="G1763">
        <v>-89.872283999999993</v>
      </c>
      <c r="H1763">
        <v>1600</v>
      </c>
      <c r="I1763">
        <v>-147</v>
      </c>
      <c r="J1763">
        <v>32</v>
      </c>
      <c r="K1763">
        <v>320</v>
      </c>
      <c r="L1763">
        <v>1200</v>
      </c>
      <c r="M1763" t="str">
        <f t="shared" si="90"/>
        <v xml:space="preserve">N35DC   </v>
      </c>
      <c r="N1763">
        <v>1</v>
      </c>
      <c r="O1763">
        <v>1700</v>
      </c>
    </row>
    <row r="1764" spans="1:15" x14ac:dyDescent="0.25">
      <c r="A1764" t="str">
        <f>"10/21/2020 18:27:19.820"</f>
        <v>10/21/2020 18:27:19.820</v>
      </c>
      <c r="B1764" t="str">
        <f>"18:27:27.766"</f>
        <v>18:27:27.766</v>
      </c>
      <c r="C1764" t="str">
        <f>"18:27:27.466"</f>
        <v>18:27:27.466</v>
      </c>
      <c r="D1764" t="s">
        <v>702</v>
      </c>
      <c r="E1764">
        <v>30.522122</v>
      </c>
      <c r="F1764" t="s">
        <v>703</v>
      </c>
      <c r="G1764">
        <v>-89.872283999999993</v>
      </c>
      <c r="H1764">
        <v>1600</v>
      </c>
      <c r="I1764">
        <v>-147</v>
      </c>
      <c r="J1764">
        <v>32</v>
      </c>
      <c r="K1764">
        <v>320</v>
      </c>
      <c r="L1764">
        <v>1200</v>
      </c>
      <c r="M1764" t="str">
        <f t="shared" si="90"/>
        <v xml:space="preserve">N35DC   </v>
      </c>
      <c r="N1764">
        <v>1</v>
      </c>
      <c r="O1764">
        <v>1700</v>
      </c>
    </row>
    <row r="1765" spans="1:15" x14ac:dyDescent="0.25">
      <c r="A1765" t="str">
        <f>"10/21/2020 18:27:19.820"</f>
        <v>10/21/2020 18:27:19.820</v>
      </c>
      <c r="B1765" t="str">
        <f>"18:27:27.766"</f>
        <v>18:27:27.766</v>
      </c>
      <c r="C1765" t="str">
        <f>"18:27:27.466"</f>
        <v>18:27:27.466</v>
      </c>
      <c r="D1765" t="s">
        <v>702</v>
      </c>
      <c r="E1765">
        <v>30.522122</v>
      </c>
      <c r="F1765" t="s">
        <v>703</v>
      </c>
      <c r="G1765">
        <v>-89.872283999999993</v>
      </c>
      <c r="H1765">
        <v>1600</v>
      </c>
      <c r="I1765">
        <v>-147</v>
      </c>
      <c r="J1765">
        <v>32</v>
      </c>
      <c r="K1765">
        <v>320</v>
      </c>
      <c r="L1765">
        <v>1200</v>
      </c>
      <c r="M1765" t="str">
        <f t="shared" si="90"/>
        <v xml:space="preserve">N35DC   </v>
      </c>
      <c r="N1765">
        <v>1</v>
      </c>
      <c r="O1765">
        <v>1700</v>
      </c>
    </row>
    <row r="1766" spans="1:15" x14ac:dyDescent="0.25">
      <c r="A1766" t="str">
        <f>"10/21/2020 18:27:19.820"</f>
        <v>10/21/2020 18:27:19.820</v>
      </c>
      <c r="B1766" t="str">
        <f>"18:27:27.766"</f>
        <v>18:27:27.766</v>
      </c>
      <c r="C1766" t="str">
        <f>"18:27:27.466"</f>
        <v>18:27:27.466</v>
      </c>
      <c r="D1766" t="s">
        <v>702</v>
      </c>
      <c r="E1766">
        <v>30.522122</v>
      </c>
      <c r="F1766" t="s">
        <v>703</v>
      </c>
      <c r="G1766">
        <v>-89.872283999999993</v>
      </c>
      <c r="H1766">
        <v>1600</v>
      </c>
      <c r="I1766">
        <v>-147</v>
      </c>
      <c r="J1766">
        <v>32</v>
      </c>
      <c r="K1766">
        <v>320</v>
      </c>
      <c r="L1766">
        <v>1200</v>
      </c>
      <c r="M1766" t="str">
        <f t="shared" si="90"/>
        <v xml:space="preserve">N35DC   </v>
      </c>
      <c r="N1766">
        <v>1</v>
      </c>
      <c r="O1766">
        <v>1700</v>
      </c>
    </row>
    <row r="1767" spans="1:15" x14ac:dyDescent="0.25">
      <c r="A1767" t="str">
        <f>"10/21/2020 18:27:21.792"</f>
        <v>10/21/2020 18:27:21.792</v>
      </c>
      <c r="B1767" t="str">
        <f>"18:27:29.703"</f>
        <v>18:27:29.703</v>
      </c>
      <c r="C1767" t="str">
        <f>"18:27:29.403"</f>
        <v>18:27:29.403</v>
      </c>
      <c r="D1767" t="s">
        <v>704</v>
      </c>
      <c r="E1767">
        <v>30.522487000000002</v>
      </c>
      <c r="F1767" t="s">
        <v>705</v>
      </c>
      <c r="G1767">
        <v>-89.873765000000006</v>
      </c>
      <c r="H1767">
        <v>1600</v>
      </c>
      <c r="I1767">
        <v>-144</v>
      </c>
      <c r="J1767">
        <v>45</v>
      </c>
      <c r="K1767">
        <v>64</v>
      </c>
      <c r="L1767">
        <v>1200</v>
      </c>
      <c r="M1767" t="str">
        <f t="shared" si="90"/>
        <v xml:space="preserve">N35DC   </v>
      </c>
      <c r="N1767">
        <v>1</v>
      </c>
      <c r="O1767">
        <v>1700</v>
      </c>
    </row>
    <row r="1768" spans="1:15" x14ac:dyDescent="0.25">
      <c r="A1768" t="str">
        <f>"10/21/2020 18:27:21.792"</f>
        <v>10/21/2020 18:27:21.792</v>
      </c>
      <c r="B1768" t="str">
        <f>"18:27:29.703"</f>
        <v>18:27:29.703</v>
      </c>
      <c r="C1768" t="str">
        <f>"18:27:29.403"</f>
        <v>18:27:29.403</v>
      </c>
      <c r="D1768" t="s">
        <v>704</v>
      </c>
      <c r="E1768">
        <v>30.522487000000002</v>
      </c>
      <c r="F1768" t="s">
        <v>705</v>
      </c>
      <c r="G1768">
        <v>-89.873765000000006</v>
      </c>
      <c r="H1768">
        <v>1600</v>
      </c>
      <c r="I1768">
        <v>-144</v>
      </c>
      <c r="J1768">
        <v>45</v>
      </c>
      <c r="K1768">
        <v>64</v>
      </c>
      <c r="L1768">
        <v>1200</v>
      </c>
      <c r="M1768" t="str">
        <f t="shared" si="90"/>
        <v xml:space="preserve">N35DC   </v>
      </c>
      <c r="N1768">
        <v>1</v>
      </c>
      <c r="O1768">
        <v>1700</v>
      </c>
    </row>
    <row r="1769" spans="1:15" x14ac:dyDescent="0.25">
      <c r="A1769" t="str">
        <f>"10/21/2020 18:27:21.792"</f>
        <v>10/21/2020 18:27:21.792</v>
      </c>
      <c r="B1769" t="str">
        <f>"18:27:29.703"</f>
        <v>18:27:29.703</v>
      </c>
      <c r="C1769" t="str">
        <f>"18:27:29.403"</f>
        <v>18:27:29.403</v>
      </c>
      <c r="D1769" t="s">
        <v>704</v>
      </c>
      <c r="E1769">
        <v>30.522487000000002</v>
      </c>
      <c r="F1769" t="s">
        <v>705</v>
      </c>
      <c r="G1769">
        <v>-89.873765000000006</v>
      </c>
      <c r="H1769">
        <v>1600</v>
      </c>
      <c r="I1769">
        <v>-144</v>
      </c>
      <c r="J1769">
        <v>45</v>
      </c>
      <c r="K1769">
        <v>64</v>
      </c>
      <c r="L1769">
        <v>1200</v>
      </c>
      <c r="M1769" t="str">
        <f t="shared" si="90"/>
        <v xml:space="preserve">N35DC   </v>
      </c>
      <c r="N1769">
        <v>1</v>
      </c>
      <c r="O1769">
        <v>1700</v>
      </c>
    </row>
    <row r="1770" spans="1:15" x14ac:dyDescent="0.25">
      <c r="A1770" t="str">
        <f>"10/21/2020 18:27:21.792"</f>
        <v>10/21/2020 18:27:21.792</v>
      </c>
      <c r="B1770" t="str">
        <f>"18:27:29.703"</f>
        <v>18:27:29.703</v>
      </c>
      <c r="C1770" t="str">
        <f>"18:27:29.403"</f>
        <v>18:27:29.403</v>
      </c>
      <c r="D1770" t="s">
        <v>704</v>
      </c>
      <c r="E1770">
        <v>30.522487000000002</v>
      </c>
      <c r="F1770" t="s">
        <v>705</v>
      </c>
      <c r="G1770">
        <v>-89.873765000000006</v>
      </c>
      <c r="H1770">
        <v>1600</v>
      </c>
      <c r="I1770">
        <v>-144</v>
      </c>
      <c r="J1770">
        <v>45</v>
      </c>
      <c r="K1770">
        <v>64</v>
      </c>
      <c r="L1770">
        <v>1200</v>
      </c>
      <c r="M1770" t="str">
        <f t="shared" si="90"/>
        <v xml:space="preserve">N35DC   </v>
      </c>
      <c r="N1770">
        <v>1</v>
      </c>
      <c r="O1770">
        <v>1700</v>
      </c>
    </row>
    <row r="1771" spans="1:15" x14ac:dyDescent="0.25">
      <c r="A1771" t="str">
        <f>"10/21/2020 18:27:21.792"</f>
        <v>10/21/2020 18:27:21.792</v>
      </c>
      <c r="B1771" t="str">
        <f>"18:27:29.703"</f>
        <v>18:27:29.703</v>
      </c>
      <c r="C1771" t="str">
        <f>"18:27:29.403"</f>
        <v>18:27:29.403</v>
      </c>
      <c r="D1771" t="s">
        <v>704</v>
      </c>
      <c r="E1771">
        <v>30.522487000000002</v>
      </c>
      <c r="F1771" t="s">
        <v>705</v>
      </c>
      <c r="G1771">
        <v>-89.873765000000006</v>
      </c>
      <c r="H1771">
        <v>1600</v>
      </c>
      <c r="I1771">
        <v>-144</v>
      </c>
      <c r="J1771">
        <v>45</v>
      </c>
      <c r="K1771">
        <v>64</v>
      </c>
      <c r="L1771">
        <v>1200</v>
      </c>
      <c r="M1771" t="str">
        <f t="shared" si="90"/>
        <v xml:space="preserve">N35DC   </v>
      </c>
      <c r="N1771">
        <v>1</v>
      </c>
      <c r="O1771">
        <v>1700</v>
      </c>
    </row>
    <row r="1772" spans="1:15" x14ac:dyDescent="0.25">
      <c r="A1772" t="str">
        <f>"10/21/2020 18:27:26.946"</f>
        <v>10/21/2020 18:27:26.946</v>
      </c>
      <c r="B1772" t="str">
        <f>"18:27:34.875"</f>
        <v>18:27:34.875</v>
      </c>
      <c r="C1772" t="str">
        <f>"18:27:34.475"</f>
        <v>18:27:34.475</v>
      </c>
      <c r="D1772" t="s">
        <v>706</v>
      </c>
      <c r="E1772">
        <v>30.524096</v>
      </c>
      <c r="F1772" t="s">
        <v>707</v>
      </c>
      <c r="G1772">
        <v>-89.877540999999994</v>
      </c>
      <c r="H1772">
        <v>1600</v>
      </c>
      <c r="I1772">
        <v>-130</v>
      </c>
      <c r="J1772">
        <v>76</v>
      </c>
      <c r="K1772">
        <v>64</v>
      </c>
      <c r="L1772">
        <v>1200</v>
      </c>
      <c r="M1772" t="str">
        <f t="shared" si="90"/>
        <v xml:space="preserve">N35DC   </v>
      </c>
      <c r="N1772">
        <v>1</v>
      </c>
      <c r="O1772">
        <v>1700</v>
      </c>
    </row>
    <row r="1773" spans="1:15" x14ac:dyDescent="0.25">
      <c r="A1773" t="str">
        <f>"10/21/2020 18:27:26.946"</f>
        <v>10/21/2020 18:27:26.946</v>
      </c>
      <c r="B1773" t="str">
        <f>"18:27:34.875"</f>
        <v>18:27:34.875</v>
      </c>
      <c r="C1773" t="str">
        <f>"18:27:34.475"</f>
        <v>18:27:34.475</v>
      </c>
      <c r="D1773" t="s">
        <v>706</v>
      </c>
      <c r="E1773">
        <v>30.524096</v>
      </c>
      <c r="F1773" t="s">
        <v>707</v>
      </c>
      <c r="G1773">
        <v>-89.877540999999994</v>
      </c>
      <c r="H1773">
        <v>1600</v>
      </c>
      <c r="I1773">
        <v>-130</v>
      </c>
      <c r="J1773">
        <v>76</v>
      </c>
      <c r="K1773">
        <v>64</v>
      </c>
      <c r="L1773">
        <v>1200</v>
      </c>
      <c r="M1773" t="str">
        <f t="shared" si="90"/>
        <v xml:space="preserve">N35DC   </v>
      </c>
      <c r="N1773">
        <v>1</v>
      </c>
      <c r="O1773">
        <v>1700</v>
      </c>
    </row>
    <row r="1774" spans="1:15" x14ac:dyDescent="0.25">
      <c r="A1774" t="str">
        <f>"10/21/2020 18:27:26.946"</f>
        <v>10/21/2020 18:27:26.946</v>
      </c>
      <c r="B1774" t="str">
        <f>"18:27:34.875"</f>
        <v>18:27:34.875</v>
      </c>
      <c r="C1774" t="str">
        <f>"18:27:34.475"</f>
        <v>18:27:34.475</v>
      </c>
      <c r="D1774" t="s">
        <v>706</v>
      </c>
      <c r="E1774">
        <v>30.524096</v>
      </c>
      <c r="F1774" t="s">
        <v>707</v>
      </c>
      <c r="G1774">
        <v>-89.877540999999994</v>
      </c>
      <c r="H1774">
        <v>1600</v>
      </c>
      <c r="I1774">
        <v>-130</v>
      </c>
      <c r="J1774">
        <v>76</v>
      </c>
      <c r="K1774">
        <v>64</v>
      </c>
      <c r="L1774">
        <v>1200</v>
      </c>
      <c r="M1774" t="str">
        <f t="shared" si="90"/>
        <v xml:space="preserve">N35DC   </v>
      </c>
      <c r="N1774">
        <v>1</v>
      </c>
      <c r="O1774">
        <v>1700</v>
      </c>
    </row>
    <row r="1775" spans="1:15" x14ac:dyDescent="0.25">
      <c r="A1775" t="str">
        <f>"10/21/2020 18:27:26.946"</f>
        <v>10/21/2020 18:27:26.946</v>
      </c>
      <c r="B1775" t="str">
        <f>"18:27:34.875"</f>
        <v>18:27:34.875</v>
      </c>
      <c r="C1775" t="str">
        <f>"18:27:34.475"</f>
        <v>18:27:34.475</v>
      </c>
      <c r="D1775" t="s">
        <v>706</v>
      </c>
      <c r="E1775">
        <v>30.524096</v>
      </c>
      <c r="F1775" t="s">
        <v>707</v>
      </c>
      <c r="G1775">
        <v>-89.877540999999994</v>
      </c>
      <c r="H1775">
        <v>1600</v>
      </c>
      <c r="I1775">
        <v>-130</v>
      </c>
      <c r="J1775">
        <v>76</v>
      </c>
      <c r="K1775">
        <v>64</v>
      </c>
      <c r="L1775">
        <v>1200</v>
      </c>
      <c r="M1775" t="str">
        <f t="shared" si="90"/>
        <v xml:space="preserve">N35DC   </v>
      </c>
      <c r="N1775">
        <v>1</v>
      </c>
      <c r="O1775">
        <v>1700</v>
      </c>
    </row>
    <row r="1776" spans="1:15" x14ac:dyDescent="0.25">
      <c r="A1776" t="str">
        <f>"10/21/2020 18:27:26.946"</f>
        <v>10/21/2020 18:27:26.946</v>
      </c>
      <c r="B1776" t="str">
        <f>"18:27:34.875"</f>
        <v>18:27:34.875</v>
      </c>
      <c r="C1776" t="str">
        <f>"18:27:34.475"</f>
        <v>18:27:34.475</v>
      </c>
      <c r="D1776" t="s">
        <v>706</v>
      </c>
      <c r="E1776">
        <v>30.524096</v>
      </c>
      <c r="F1776" t="s">
        <v>707</v>
      </c>
      <c r="G1776">
        <v>-89.877540999999994</v>
      </c>
      <c r="H1776">
        <v>1600</v>
      </c>
      <c r="I1776">
        <v>-130</v>
      </c>
      <c r="J1776">
        <v>76</v>
      </c>
      <c r="K1776">
        <v>64</v>
      </c>
      <c r="L1776">
        <v>1200</v>
      </c>
      <c r="M1776" t="str">
        <f t="shared" si="90"/>
        <v xml:space="preserve">N35DC   </v>
      </c>
      <c r="N1776">
        <v>1</v>
      </c>
      <c r="O1776">
        <v>1700</v>
      </c>
    </row>
    <row r="1777" spans="1:15" x14ac:dyDescent="0.25">
      <c r="A1777" t="str">
        <f>"10/21/2020 18:27:29.965"</f>
        <v>10/21/2020 18:27:29.965</v>
      </c>
      <c r="B1777" t="str">
        <f t="shared" ref="B1777:C1781" si="92">"18:27:37.891"</f>
        <v>18:27:37.891</v>
      </c>
      <c r="C1777" t="str">
        <f t="shared" si="92"/>
        <v>18:27:37.891</v>
      </c>
      <c r="D1777" t="s">
        <v>708</v>
      </c>
      <c r="E1777">
        <v>30.525276999999999</v>
      </c>
      <c r="F1777" t="s">
        <v>709</v>
      </c>
      <c r="G1777">
        <v>-89.879536999999999</v>
      </c>
      <c r="H1777">
        <v>1600</v>
      </c>
      <c r="I1777">
        <v>-120</v>
      </c>
      <c r="J1777">
        <v>92</v>
      </c>
      <c r="K1777">
        <v>192</v>
      </c>
      <c r="L1777">
        <v>1200</v>
      </c>
      <c r="M1777" t="str">
        <f t="shared" si="90"/>
        <v xml:space="preserve">N35DC   </v>
      </c>
      <c r="N1777">
        <v>1</v>
      </c>
      <c r="O1777">
        <v>1700</v>
      </c>
    </row>
    <row r="1778" spans="1:15" x14ac:dyDescent="0.25">
      <c r="A1778" t="str">
        <f>"10/21/2020 18:27:29.965"</f>
        <v>10/21/2020 18:27:29.965</v>
      </c>
      <c r="B1778" t="str">
        <f t="shared" si="92"/>
        <v>18:27:37.891</v>
      </c>
      <c r="C1778" t="str">
        <f t="shared" si="92"/>
        <v>18:27:37.891</v>
      </c>
      <c r="D1778" t="s">
        <v>708</v>
      </c>
      <c r="E1778">
        <v>30.525276999999999</v>
      </c>
      <c r="F1778" t="s">
        <v>709</v>
      </c>
      <c r="G1778">
        <v>-89.879536999999999</v>
      </c>
      <c r="H1778">
        <v>1600</v>
      </c>
      <c r="I1778">
        <v>-120</v>
      </c>
      <c r="J1778">
        <v>92</v>
      </c>
      <c r="K1778">
        <v>192</v>
      </c>
      <c r="L1778">
        <v>1200</v>
      </c>
      <c r="M1778" t="str">
        <f t="shared" si="90"/>
        <v xml:space="preserve">N35DC   </v>
      </c>
      <c r="N1778">
        <v>1</v>
      </c>
      <c r="O1778">
        <v>1700</v>
      </c>
    </row>
    <row r="1779" spans="1:15" x14ac:dyDescent="0.25">
      <c r="A1779" t="str">
        <f>"10/21/2020 18:27:29.965"</f>
        <v>10/21/2020 18:27:29.965</v>
      </c>
      <c r="B1779" t="str">
        <f t="shared" si="92"/>
        <v>18:27:37.891</v>
      </c>
      <c r="C1779" t="str">
        <f t="shared" si="92"/>
        <v>18:27:37.891</v>
      </c>
      <c r="D1779" t="s">
        <v>708</v>
      </c>
      <c r="E1779">
        <v>30.525276999999999</v>
      </c>
      <c r="F1779" t="s">
        <v>709</v>
      </c>
      <c r="G1779">
        <v>-89.879536999999999</v>
      </c>
      <c r="H1779">
        <v>1600</v>
      </c>
      <c r="I1779">
        <v>-120</v>
      </c>
      <c r="J1779">
        <v>92</v>
      </c>
      <c r="K1779">
        <v>192</v>
      </c>
      <c r="L1779">
        <v>1200</v>
      </c>
      <c r="M1779" t="str">
        <f t="shared" si="90"/>
        <v xml:space="preserve">N35DC   </v>
      </c>
      <c r="N1779">
        <v>1</v>
      </c>
      <c r="O1779">
        <v>1700</v>
      </c>
    </row>
    <row r="1780" spans="1:15" x14ac:dyDescent="0.25">
      <c r="A1780" t="str">
        <f>"10/21/2020 18:27:29.965"</f>
        <v>10/21/2020 18:27:29.965</v>
      </c>
      <c r="B1780" t="str">
        <f t="shared" si="92"/>
        <v>18:27:37.891</v>
      </c>
      <c r="C1780" t="str">
        <f t="shared" si="92"/>
        <v>18:27:37.891</v>
      </c>
      <c r="D1780" t="s">
        <v>708</v>
      </c>
      <c r="E1780">
        <v>30.525276999999999</v>
      </c>
      <c r="F1780" t="s">
        <v>709</v>
      </c>
      <c r="G1780">
        <v>-89.879536999999999</v>
      </c>
      <c r="H1780">
        <v>1600</v>
      </c>
      <c r="I1780">
        <v>-120</v>
      </c>
      <c r="J1780">
        <v>92</v>
      </c>
      <c r="K1780">
        <v>192</v>
      </c>
      <c r="L1780">
        <v>1200</v>
      </c>
      <c r="M1780" t="str">
        <f t="shared" si="90"/>
        <v xml:space="preserve">N35DC   </v>
      </c>
      <c r="N1780">
        <v>1</v>
      </c>
      <c r="O1780">
        <v>1700</v>
      </c>
    </row>
    <row r="1781" spans="1:15" x14ac:dyDescent="0.25">
      <c r="A1781" t="str">
        <f>"10/21/2020 18:27:29.965"</f>
        <v>10/21/2020 18:27:29.965</v>
      </c>
      <c r="B1781" t="str">
        <f t="shared" si="92"/>
        <v>18:27:37.891</v>
      </c>
      <c r="C1781" t="str">
        <f t="shared" si="92"/>
        <v>18:27:37.891</v>
      </c>
      <c r="D1781" t="s">
        <v>708</v>
      </c>
      <c r="E1781">
        <v>30.525276999999999</v>
      </c>
      <c r="F1781" t="s">
        <v>709</v>
      </c>
      <c r="G1781">
        <v>-89.879536999999999</v>
      </c>
      <c r="H1781">
        <v>1600</v>
      </c>
      <c r="I1781">
        <v>-120</v>
      </c>
      <c r="J1781">
        <v>92</v>
      </c>
      <c r="K1781">
        <v>192</v>
      </c>
      <c r="L1781">
        <v>1200</v>
      </c>
      <c r="M1781" t="str">
        <f t="shared" si="90"/>
        <v xml:space="preserve">N35DC   </v>
      </c>
      <c r="N1781">
        <v>1</v>
      </c>
      <c r="O1781">
        <v>1700</v>
      </c>
    </row>
    <row r="1782" spans="1:15" x14ac:dyDescent="0.25">
      <c r="A1782" t="str">
        <f>"10/21/2020 18:27:30.942"</f>
        <v>10/21/2020 18:27:30.942</v>
      </c>
      <c r="B1782" t="str">
        <f>"18:27:38.914"</f>
        <v>18:27:38.914</v>
      </c>
      <c r="C1782" t="str">
        <f>"18:27:38.414"</f>
        <v>18:27:38.414</v>
      </c>
      <c r="D1782" t="s">
        <v>710</v>
      </c>
      <c r="E1782">
        <v>30.525749000000001</v>
      </c>
      <c r="F1782" t="s">
        <v>711</v>
      </c>
      <c r="G1782">
        <v>-89.880179999999996</v>
      </c>
      <c r="H1782">
        <v>1600</v>
      </c>
      <c r="I1782">
        <v>-117</v>
      </c>
      <c r="J1782">
        <v>94</v>
      </c>
      <c r="K1782">
        <v>192</v>
      </c>
      <c r="L1782">
        <v>1200</v>
      </c>
      <c r="M1782" t="str">
        <f t="shared" si="90"/>
        <v xml:space="preserve">N35DC   </v>
      </c>
      <c r="N1782">
        <v>1</v>
      </c>
      <c r="O1782">
        <v>1700</v>
      </c>
    </row>
    <row r="1783" spans="1:15" x14ac:dyDescent="0.25">
      <c r="A1783" t="str">
        <f>"10/21/2020 18:27:30.942"</f>
        <v>10/21/2020 18:27:30.942</v>
      </c>
      <c r="B1783" t="str">
        <f>"18:27:38.914"</f>
        <v>18:27:38.914</v>
      </c>
      <c r="C1783" t="str">
        <f>"18:27:38.414"</f>
        <v>18:27:38.414</v>
      </c>
      <c r="D1783" t="s">
        <v>710</v>
      </c>
      <c r="E1783">
        <v>30.525749000000001</v>
      </c>
      <c r="F1783" t="s">
        <v>711</v>
      </c>
      <c r="G1783">
        <v>-89.880179999999996</v>
      </c>
      <c r="H1783">
        <v>1600</v>
      </c>
      <c r="I1783">
        <v>-117</v>
      </c>
      <c r="J1783">
        <v>94</v>
      </c>
      <c r="K1783">
        <v>192</v>
      </c>
      <c r="L1783">
        <v>1200</v>
      </c>
      <c r="M1783" t="str">
        <f t="shared" si="90"/>
        <v xml:space="preserve">N35DC   </v>
      </c>
      <c r="N1783">
        <v>1</v>
      </c>
      <c r="O1783">
        <v>1700</v>
      </c>
    </row>
    <row r="1784" spans="1:15" x14ac:dyDescent="0.25">
      <c r="A1784" t="str">
        <f>"10/21/2020 18:27:30.942"</f>
        <v>10/21/2020 18:27:30.942</v>
      </c>
      <c r="B1784" t="str">
        <f>"18:27:38.914"</f>
        <v>18:27:38.914</v>
      </c>
      <c r="C1784" t="str">
        <f>"18:27:38.414"</f>
        <v>18:27:38.414</v>
      </c>
      <c r="D1784" t="s">
        <v>710</v>
      </c>
      <c r="E1784">
        <v>30.525749000000001</v>
      </c>
      <c r="F1784" t="s">
        <v>711</v>
      </c>
      <c r="G1784">
        <v>-89.880179999999996</v>
      </c>
      <c r="H1784">
        <v>1600</v>
      </c>
      <c r="I1784">
        <v>-117</v>
      </c>
      <c r="J1784">
        <v>94</v>
      </c>
      <c r="K1784">
        <v>192</v>
      </c>
      <c r="L1784">
        <v>1200</v>
      </c>
      <c r="M1784" t="str">
        <f t="shared" si="90"/>
        <v xml:space="preserve">N35DC   </v>
      </c>
      <c r="N1784">
        <v>1</v>
      </c>
      <c r="O1784">
        <v>1700</v>
      </c>
    </row>
    <row r="1785" spans="1:15" x14ac:dyDescent="0.25">
      <c r="A1785" t="str">
        <f>"10/21/2020 18:27:30.942"</f>
        <v>10/21/2020 18:27:30.942</v>
      </c>
      <c r="B1785" t="str">
        <f>"18:27:38.914"</f>
        <v>18:27:38.914</v>
      </c>
      <c r="C1785" t="str">
        <f>"18:27:38.414"</f>
        <v>18:27:38.414</v>
      </c>
      <c r="D1785" t="s">
        <v>710</v>
      </c>
      <c r="E1785">
        <v>30.525749000000001</v>
      </c>
      <c r="F1785" t="s">
        <v>711</v>
      </c>
      <c r="G1785">
        <v>-89.880179999999996</v>
      </c>
      <c r="H1785">
        <v>1600</v>
      </c>
      <c r="I1785">
        <v>-117</v>
      </c>
      <c r="J1785">
        <v>94</v>
      </c>
      <c r="K1785">
        <v>192</v>
      </c>
      <c r="L1785">
        <v>1200</v>
      </c>
      <c r="M1785" t="str">
        <f t="shared" si="90"/>
        <v xml:space="preserve">N35DC   </v>
      </c>
      <c r="N1785">
        <v>1</v>
      </c>
      <c r="O1785">
        <v>1700</v>
      </c>
    </row>
    <row r="1786" spans="1:15" x14ac:dyDescent="0.25">
      <c r="A1786" t="str">
        <f>"10/21/2020 18:27:30.942"</f>
        <v>10/21/2020 18:27:30.942</v>
      </c>
      <c r="B1786" t="str">
        <f>"18:27:38.914"</f>
        <v>18:27:38.914</v>
      </c>
      <c r="C1786" t="str">
        <f>"18:27:38.414"</f>
        <v>18:27:38.414</v>
      </c>
      <c r="D1786" t="s">
        <v>710</v>
      </c>
      <c r="E1786">
        <v>30.525749000000001</v>
      </c>
      <c r="F1786" t="s">
        <v>711</v>
      </c>
      <c r="G1786">
        <v>-89.880179999999996</v>
      </c>
      <c r="H1786">
        <v>1600</v>
      </c>
      <c r="I1786">
        <v>-117</v>
      </c>
      <c r="J1786">
        <v>94</v>
      </c>
      <c r="K1786">
        <v>192</v>
      </c>
      <c r="L1786">
        <v>1200</v>
      </c>
      <c r="M1786" t="str">
        <f t="shared" si="90"/>
        <v xml:space="preserve">N35DC   </v>
      </c>
      <c r="N1786">
        <v>1</v>
      </c>
      <c r="O1786">
        <v>1700</v>
      </c>
    </row>
    <row r="1787" spans="1:15" x14ac:dyDescent="0.25">
      <c r="A1787" t="str">
        <f>"10/21/2020 18:27:33.914"</f>
        <v>10/21/2020 18:27:33.914</v>
      </c>
      <c r="B1787" t="str">
        <f>"18:27:41.852"</f>
        <v>18:27:41.852</v>
      </c>
      <c r="C1787" t="str">
        <f>"18:27:41.452"</f>
        <v>18:27:41.452</v>
      </c>
      <c r="D1787" t="s">
        <v>712</v>
      </c>
      <c r="E1787">
        <v>30.527100999999998</v>
      </c>
      <c r="F1787" t="s">
        <v>713</v>
      </c>
      <c r="G1787">
        <v>-89.881896999999995</v>
      </c>
      <c r="H1787">
        <v>1600</v>
      </c>
      <c r="I1787">
        <v>-106</v>
      </c>
      <c r="J1787">
        <v>105</v>
      </c>
      <c r="K1787">
        <v>-64</v>
      </c>
      <c r="L1787">
        <v>1200</v>
      </c>
      <c r="M1787" t="str">
        <f t="shared" si="90"/>
        <v xml:space="preserve">N35DC   </v>
      </c>
      <c r="N1787">
        <v>1</v>
      </c>
      <c r="O1787">
        <v>1700</v>
      </c>
    </row>
    <row r="1788" spans="1:15" x14ac:dyDescent="0.25">
      <c r="A1788" t="str">
        <f>"10/21/2020 18:27:33.914"</f>
        <v>10/21/2020 18:27:33.914</v>
      </c>
      <c r="B1788" t="str">
        <f>"18:27:41.852"</f>
        <v>18:27:41.852</v>
      </c>
      <c r="C1788" t="str">
        <f>"18:27:41.452"</f>
        <v>18:27:41.452</v>
      </c>
      <c r="D1788" t="s">
        <v>712</v>
      </c>
      <c r="E1788">
        <v>30.527100999999998</v>
      </c>
      <c r="F1788" t="s">
        <v>713</v>
      </c>
      <c r="G1788">
        <v>-89.881896999999995</v>
      </c>
      <c r="H1788">
        <v>1600</v>
      </c>
      <c r="I1788">
        <v>-106</v>
      </c>
      <c r="J1788">
        <v>105</v>
      </c>
      <c r="K1788">
        <v>-64</v>
      </c>
      <c r="L1788">
        <v>1200</v>
      </c>
      <c r="M1788" t="str">
        <f t="shared" si="90"/>
        <v xml:space="preserve">N35DC   </v>
      </c>
      <c r="N1788">
        <v>1</v>
      </c>
      <c r="O1788">
        <v>1700</v>
      </c>
    </row>
    <row r="1789" spans="1:15" x14ac:dyDescent="0.25">
      <c r="A1789" t="str">
        <f>"10/21/2020 18:27:33.914"</f>
        <v>10/21/2020 18:27:33.914</v>
      </c>
      <c r="B1789" t="str">
        <f>"18:27:41.852"</f>
        <v>18:27:41.852</v>
      </c>
      <c r="C1789" t="str">
        <f>"18:27:41.452"</f>
        <v>18:27:41.452</v>
      </c>
      <c r="D1789" t="s">
        <v>712</v>
      </c>
      <c r="E1789">
        <v>30.527100999999998</v>
      </c>
      <c r="F1789" t="s">
        <v>713</v>
      </c>
      <c r="G1789">
        <v>-89.881896999999995</v>
      </c>
      <c r="H1789">
        <v>1600</v>
      </c>
      <c r="I1789">
        <v>-106</v>
      </c>
      <c r="J1789">
        <v>105</v>
      </c>
      <c r="K1789">
        <v>-64</v>
      </c>
      <c r="L1789">
        <v>1200</v>
      </c>
      <c r="M1789" t="str">
        <f t="shared" si="90"/>
        <v xml:space="preserve">N35DC   </v>
      </c>
      <c r="N1789">
        <v>1</v>
      </c>
      <c r="O1789">
        <v>1700</v>
      </c>
    </row>
    <row r="1790" spans="1:15" x14ac:dyDescent="0.25">
      <c r="A1790" t="str">
        <f>"10/21/2020 18:27:33.914"</f>
        <v>10/21/2020 18:27:33.914</v>
      </c>
      <c r="B1790" t="str">
        <f>"18:27:41.852"</f>
        <v>18:27:41.852</v>
      </c>
      <c r="C1790" t="str">
        <f>"18:27:41.452"</f>
        <v>18:27:41.452</v>
      </c>
      <c r="D1790" t="s">
        <v>712</v>
      </c>
      <c r="E1790">
        <v>30.527100999999998</v>
      </c>
      <c r="F1790" t="s">
        <v>713</v>
      </c>
      <c r="G1790">
        <v>-89.881896999999995</v>
      </c>
      <c r="H1790">
        <v>1600</v>
      </c>
      <c r="I1790">
        <v>-106</v>
      </c>
      <c r="J1790">
        <v>105</v>
      </c>
      <c r="K1790">
        <v>-64</v>
      </c>
      <c r="L1790">
        <v>1200</v>
      </c>
      <c r="M1790" t="str">
        <f t="shared" si="90"/>
        <v xml:space="preserve">N35DC   </v>
      </c>
      <c r="N1790">
        <v>1</v>
      </c>
      <c r="O1790">
        <v>1700</v>
      </c>
    </row>
    <row r="1791" spans="1:15" x14ac:dyDescent="0.25">
      <c r="A1791" t="str">
        <f>"10/21/2020 18:27:33.914"</f>
        <v>10/21/2020 18:27:33.914</v>
      </c>
      <c r="B1791" t="str">
        <f>"18:27:41.852"</f>
        <v>18:27:41.852</v>
      </c>
      <c r="C1791" t="str">
        <f>"18:27:41.452"</f>
        <v>18:27:41.452</v>
      </c>
      <c r="D1791" t="s">
        <v>712</v>
      </c>
      <c r="E1791">
        <v>30.527100999999998</v>
      </c>
      <c r="F1791" t="s">
        <v>713</v>
      </c>
      <c r="G1791">
        <v>-89.881896999999995</v>
      </c>
      <c r="H1791">
        <v>1600</v>
      </c>
      <c r="I1791">
        <v>-106</v>
      </c>
      <c r="J1791">
        <v>105</v>
      </c>
      <c r="K1791">
        <v>-64</v>
      </c>
      <c r="L1791">
        <v>1200</v>
      </c>
      <c r="M1791" t="str">
        <f t="shared" si="90"/>
        <v xml:space="preserve">N35DC   </v>
      </c>
      <c r="N1791">
        <v>1</v>
      </c>
      <c r="O1791">
        <v>1700</v>
      </c>
    </row>
    <row r="1792" spans="1:15" x14ac:dyDescent="0.25">
      <c r="A1792" t="str">
        <f>"10/21/2020 18:27:34.950"</f>
        <v>10/21/2020 18:27:34.950</v>
      </c>
      <c r="B1792" t="str">
        <f t="shared" ref="B1792:C1796" si="93">"18:27:42.898"</f>
        <v>18:27:42.898</v>
      </c>
      <c r="C1792" t="str">
        <f t="shared" si="93"/>
        <v>18:27:42.898</v>
      </c>
      <c r="D1792" t="s">
        <v>714</v>
      </c>
      <c r="E1792">
        <v>30.527657999999999</v>
      </c>
      <c r="F1792" t="s">
        <v>715</v>
      </c>
      <c r="G1792">
        <v>-89.882497999999998</v>
      </c>
      <c r="H1792">
        <v>1600</v>
      </c>
      <c r="I1792">
        <v>-100</v>
      </c>
      <c r="J1792">
        <v>110</v>
      </c>
      <c r="K1792">
        <v>64</v>
      </c>
      <c r="L1792">
        <v>1200</v>
      </c>
      <c r="M1792" t="str">
        <f t="shared" si="90"/>
        <v xml:space="preserve">N35DC   </v>
      </c>
      <c r="N1792">
        <v>1</v>
      </c>
      <c r="O1792">
        <v>1700</v>
      </c>
    </row>
    <row r="1793" spans="1:15" x14ac:dyDescent="0.25">
      <c r="A1793" t="str">
        <f>"10/21/2020 18:27:34.950"</f>
        <v>10/21/2020 18:27:34.950</v>
      </c>
      <c r="B1793" t="str">
        <f t="shared" si="93"/>
        <v>18:27:42.898</v>
      </c>
      <c r="C1793" t="str">
        <f t="shared" si="93"/>
        <v>18:27:42.898</v>
      </c>
      <c r="D1793" t="s">
        <v>714</v>
      </c>
      <c r="E1793">
        <v>30.527657999999999</v>
      </c>
      <c r="F1793" t="s">
        <v>715</v>
      </c>
      <c r="G1793">
        <v>-89.882497999999998</v>
      </c>
      <c r="H1793">
        <v>1600</v>
      </c>
      <c r="I1793">
        <v>-100</v>
      </c>
      <c r="J1793">
        <v>110</v>
      </c>
      <c r="K1793">
        <v>64</v>
      </c>
      <c r="L1793">
        <v>1200</v>
      </c>
      <c r="M1793" t="str">
        <f t="shared" si="90"/>
        <v xml:space="preserve">N35DC   </v>
      </c>
      <c r="N1793">
        <v>1</v>
      </c>
      <c r="O1793">
        <v>1700</v>
      </c>
    </row>
    <row r="1794" spans="1:15" x14ac:dyDescent="0.25">
      <c r="A1794" t="str">
        <f>"10/21/2020 18:27:34.950"</f>
        <v>10/21/2020 18:27:34.950</v>
      </c>
      <c r="B1794" t="str">
        <f t="shared" si="93"/>
        <v>18:27:42.898</v>
      </c>
      <c r="C1794" t="str">
        <f t="shared" si="93"/>
        <v>18:27:42.898</v>
      </c>
      <c r="D1794" t="s">
        <v>714</v>
      </c>
      <c r="E1794">
        <v>30.527657999999999</v>
      </c>
      <c r="F1794" t="s">
        <v>715</v>
      </c>
      <c r="G1794">
        <v>-89.882497999999998</v>
      </c>
      <c r="H1794">
        <v>1600</v>
      </c>
      <c r="I1794">
        <v>-100</v>
      </c>
      <c r="J1794">
        <v>110</v>
      </c>
      <c r="K1794">
        <v>64</v>
      </c>
      <c r="L1794">
        <v>1200</v>
      </c>
      <c r="M1794" t="str">
        <f t="shared" si="90"/>
        <v xml:space="preserve">N35DC   </v>
      </c>
      <c r="N1794">
        <v>1</v>
      </c>
      <c r="O1794">
        <v>1700</v>
      </c>
    </row>
    <row r="1795" spans="1:15" x14ac:dyDescent="0.25">
      <c r="A1795" t="str">
        <f>"10/21/2020 18:27:34.950"</f>
        <v>10/21/2020 18:27:34.950</v>
      </c>
      <c r="B1795" t="str">
        <f t="shared" si="93"/>
        <v>18:27:42.898</v>
      </c>
      <c r="C1795" t="str">
        <f t="shared" si="93"/>
        <v>18:27:42.898</v>
      </c>
      <c r="D1795" t="s">
        <v>714</v>
      </c>
      <c r="E1795">
        <v>30.527657999999999</v>
      </c>
      <c r="F1795" t="s">
        <v>715</v>
      </c>
      <c r="G1795">
        <v>-89.882497999999998</v>
      </c>
      <c r="H1795">
        <v>1600</v>
      </c>
      <c r="I1795">
        <v>-100</v>
      </c>
      <c r="J1795">
        <v>110</v>
      </c>
      <c r="K1795">
        <v>64</v>
      </c>
      <c r="L1795">
        <v>1200</v>
      </c>
      <c r="M1795" t="str">
        <f t="shared" si="90"/>
        <v xml:space="preserve">N35DC   </v>
      </c>
      <c r="N1795">
        <v>1</v>
      </c>
      <c r="O1795">
        <v>1700</v>
      </c>
    </row>
    <row r="1796" spans="1:15" x14ac:dyDescent="0.25">
      <c r="A1796" t="str">
        <f>"10/21/2020 18:27:34.950"</f>
        <v>10/21/2020 18:27:34.950</v>
      </c>
      <c r="B1796" t="str">
        <f t="shared" si="93"/>
        <v>18:27:42.898</v>
      </c>
      <c r="C1796" t="str">
        <f t="shared" si="93"/>
        <v>18:27:42.898</v>
      </c>
      <c r="D1796" t="s">
        <v>714</v>
      </c>
      <c r="E1796">
        <v>30.527657999999999</v>
      </c>
      <c r="F1796" t="s">
        <v>715</v>
      </c>
      <c r="G1796">
        <v>-89.882497999999998</v>
      </c>
      <c r="H1796">
        <v>1600</v>
      </c>
      <c r="I1796">
        <v>-100</v>
      </c>
      <c r="J1796">
        <v>110</v>
      </c>
      <c r="K1796">
        <v>64</v>
      </c>
      <c r="L1796">
        <v>1200</v>
      </c>
      <c r="M1796" t="str">
        <f t="shared" si="90"/>
        <v xml:space="preserve">N35DC   </v>
      </c>
      <c r="N1796">
        <v>1</v>
      </c>
      <c r="O1796">
        <v>1700</v>
      </c>
    </row>
    <row r="1797" spans="1:15" x14ac:dyDescent="0.25">
      <c r="A1797" t="str">
        <f>"10/21/2020 18:27:36.921"</f>
        <v>10/21/2020 18:27:36.921</v>
      </c>
      <c r="B1797" t="str">
        <f>"18:27:44.852"</f>
        <v>18:27:44.852</v>
      </c>
      <c r="C1797" t="str">
        <f>"18:27:44.452"</f>
        <v>18:27:44.452</v>
      </c>
      <c r="D1797" t="s">
        <v>716</v>
      </c>
      <c r="E1797">
        <v>30.528666999999999</v>
      </c>
      <c r="F1797" t="s">
        <v>717</v>
      </c>
      <c r="G1797">
        <v>-89.883463000000006</v>
      </c>
      <c r="H1797">
        <v>1600</v>
      </c>
      <c r="I1797">
        <v>-93</v>
      </c>
      <c r="J1797">
        <v>116</v>
      </c>
      <c r="K1797">
        <v>64</v>
      </c>
      <c r="L1797">
        <v>1200</v>
      </c>
      <c r="M1797" t="str">
        <f t="shared" si="90"/>
        <v xml:space="preserve">N35DC   </v>
      </c>
      <c r="N1797">
        <v>1</v>
      </c>
      <c r="O1797">
        <v>1700</v>
      </c>
    </row>
    <row r="1798" spans="1:15" x14ac:dyDescent="0.25">
      <c r="A1798" t="str">
        <f>"10/21/2020 18:27:36.921"</f>
        <v>10/21/2020 18:27:36.921</v>
      </c>
      <c r="B1798" t="str">
        <f>"18:27:44.852"</f>
        <v>18:27:44.852</v>
      </c>
      <c r="C1798" t="str">
        <f>"18:27:44.452"</f>
        <v>18:27:44.452</v>
      </c>
      <c r="D1798" t="s">
        <v>716</v>
      </c>
      <c r="E1798">
        <v>30.528666999999999</v>
      </c>
      <c r="F1798" t="s">
        <v>717</v>
      </c>
      <c r="G1798">
        <v>-89.883463000000006</v>
      </c>
      <c r="H1798">
        <v>1600</v>
      </c>
      <c r="I1798">
        <v>-93</v>
      </c>
      <c r="J1798">
        <v>116</v>
      </c>
      <c r="K1798">
        <v>64</v>
      </c>
      <c r="L1798">
        <v>1200</v>
      </c>
      <c r="M1798" t="str">
        <f t="shared" si="90"/>
        <v xml:space="preserve">N35DC   </v>
      </c>
      <c r="N1798">
        <v>1</v>
      </c>
      <c r="O1798">
        <v>1700</v>
      </c>
    </row>
    <row r="1799" spans="1:15" x14ac:dyDescent="0.25">
      <c r="A1799" t="str">
        <f>"10/21/2020 18:27:36.921"</f>
        <v>10/21/2020 18:27:36.921</v>
      </c>
      <c r="B1799" t="str">
        <f>"18:27:44.852"</f>
        <v>18:27:44.852</v>
      </c>
      <c r="C1799" t="str">
        <f>"18:27:44.452"</f>
        <v>18:27:44.452</v>
      </c>
      <c r="D1799" t="s">
        <v>716</v>
      </c>
      <c r="E1799">
        <v>30.528666999999999</v>
      </c>
      <c r="F1799" t="s">
        <v>717</v>
      </c>
      <c r="G1799">
        <v>-89.883463000000006</v>
      </c>
      <c r="H1799">
        <v>1600</v>
      </c>
      <c r="I1799">
        <v>-93</v>
      </c>
      <c r="J1799">
        <v>116</v>
      </c>
      <c r="K1799">
        <v>64</v>
      </c>
      <c r="L1799">
        <v>1200</v>
      </c>
      <c r="M1799" t="str">
        <f t="shared" ref="M1799:M1862" si="94">"N35DC   "</f>
        <v xml:space="preserve">N35DC   </v>
      </c>
      <c r="N1799">
        <v>1</v>
      </c>
      <c r="O1799">
        <v>1700</v>
      </c>
    </row>
    <row r="1800" spans="1:15" x14ac:dyDescent="0.25">
      <c r="A1800" t="str">
        <f>"10/21/2020 18:27:36.921"</f>
        <v>10/21/2020 18:27:36.921</v>
      </c>
      <c r="B1800" t="str">
        <f>"18:27:44.852"</f>
        <v>18:27:44.852</v>
      </c>
      <c r="C1800" t="str">
        <f>"18:27:44.452"</f>
        <v>18:27:44.452</v>
      </c>
      <c r="D1800" t="s">
        <v>716</v>
      </c>
      <c r="E1800">
        <v>30.528666999999999</v>
      </c>
      <c r="F1800" t="s">
        <v>717</v>
      </c>
      <c r="G1800">
        <v>-89.883463000000006</v>
      </c>
      <c r="H1800">
        <v>1600</v>
      </c>
      <c r="I1800">
        <v>-93</v>
      </c>
      <c r="J1800">
        <v>116</v>
      </c>
      <c r="K1800">
        <v>64</v>
      </c>
      <c r="L1800">
        <v>1200</v>
      </c>
      <c r="M1800" t="str">
        <f t="shared" si="94"/>
        <v xml:space="preserve">N35DC   </v>
      </c>
      <c r="N1800">
        <v>1</v>
      </c>
      <c r="O1800">
        <v>1700</v>
      </c>
    </row>
    <row r="1801" spans="1:15" x14ac:dyDescent="0.25">
      <c r="A1801" t="str">
        <f>"10/21/2020 18:27:36.921"</f>
        <v>10/21/2020 18:27:36.921</v>
      </c>
      <c r="B1801" t="str">
        <f>"18:27:44.852"</f>
        <v>18:27:44.852</v>
      </c>
      <c r="C1801" t="str">
        <f>"18:27:44.452"</f>
        <v>18:27:44.452</v>
      </c>
      <c r="D1801" t="s">
        <v>716</v>
      </c>
      <c r="E1801">
        <v>30.528666999999999</v>
      </c>
      <c r="F1801" t="s">
        <v>717</v>
      </c>
      <c r="G1801">
        <v>-89.883463000000006</v>
      </c>
      <c r="H1801">
        <v>1600</v>
      </c>
      <c r="I1801">
        <v>-93</v>
      </c>
      <c r="J1801">
        <v>116</v>
      </c>
      <c r="K1801">
        <v>64</v>
      </c>
      <c r="L1801">
        <v>1200</v>
      </c>
      <c r="M1801" t="str">
        <f t="shared" si="94"/>
        <v xml:space="preserve">N35DC   </v>
      </c>
      <c r="N1801">
        <v>1</v>
      </c>
      <c r="O1801">
        <v>1700</v>
      </c>
    </row>
    <row r="1802" spans="1:15" x14ac:dyDescent="0.25">
      <c r="A1802" t="str">
        <f>"10/21/2020 18:27:37.967"</f>
        <v>10/21/2020 18:27:37.967</v>
      </c>
      <c r="B1802" t="str">
        <f>"18:27:45.914"</f>
        <v>18:27:45.914</v>
      </c>
      <c r="C1802" t="str">
        <f>"18:27:45.514"</f>
        <v>18:27:45.514</v>
      </c>
      <c r="D1802" t="s">
        <v>718</v>
      </c>
      <c r="E1802">
        <v>30.529288999999999</v>
      </c>
      <c r="F1802" t="s">
        <v>719</v>
      </c>
      <c r="G1802">
        <v>-89.883977999999999</v>
      </c>
      <c r="H1802">
        <v>1600</v>
      </c>
      <c r="I1802">
        <v>-88</v>
      </c>
      <c r="J1802">
        <v>119</v>
      </c>
      <c r="K1802">
        <v>64</v>
      </c>
      <c r="L1802">
        <v>1200</v>
      </c>
      <c r="M1802" t="str">
        <f t="shared" si="94"/>
        <v xml:space="preserve">N35DC   </v>
      </c>
      <c r="N1802">
        <v>1</v>
      </c>
      <c r="O1802">
        <v>1700</v>
      </c>
    </row>
    <row r="1803" spans="1:15" x14ac:dyDescent="0.25">
      <c r="A1803" t="str">
        <f>"10/21/2020 18:27:37.967"</f>
        <v>10/21/2020 18:27:37.967</v>
      </c>
      <c r="B1803" t="str">
        <f>"18:27:45.914"</f>
        <v>18:27:45.914</v>
      </c>
      <c r="C1803" t="str">
        <f>"18:27:45.514"</f>
        <v>18:27:45.514</v>
      </c>
      <c r="D1803" t="s">
        <v>718</v>
      </c>
      <c r="E1803">
        <v>30.529288999999999</v>
      </c>
      <c r="F1803" t="s">
        <v>719</v>
      </c>
      <c r="G1803">
        <v>-89.883977999999999</v>
      </c>
      <c r="H1803">
        <v>1600</v>
      </c>
      <c r="I1803">
        <v>-88</v>
      </c>
      <c r="J1803">
        <v>119</v>
      </c>
      <c r="K1803">
        <v>64</v>
      </c>
      <c r="L1803">
        <v>1200</v>
      </c>
      <c r="M1803" t="str">
        <f t="shared" si="94"/>
        <v xml:space="preserve">N35DC   </v>
      </c>
      <c r="N1803">
        <v>1</v>
      </c>
      <c r="O1803">
        <v>1700</v>
      </c>
    </row>
    <row r="1804" spans="1:15" x14ac:dyDescent="0.25">
      <c r="A1804" t="str">
        <f>"10/21/2020 18:27:37.967"</f>
        <v>10/21/2020 18:27:37.967</v>
      </c>
      <c r="B1804" t="str">
        <f>"18:27:45.914"</f>
        <v>18:27:45.914</v>
      </c>
      <c r="C1804" t="str">
        <f>"18:27:45.514"</f>
        <v>18:27:45.514</v>
      </c>
      <c r="D1804" t="s">
        <v>718</v>
      </c>
      <c r="E1804">
        <v>30.529288999999999</v>
      </c>
      <c r="F1804" t="s">
        <v>719</v>
      </c>
      <c r="G1804">
        <v>-89.883977999999999</v>
      </c>
      <c r="H1804">
        <v>1600</v>
      </c>
      <c r="I1804">
        <v>-88</v>
      </c>
      <c r="J1804">
        <v>119</v>
      </c>
      <c r="K1804">
        <v>64</v>
      </c>
      <c r="L1804">
        <v>1200</v>
      </c>
      <c r="M1804" t="str">
        <f t="shared" si="94"/>
        <v xml:space="preserve">N35DC   </v>
      </c>
      <c r="N1804">
        <v>1</v>
      </c>
      <c r="O1804">
        <v>1700</v>
      </c>
    </row>
    <row r="1805" spans="1:15" x14ac:dyDescent="0.25">
      <c r="A1805" t="str">
        <f>"10/21/2020 18:27:37.967"</f>
        <v>10/21/2020 18:27:37.967</v>
      </c>
      <c r="B1805" t="str">
        <f>"18:27:45.914"</f>
        <v>18:27:45.914</v>
      </c>
      <c r="C1805" t="str">
        <f>"18:27:45.514"</f>
        <v>18:27:45.514</v>
      </c>
      <c r="D1805" t="s">
        <v>718</v>
      </c>
      <c r="E1805">
        <v>30.529288999999999</v>
      </c>
      <c r="F1805" t="s">
        <v>719</v>
      </c>
      <c r="G1805">
        <v>-89.883977999999999</v>
      </c>
      <c r="H1805">
        <v>1600</v>
      </c>
      <c r="I1805">
        <v>-88</v>
      </c>
      <c r="J1805">
        <v>119</v>
      </c>
      <c r="K1805">
        <v>64</v>
      </c>
      <c r="L1805">
        <v>1200</v>
      </c>
      <c r="M1805" t="str">
        <f t="shared" si="94"/>
        <v xml:space="preserve">N35DC   </v>
      </c>
      <c r="N1805">
        <v>1</v>
      </c>
      <c r="O1805">
        <v>1700</v>
      </c>
    </row>
    <row r="1806" spans="1:15" x14ac:dyDescent="0.25">
      <c r="A1806" t="str">
        <f>"10/21/2020 18:27:37.967"</f>
        <v>10/21/2020 18:27:37.967</v>
      </c>
      <c r="B1806" t="str">
        <f>"18:27:45.914"</f>
        <v>18:27:45.914</v>
      </c>
      <c r="C1806" t="str">
        <f>"18:27:45.514"</f>
        <v>18:27:45.514</v>
      </c>
      <c r="D1806" t="s">
        <v>718</v>
      </c>
      <c r="E1806">
        <v>30.529288999999999</v>
      </c>
      <c r="F1806" t="s">
        <v>719</v>
      </c>
      <c r="G1806">
        <v>-89.883977999999999</v>
      </c>
      <c r="H1806">
        <v>1600</v>
      </c>
      <c r="I1806">
        <v>-88</v>
      </c>
      <c r="J1806">
        <v>119</v>
      </c>
      <c r="K1806">
        <v>64</v>
      </c>
      <c r="L1806">
        <v>1200</v>
      </c>
      <c r="M1806" t="str">
        <f t="shared" si="94"/>
        <v xml:space="preserve">N35DC   </v>
      </c>
      <c r="N1806">
        <v>1</v>
      </c>
      <c r="O1806">
        <v>1700</v>
      </c>
    </row>
    <row r="1807" spans="1:15" x14ac:dyDescent="0.25">
      <c r="A1807" t="str">
        <f>"10/21/2020 18:27:38.995"</f>
        <v>10/21/2020 18:27:38.995</v>
      </c>
      <c r="B1807" t="str">
        <f>"18:27:46.937"</f>
        <v>18:27:46.937</v>
      </c>
      <c r="C1807" t="str">
        <f>"18:27:46.538"</f>
        <v>18:27:46.538</v>
      </c>
      <c r="D1807" t="s">
        <v>720</v>
      </c>
      <c r="E1807">
        <v>30.529869000000001</v>
      </c>
      <c r="F1807" t="s">
        <v>721</v>
      </c>
      <c r="G1807">
        <v>-89.884365000000003</v>
      </c>
      <c r="H1807">
        <v>1600</v>
      </c>
      <c r="I1807">
        <v>-82</v>
      </c>
      <c r="J1807">
        <v>122</v>
      </c>
      <c r="K1807">
        <v>0</v>
      </c>
      <c r="L1807">
        <v>1200</v>
      </c>
      <c r="M1807" t="str">
        <f t="shared" si="94"/>
        <v xml:space="preserve">N35DC   </v>
      </c>
      <c r="N1807">
        <v>1</v>
      </c>
      <c r="O1807">
        <v>1700</v>
      </c>
    </row>
    <row r="1808" spans="1:15" x14ac:dyDescent="0.25">
      <c r="A1808" t="str">
        <f>"10/21/2020 18:27:38.995"</f>
        <v>10/21/2020 18:27:38.995</v>
      </c>
      <c r="B1808" t="str">
        <f>"18:27:46.937"</f>
        <v>18:27:46.937</v>
      </c>
      <c r="C1808" t="str">
        <f>"18:27:46.538"</f>
        <v>18:27:46.538</v>
      </c>
      <c r="D1808" t="s">
        <v>720</v>
      </c>
      <c r="E1808">
        <v>30.529869000000001</v>
      </c>
      <c r="F1808" t="s">
        <v>721</v>
      </c>
      <c r="G1808">
        <v>-89.884365000000003</v>
      </c>
      <c r="H1808">
        <v>1600</v>
      </c>
      <c r="I1808">
        <v>-82</v>
      </c>
      <c r="J1808">
        <v>122</v>
      </c>
      <c r="K1808">
        <v>0</v>
      </c>
      <c r="L1808">
        <v>1200</v>
      </c>
      <c r="M1808" t="str">
        <f t="shared" si="94"/>
        <v xml:space="preserve">N35DC   </v>
      </c>
      <c r="N1808">
        <v>1</v>
      </c>
      <c r="O1808">
        <v>1700</v>
      </c>
    </row>
    <row r="1809" spans="1:15" x14ac:dyDescent="0.25">
      <c r="A1809" t="str">
        <f>"10/21/2020 18:27:38.995"</f>
        <v>10/21/2020 18:27:38.995</v>
      </c>
      <c r="B1809" t="str">
        <f>"18:27:46.937"</f>
        <v>18:27:46.937</v>
      </c>
      <c r="C1809" t="str">
        <f>"18:27:46.538"</f>
        <v>18:27:46.538</v>
      </c>
      <c r="D1809" t="s">
        <v>720</v>
      </c>
      <c r="E1809">
        <v>30.529869000000001</v>
      </c>
      <c r="F1809" t="s">
        <v>721</v>
      </c>
      <c r="G1809">
        <v>-89.884365000000003</v>
      </c>
      <c r="H1809">
        <v>1600</v>
      </c>
      <c r="I1809">
        <v>-82</v>
      </c>
      <c r="J1809">
        <v>122</v>
      </c>
      <c r="K1809">
        <v>0</v>
      </c>
      <c r="L1809">
        <v>1200</v>
      </c>
      <c r="M1809" t="str">
        <f t="shared" si="94"/>
        <v xml:space="preserve">N35DC   </v>
      </c>
      <c r="N1809">
        <v>1</v>
      </c>
      <c r="O1809">
        <v>1700</v>
      </c>
    </row>
    <row r="1810" spans="1:15" x14ac:dyDescent="0.25">
      <c r="A1810" t="str">
        <f>"10/21/2020 18:27:38.995"</f>
        <v>10/21/2020 18:27:38.995</v>
      </c>
      <c r="B1810" t="str">
        <f>"18:27:46.937"</f>
        <v>18:27:46.937</v>
      </c>
      <c r="C1810" t="str">
        <f>"18:27:46.538"</f>
        <v>18:27:46.538</v>
      </c>
      <c r="D1810" t="s">
        <v>720</v>
      </c>
      <c r="E1810">
        <v>30.529869000000001</v>
      </c>
      <c r="F1810" t="s">
        <v>721</v>
      </c>
      <c r="G1810">
        <v>-89.884365000000003</v>
      </c>
      <c r="H1810">
        <v>1600</v>
      </c>
      <c r="I1810">
        <v>-82</v>
      </c>
      <c r="J1810">
        <v>122</v>
      </c>
      <c r="K1810">
        <v>0</v>
      </c>
      <c r="L1810">
        <v>1200</v>
      </c>
      <c r="M1810" t="str">
        <f t="shared" si="94"/>
        <v xml:space="preserve">N35DC   </v>
      </c>
      <c r="N1810">
        <v>1</v>
      </c>
      <c r="O1810">
        <v>1700</v>
      </c>
    </row>
    <row r="1811" spans="1:15" x14ac:dyDescent="0.25">
      <c r="A1811" t="str">
        <f>"10/21/2020 18:27:38.995"</f>
        <v>10/21/2020 18:27:38.995</v>
      </c>
      <c r="B1811" t="str">
        <f>"18:27:46.937"</f>
        <v>18:27:46.937</v>
      </c>
      <c r="C1811" t="str">
        <f>"18:27:46.538"</f>
        <v>18:27:46.538</v>
      </c>
      <c r="D1811" t="s">
        <v>720</v>
      </c>
      <c r="E1811">
        <v>30.529869000000001</v>
      </c>
      <c r="F1811" t="s">
        <v>721</v>
      </c>
      <c r="G1811">
        <v>-89.884365000000003</v>
      </c>
      <c r="H1811">
        <v>1600</v>
      </c>
      <c r="I1811">
        <v>-82</v>
      </c>
      <c r="J1811">
        <v>122</v>
      </c>
      <c r="K1811">
        <v>0</v>
      </c>
      <c r="L1811">
        <v>1200</v>
      </c>
      <c r="M1811" t="str">
        <f t="shared" si="94"/>
        <v xml:space="preserve">N35DC   </v>
      </c>
      <c r="N1811">
        <v>1</v>
      </c>
      <c r="O1811">
        <v>1700</v>
      </c>
    </row>
    <row r="1812" spans="1:15" x14ac:dyDescent="0.25">
      <c r="A1812" t="str">
        <f>"10/21/2020 18:27:41.996"</f>
        <v>10/21/2020 18:27:41.996</v>
      </c>
      <c r="B1812" t="str">
        <f t="shared" ref="B1812:C1816" si="95">"18:27:49.906"</f>
        <v>18:27:49.906</v>
      </c>
      <c r="C1812" t="str">
        <f t="shared" si="95"/>
        <v>18:27:49.906</v>
      </c>
      <c r="D1812" t="s">
        <v>722</v>
      </c>
      <c r="E1812">
        <v>30.531607000000001</v>
      </c>
      <c r="F1812" t="s">
        <v>723</v>
      </c>
      <c r="G1812">
        <v>-89.885523000000006</v>
      </c>
      <c r="H1812">
        <v>1600</v>
      </c>
      <c r="I1812">
        <v>-64</v>
      </c>
      <c r="J1812">
        <v>130</v>
      </c>
      <c r="K1812">
        <v>-128</v>
      </c>
      <c r="L1812">
        <v>1200</v>
      </c>
      <c r="M1812" t="str">
        <f t="shared" si="94"/>
        <v xml:space="preserve">N35DC   </v>
      </c>
      <c r="N1812">
        <v>1</v>
      </c>
      <c r="O1812">
        <v>1700</v>
      </c>
    </row>
    <row r="1813" spans="1:15" x14ac:dyDescent="0.25">
      <c r="A1813" t="str">
        <f>"10/21/2020 18:27:41.996"</f>
        <v>10/21/2020 18:27:41.996</v>
      </c>
      <c r="B1813" t="str">
        <f t="shared" si="95"/>
        <v>18:27:49.906</v>
      </c>
      <c r="C1813" t="str">
        <f t="shared" si="95"/>
        <v>18:27:49.906</v>
      </c>
      <c r="D1813" t="s">
        <v>722</v>
      </c>
      <c r="E1813">
        <v>30.531607000000001</v>
      </c>
      <c r="F1813" t="s">
        <v>723</v>
      </c>
      <c r="G1813">
        <v>-89.885523000000006</v>
      </c>
      <c r="H1813">
        <v>1600</v>
      </c>
      <c r="I1813">
        <v>-64</v>
      </c>
      <c r="J1813">
        <v>130</v>
      </c>
      <c r="K1813">
        <v>-128</v>
      </c>
      <c r="L1813">
        <v>1200</v>
      </c>
      <c r="M1813" t="str">
        <f t="shared" si="94"/>
        <v xml:space="preserve">N35DC   </v>
      </c>
      <c r="N1813">
        <v>1</v>
      </c>
      <c r="O1813">
        <v>1700</v>
      </c>
    </row>
    <row r="1814" spans="1:15" x14ac:dyDescent="0.25">
      <c r="A1814" t="str">
        <f>"10/21/2020 18:27:41.996"</f>
        <v>10/21/2020 18:27:41.996</v>
      </c>
      <c r="B1814" t="str">
        <f t="shared" si="95"/>
        <v>18:27:49.906</v>
      </c>
      <c r="C1814" t="str">
        <f t="shared" si="95"/>
        <v>18:27:49.906</v>
      </c>
      <c r="D1814" t="s">
        <v>722</v>
      </c>
      <c r="E1814">
        <v>30.531607000000001</v>
      </c>
      <c r="F1814" t="s">
        <v>723</v>
      </c>
      <c r="G1814">
        <v>-89.885523000000006</v>
      </c>
      <c r="H1814">
        <v>1600</v>
      </c>
      <c r="I1814">
        <v>-64</v>
      </c>
      <c r="J1814">
        <v>130</v>
      </c>
      <c r="K1814">
        <v>-128</v>
      </c>
      <c r="L1814">
        <v>1200</v>
      </c>
      <c r="M1814" t="str">
        <f t="shared" si="94"/>
        <v xml:space="preserve">N35DC   </v>
      </c>
      <c r="N1814">
        <v>1</v>
      </c>
      <c r="O1814">
        <v>1700</v>
      </c>
    </row>
    <row r="1815" spans="1:15" x14ac:dyDescent="0.25">
      <c r="A1815" t="str">
        <f>"10/21/2020 18:27:41.996"</f>
        <v>10/21/2020 18:27:41.996</v>
      </c>
      <c r="B1815" t="str">
        <f t="shared" si="95"/>
        <v>18:27:49.906</v>
      </c>
      <c r="C1815" t="str">
        <f t="shared" si="95"/>
        <v>18:27:49.906</v>
      </c>
      <c r="D1815" t="s">
        <v>722</v>
      </c>
      <c r="E1815">
        <v>30.531607000000001</v>
      </c>
      <c r="F1815" t="s">
        <v>723</v>
      </c>
      <c r="G1815">
        <v>-89.885523000000006</v>
      </c>
      <c r="H1815">
        <v>1600</v>
      </c>
      <c r="I1815">
        <v>-64</v>
      </c>
      <c r="J1815">
        <v>130</v>
      </c>
      <c r="K1815">
        <v>-128</v>
      </c>
      <c r="L1815">
        <v>1200</v>
      </c>
      <c r="M1815" t="str">
        <f t="shared" si="94"/>
        <v xml:space="preserve">N35DC   </v>
      </c>
      <c r="N1815">
        <v>1</v>
      </c>
      <c r="O1815">
        <v>1700</v>
      </c>
    </row>
    <row r="1816" spans="1:15" x14ac:dyDescent="0.25">
      <c r="A1816" t="str">
        <f>"10/21/2020 18:27:41.996"</f>
        <v>10/21/2020 18:27:41.996</v>
      </c>
      <c r="B1816" t="str">
        <f t="shared" si="95"/>
        <v>18:27:49.906</v>
      </c>
      <c r="C1816" t="str">
        <f t="shared" si="95"/>
        <v>18:27:49.906</v>
      </c>
      <c r="D1816" t="s">
        <v>722</v>
      </c>
      <c r="E1816">
        <v>30.531607000000001</v>
      </c>
      <c r="F1816" t="s">
        <v>723</v>
      </c>
      <c r="G1816">
        <v>-89.885523000000006</v>
      </c>
      <c r="H1816">
        <v>1600</v>
      </c>
      <c r="I1816">
        <v>-64</v>
      </c>
      <c r="J1816">
        <v>130</v>
      </c>
      <c r="K1816">
        <v>-128</v>
      </c>
      <c r="L1816">
        <v>1200</v>
      </c>
      <c r="M1816" t="str">
        <f t="shared" si="94"/>
        <v xml:space="preserve">N35DC   </v>
      </c>
      <c r="N1816">
        <v>1</v>
      </c>
      <c r="O1816">
        <v>1700</v>
      </c>
    </row>
    <row r="1817" spans="1:15" x14ac:dyDescent="0.25">
      <c r="A1817" t="str">
        <f>"10/21/2020 18:27:42.908"</f>
        <v>10/21/2020 18:27:42.908</v>
      </c>
      <c r="B1817" t="str">
        <f>"18:27:50.852"</f>
        <v>18:27:50.852</v>
      </c>
      <c r="C1817" t="str">
        <f>"18:27:50.452"</f>
        <v>18:27:50.452</v>
      </c>
      <c r="D1817" t="s">
        <v>724</v>
      </c>
      <c r="E1817">
        <v>30.532185999999999</v>
      </c>
      <c r="F1817" t="s">
        <v>725</v>
      </c>
      <c r="G1817">
        <v>-89.885824</v>
      </c>
      <c r="H1817">
        <v>1600</v>
      </c>
      <c r="I1817">
        <v>-62</v>
      </c>
      <c r="J1817">
        <v>131</v>
      </c>
      <c r="K1817">
        <v>0</v>
      </c>
      <c r="L1817">
        <v>1200</v>
      </c>
      <c r="M1817" t="str">
        <f t="shared" si="94"/>
        <v xml:space="preserve">N35DC   </v>
      </c>
      <c r="N1817">
        <v>1</v>
      </c>
      <c r="O1817">
        <v>1700</v>
      </c>
    </row>
    <row r="1818" spans="1:15" x14ac:dyDescent="0.25">
      <c r="A1818" t="str">
        <f>"10/21/2020 18:27:42.908"</f>
        <v>10/21/2020 18:27:42.908</v>
      </c>
      <c r="B1818" t="str">
        <f>"18:27:50.852"</f>
        <v>18:27:50.852</v>
      </c>
      <c r="C1818" t="str">
        <f>"18:27:50.452"</f>
        <v>18:27:50.452</v>
      </c>
      <c r="D1818" t="s">
        <v>724</v>
      </c>
      <c r="E1818">
        <v>30.532185999999999</v>
      </c>
      <c r="F1818" t="s">
        <v>725</v>
      </c>
      <c r="G1818">
        <v>-89.885824</v>
      </c>
      <c r="H1818">
        <v>1600</v>
      </c>
      <c r="I1818">
        <v>-62</v>
      </c>
      <c r="J1818">
        <v>131</v>
      </c>
      <c r="K1818">
        <v>0</v>
      </c>
      <c r="L1818">
        <v>1200</v>
      </c>
      <c r="M1818" t="str">
        <f t="shared" si="94"/>
        <v xml:space="preserve">N35DC   </v>
      </c>
      <c r="N1818">
        <v>1</v>
      </c>
      <c r="O1818">
        <v>1700</v>
      </c>
    </row>
    <row r="1819" spans="1:15" x14ac:dyDescent="0.25">
      <c r="A1819" t="str">
        <f>"10/21/2020 18:27:42.908"</f>
        <v>10/21/2020 18:27:42.908</v>
      </c>
      <c r="B1819" t="str">
        <f>"18:27:50.852"</f>
        <v>18:27:50.852</v>
      </c>
      <c r="C1819" t="str">
        <f>"18:27:50.452"</f>
        <v>18:27:50.452</v>
      </c>
      <c r="D1819" t="s">
        <v>724</v>
      </c>
      <c r="E1819">
        <v>30.532185999999999</v>
      </c>
      <c r="F1819" t="s">
        <v>725</v>
      </c>
      <c r="G1819">
        <v>-89.885824</v>
      </c>
      <c r="H1819">
        <v>1600</v>
      </c>
      <c r="I1819">
        <v>-62</v>
      </c>
      <c r="J1819">
        <v>131</v>
      </c>
      <c r="K1819">
        <v>0</v>
      </c>
      <c r="L1819">
        <v>1200</v>
      </c>
      <c r="M1819" t="str">
        <f t="shared" si="94"/>
        <v xml:space="preserve">N35DC   </v>
      </c>
      <c r="N1819">
        <v>1</v>
      </c>
      <c r="O1819">
        <v>1700</v>
      </c>
    </row>
    <row r="1820" spans="1:15" x14ac:dyDescent="0.25">
      <c r="A1820" t="str">
        <f>"10/21/2020 18:27:42.908"</f>
        <v>10/21/2020 18:27:42.908</v>
      </c>
      <c r="B1820" t="str">
        <f>"18:27:50.852"</f>
        <v>18:27:50.852</v>
      </c>
      <c r="C1820" t="str">
        <f>"18:27:50.452"</f>
        <v>18:27:50.452</v>
      </c>
      <c r="D1820" t="s">
        <v>724</v>
      </c>
      <c r="E1820">
        <v>30.532185999999999</v>
      </c>
      <c r="F1820" t="s">
        <v>725</v>
      </c>
      <c r="G1820">
        <v>-89.885824</v>
      </c>
      <c r="H1820">
        <v>1600</v>
      </c>
      <c r="I1820">
        <v>-62</v>
      </c>
      <c r="J1820">
        <v>131</v>
      </c>
      <c r="K1820">
        <v>0</v>
      </c>
      <c r="L1820">
        <v>1200</v>
      </c>
      <c r="M1820" t="str">
        <f t="shared" si="94"/>
        <v xml:space="preserve">N35DC   </v>
      </c>
      <c r="N1820">
        <v>1</v>
      </c>
      <c r="O1820">
        <v>1700</v>
      </c>
    </row>
    <row r="1821" spans="1:15" x14ac:dyDescent="0.25">
      <c r="A1821" t="str">
        <f>"10/21/2020 18:27:42.908"</f>
        <v>10/21/2020 18:27:42.908</v>
      </c>
      <c r="B1821" t="str">
        <f>"18:27:50.852"</f>
        <v>18:27:50.852</v>
      </c>
      <c r="C1821" t="str">
        <f>"18:27:50.452"</f>
        <v>18:27:50.452</v>
      </c>
      <c r="D1821" t="s">
        <v>724</v>
      </c>
      <c r="E1821">
        <v>30.532185999999999</v>
      </c>
      <c r="F1821" t="s">
        <v>725</v>
      </c>
      <c r="G1821">
        <v>-89.885824</v>
      </c>
      <c r="H1821">
        <v>1600</v>
      </c>
      <c r="I1821">
        <v>-62</v>
      </c>
      <c r="J1821">
        <v>131</v>
      </c>
      <c r="K1821">
        <v>0</v>
      </c>
      <c r="L1821">
        <v>1200</v>
      </c>
      <c r="M1821" t="str">
        <f t="shared" si="94"/>
        <v xml:space="preserve">N35DC   </v>
      </c>
      <c r="N1821">
        <v>1</v>
      </c>
      <c r="O1821">
        <v>1700</v>
      </c>
    </row>
    <row r="1822" spans="1:15" x14ac:dyDescent="0.25">
      <c r="A1822" t="str">
        <f>"10/21/2020 18:27:43.901"</f>
        <v>10/21/2020 18:27:43.901</v>
      </c>
      <c r="B1822" t="str">
        <f>"18:27:51.844"</f>
        <v>18:27:51.844</v>
      </c>
      <c r="C1822" t="str">
        <f>"18:27:51.544"</f>
        <v>18:27:51.544</v>
      </c>
      <c r="D1822" t="s">
        <v>726</v>
      </c>
      <c r="E1822">
        <v>30.532830000000001</v>
      </c>
      <c r="F1822" t="s">
        <v>727</v>
      </c>
      <c r="G1822">
        <v>-89.886123999999995</v>
      </c>
      <c r="H1822">
        <v>1600</v>
      </c>
      <c r="I1822">
        <v>-56</v>
      </c>
      <c r="J1822">
        <v>133</v>
      </c>
      <c r="K1822">
        <v>-64</v>
      </c>
      <c r="L1822">
        <v>1200</v>
      </c>
      <c r="M1822" t="str">
        <f t="shared" si="94"/>
        <v xml:space="preserve">N35DC   </v>
      </c>
      <c r="N1822">
        <v>1</v>
      </c>
      <c r="O1822">
        <v>1700</v>
      </c>
    </row>
    <row r="1823" spans="1:15" x14ac:dyDescent="0.25">
      <c r="A1823" t="str">
        <f>"10/21/2020 18:27:43.901"</f>
        <v>10/21/2020 18:27:43.901</v>
      </c>
      <c r="B1823" t="str">
        <f>"18:27:51.844"</f>
        <v>18:27:51.844</v>
      </c>
      <c r="C1823" t="str">
        <f>"18:27:51.544"</f>
        <v>18:27:51.544</v>
      </c>
      <c r="D1823" t="s">
        <v>726</v>
      </c>
      <c r="E1823">
        <v>30.532830000000001</v>
      </c>
      <c r="F1823" t="s">
        <v>727</v>
      </c>
      <c r="G1823">
        <v>-89.886123999999995</v>
      </c>
      <c r="H1823">
        <v>1600</v>
      </c>
      <c r="I1823">
        <v>-56</v>
      </c>
      <c r="J1823">
        <v>133</v>
      </c>
      <c r="K1823">
        <v>-64</v>
      </c>
      <c r="L1823">
        <v>1200</v>
      </c>
      <c r="M1823" t="str">
        <f t="shared" si="94"/>
        <v xml:space="preserve">N35DC   </v>
      </c>
      <c r="N1823">
        <v>1</v>
      </c>
      <c r="O1823">
        <v>1700</v>
      </c>
    </row>
    <row r="1824" spans="1:15" x14ac:dyDescent="0.25">
      <c r="A1824" t="str">
        <f>"10/21/2020 18:27:43.901"</f>
        <v>10/21/2020 18:27:43.901</v>
      </c>
      <c r="B1824" t="str">
        <f>"18:27:51.844"</f>
        <v>18:27:51.844</v>
      </c>
      <c r="C1824" t="str">
        <f>"18:27:51.544"</f>
        <v>18:27:51.544</v>
      </c>
      <c r="D1824" t="s">
        <v>726</v>
      </c>
      <c r="E1824">
        <v>30.532830000000001</v>
      </c>
      <c r="F1824" t="s">
        <v>727</v>
      </c>
      <c r="G1824">
        <v>-89.886123999999995</v>
      </c>
      <c r="H1824">
        <v>1600</v>
      </c>
      <c r="I1824">
        <v>-56</v>
      </c>
      <c r="J1824">
        <v>133</v>
      </c>
      <c r="K1824">
        <v>-64</v>
      </c>
      <c r="L1824">
        <v>1200</v>
      </c>
      <c r="M1824" t="str">
        <f t="shared" si="94"/>
        <v xml:space="preserve">N35DC   </v>
      </c>
      <c r="N1824">
        <v>1</v>
      </c>
      <c r="O1824">
        <v>1700</v>
      </c>
    </row>
    <row r="1825" spans="1:15" x14ac:dyDescent="0.25">
      <c r="A1825" t="str">
        <f>"10/21/2020 18:27:43.901"</f>
        <v>10/21/2020 18:27:43.901</v>
      </c>
      <c r="B1825" t="str">
        <f>"18:27:51.844"</f>
        <v>18:27:51.844</v>
      </c>
      <c r="C1825" t="str">
        <f>"18:27:51.544"</f>
        <v>18:27:51.544</v>
      </c>
      <c r="D1825" t="s">
        <v>726</v>
      </c>
      <c r="E1825">
        <v>30.532830000000001</v>
      </c>
      <c r="F1825" t="s">
        <v>727</v>
      </c>
      <c r="G1825">
        <v>-89.886123999999995</v>
      </c>
      <c r="H1825">
        <v>1600</v>
      </c>
      <c r="I1825">
        <v>-56</v>
      </c>
      <c r="J1825">
        <v>133</v>
      </c>
      <c r="K1825">
        <v>-64</v>
      </c>
      <c r="L1825">
        <v>1200</v>
      </c>
      <c r="M1825" t="str">
        <f t="shared" si="94"/>
        <v xml:space="preserve">N35DC   </v>
      </c>
      <c r="N1825">
        <v>1</v>
      </c>
      <c r="O1825">
        <v>1700</v>
      </c>
    </row>
    <row r="1826" spans="1:15" x14ac:dyDescent="0.25">
      <c r="A1826" t="str">
        <f>"10/21/2020 18:27:43.901"</f>
        <v>10/21/2020 18:27:43.901</v>
      </c>
      <c r="B1826" t="str">
        <f>"18:27:51.844"</f>
        <v>18:27:51.844</v>
      </c>
      <c r="C1826" t="str">
        <f>"18:27:51.544"</f>
        <v>18:27:51.544</v>
      </c>
      <c r="D1826" t="s">
        <v>726</v>
      </c>
      <c r="E1826">
        <v>30.532830000000001</v>
      </c>
      <c r="F1826" t="s">
        <v>727</v>
      </c>
      <c r="G1826">
        <v>-89.886123999999995</v>
      </c>
      <c r="H1826">
        <v>1600</v>
      </c>
      <c r="I1826">
        <v>-56</v>
      </c>
      <c r="J1826">
        <v>133</v>
      </c>
      <c r="K1826">
        <v>-64</v>
      </c>
      <c r="L1826">
        <v>1200</v>
      </c>
      <c r="M1826" t="str">
        <f t="shared" si="94"/>
        <v xml:space="preserve">N35DC   </v>
      </c>
      <c r="N1826">
        <v>1</v>
      </c>
      <c r="O1826">
        <v>1700</v>
      </c>
    </row>
    <row r="1827" spans="1:15" x14ac:dyDescent="0.25">
      <c r="A1827" t="str">
        <f>"10/21/2020 18:27:47.025"</f>
        <v>10/21/2020 18:27:47.025</v>
      </c>
      <c r="B1827" t="str">
        <f>"18:27:54.961"</f>
        <v>18:27:54.961</v>
      </c>
      <c r="C1827" t="str">
        <f>"18:27:54.561"</f>
        <v>18:27:54.561</v>
      </c>
      <c r="D1827" t="s">
        <v>728</v>
      </c>
      <c r="E1827">
        <v>30.534804000000001</v>
      </c>
      <c r="F1827" t="s">
        <v>729</v>
      </c>
      <c r="G1827">
        <v>-89.886854</v>
      </c>
      <c r="H1827">
        <v>1600</v>
      </c>
      <c r="I1827">
        <v>-41</v>
      </c>
      <c r="J1827">
        <v>138</v>
      </c>
      <c r="K1827">
        <v>64</v>
      </c>
      <c r="L1827">
        <v>1200</v>
      </c>
      <c r="M1827" t="str">
        <f t="shared" si="94"/>
        <v xml:space="preserve">N35DC   </v>
      </c>
      <c r="N1827">
        <v>1</v>
      </c>
      <c r="O1827">
        <v>1700</v>
      </c>
    </row>
    <row r="1828" spans="1:15" x14ac:dyDescent="0.25">
      <c r="A1828" t="str">
        <f>"10/21/2020 18:27:47.025"</f>
        <v>10/21/2020 18:27:47.025</v>
      </c>
      <c r="B1828" t="str">
        <f>"18:27:54.961"</f>
        <v>18:27:54.961</v>
      </c>
      <c r="C1828" t="str">
        <f>"18:27:54.561"</f>
        <v>18:27:54.561</v>
      </c>
      <c r="D1828" t="s">
        <v>728</v>
      </c>
      <c r="E1828">
        <v>30.534804000000001</v>
      </c>
      <c r="F1828" t="s">
        <v>729</v>
      </c>
      <c r="G1828">
        <v>-89.886854</v>
      </c>
      <c r="H1828">
        <v>1600</v>
      </c>
      <c r="I1828">
        <v>-41</v>
      </c>
      <c r="J1828">
        <v>138</v>
      </c>
      <c r="K1828">
        <v>64</v>
      </c>
      <c r="L1828">
        <v>1200</v>
      </c>
      <c r="M1828" t="str">
        <f t="shared" si="94"/>
        <v xml:space="preserve">N35DC   </v>
      </c>
      <c r="N1828">
        <v>1</v>
      </c>
      <c r="O1828">
        <v>1700</v>
      </c>
    </row>
    <row r="1829" spans="1:15" x14ac:dyDescent="0.25">
      <c r="A1829" t="str">
        <f>"10/21/2020 18:27:47.025"</f>
        <v>10/21/2020 18:27:47.025</v>
      </c>
      <c r="B1829" t="str">
        <f>"18:27:54.961"</f>
        <v>18:27:54.961</v>
      </c>
      <c r="C1829" t="str">
        <f>"18:27:54.561"</f>
        <v>18:27:54.561</v>
      </c>
      <c r="D1829" t="s">
        <v>728</v>
      </c>
      <c r="E1829">
        <v>30.534804000000001</v>
      </c>
      <c r="F1829" t="s">
        <v>729</v>
      </c>
      <c r="G1829">
        <v>-89.886854</v>
      </c>
      <c r="H1829">
        <v>1600</v>
      </c>
      <c r="I1829">
        <v>-41</v>
      </c>
      <c r="J1829">
        <v>138</v>
      </c>
      <c r="K1829">
        <v>64</v>
      </c>
      <c r="L1829">
        <v>1200</v>
      </c>
      <c r="M1829" t="str">
        <f t="shared" si="94"/>
        <v xml:space="preserve">N35DC   </v>
      </c>
      <c r="N1829">
        <v>1</v>
      </c>
      <c r="O1829">
        <v>1700</v>
      </c>
    </row>
    <row r="1830" spans="1:15" x14ac:dyDescent="0.25">
      <c r="A1830" t="str">
        <f>"10/21/2020 18:27:47.025"</f>
        <v>10/21/2020 18:27:47.025</v>
      </c>
      <c r="B1830" t="str">
        <f>"18:27:54.961"</f>
        <v>18:27:54.961</v>
      </c>
      <c r="C1830" t="str">
        <f>"18:27:54.561"</f>
        <v>18:27:54.561</v>
      </c>
      <c r="D1830" t="s">
        <v>728</v>
      </c>
      <c r="E1830">
        <v>30.534804000000001</v>
      </c>
      <c r="F1830" t="s">
        <v>729</v>
      </c>
      <c r="G1830">
        <v>-89.886854</v>
      </c>
      <c r="H1830">
        <v>1600</v>
      </c>
      <c r="I1830">
        <v>-41</v>
      </c>
      <c r="J1830">
        <v>138</v>
      </c>
      <c r="K1830">
        <v>64</v>
      </c>
      <c r="L1830">
        <v>1200</v>
      </c>
      <c r="M1830" t="str">
        <f t="shared" si="94"/>
        <v xml:space="preserve">N35DC   </v>
      </c>
      <c r="N1830">
        <v>1</v>
      </c>
      <c r="O1830">
        <v>1700</v>
      </c>
    </row>
    <row r="1831" spans="1:15" x14ac:dyDescent="0.25">
      <c r="A1831" t="str">
        <f>"10/21/2020 18:27:47.025"</f>
        <v>10/21/2020 18:27:47.025</v>
      </c>
      <c r="B1831" t="str">
        <f>"18:27:54.961"</f>
        <v>18:27:54.961</v>
      </c>
      <c r="C1831" t="str">
        <f>"18:27:54.561"</f>
        <v>18:27:54.561</v>
      </c>
      <c r="D1831" t="s">
        <v>728</v>
      </c>
      <c r="E1831">
        <v>30.534804000000001</v>
      </c>
      <c r="F1831" t="s">
        <v>729</v>
      </c>
      <c r="G1831">
        <v>-89.886854</v>
      </c>
      <c r="H1831">
        <v>1600</v>
      </c>
      <c r="I1831">
        <v>-41</v>
      </c>
      <c r="J1831">
        <v>138</v>
      </c>
      <c r="K1831">
        <v>64</v>
      </c>
      <c r="L1831">
        <v>1200</v>
      </c>
      <c r="M1831" t="str">
        <f t="shared" si="94"/>
        <v xml:space="preserve">N35DC   </v>
      </c>
      <c r="N1831">
        <v>1</v>
      </c>
      <c r="O1831">
        <v>1700</v>
      </c>
    </row>
    <row r="1832" spans="1:15" x14ac:dyDescent="0.25">
      <c r="A1832" t="str">
        <f>"10/21/2020 18:27:48.075"</f>
        <v>10/21/2020 18:27:48.075</v>
      </c>
      <c r="B1832" t="str">
        <f>"18:27:56.008"</f>
        <v>18:27:56.008</v>
      </c>
      <c r="C1832" t="str">
        <f>"18:27:55.508"</f>
        <v>18:27:55.508</v>
      </c>
      <c r="D1832" t="s">
        <v>730</v>
      </c>
      <c r="E1832">
        <v>30.535447999999999</v>
      </c>
      <c r="F1832" t="s">
        <v>731</v>
      </c>
      <c r="G1832">
        <v>-89.887067999999999</v>
      </c>
      <c r="H1832">
        <v>1600</v>
      </c>
      <c r="I1832">
        <v>-35</v>
      </c>
      <c r="J1832">
        <v>139</v>
      </c>
      <c r="K1832">
        <v>-64</v>
      </c>
      <c r="L1832">
        <v>1200</v>
      </c>
      <c r="M1832" t="str">
        <f t="shared" si="94"/>
        <v xml:space="preserve">N35DC   </v>
      </c>
      <c r="N1832">
        <v>1</v>
      </c>
      <c r="O1832">
        <v>1700</v>
      </c>
    </row>
    <row r="1833" spans="1:15" x14ac:dyDescent="0.25">
      <c r="A1833" t="str">
        <f>"10/21/2020 18:27:48.075"</f>
        <v>10/21/2020 18:27:48.075</v>
      </c>
      <c r="B1833" t="str">
        <f>"18:27:56.008"</f>
        <v>18:27:56.008</v>
      </c>
      <c r="C1833" t="str">
        <f>"18:27:55.508"</f>
        <v>18:27:55.508</v>
      </c>
      <c r="D1833" t="s">
        <v>730</v>
      </c>
      <c r="E1833">
        <v>30.535447999999999</v>
      </c>
      <c r="F1833" t="s">
        <v>731</v>
      </c>
      <c r="G1833">
        <v>-89.887067999999999</v>
      </c>
      <c r="H1833">
        <v>1600</v>
      </c>
      <c r="I1833">
        <v>-35</v>
      </c>
      <c r="J1833">
        <v>139</v>
      </c>
      <c r="K1833">
        <v>-64</v>
      </c>
      <c r="L1833">
        <v>1200</v>
      </c>
      <c r="M1833" t="str">
        <f t="shared" si="94"/>
        <v xml:space="preserve">N35DC   </v>
      </c>
      <c r="N1833">
        <v>1</v>
      </c>
      <c r="O1833">
        <v>1700</v>
      </c>
    </row>
    <row r="1834" spans="1:15" x14ac:dyDescent="0.25">
      <c r="A1834" t="str">
        <f>"10/21/2020 18:27:48.075"</f>
        <v>10/21/2020 18:27:48.075</v>
      </c>
      <c r="B1834" t="str">
        <f>"18:27:56.008"</f>
        <v>18:27:56.008</v>
      </c>
      <c r="C1834" t="str">
        <f>"18:27:55.508"</f>
        <v>18:27:55.508</v>
      </c>
      <c r="D1834" t="s">
        <v>730</v>
      </c>
      <c r="E1834">
        <v>30.535447999999999</v>
      </c>
      <c r="F1834" t="s">
        <v>731</v>
      </c>
      <c r="G1834">
        <v>-89.887067999999999</v>
      </c>
      <c r="H1834">
        <v>1600</v>
      </c>
      <c r="I1834">
        <v>-35</v>
      </c>
      <c r="J1834">
        <v>139</v>
      </c>
      <c r="K1834">
        <v>-64</v>
      </c>
      <c r="L1834">
        <v>1200</v>
      </c>
      <c r="M1834" t="str">
        <f t="shared" si="94"/>
        <v xml:space="preserve">N35DC   </v>
      </c>
      <c r="N1834">
        <v>1</v>
      </c>
      <c r="O1834">
        <v>1700</v>
      </c>
    </row>
    <row r="1835" spans="1:15" x14ac:dyDescent="0.25">
      <c r="A1835" t="str">
        <f>"10/21/2020 18:27:48.075"</f>
        <v>10/21/2020 18:27:48.075</v>
      </c>
      <c r="B1835" t="str">
        <f>"18:27:56.008"</f>
        <v>18:27:56.008</v>
      </c>
      <c r="C1835" t="str">
        <f>"18:27:55.508"</f>
        <v>18:27:55.508</v>
      </c>
      <c r="D1835" t="s">
        <v>730</v>
      </c>
      <c r="E1835">
        <v>30.535447999999999</v>
      </c>
      <c r="F1835" t="s">
        <v>731</v>
      </c>
      <c r="G1835">
        <v>-89.887067999999999</v>
      </c>
      <c r="H1835">
        <v>1600</v>
      </c>
      <c r="I1835">
        <v>-35</v>
      </c>
      <c r="J1835">
        <v>139</v>
      </c>
      <c r="K1835">
        <v>-64</v>
      </c>
      <c r="L1835">
        <v>1200</v>
      </c>
      <c r="M1835" t="str">
        <f t="shared" si="94"/>
        <v xml:space="preserve">N35DC   </v>
      </c>
      <c r="N1835">
        <v>1</v>
      </c>
      <c r="O1835">
        <v>1700</v>
      </c>
    </row>
    <row r="1836" spans="1:15" x14ac:dyDescent="0.25">
      <c r="A1836" t="str">
        <f>"10/21/2020 18:27:48.075"</f>
        <v>10/21/2020 18:27:48.075</v>
      </c>
      <c r="B1836" t="str">
        <f>"18:27:56.008"</f>
        <v>18:27:56.008</v>
      </c>
      <c r="C1836" t="str">
        <f>"18:27:55.508"</f>
        <v>18:27:55.508</v>
      </c>
      <c r="D1836" t="s">
        <v>730</v>
      </c>
      <c r="E1836">
        <v>30.535447999999999</v>
      </c>
      <c r="F1836" t="s">
        <v>731</v>
      </c>
      <c r="G1836">
        <v>-89.887067999999999</v>
      </c>
      <c r="H1836">
        <v>1600</v>
      </c>
      <c r="I1836">
        <v>-35</v>
      </c>
      <c r="J1836">
        <v>139</v>
      </c>
      <c r="K1836">
        <v>-64</v>
      </c>
      <c r="L1836">
        <v>1200</v>
      </c>
      <c r="M1836" t="str">
        <f t="shared" si="94"/>
        <v xml:space="preserve">N35DC   </v>
      </c>
      <c r="N1836">
        <v>1</v>
      </c>
      <c r="O1836">
        <v>1700</v>
      </c>
    </row>
    <row r="1837" spans="1:15" x14ac:dyDescent="0.25">
      <c r="A1837" t="str">
        <f>"10/21/2020 18:27:50.780"</f>
        <v>10/21/2020 18:27:50.780</v>
      </c>
      <c r="B1837" t="str">
        <f>"18:27:58.711"</f>
        <v>18:27:58.711</v>
      </c>
      <c r="C1837" t="str">
        <f>"18:27:58.311"</f>
        <v>18:27:58.311</v>
      </c>
      <c r="D1837" t="s">
        <v>666</v>
      </c>
      <c r="E1837">
        <v>30.537206999999999</v>
      </c>
      <c r="F1837" t="s">
        <v>732</v>
      </c>
      <c r="G1837">
        <v>-89.887326000000002</v>
      </c>
      <c r="H1837">
        <v>1600</v>
      </c>
      <c r="I1837">
        <v>-16</v>
      </c>
      <c r="J1837">
        <v>141</v>
      </c>
      <c r="K1837">
        <v>-128</v>
      </c>
      <c r="L1837">
        <v>1200</v>
      </c>
      <c r="M1837" t="str">
        <f t="shared" si="94"/>
        <v xml:space="preserve">N35DC   </v>
      </c>
      <c r="N1837">
        <v>1</v>
      </c>
      <c r="O1837">
        <v>1700</v>
      </c>
    </row>
    <row r="1838" spans="1:15" x14ac:dyDescent="0.25">
      <c r="A1838" t="str">
        <f>"10/21/2020 18:27:50.780"</f>
        <v>10/21/2020 18:27:50.780</v>
      </c>
      <c r="B1838" t="str">
        <f>"18:27:58.711"</f>
        <v>18:27:58.711</v>
      </c>
      <c r="C1838" t="str">
        <f>"18:27:58.311"</f>
        <v>18:27:58.311</v>
      </c>
      <c r="D1838" t="s">
        <v>666</v>
      </c>
      <c r="E1838">
        <v>30.537206999999999</v>
      </c>
      <c r="F1838" t="s">
        <v>732</v>
      </c>
      <c r="G1838">
        <v>-89.887326000000002</v>
      </c>
      <c r="H1838">
        <v>1600</v>
      </c>
      <c r="I1838">
        <v>-16</v>
      </c>
      <c r="J1838">
        <v>141</v>
      </c>
      <c r="K1838">
        <v>-128</v>
      </c>
      <c r="L1838">
        <v>1200</v>
      </c>
      <c r="M1838" t="str">
        <f t="shared" si="94"/>
        <v xml:space="preserve">N35DC   </v>
      </c>
      <c r="N1838">
        <v>1</v>
      </c>
      <c r="O1838">
        <v>1700</v>
      </c>
    </row>
    <row r="1839" spans="1:15" x14ac:dyDescent="0.25">
      <c r="A1839" t="str">
        <f>"10/21/2020 18:27:50.780"</f>
        <v>10/21/2020 18:27:50.780</v>
      </c>
      <c r="B1839" t="str">
        <f>"18:27:58.711"</f>
        <v>18:27:58.711</v>
      </c>
      <c r="C1839" t="str">
        <f>"18:27:58.311"</f>
        <v>18:27:58.311</v>
      </c>
      <c r="D1839" t="s">
        <v>666</v>
      </c>
      <c r="E1839">
        <v>30.537206999999999</v>
      </c>
      <c r="F1839" t="s">
        <v>732</v>
      </c>
      <c r="G1839">
        <v>-89.887326000000002</v>
      </c>
      <c r="H1839">
        <v>1600</v>
      </c>
      <c r="I1839">
        <v>-16</v>
      </c>
      <c r="J1839">
        <v>141</v>
      </c>
      <c r="K1839">
        <v>-128</v>
      </c>
      <c r="L1839">
        <v>1200</v>
      </c>
      <c r="M1839" t="str">
        <f t="shared" si="94"/>
        <v xml:space="preserve">N35DC   </v>
      </c>
      <c r="N1839">
        <v>1</v>
      </c>
      <c r="O1839">
        <v>1700</v>
      </c>
    </row>
    <row r="1840" spans="1:15" x14ac:dyDescent="0.25">
      <c r="A1840" t="str">
        <f>"10/21/2020 18:27:50.780"</f>
        <v>10/21/2020 18:27:50.780</v>
      </c>
      <c r="B1840" t="str">
        <f>"18:27:58.711"</f>
        <v>18:27:58.711</v>
      </c>
      <c r="C1840" t="str">
        <f>"18:27:58.311"</f>
        <v>18:27:58.311</v>
      </c>
      <c r="D1840" t="s">
        <v>666</v>
      </c>
      <c r="E1840">
        <v>30.537206999999999</v>
      </c>
      <c r="F1840" t="s">
        <v>732</v>
      </c>
      <c r="G1840">
        <v>-89.887326000000002</v>
      </c>
      <c r="H1840">
        <v>1600</v>
      </c>
      <c r="I1840">
        <v>-16</v>
      </c>
      <c r="J1840">
        <v>141</v>
      </c>
      <c r="K1840">
        <v>-128</v>
      </c>
      <c r="L1840">
        <v>1200</v>
      </c>
      <c r="M1840" t="str">
        <f t="shared" si="94"/>
        <v xml:space="preserve">N35DC   </v>
      </c>
      <c r="N1840">
        <v>1</v>
      </c>
      <c r="O1840">
        <v>1700</v>
      </c>
    </row>
    <row r="1841" spans="1:15" x14ac:dyDescent="0.25">
      <c r="A1841" t="str">
        <f>"10/21/2020 18:27:50.780"</f>
        <v>10/21/2020 18:27:50.780</v>
      </c>
      <c r="B1841" t="str">
        <f>"18:27:58.711"</f>
        <v>18:27:58.711</v>
      </c>
      <c r="C1841" t="str">
        <f>"18:27:58.311"</f>
        <v>18:27:58.311</v>
      </c>
      <c r="D1841" t="s">
        <v>666</v>
      </c>
      <c r="E1841">
        <v>30.537206999999999</v>
      </c>
      <c r="F1841" t="s">
        <v>732</v>
      </c>
      <c r="G1841">
        <v>-89.887326000000002</v>
      </c>
      <c r="H1841">
        <v>1600</v>
      </c>
      <c r="I1841">
        <v>-16</v>
      </c>
      <c r="J1841">
        <v>141</v>
      </c>
      <c r="K1841">
        <v>-128</v>
      </c>
      <c r="L1841">
        <v>1200</v>
      </c>
      <c r="M1841" t="str">
        <f t="shared" si="94"/>
        <v xml:space="preserve">N35DC   </v>
      </c>
      <c r="N1841">
        <v>1</v>
      </c>
      <c r="O1841">
        <v>1700</v>
      </c>
    </row>
    <row r="1842" spans="1:15" x14ac:dyDescent="0.25">
      <c r="A1842" t="str">
        <f>"10/21/2020 18:27:51.792"</f>
        <v>10/21/2020 18:27:51.792</v>
      </c>
      <c r="B1842" t="str">
        <f>"18:27:59.742"</f>
        <v>18:27:59.742</v>
      </c>
      <c r="C1842" t="str">
        <f>"18:27:59.442"</f>
        <v>18:27:59.442</v>
      </c>
      <c r="D1842" t="s">
        <v>733</v>
      </c>
      <c r="E1842">
        <v>30.537915000000002</v>
      </c>
      <c r="F1842" t="s">
        <v>734</v>
      </c>
      <c r="G1842">
        <v>-89.887389999999996</v>
      </c>
      <c r="H1842">
        <v>1600</v>
      </c>
      <c r="I1842">
        <v>-8</v>
      </c>
      <c r="J1842">
        <v>142</v>
      </c>
      <c r="K1842">
        <v>-384</v>
      </c>
      <c r="L1842">
        <v>1200</v>
      </c>
      <c r="M1842" t="str">
        <f t="shared" si="94"/>
        <v xml:space="preserve">N35DC   </v>
      </c>
      <c r="N1842">
        <v>1</v>
      </c>
      <c r="O1842">
        <v>1700</v>
      </c>
    </row>
    <row r="1843" spans="1:15" x14ac:dyDescent="0.25">
      <c r="A1843" t="str">
        <f>"10/21/2020 18:27:51.792"</f>
        <v>10/21/2020 18:27:51.792</v>
      </c>
      <c r="B1843" t="str">
        <f>"18:27:59.742"</f>
        <v>18:27:59.742</v>
      </c>
      <c r="C1843" t="str">
        <f>"18:27:59.442"</f>
        <v>18:27:59.442</v>
      </c>
      <c r="D1843" t="s">
        <v>733</v>
      </c>
      <c r="E1843">
        <v>30.537915000000002</v>
      </c>
      <c r="F1843" t="s">
        <v>734</v>
      </c>
      <c r="G1843">
        <v>-89.887389999999996</v>
      </c>
      <c r="H1843">
        <v>1600</v>
      </c>
      <c r="I1843">
        <v>-8</v>
      </c>
      <c r="J1843">
        <v>142</v>
      </c>
      <c r="K1843">
        <v>-384</v>
      </c>
      <c r="L1843">
        <v>1200</v>
      </c>
      <c r="M1843" t="str">
        <f t="shared" si="94"/>
        <v xml:space="preserve">N35DC   </v>
      </c>
      <c r="N1843">
        <v>1</v>
      </c>
      <c r="O1843">
        <v>1700</v>
      </c>
    </row>
    <row r="1844" spans="1:15" x14ac:dyDescent="0.25">
      <c r="A1844" t="str">
        <f>"10/21/2020 18:27:51.792"</f>
        <v>10/21/2020 18:27:51.792</v>
      </c>
      <c r="B1844" t="str">
        <f>"18:27:59.742"</f>
        <v>18:27:59.742</v>
      </c>
      <c r="C1844" t="str">
        <f>"18:27:59.442"</f>
        <v>18:27:59.442</v>
      </c>
      <c r="D1844" t="s">
        <v>733</v>
      </c>
      <c r="E1844">
        <v>30.537915000000002</v>
      </c>
      <c r="F1844" t="s">
        <v>734</v>
      </c>
      <c r="G1844">
        <v>-89.887389999999996</v>
      </c>
      <c r="H1844">
        <v>1600</v>
      </c>
      <c r="I1844">
        <v>-8</v>
      </c>
      <c r="J1844">
        <v>142</v>
      </c>
      <c r="K1844">
        <v>-384</v>
      </c>
      <c r="L1844">
        <v>1200</v>
      </c>
      <c r="M1844" t="str">
        <f t="shared" si="94"/>
        <v xml:space="preserve">N35DC   </v>
      </c>
      <c r="N1844">
        <v>1</v>
      </c>
      <c r="O1844">
        <v>1700</v>
      </c>
    </row>
    <row r="1845" spans="1:15" x14ac:dyDescent="0.25">
      <c r="A1845" t="str">
        <f>"10/21/2020 18:27:51.792"</f>
        <v>10/21/2020 18:27:51.792</v>
      </c>
      <c r="B1845" t="str">
        <f>"18:27:59.742"</f>
        <v>18:27:59.742</v>
      </c>
      <c r="C1845" t="str">
        <f>"18:27:59.442"</f>
        <v>18:27:59.442</v>
      </c>
      <c r="D1845" t="s">
        <v>733</v>
      </c>
      <c r="E1845">
        <v>30.537915000000002</v>
      </c>
      <c r="F1845" t="s">
        <v>734</v>
      </c>
      <c r="G1845">
        <v>-89.887389999999996</v>
      </c>
      <c r="H1845">
        <v>1600</v>
      </c>
      <c r="I1845">
        <v>-8</v>
      </c>
      <c r="J1845">
        <v>142</v>
      </c>
      <c r="K1845">
        <v>-384</v>
      </c>
      <c r="L1845">
        <v>1200</v>
      </c>
      <c r="M1845" t="str">
        <f t="shared" si="94"/>
        <v xml:space="preserve">N35DC   </v>
      </c>
      <c r="N1845">
        <v>1</v>
      </c>
      <c r="O1845">
        <v>1700</v>
      </c>
    </row>
    <row r="1846" spans="1:15" x14ac:dyDescent="0.25">
      <c r="A1846" t="str">
        <f>"10/21/2020 18:27:51.792"</f>
        <v>10/21/2020 18:27:51.792</v>
      </c>
      <c r="B1846" t="str">
        <f>"18:27:59.742"</f>
        <v>18:27:59.742</v>
      </c>
      <c r="C1846" t="str">
        <f>"18:27:59.442"</f>
        <v>18:27:59.442</v>
      </c>
      <c r="D1846" t="s">
        <v>733</v>
      </c>
      <c r="E1846">
        <v>30.537915000000002</v>
      </c>
      <c r="F1846" t="s">
        <v>734</v>
      </c>
      <c r="G1846">
        <v>-89.887389999999996</v>
      </c>
      <c r="H1846">
        <v>1600</v>
      </c>
      <c r="I1846">
        <v>-8</v>
      </c>
      <c r="J1846">
        <v>142</v>
      </c>
      <c r="K1846">
        <v>-384</v>
      </c>
      <c r="L1846">
        <v>1200</v>
      </c>
      <c r="M1846" t="str">
        <f t="shared" si="94"/>
        <v xml:space="preserve">N35DC   </v>
      </c>
      <c r="N1846">
        <v>1</v>
      </c>
      <c r="O1846">
        <v>1700</v>
      </c>
    </row>
    <row r="1847" spans="1:15" x14ac:dyDescent="0.25">
      <c r="A1847" t="str">
        <f>"10/21/2020 18:27:54.044"</f>
        <v>10/21/2020 18:27:54.044</v>
      </c>
      <c r="B1847" t="str">
        <f>"18:28:01.992"</f>
        <v>18:28:01.992</v>
      </c>
      <c r="C1847" t="str">
        <f>"18:28:01.592"</f>
        <v>18:28:01.592</v>
      </c>
      <c r="D1847" t="s">
        <v>735</v>
      </c>
      <c r="E1847">
        <v>30.539373999999999</v>
      </c>
      <c r="F1847" t="s">
        <v>732</v>
      </c>
      <c r="G1847">
        <v>-89.887326000000002</v>
      </c>
      <c r="H1847">
        <v>1600</v>
      </c>
      <c r="I1847">
        <v>5</v>
      </c>
      <c r="J1847">
        <v>142</v>
      </c>
      <c r="K1847">
        <v>-320</v>
      </c>
      <c r="L1847">
        <v>1200</v>
      </c>
      <c r="M1847" t="str">
        <f t="shared" si="94"/>
        <v xml:space="preserve">N35DC   </v>
      </c>
      <c r="N1847">
        <v>1</v>
      </c>
      <c r="O1847">
        <v>1675</v>
      </c>
    </row>
    <row r="1848" spans="1:15" x14ac:dyDescent="0.25">
      <c r="A1848" t="str">
        <f>"10/21/2020 18:27:54.044"</f>
        <v>10/21/2020 18:27:54.044</v>
      </c>
      <c r="B1848" t="str">
        <f>"18:28:01.992"</f>
        <v>18:28:01.992</v>
      </c>
      <c r="C1848" t="str">
        <f>"18:28:01.592"</f>
        <v>18:28:01.592</v>
      </c>
      <c r="D1848" t="s">
        <v>735</v>
      </c>
      <c r="E1848">
        <v>30.539373999999999</v>
      </c>
      <c r="F1848" t="s">
        <v>732</v>
      </c>
      <c r="G1848">
        <v>-89.887326000000002</v>
      </c>
      <c r="H1848">
        <v>1600</v>
      </c>
      <c r="I1848">
        <v>5</v>
      </c>
      <c r="J1848">
        <v>142</v>
      </c>
      <c r="K1848">
        <v>-320</v>
      </c>
      <c r="L1848">
        <v>1200</v>
      </c>
      <c r="M1848" t="str">
        <f t="shared" si="94"/>
        <v xml:space="preserve">N35DC   </v>
      </c>
      <c r="N1848">
        <v>1</v>
      </c>
      <c r="O1848">
        <v>1675</v>
      </c>
    </row>
    <row r="1849" spans="1:15" x14ac:dyDescent="0.25">
      <c r="A1849" t="str">
        <f>"10/21/2020 18:27:54.044"</f>
        <v>10/21/2020 18:27:54.044</v>
      </c>
      <c r="B1849" t="str">
        <f>"18:28:01.992"</f>
        <v>18:28:01.992</v>
      </c>
      <c r="C1849" t="str">
        <f>"18:28:01.592"</f>
        <v>18:28:01.592</v>
      </c>
      <c r="D1849" t="s">
        <v>735</v>
      </c>
      <c r="E1849">
        <v>30.539373999999999</v>
      </c>
      <c r="F1849" t="s">
        <v>732</v>
      </c>
      <c r="G1849">
        <v>-89.887326000000002</v>
      </c>
      <c r="H1849">
        <v>1600</v>
      </c>
      <c r="I1849">
        <v>5</v>
      </c>
      <c r="J1849">
        <v>142</v>
      </c>
      <c r="K1849">
        <v>-320</v>
      </c>
      <c r="L1849">
        <v>1200</v>
      </c>
      <c r="M1849" t="str">
        <f t="shared" si="94"/>
        <v xml:space="preserve">N35DC   </v>
      </c>
      <c r="N1849">
        <v>1</v>
      </c>
      <c r="O1849">
        <v>1675</v>
      </c>
    </row>
    <row r="1850" spans="1:15" x14ac:dyDescent="0.25">
      <c r="A1850" t="str">
        <f>"10/21/2020 18:27:54.044"</f>
        <v>10/21/2020 18:27:54.044</v>
      </c>
      <c r="B1850" t="str">
        <f>"18:28:01.992"</f>
        <v>18:28:01.992</v>
      </c>
      <c r="C1850" t="str">
        <f>"18:28:01.592"</f>
        <v>18:28:01.592</v>
      </c>
      <c r="D1850" t="s">
        <v>735</v>
      </c>
      <c r="E1850">
        <v>30.539373999999999</v>
      </c>
      <c r="F1850" t="s">
        <v>732</v>
      </c>
      <c r="G1850">
        <v>-89.887326000000002</v>
      </c>
      <c r="H1850">
        <v>1600</v>
      </c>
      <c r="I1850">
        <v>5</v>
      </c>
      <c r="J1850">
        <v>142</v>
      </c>
      <c r="K1850">
        <v>-320</v>
      </c>
      <c r="L1850">
        <v>1200</v>
      </c>
      <c r="M1850" t="str">
        <f t="shared" si="94"/>
        <v xml:space="preserve">N35DC   </v>
      </c>
      <c r="N1850">
        <v>1</v>
      </c>
      <c r="O1850">
        <v>1675</v>
      </c>
    </row>
    <row r="1851" spans="1:15" x14ac:dyDescent="0.25">
      <c r="A1851" t="str">
        <f>"10/21/2020 18:27:54.044"</f>
        <v>10/21/2020 18:27:54.044</v>
      </c>
      <c r="B1851" t="str">
        <f>"18:28:01.992"</f>
        <v>18:28:01.992</v>
      </c>
      <c r="C1851" t="str">
        <f>"18:28:01.592"</f>
        <v>18:28:01.592</v>
      </c>
      <c r="D1851" t="s">
        <v>735</v>
      </c>
      <c r="E1851">
        <v>30.539373999999999</v>
      </c>
      <c r="F1851" t="s">
        <v>732</v>
      </c>
      <c r="G1851">
        <v>-89.887326000000002</v>
      </c>
      <c r="H1851">
        <v>1600</v>
      </c>
      <c r="I1851">
        <v>5</v>
      </c>
      <c r="J1851">
        <v>142</v>
      </c>
      <c r="K1851">
        <v>-320</v>
      </c>
      <c r="L1851">
        <v>1200</v>
      </c>
      <c r="M1851" t="str">
        <f t="shared" si="94"/>
        <v xml:space="preserve">N35DC   </v>
      </c>
      <c r="N1851">
        <v>1</v>
      </c>
      <c r="O1851">
        <v>1675</v>
      </c>
    </row>
    <row r="1852" spans="1:15" x14ac:dyDescent="0.25">
      <c r="A1852" t="str">
        <f>"10/21/2020 18:27:55.004"</f>
        <v>10/21/2020 18:27:55.004</v>
      </c>
      <c r="B1852" t="str">
        <f>"18:28:02.937"</f>
        <v>18:28:02.937</v>
      </c>
      <c r="C1852" t="str">
        <f>"18:28:02.538"</f>
        <v>18:28:02.538</v>
      </c>
      <c r="D1852" t="s">
        <v>736</v>
      </c>
      <c r="E1852">
        <v>30.540018</v>
      </c>
      <c r="F1852" t="s">
        <v>737</v>
      </c>
      <c r="G1852">
        <v>-89.887282999999996</v>
      </c>
      <c r="H1852">
        <v>1600</v>
      </c>
      <c r="I1852">
        <v>12</v>
      </c>
      <c r="J1852">
        <v>141</v>
      </c>
      <c r="K1852">
        <v>-320</v>
      </c>
      <c r="L1852">
        <v>1200</v>
      </c>
      <c r="M1852" t="str">
        <f t="shared" si="94"/>
        <v xml:space="preserve">N35DC   </v>
      </c>
      <c r="N1852">
        <v>1</v>
      </c>
      <c r="O1852">
        <v>1675</v>
      </c>
    </row>
    <row r="1853" spans="1:15" x14ac:dyDescent="0.25">
      <c r="A1853" t="str">
        <f>"10/21/2020 18:27:55.004"</f>
        <v>10/21/2020 18:27:55.004</v>
      </c>
      <c r="B1853" t="str">
        <f>"18:28:02.937"</f>
        <v>18:28:02.937</v>
      </c>
      <c r="C1853" t="str">
        <f>"18:28:02.538"</f>
        <v>18:28:02.538</v>
      </c>
      <c r="D1853" t="s">
        <v>736</v>
      </c>
      <c r="E1853">
        <v>30.540018</v>
      </c>
      <c r="F1853" t="s">
        <v>737</v>
      </c>
      <c r="G1853">
        <v>-89.887282999999996</v>
      </c>
      <c r="H1853">
        <v>1600</v>
      </c>
      <c r="I1853">
        <v>12</v>
      </c>
      <c r="J1853">
        <v>141</v>
      </c>
      <c r="K1853">
        <v>-320</v>
      </c>
      <c r="L1853">
        <v>1200</v>
      </c>
      <c r="M1853" t="str">
        <f t="shared" si="94"/>
        <v xml:space="preserve">N35DC   </v>
      </c>
      <c r="N1853">
        <v>1</v>
      </c>
      <c r="O1853">
        <v>1675</v>
      </c>
    </row>
    <row r="1854" spans="1:15" x14ac:dyDescent="0.25">
      <c r="A1854" t="str">
        <f>"10/21/2020 18:27:55.004"</f>
        <v>10/21/2020 18:27:55.004</v>
      </c>
      <c r="B1854" t="str">
        <f>"18:28:02.937"</f>
        <v>18:28:02.937</v>
      </c>
      <c r="C1854" t="str">
        <f>"18:28:02.538"</f>
        <v>18:28:02.538</v>
      </c>
      <c r="D1854" t="s">
        <v>736</v>
      </c>
      <c r="E1854">
        <v>30.540018</v>
      </c>
      <c r="F1854" t="s">
        <v>737</v>
      </c>
      <c r="G1854">
        <v>-89.887282999999996</v>
      </c>
      <c r="H1854">
        <v>1600</v>
      </c>
      <c r="I1854">
        <v>12</v>
      </c>
      <c r="J1854">
        <v>141</v>
      </c>
      <c r="K1854">
        <v>-320</v>
      </c>
      <c r="L1854">
        <v>1200</v>
      </c>
      <c r="M1854" t="str">
        <f t="shared" si="94"/>
        <v xml:space="preserve">N35DC   </v>
      </c>
      <c r="N1854">
        <v>1</v>
      </c>
      <c r="O1854">
        <v>1675</v>
      </c>
    </row>
    <row r="1855" spans="1:15" x14ac:dyDescent="0.25">
      <c r="A1855" t="str">
        <f>"10/21/2020 18:27:55.004"</f>
        <v>10/21/2020 18:27:55.004</v>
      </c>
      <c r="B1855" t="str">
        <f>"18:28:02.937"</f>
        <v>18:28:02.937</v>
      </c>
      <c r="C1855" t="str">
        <f>"18:28:02.538"</f>
        <v>18:28:02.538</v>
      </c>
      <c r="D1855" t="s">
        <v>736</v>
      </c>
      <c r="E1855">
        <v>30.540018</v>
      </c>
      <c r="F1855" t="s">
        <v>737</v>
      </c>
      <c r="G1855">
        <v>-89.887282999999996</v>
      </c>
      <c r="H1855">
        <v>1600</v>
      </c>
      <c r="I1855">
        <v>12</v>
      </c>
      <c r="J1855">
        <v>141</v>
      </c>
      <c r="K1855">
        <v>-320</v>
      </c>
      <c r="L1855">
        <v>1200</v>
      </c>
      <c r="M1855" t="str">
        <f t="shared" si="94"/>
        <v xml:space="preserve">N35DC   </v>
      </c>
      <c r="N1855">
        <v>1</v>
      </c>
      <c r="O1855">
        <v>1675</v>
      </c>
    </row>
    <row r="1856" spans="1:15" x14ac:dyDescent="0.25">
      <c r="A1856" t="str">
        <f>"10/21/2020 18:27:55.004"</f>
        <v>10/21/2020 18:27:55.004</v>
      </c>
      <c r="B1856" t="str">
        <f>"18:28:02.937"</f>
        <v>18:28:02.937</v>
      </c>
      <c r="C1856" t="str">
        <f>"18:28:02.538"</f>
        <v>18:28:02.538</v>
      </c>
      <c r="D1856" t="s">
        <v>736</v>
      </c>
      <c r="E1856">
        <v>30.540018</v>
      </c>
      <c r="F1856" t="s">
        <v>737</v>
      </c>
      <c r="G1856">
        <v>-89.887282999999996</v>
      </c>
      <c r="H1856">
        <v>1600</v>
      </c>
      <c r="I1856">
        <v>12</v>
      </c>
      <c r="J1856">
        <v>141</v>
      </c>
      <c r="K1856">
        <v>-320</v>
      </c>
      <c r="L1856">
        <v>1200</v>
      </c>
      <c r="M1856" t="str">
        <f t="shared" si="94"/>
        <v xml:space="preserve">N35DC   </v>
      </c>
      <c r="N1856">
        <v>1</v>
      </c>
      <c r="O1856">
        <v>1675</v>
      </c>
    </row>
    <row r="1857" spans="1:15" x14ac:dyDescent="0.25">
      <c r="A1857" t="str">
        <f>"10/21/2020 18:27:55.914"</f>
        <v>10/21/2020 18:27:55.914</v>
      </c>
      <c r="B1857" t="str">
        <f>"18:28:03.852"</f>
        <v>18:28:03.852</v>
      </c>
      <c r="C1857" t="str">
        <f>"18:28:03.552"</f>
        <v>18:28:03.552</v>
      </c>
      <c r="D1857" t="s">
        <v>738</v>
      </c>
      <c r="E1857">
        <v>30.540597000000002</v>
      </c>
      <c r="F1857" t="s">
        <v>739</v>
      </c>
      <c r="G1857">
        <v>-89.887175999999997</v>
      </c>
      <c r="H1857">
        <v>1600</v>
      </c>
      <c r="I1857">
        <v>18</v>
      </c>
      <c r="J1857">
        <v>140</v>
      </c>
      <c r="K1857">
        <v>-192</v>
      </c>
      <c r="L1857">
        <v>1200</v>
      </c>
      <c r="M1857" t="str">
        <f t="shared" si="94"/>
        <v xml:space="preserve">N35DC   </v>
      </c>
      <c r="N1857">
        <v>1</v>
      </c>
      <c r="O1857">
        <v>1675</v>
      </c>
    </row>
    <row r="1858" spans="1:15" x14ac:dyDescent="0.25">
      <c r="A1858" t="str">
        <f>"10/21/2020 18:27:55.914"</f>
        <v>10/21/2020 18:27:55.914</v>
      </c>
      <c r="B1858" t="str">
        <f>"18:28:03.852"</f>
        <v>18:28:03.852</v>
      </c>
      <c r="C1858" t="str">
        <f>"18:28:03.552"</f>
        <v>18:28:03.552</v>
      </c>
      <c r="D1858" t="s">
        <v>738</v>
      </c>
      <c r="E1858">
        <v>30.540597000000002</v>
      </c>
      <c r="F1858" t="s">
        <v>739</v>
      </c>
      <c r="G1858">
        <v>-89.887175999999997</v>
      </c>
      <c r="H1858">
        <v>1600</v>
      </c>
      <c r="I1858">
        <v>18</v>
      </c>
      <c r="J1858">
        <v>140</v>
      </c>
      <c r="K1858">
        <v>-192</v>
      </c>
      <c r="L1858">
        <v>1200</v>
      </c>
      <c r="M1858" t="str">
        <f t="shared" si="94"/>
        <v xml:space="preserve">N35DC   </v>
      </c>
      <c r="N1858">
        <v>1</v>
      </c>
      <c r="O1858">
        <v>1675</v>
      </c>
    </row>
    <row r="1859" spans="1:15" x14ac:dyDescent="0.25">
      <c r="A1859" t="str">
        <f>"10/21/2020 18:27:55.914"</f>
        <v>10/21/2020 18:27:55.914</v>
      </c>
      <c r="B1859" t="str">
        <f>"18:28:03.852"</f>
        <v>18:28:03.852</v>
      </c>
      <c r="C1859" t="str">
        <f>"18:28:03.552"</f>
        <v>18:28:03.552</v>
      </c>
      <c r="D1859" t="s">
        <v>738</v>
      </c>
      <c r="E1859">
        <v>30.540597000000002</v>
      </c>
      <c r="F1859" t="s">
        <v>739</v>
      </c>
      <c r="G1859">
        <v>-89.887175999999997</v>
      </c>
      <c r="H1859">
        <v>1600</v>
      </c>
      <c r="I1859">
        <v>18</v>
      </c>
      <c r="J1859">
        <v>140</v>
      </c>
      <c r="K1859">
        <v>-192</v>
      </c>
      <c r="L1859">
        <v>1200</v>
      </c>
      <c r="M1859" t="str">
        <f t="shared" si="94"/>
        <v xml:space="preserve">N35DC   </v>
      </c>
      <c r="N1859">
        <v>1</v>
      </c>
      <c r="O1859">
        <v>1675</v>
      </c>
    </row>
    <row r="1860" spans="1:15" x14ac:dyDescent="0.25">
      <c r="A1860" t="str">
        <f>"10/21/2020 18:27:55.914"</f>
        <v>10/21/2020 18:27:55.914</v>
      </c>
      <c r="B1860" t="str">
        <f>"18:28:03.852"</f>
        <v>18:28:03.852</v>
      </c>
      <c r="C1860" t="str">
        <f>"18:28:03.552"</f>
        <v>18:28:03.552</v>
      </c>
      <c r="D1860" t="s">
        <v>738</v>
      </c>
      <c r="E1860">
        <v>30.540597000000002</v>
      </c>
      <c r="F1860" t="s">
        <v>739</v>
      </c>
      <c r="G1860">
        <v>-89.887175999999997</v>
      </c>
      <c r="H1860">
        <v>1600</v>
      </c>
      <c r="I1860">
        <v>18</v>
      </c>
      <c r="J1860">
        <v>140</v>
      </c>
      <c r="K1860">
        <v>-192</v>
      </c>
      <c r="L1860">
        <v>1200</v>
      </c>
      <c r="M1860" t="str">
        <f t="shared" si="94"/>
        <v xml:space="preserve">N35DC   </v>
      </c>
      <c r="N1860">
        <v>1</v>
      </c>
      <c r="O1860">
        <v>1675</v>
      </c>
    </row>
    <row r="1861" spans="1:15" x14ac:dyDescent="0.25">
      <c r="A1861" t="str">
        <f>"10/21/2020 18:27:55.914"</f>
        <v>10/21/2020 18:27:55.914</v>
      </c>
      <c r="B1861" t="str">
        <f>"18:28:03.852"</f>
        <v>18:28:03.852</v>
      </c>
      <c r="C1861" t="str">
        <f>"18:28:03.552"</f>
        <v>18:28:03.552</v>
      </c>
      <c r="D1861" t="s">
        <v>738</v>
      </c>
      <c r="E1861">
        <v>30.540597000000002</v>
      </c>
      <c r="F1861" t="s">
        <v>739</v>
      </c>
      <c r="G1861">
        <v>-89.887175999999997</v>
      </c>
      <c r="H1861">
        <v>1600</v>
      </c>
      <c r="I1861">
        <v>18</v>
      </c>
      <c r="J1861">
        <v>140</v>
      </c>
      <c r="K1861">
        <v>-192</v>
      </c>
      <c r="L1861">
        <v>1200</v>
      </c>
      <c r="M1861" t="str">
        <f t="shared" si="94"/>
        <v xml:space="preserve">N35DC   </v>
      </c>
      <c r="N1861">
        <v>1</v>
      </c>
      <c r="O1861">
        <v>1675</v>
      </c>
    </row>
    <row r="1862" spans="1:15" x14ac:dyDescent="0.25">
      <c r="A1862" t="str">
        <f>"10/21/2020 18:27:58.947"</f>
        <v>10/21/2020 18:27:58.947</v>
      </c>
      <c r="B1862" t="str">
        <f>"18:28:06.883"</f>
        <v>18:28:06.883</v>
      </c>
      <c r="C1862" t="str">
        <f>"18:28:06.583"</f>
        <v>18:28:06.583</v>
      </c>
      <c r="D1862" t="s">
        <v>740</v>
      </c>
      <c r="E1862">
        <v>30.542549999999999</v>
      </c>
      <c r="F1862" t="s">
        <v>741</v>
      </c>
      <c r="G1862">
        <v>-89.886681999999993</v>
      </c>
      <c r="H1862">
        <v>1600</v>
      </c>
      <c r="I1862">
        <v>35</v>
      </c>
      <c r="J1862">
        <v>136</v>
      </c>
      <c r="K1862">
        <v>128</v>
      </c>
      <c r="L1862">
        <v>1200</v>
      </c>
      <c r="M1862" t="str">
        <f t="shared" si="94"/>
        <v xml:space="preserve">N35DC   </v>
      </c>
      <c r="N1862">
        <v>1</v>
      </c>
      <c r="O1862">
        <v>1675</v>
      </c>
    </row>
    <row r="1863" spans="1:15" x14ac:dyDescent="0.25">
      <c r="A1863" t="str">
        <f>"10/21/2020 18:27:58.947"</f>
        <v>10/21/2020 18:27:58.947</v>
      </c>
      <c r="B1863" t="str">
        <f>"18:28:06.883"</f>
        <v>18:28:06.883</v>
      </c>
      <c r="C1863" t="str">
        <f>"18:28:06.583"</f>
        <v>18:28:06.583</v>
      </c>
      <c r="D1863" t="s">
        <v>740</v>
      </c>
      <c r="E1863">
        <v>30.542549999999999</v>
      </c>
      <c r="F1863" t="s">
        <v>741</v>
      </c>
      <c r="G1863">
        <v>-89.886681999999993</v>
      </c>
      <c r="H1863">
        <v>1600</v>
      </c>
      <c r="I1863">
        <v>35</v>
      </c>
      <c r="J1863">
        <v>136</v>
      </c>
      <c r="K1863">
        <v>128</v>
      </c>
      <c r="L1863">
        <v>1200</v>
      </c>
      <c r="M1863" t="str">
        <f t="shared" ref="M1863:M1926" si="96">"N35DC   "</f>
        <v xml:space="preserve">N35DC   </v>
      </c>
      <c r="N1863">
        <v>1</v>
      </c>
      <c r="O1863">
        <v>1675</v>
      </c>
    </row>
    <row r="1864" spans="1:15" x14ac:dyDescent="0.25">
      <c r="A1864" t="str">
        <f>"10/21/2020 18:27:58.947"</f>
        <v>10/21/2020 18:27:58.947</v>
      </c>
      <c r="B1864" t="str">
        <f>"18:28:06.883"</f>
        <v>18:28:06.883</v>
      </c>
      <c r="C1864" t="str">
        <f>"18:28:06.583"</f>
        <v>18:28:06.583</v>
      </c>
      <c r="D1864" t="s">
        <v>740</v>
      </c>
      <c r="E1864">
        <v>30.542549999999999</v>
      </c>
      <c r="F1864" t="s">
        <v>741</v>
      </c>
      <c r="G1864">
        <v>-89.886681999999993</v>
      </c>
      <c r="H1864">
        <v>1600</v>
      </c>
      <c r="I1864">
        <v>35</v>
      </c>
      <c r="J1864">
        <v>136</v>
      </c>
      <c r="K1864">
        <v>128</v>
      </c>
      <c r="L1864">
        <v>1200</v>
      </c>
      <c r="M1864" t="str">
        <f t="shared" si="96"/>
        <v xml:space="preserve">N35DC   </v>
      </c>
      <c r="N1864">
        <v>1</v>
      </c>
      <c r="O1864">
        <v>1675</v>
      </c>
    </row>
    <row r="1865" spans="1:15" x14ac:dyDescent="0.25">
      <c r="A1865" t="str">
        <f>"10/21/2020 18:27:58.947"</f>
        <v>10/21/2020 18:27:58.947</v>
      </c>
      <c r="B1865" t="str">
        <f>"18:28:06.883"</f>
        <v>18:28:06.883</v>
      </c>
      <c r="C1865" t="str">
        <f>"18:28:06.583"</f>
        <v>18:28:06.583</v>
      </c>
      <c r="D1865" t="s">
        <v>740</v>
      </c>
      <c r="E1865">
        <v>30.542549999999999</v>
      </c>
      <c r="F1865" t="s">
        <v>741</v>
      </c>
      <c r="G1865">
        <v>-89.886681999999993</v>
      </c>
      <c r="H1865">
        <v>1600</v>
      </c>
      <c r="I1865">
        <v>35</v>
      </c>
      <c r="J1865">
        <v>136</v>
      </c>
      <c r="K1865">
        <v>128</v>
      </c>
      <c r="L1865">
        <v>1200</v>
      </c>
      <c r="M1865" t="str">
        <f t="shared" si="96"/>
        <v xml:space="preserve">N35DC   </v>
      </c>
      <c r="N1865">
        <v>1</v>
      </c>
      <c r="O1865">
        <v>1675</v>
      </c>
    </row>
    <row r="1866" spans="1:15" x14ac:dyDescent="0.25">
      <c r="A1866" t="str">
        <f>"10/21/2020 18:27:58.947"</f>
        <v>10/21/2020 18:27:58.947</v>
      </c>
      <c r="B1866" t="str">
        <f>"18:28:06.883"</f>
        <v>18:28:06.883</v>
      </c>
      <c r="C1866" t="str">
        <f>"18:28:06.583"</f>
        <v>18:28:06.583</v>
      </c>
      <c r="D1866" t="s">
        <v>740</v>
      </c>
      <c r="E1866">
        <v>30.542549999999999</v>
      </c>
      <c r="F1866" t="s">
        <v>741</v>
      </c>
      <c r="G1866">
        <v>-89.886681999999993</v>
      </c>
      <c r="H1866">
        <v>1600</v>
      </c>
      <c r="I1866">
        <v>35</v>
      </c>
      <c r="J1866">
        <v>136</v>
      </c>
      <c r="K1866">
        <v>128</v>
      </c>
      <c r="L1866">
        <v>1200</v>
      </c>
      <c r="M1866" t="str">
        <f t="shared" si="96"/>
        <v xml:space="preserve">N35DC   </v>
      </c>
      <c r="N1866">
        <v>1</v>
      </c>
      <c r="O1866">
        <v>1675</v>
      </c>
    </row>
    <row r="1867" spans="1:15" x14ac:dyDescent="0.25">
      <c r="A1867" t="str">
        <f>"10/21/2020 18:27:59.960"</f>
        <v>10/21/2020 18:27:59.960</v>
      </c>
      <c r="B1867" t="str">
        <f>"18:28:07.891"</f>
        <v>18:28:07.891</v>
      </c>
      <c r="C1867" t="str">
        <f>"18:28:07.691"</f>
        <v>18:28:07.691</v>
      </c>
      <c r="D1867" t="s">
        <v>742</v>
      </c>
      <c r="E1867">
        <v>30.543151000000002</v>
      </c>
      <c r="F1867" t="s">
        <v>743</v>
      </c>
      <c r="G1867">
        <v>-89.886446000000007</v>
      </c>
      <c r="H1867">
        <v>1600</v>
      </c>
      <c r="I1867">
        <v>40</v>
      </c>
      <c r="J1867">
        <v>133</v>
      </c>
      <c r="K1867">
        <v>256</v>
      </c>
      <c r="L1867">
        <v>1200</v>
      </c>
      <c r="M1867" t="str">
        <f t="shared" si="96"/>
        <v xml:space="preserve">N35DC   </v>
      </c>
      <c r="N1867">
        <v>1</v>
      </c>
      <c r="O1867">
        <v>1675</v>
      </c>
    </row>
    <row r="1868" spans="1:15" x14ac:dyDescent="0.25">
      <c r="A1868" t="str">
        <f>"10/21/2020 18:27:59.960"</f>
        <v>10/21/2020 18:27:59.960</v>
      </c>
      <c r="B1868" t="str">
        <f>"18:28:07.891"</f>
        <v>18:28:07.891</v>
      </c>
      <c r="C1868" t="str">
        <f>"18:28:07.691"</f>
        <v>18:28:07.691</v>
      </c>
      <c r="D1868" t="s">
        <v>742</v>
      </c>
      <c r="E1868">
        <v>30.543151000000002</v>
      </c>
      <c r="F1868" t="s">
        <v>743</v>
      </c>
      <c r="G1868">
        <v>-89.886446000000007</v>
      </c>
      <c r="H1868">
        <v>1600</v>
      </c>
      <c r="I1868">
        <v>40</v>
      </c>
      <c r="J1868">
        <v>133</v>
      </c>
      <c r="K1868">
        <v>256</v>
      </c>
      <c r="L1868">
        <v>1200</v>
      </c>
      <c r="M1868" t="str">
        <f t="shared" si="96"/>
        <v xml:space="preserve">N35DC   </v>
      </c>
      <c r="N1868">
        <v>1</v>
      </c>
      <c r="O1868">
        <v>1675</v>
      </c>
    </row>
    <row r="1869" spans="1:15" x14ac:dyDescent="0.25">
      <c r="A1869" t="str">
        <f>"10/21/2020 18:27:59.960"</f>
        <v>10/21/2020 18:27:59.960</v>
      </c>
      <c r="B1869" t="str">
        <f>"18:28:07.891"</f>
        <v>18:28:07.891</v>
      </c>
      <c r="C1869" t="str">
        <f>"18:28:07.691"</f>
        <v>18:28:07.691</v>
      </c>
      <c r="D1869" t="s">
        <v>742</v>
      </c>
      <c r="E1869">
        <v>30.543151000000002</v>
      </c>
      <c r="F1869" t="s">
        <v>743</v>
      </c>
      <c r="G1869">
        <v>-89.886446000000007</v>
      </c>
      <c r="H1869">
        <v>1600</v>
      </c>
      <c r="I1869">
        <v>40</v>
      </c>
      <c r="J1869">
        <v>133</v>
      </c>
      <c r="K1869">
        <v>256</v>
      </c>
      <c r="L1869">
        <v>1200</v>
      </c>
      <c r="M1869" t="str">
        <f t="shared" si="96"/>
        <v xml:space="preserve">N35DC   </v>
      </c>
      <c r="N1869">
        <v>1</v>
      </c>
      <c r="O1869">
        <v>1675</v>
      </c>
    </row>
    <row r="1870" spans="1:15" x14ac:dyDescent="0.25">
      <c r="A1870" t="str">
        <f>"10/21/2020 18:27:59.960"</f>
        <v>10/21/2020 18:27:59.960</v>
      </c>
      <c r="B1870" t="str">
        <f>"18:28:07.891"</f>
        <v>18:28:07.891</v>
      </c>
      <c r="C1870" t="str">
        <f>"18:28:07.691"</f>
        <v>18:28:07.691</v>
      </c>
      <c r="D1870" t="s">
        <v>742</v>
      </c>
      <c r="E1870">
        <v>30.543151000000002</v>
      </c>
      <c r="F1870" t="s">
        <v>743</v>
      </c>
      <c r="G1870">
        <v>-89.886446000000007</v>
      </c>
      <c r="H1870">
        <v>1600</v>
      </c>
      <c r="I1870">
        <v>40</v>
      </c>
      <c r="J1870">
        <v>133</v>
      </c>
      <c r="K1870">
        <v>256</v>
      </c>
      <c r="L1870">
        <v>1200</v>
      </c>
      <c r="M1870" t="str">
        <f t="shared" si="96"/>
        <v xml:space="preserve">N35DC   </v>
      </c>
      <c r="N1870">
        <v>1</v>
      </c>
      <c r="O1870">
        <v>1675</v>
      </c>
    </row>
    <row r="1871" spans="1:15" x14ac:dyDescent="0.25">
      <c r="A1871" t="str">
        <f>"10/21/2020 18:27:59.960"</f>
        <v>10/21/2020 18:27:59.960</v>
      </c>
      <c r="B1871" t="str">
        <f>"18:28:07.891"</f>
        <v>18:28:07.891</v>
      </c>
      <c r="C1871" t="str">
        <f>"18:28:07.691"</f>
        <v>18:28:07.691</v>
      </c>
      <c r="D1871" t="s">
        <v>742</v>
      </c>
      <c r="E1871">
        <v>30.543151000000002</v>
      </c>
      <c r="F1871" t="s">
        <v>743</v>
      </c>
      <c r="G1871">
        <v>-89.886446000000007</v>
      </c>
      <c r="H1871">
        <v>1600</v>
      </c>
      <c r="I1871">
        <v>40</v>
      </c>
      <c r="J1871">
        <v>133</v>
      </c>
      <c r="K1871">
        <v>256</v>
      </c>
      <c r="L1871">
        <v>1200</v>
      </c>
      <c r="M1871" t="str">
        <f t="shared" si="96"/>
        <v xml:space="preserve">N35DC   </v>
      </c>
      <c r="N1871">
        <v>1</v>
      </c>
      <c r="O1871">
        <v>1675</v>
      </c>
    </row>
    <row r="1872" spans="1:15" x14ac:dyDescent="0.25">
      <c r="A1872" t="str">
        <f>"10/21/2020 18:28:04.121"</f>
        <v>10/21/2020 18:28:04.121</v>
      </c>
      <c r="B1872" t="str">
        <f>"18:28:12.055"</f>
        <v>18:28:12.055</v>
      </c>
      <c r="C1872" t="str">
        <f>"18:28:11.655"</f>
        <v>18:28:11.655</v>
      </c>
      <c r="D1872" t="s">
        <v>744</v>
      </c>
      <c r="E1872">
        <v>30.545660999999999</v>
      </c>
      <c r="F1872" t="s">
        <v>745</v>
      </c>
      <c r="G1872">
        <v>-89.885458999999997</v>
      </c>
      <c r="H1872">
        <v>1600</v>
      </c>
      <c r="I1872">
        <v>49</v>
      </c>
      <c r="J1872">
        <v>127</v>
      </c>
      <c r="K1872">
        <v>512</v>
      </c>
      <c r="L1872">
        <v>1200</v>
      </c>
      <c r="M1872" t="str">
        <f t="shared" si="96"/>
        <v xml:space="preserve">N35DC   </v>
      </c>
      <c r="N1872">
        <v>1</v>
      </c>
      <c r="O1872">
        <v>1700</v>
      </c>
    </row>
    <row r="1873" spans="1:15" x14ac:dyDescent="0.25">
      <c r="A1873" t="str">
        <f>"10/21/2020 18:28:04.121"</f>
        <v>10/21/2020 18:28:04.121</v>
      </c>
      <c r="B1873" t="str">
        <f>"18:28:12.055"</f>
        <v>18:28:12.055</v>
      </c>
      <c r="C1873" t="str">
        <f>"18:28:11.655"</f>
        <v>18:28:11.655</v>
      </c>
      <c r="D1873" t="s">
        <v>744</v>
      </c>
      <c r="E1873">
        <v>30.545660999999999</v>
      </c>
      <c r="F1873" t="s">
        <v>745</v>
      </c>
      <c r="G1873">
        <v>-89.885458999999997</v>
      </c>
      <c r="H1873">
        <v>1600</v>
      </c>
      <c r="I1873">
        <v>49</v>
      </c>
      <c r="J1873">
        <v>127</v>
      </c>
      <c r="K1873">
        <v>512</v>
      </c>
      <c r="L1873">
        <v>1200</v>
      </c>
      <c r="M1873" t="str">
        <f t="shared" si="96"/>
        <v xml:space="preserve">N35DC   </v>
      </c>
      <c r="N1873">
        <v>1</v>
      </c>
      <c r="O1873">
        <v>1700</v>
      </c>
    </row>
    <row r="1874" spans="1:15" x14ac:dyDescent="0.25">
      <c r="A1874" t="str">
        <f>"10/21/2020 18:28:04.121"</f>
        <v>10/21/2020 18:28:04.121</v>
      </c>
      <c r="B1874" t="str">
        <f>"18:28:12.055"</f>
        <v>18:28:12.055</v>
      </c>
      <c r="C1874" t="str">
        <f>"18:28:11.655"</f>
        <v>18:28:11.655</v>
      </c>
      <c r="D1874" t="s">
        <v>744</v>
      </c>
      <c r="E1874">
        <v>30.545660999999999</v>
      </c>
      <c r="F1874" t="s">
        <v>745</v>
      </c>
      <c r="G1874">
        <v>-89.885458999999997</v>
      </c>
      <c r="H1874">
        <v>1600</v>
      </c>
      <c r="I1874">
        <v>49</v>
      </c>
      <c r="J1874">
        <v>127</v>
      </c>
      <c r="K1874">
        <v>512</v>
      </c>
      <c r="L1874">
        <v>1200</v>
      </c>
      <c r="M1874" t="str">
        <f t="shared" si="96"/>
        <v xml:space="preserve">N35DC   </v>
      </c>
      <c r="N1874">
        <v>1</v>
      </c>
      <c r="O1874">
        <v>1700</v>
      </c>
    </row>
    <row r="1875" spans="1:15" x14ac:dyDescent="0.25">
      <c r="A1875" t="str">
        <f>"10/21/2020 18:28:04.121"</f>
        <v>10/21/2020 18:28:04.121</v>
      </c>
      <c r="B1875" t="str">
        <f>"18:28:12.055"</f>
        <v>18:28:12.055</v>
      </c>
      <c r="C1875" t="str">
        <f>"18:28:11.655"</f>
        <v>18:28:11.655</v>
      </c>
      <c r="D1875" t="s">
        <v>744</v>
      </c>
      <c r="E1875">
        <v>30.545660999999999</v>
      </c>
      <c r="F1875" t="s">
        <v>745</v>
      </c>
      <c r="G1875">
        <v>-89.885458999999997</v>
      </c>
      <c r="H1875">
        <v>1600</v>
      </c>
      <c r="I1875">
        <v>49</v>
      </c>
      <c r="J1875">
        <v>127</v>
      </c>
      <c r="K1875">
        <v>512</v>
      </c>
      <c r="L1875">
        <v>1200</v>
      </c>
      <c r="M1875" t="str">
        <f t="shared" si="96"/>
        <v xml:space="preserve">N35DC   </v>
      </c>
      <c r="N1875">
        <v>1</v>
      </c>
      <c r="O1875">
        <v>1700</v>
      </c>
    </row>
    <row r="1876" spans="1:15" x14ac:dyDescent="0.25">
      <c r="A1876" t="str">
        <f>"10/21/2020 18:28:04.121"</f>
        <v>10/21/2020 18:28:04.121</v>
      </c>
      <c r="B1876" t="str">
        <f>"18:28:12.055"</f>
        <v>18:28:12.055</v>
      </c>
      <c r="C1876" t="str">
        <f>"18:28:11.655"</f>
        <v>18:28:11.655</v>
      </c>
      <c r="D1876" t="s">
        <v>744</v>
      </c>
      <c r="E1876">
        <v>30.545660999999999</v>
      </c>
      <c r="F1876" t="s">
        <v>745</v>
      </c>
      <c r="G1876">
        <v>-89.885458999999997</v>
      </c>
      <c r="H1876">
        <v>1600</v>
      </c>
      <c r="I1876">
        <v>49</v>
      </c>
      <c r="J1876">
        <v>127</v>
      </c>
      <c r="K1876">
        <v>512</v>
      </c>
      <c r="L1876">
        <v>1200</v>
      </c>
      <c r="M1876" t="str">
        <f t="shared" si="96"/>
        <v xml:space="preserve">N35DC   </v>
      </c>
      <c r="N1876">
        <v>1</v>
      </c>
      <c r="O1876">
        <v>1700</v>
      </c>
    </row>
    <row r="1877" spans="1:15" x14ac:dyDescent="0.25">
      <c r="A1877" t="str">
        <f>"10/21/2020 18:28:05.284"</f>
        <v>10/21/2020 18:28:05.284</v>
      </c>
      <c r="B1877" t="str">
        <f t="shared" ref="B1877:C1881" si="97">"18:28:13.211"</f>
        <v>18:28:13.211</v>
      </c>
      <c r="C1877" t="str">
        <f t="shared" si="97"/>
        <v>18:28:13.211</v>
      </c>
      <c r="D1877" t="s">
        <v>746</v>
      </c>
      <c r="E1877">
        <v>30.546305</v>
      </c>
      <c r="F1877" t="s">
        <v>747</v>
      </c>
      <c r="G1877">
        <v>-89.885073000000006</v>
      </c>
      <c r="H1877">
        <v>1600</v>
      </c>
      <c r="I1877">
        <v>51</v>
      </c>
      <c r="J1877">
        <v>126</v>
      </c>
      <c r="K1877">
        <v>448</v>
      </c>
      <c r="L1877">
        <v>1200</v>
      </c>
      <c r="M1877" t="str">
        <f t="shared" si="96"/>
        <v xml:space="preserve">N35DC   </v>
      </c>
      <c r="N1877">
        <v>1</v>
      </c>
      <c r="O1877">
        <v>1725</v>
      </c>
    </row>
    <row r="1878" spans="1:15" x14ac:dyDescent="0.25">
      <c r="A1878" t="str">
        <f>"10/21/2020 18:28:05.284"</f>
        <v>10/21/2020 18:28:05.284</v>
      </c>
      <c r="B1878" t="str">
        <f t="shared" si="97"/>
        <v>18:28:13.211</v>
      </c>
      <c r="C1878" t="str">
        <f t="shared" si="97"/>
        <v>18:28:13.211</v>
      </c>
      <c r="D1878" t="s">
        <v>746</v>
      </c>
      <c r="E1878">
        <v>30.546305</v>
      </c>
      <c r="F1878" t="s">
        <v>747</v>
      </c>
      <c r="G1878">
        <v>-89.885073000000006</v>
      </c>
      <c r="H1878">
        <v>1600</v>
      </c>
      <c r="I1878">
        <v>51</v>
      </c>
      <c r="J1878">
        <v>126</v>
      </c>
      <c r="K1878">
        <v>448</v>
      </c>
      <c r="L1878">
        <v>1200</v>
      </c>
      <c r="M1878" t="str">
        <f t="shared" si="96"/>
        <v xml:space="preserve">N35DC   </v>
      </c>
      <c r="N1878">
        <v>1</v>
      </c>
      <c r="O1878">
        <v>1725</v>
      </c>
    </row>
    <row r="1879" spans="1:15" x14ac:dyDescent="0.25">
      <c r="A1879" t="str">
        <f>"10/21/2020 18:28:05.284"</f>
        <v>10/21/2020 18:28:05.284</v>
      </c>
      <c r="B1879" t="str">
        <f t="shared" si="97"/>
        <v>18:28:13.211</v>
      </c>
      <c r="C1879" t="str">
        <f t="shared" si="97"/>
        <v>18:28:13.211</v>
      </c>
      <c r="D1879" t="s">
        <v>746</v>
      </c>
      <c r="E1879">
        <v>30.546305</v>
      </c>
      <c r="F1879" t="s">
        <v>747</v>
      </c>
      <c r="G1879">
        <v>-89.885073000000006</v>
      </c>
      <c r="H1879">
        <v>1600</v>
      </c>
      <c r="I1879">
        <v>51</v>
      </c>
      <c r="J1879">
        <v>126</v>
      </c>
      <c r="K1879">
        <v>448</v>
      </c>
      <c r="L1879">
        <v>1200</v>
      </c>
      <c r="M1879" t="str">
        <f t="shared" si="96"/>
        <v xml:space="preserve">N35DC   </v>
      </c>
      <c r="N1879">
        <v>1</v>
      </c>
      <c r="O1879">
        <v>1725</v>
      </c>
    </row>
    <row r="1880" spans="1:15" x14ac:dyDescent="0.25">
      <c r="A1880" t="str">
        <f>"10/21/2020 18:28:05.284"</f>
        <v>10/21/2020 18:28:05.284</v>
      </c>
      <c r="B1880" t="str">
        <f t="shared" si="97"/>
        <v>18:28:13.211</v>
      </c>
      <c r="C1880" t="str">
        <f t="shared" si="97"/>
        <v>18:28:13.211</v>
      </c>
      <c r="D1880" t="s">
        <v>746</v>
      </c>
      <c r="E1880">
        <v>30.546305</v>
      </c>
      <c r="F1880" t="s">
        <v>747</v>
      </c>
      <c r="G1880">
        <v>-89.885073000000006</v>
      </c>
      <c r="H1880">
        <v>1600</v>
      </c>
      <c r="I1880">
        <v>51</v>
      </c>
      <c r="J1880">
        <v>126</v>
      </c>
      <c r="K1880">
        <v>448</v>
      </c>
      <c r="L1880">
        <v>1200</v>
      </c>
      <c r="M1880" t="str">
        <f t="shared" si="96"/>
        <v xml:space="preserve">N35DC   </v>
      </c>
      <c r="N1880">
        <v>1</v>
      </c>
      <c r="O1880">
        <v>1725</v>
      </c>
    </row>
    <row r="1881" spans="1:15" x14ac:dyDescent="0.25">
      <c r="A1881" t="str">
        <f>"10/21/2020 18:28:05.284"</f>
        <v>10/21/2020 18:28:05.284</v>
      </c>
      <c r="B1881" t="str">
        <f t="shared" si="97"/>
        <v>18:28:13.211</v>
      </c>
      <c r="C1881" t="str">
        <f t="shared" si="97"/>
        <v>18:28:13.211</v>
      </c>
      <c r="D1881" t="s">
        <v>746</v>
      </c>
      <c r="E1881">
        <v>30.546305</v>
      </c>
      <c r="F1881" t="s">
        <v>747</v>
      </c>
      <c r="G1881">
        <v>-89.885073000000006</v>
      </c>
      <c r="H1881">
        <v>1600</v>
      </c>
      <c r="I1881">
        <v>51</v>
      </c>
      <c r="J1881">
        <v>126</v>
      </c>
      <c r="K1881">
        <v>448</v>
      </c>
      <c r="L1881">
        <v>1200</v>
      </c>
      <c r="M1881" t="str">
        <f t="shared" si="96"/>
        <v xml:space="preserve">N35DC   </v>
      </c>
      <c r="N1881">
        <v>1</v>
      </c>
      <c r="O1881">
        <v>1725</v>
      </c>
    </row>
    <row r="1882" spans="1:15" x14ac:dyDescent="0.25">
      <c r="A1882" t="str">
        <f>"10/21/2020 18:28:08.128"</f>
        <v>10/21/2020 18:28:08.128</v>
      </c>
      <c r="B1882" t="str">
        <f>"18:28:16.062"</f>
        <v>18:28:16.062</v>
      </c>
      <c r="C1882" t="str">
        <f>"18:28:15.663"</f>
        <v>18:28:15.663</v>
      </c>
      <c r="D1882" t="s">
        <v>748</v>
      </c>
      <c r="E1882">
        <v>30.547936</v>
      </c>
      <c r="F1882" t="s">
        <v>749</v>
      </c>
      <c r="G1882">
        <v>-89.884321999999997</v>
      </c>
      <c r="H1882">
        <v>1700</v>
      </c>
      <c r="I1882">
        <v>53</v>
      </c>
      <c r="J1882">
        <v>125</v>
      </c>
      <c r="K1882">
        <v>128</v>
      </c>
      <c r="L1882">
        <v>1200</v>
      </c>
      <c r="M1882" t="str">
        <f t="shared" si="96"/>
        <v xml:space="preserve">N35DC   </v>
      </c>
      <c r="N1882">
        <v>1</v>
      </c>
      <c r="O1882">
        <v>1725</v>
      </c>
    </row>
    <row r="1883" spans="1:15" x14ac:dyDescent="0.25">
      <c r="A1883" t="str">
        <f>"10/21/2020 18:28:08.128"</f>
        <v>10/21/2020 18:28:08.128</v>
      </c>
      <c r="B1883" t="str">
        <f>"18:28:16.062"</f>
        <v>18:28:16.062</v>
      </c>
      <c r="C1883" t="str">
        <f>"18:28:15.663"</f>
        <v>18:28:15.663</v>
      </c>
      <c r="D1883" t="s">
        <v>748</v>
      </c>
      <c r="E1883">
        <v>30.547936</v>
      </c>
      <c r="F1883" t="s">
        <v>749</v>
      </c>
      <c r="G1883">
        <v>-89.884321999999997</v>
      </c>
      <c r="H1883">
        <v>1700</v>
      </c>
      <c r="I1883">
        <v>53</v>
      </c>
      <c r="J1883">
        <v>125</v>
      </c>
      <c r="K1883">
        <v>128</v>
      </c>
      <c r="L1883">
        <v>1200</v>
      </c>
      <c r="M1883" t="str">
        <f t="shared" si="96"/>
        <v xml:space="preserve">N35DC   </v>
      </c>
      <c r="N1883">
        <v>1</v>
      </c>
      <c r="O1883">
        <v>1725</v>
      </c>
    </row>
    <row r="1884" spans="1:15" x14ac:dyDescent="0.25">
      <c r="A1884" t="str">
        <f>"10/21/2020 18:28:08.128"</f>
        <v>10/21/2020 18:28:08.128</v>
      </c>
      <c r="B1884" t="str">
        <f>"18:28:16.062"</f>
        <v>18:28:16.062</v>
      </c>
      <c r="C1884" t="str">
        <f>"18:28:15.663"</f>
        <v>18:28:15.663</v>
      </c>
      <c r="D1884" t="s">
        <v>748</v>
      </c>
      <c r="E1884">
        <v>30.547936</v>
      </c>
      <c r="F1884" t="s">
        <v>749</v>
      </c>
      <c r="G1884">
        <v>-89.884321999999997</v>
      </c>
      <c r="H1884">
        <v>1700</v>
      </c>
      <c r="I1884">
        <v>53</v>
      </c>
      <c r="J1884">
        <v>125</v>
      </c>
      <c r="K1884">
        <v>128</v>
      </c>
      <c r="L1884">
        <v>1200</v>
      </c>
      <c r="M1884" t="str">
        <f t="shared" si="96"/>
        <v xml:space="preserve">N35DC   </v>
      </c>
      <c r="N1884">
        <v>1</v>
      </c>
      <c r="O1884">
        <v>1725</v>
      </c>
    </row>
    <row r="1885" spans="1:15" x14ac:dyDescent="0.25">
      <c r="A1885" t="str">
        <f>"10/21/2020 18:28:08.128"</f>
        <v>10/21/2020 18:28:08.128</v>
      </c>
      <c r="B1885" t="str">
        <f>"18:28:16.062"</f>
        <v>18:28:16.062</v>
      </c>
      <c r="C1885" t="str">
        <f>"18:28:15.663"</f>
        <v>18:28:15.663</v>
      </c>
      <c r="D1885" t="s">
        <v>748</v>
      </c>
      <c r="E1885">
        <v>30.547936</v>
      </c>
      <c r="F1885" t="s">
        <v>749</v>
      </c>
      <c r="G1885">
        <v>-89.884321999999997</v>
      </c>
      <c r="H1885">
        <v>1700</v>
      </c>
      <c r="I1885">
        <v>53</v>
      </c>
      <c r="J1885">
        <v>125</v>
      </c>
      <c r="K1885">
        <v>128</v>
      </c>
      <c r="L1885">
        <v>1200</v>
      </c>
      <c r="M1885" t="str">
        <f t="shared" si="96"/>
        <v xml:space="preserve">N35DC   </v>
      </c>
      <c r="N1885">
        <v>1</v>
      </c>
      <c r="O1885">
        <v>1725</v>
      </c>
    </row>
    <row r="1886" spans="1:15" x14ac:dyDescent="0.25">
      <c r="A1886" t="str">
        <f>"10/21/2020 18:28:08.128"</f>
        <v>10/21/2020 18:28:08.128</v>
      </c>
      <c r="B1886" t="str">
        <f>"18:28:16.062"</f>
        <v>18:28:16.062</v>
      </c>
      <c r="C1886" t="str">
        <f>"18:28:15.663"</f>
        <v>18:28:15.663</v>
      </c>
      <c r="D1886" t="s">
        <v>748</v>
      </c>
      <c r="E1886">
        <v>30.547936</v>
      </c>
      <c r="F1886" t="s">
        <v>749</v>
      </c>
      <c r="G1886">
        <v>-89.884321999999997</v>
      </c>
      <c r="H1886">
        <v>1700</v>
      </c>
      <c r="I1886">
        <v>53</v>
      </c>
      <c r="J1886">
        <v>125</v>
      </c>
      <c r="K1886">
        <v>128</v>
      </c>
      <c r="L1886">
        <v>1200</v>
      </c>
      <c r="M1886" t="str">
        <f t="shared" si="96"/>
        <v xml:space="preserve">N35DC   </v>
      </c>
      <c r="N1886">
        <v>1</v>
      </c>
      <c r="O1886">
        <v>1725</v>
      </c>
    </row>
    <row r="1887" spans="1:15" x14ac:dyDescent="0.25">
      <c r="A1887" t="str">
        <f>"10/21/2020 18:28:09.276"</f>
        <v>10/21/2020 18:28:09.276</v>
      </c>
      <c r="B1887" t="str">
        <f t="shared" ref="B1887:C1891" si="98">"18:28:17.219"</f>
        <v>18:28:17.219</v>
      </c>
      <c r="C1887" t="str">
        <f t="shared" si="98"/>
        <v>18:28:17.219</v>
      </c>
      <c r="D1887" t="s">
        <v>750</v>
      </c>
      <c r="E1887">
        <v>30.548622999999999</v>
      </c>
      <c r="F1887" t="s">
        <v>751</v>
      </c>
      <c r="G1887">
        <v>-89.883934999999994</v>
      </c>
      <c r="H1887">
        <v>1700</v>
      </c>
      <c r="I1887">
        <v>53</v>
      </c>
      <c r="J1887">
        <v>125</v>
      </c>
      <c r="K1887">
        <v>64</v>
      </c>
      <c r="L1887">
        <v>1200</v>
      </c>
      <c r="M1887" t="str">
        <f t="shared" si="96"/>
        <v xml:space="preserve">N35DC   </v>
      </c>
      <c r="N1887">
        <v>1</v>
      </c>
      <c r="O1887">
        <v>1725</v>
      </c>
    </row>
    <row r="1888" spans="1:15" x14ac:dyDescent="0.25">
      <c r="A1888" t="str">
        <f>"10/21/2020 18:28:09.276"</f>
        <v>10/21/2020 18:28:09.276</v>
      </c>
      <c r="B1888" t="str">
        <f t="shared" si="98"/>
        <v>18:28:17.219</v>
      </c>
      <c r="C1888" t="str">
        <f t="shared" si="98"/>
        <v>18:28:17.219</v>
      </c>
      <c r="D1888" t="s">
        <v>750</v>
      </c>
      <c r="E1888">
        <v>30.548622999999999</v>
      </c>
      <c r="F1888" t="s">
        <v>751</v>
      </c>
      <c r="G1888">
        <v>-89.883934999999994</v>
      </c>
      <c r="H1888">
        <v>1700</v>
      </c>
      <c r="I1888">
        <v>53</v>
      </c>
      <c r="J1888">
        <v>125</v>
      </c>
      <c r="K1888">
        <v>64</v>
      </c>
      <c r="L1888">
        <v>1200</v>
      </c>
      <c r="M1888" t="str">
        <f t="shared" si="96"/>
        <v xml:space="preserve">N35DC   </v>
      </c>
      <c r="N1888">
        <v>1</v>
      </c>
      <c r="O1888">
        <v>1725</v>
      </c>
    </row>
    <row r="1889" spans="1:15" x14ac:dyDescent="0.25">
      <c r="A1889" t="str">
        <f>"10/21/2020 18:28:09.276"</f>
        <v>10/21/2020 18:28:09.276</v>
      </c>
      <c r="B1889" t="str">
        <f t="shared" si="98"/>
        <v>18:28:17.219</v>
      </c>
      <c r="C1889" t="str">
        <f t="shared" si="98"/>
        <v>18:28:17.219</v>
      </c>
      <c r="D1889" t="s">
        <v>750</v>
      </c>
      <c r="E1889">
        <v>30.548622999999999</v>
      </c>
      <c r="F1889" t="s">
        <v>751</v>
      </c>
      <c r="G1889">
        <v>-89.883934999999994</v>
      </c>
      <c r="H1889">
        <v>1700</v>
      </c>
      <c r="I1889">
        <v>53</v>
      </c>
      <c r="J1889">
        <v>125</v>
      </c>
      <c r="K1889">
        <v>64</v>
      </c>
      <c r="L1889">
        <v>1200</v>
      </c>
      <c r="M1889" t="str">
        <f t="shared" si="96"/>
        <v xml:space="preserve">N35DC   </v>
      </c>
      <c r="N1889">
        <v>1</v>
      </c>
      <c r="O1889">
        <v>1725</v>
      </c>
    </row>
    <row r="1890" spans="1:15" x14ac:dyDescent="0.25">
      <c r="A1890" t="str">
        <f>"10/21/2020 18:28:09.276"</f>
        <v>10/21/2020 18:28:09.276</v>
      </c>
      <c r="B1890" t="str">
        <f t="shared" si="98"/>
        <v>18:28:17.219</v>
      </c>
      <c r="C1890" t="str">
        <f t="shared" si="98"/>
        <v>18:28:17.219</v>
      </c>
      <c r="D1890" t="s">
        <v>750</v>
      </c>
      <c r="E1890">
        <v>30.548622999999999</v>
      </c>
      <c r="F1890" t="s">
        <v>751</v>
      </c>
      <c r="G1890">
        <v>-89.883934999999994</v>
      </c>
      <c r="H1890">
        <v>1700</v>
      </c>
      <c r="I1890">
        <v>53</v>
      </c>
      <c r="J1890">
        <v>125</v>
      </c>
      <c r="K1890">
        <v>64</v>
      </c>
      <c r="L1890">
        <v>1200</v>
      </c>
      <c r="M1890" t="str">
        <f t="shared" si="96"/>
        <v xml:space="preserve">N35DC   </v>
      </c>
      <c r="N1890">
        <v>1</v>
      </c>
      <c r="O1890">
        <v>1725</v>
      </c>
    </row>
    <row r="1891" spans="1:15" x14ac:dyDescent="0.25">
      <c r="A1891" t="str">
        <f>"10/21/2020 18:28:09.276"</f>
        <v>10/21/2020 18:28:09.276</v>
      </c>
      <c r="B1891" t="str">
        <f t="shared" si="98"/>
        <v>18:28:17.219</v>
      </c>
      <c r="C1891" t="str">
        <f t="shared" si="98"/>
        <v>18:28:17.219</v>
      </c>
      <c r="D1891" t="s">
        <v>750</v>
      </c>
      <c r="E1891">
        <v>30.548622999999999</v>
      </c>
      <c r="F1891" t="s">
        <v>751</v>
      </c>
      <c r="G1891">
        <v>-89.883934999999994</v>
      </c>
      <c r="H1891">
        <v>1700</v>
      </c>
      <c r="I1891">
        <v>53</v>
      </c>
      <c r="J1891">
        <v>125</v>
      </c>
      <c r="K1891">
        <v>64</v>
      </c>
      <c r="L1891">
        <v>1200</v>
      </c>
      <c r="M1891" t="str">
        <f t="shared" si="96"/>
        <v xml:space="preserve">N35DC   </v>
      </c>
      <c r="N1891">
        <v>1</v>
      </c>
      <c r="O1891">
        <v>1725</v>
      </c>
    </row>
    <row r="1892" spans="1:15" x14ac:dyDescent="0.25">
      <c r="A1892" t="str">
        <f>"10/21/2020 18:28:12.257"</f>
        <v>10/21/2020 18:28:12.257</v>
      </c>
      <c r="B1892" t="str">
        <f t="shared" ref="B1892:C1896" si="99">"18:28:20.203"</f>
        <v>18:28:20.203</v>
      </c>
      <c r="C1892" t="str">
        <f t="shared" si="99"/>
        <v>18:28:20.203</v>
      </c>
      <c r="D1892" t="s">
        <v>752</v>
      </c>
      <c r="E1892">
        <v>30.550381999999999</v>
      </c>
      <c r="F1892" t="s">
        <v>753</v>
      </c>
      <c r="G1892">
        <v>-89.883162999999996</v>
      </c>
      <c r="H1892">
        <v>1600</v>
      </c>
      <c r="I1892">
        <v>54</v>
      </c>
      <c r="J1892">
        <v>126</v>
      </c>
      <c r="K1892">
        <v>-320</v>
      </c>
      <c r="L1892">
        <v>1200</v>
      </c>
      <c r="M1892" t="str">
        <f t="shared" si="96"/>
        <v xml:space="preserve">N35DC   </v>
      </c>
      <c r="N1892">
        <v>1</v>
      </c>
      <c r="O1892">
        <v>1725</v>
      </c>
    </row>
    <row r="1893" spans="1:15" x14ac:dyDescent="0.25">
      <c r="A1893" t="str">
        <f>"10/21/2020 18:28:12.257"</f>
        <v>10/21/2020 18:28:12.257</v>
      </c>
      <c r="B1893" t="str">
        <f t="shared" si="99"/>
        <v>18:28:20.203</v>
      </c>
      <c r="C1893" t="str">
        <f t="shared" si="99"/>
        <v>18:28:20.203</v>
      </c>
      <c r="D1893" t="s">
        <v>752</v>
      </c>
      <c r="E1893">
        <v>30.550381999999999</v>
      </c>
      <c r="F1893" t="s">
        <v>753</v>
      </c>
      <c r="G1893">
        <v>-89.883162999999996</v>
      </c>
      <c r="H1893">
        <v>1600</v>
      </c>
      <c r="I1893">
        <v>54</v>
      </c>
      <c r="J1893">
        <v>126</v>
      </c>
      <c r="K1893">
        <v>-320</v>
      </c>
      <c r="L1893">
        <v>1200</v>
      </c>
      <c r="M1893" t="str">
        <f t="shared" si="96"/>
        <v xml:space="preserve">N35DC   </v>
      </c>
      <c r="N1893">
        <v>1</v>
      </c>
      <c r="O1893">
        <v>1725</v>
      </c>
    </row>
    <row r="1894" spans="1:15" x14ac:dyDescent="0.25">
      <c r="A1894" t="str">
        <f>"10/21/2020 18:28:12.257"</f>
        <v>10/21/2020 18:28:12.257</v>
      </c>
      <c r="B1894" t="str">
        <f t="shared" si="99"/>
        <v>18:28:20.203</v>
      </c>
      <c r="C1894" t="str">
        <f t="shared" si="99"/>
        <v>18:28:20.203</v>
      </c>
      <c r="D1894" t="s">
        <v>752</v>
      </c>
      <c r="E1894">
        <v>30.550381999999999</v>
      </c>
      <c r="F1894" t="s">
        <v>753</v>
      </c>
      <c r="G1894">
        <v>-89.883162999999996</v>
      </c>
      <c r="H1894">
        <v>1600</v>
      </c>
      <c r="I1894">
        <v>54</v>
      </c>
      <c r="J1894">
        <v>126</v>
      </c>
      <c r="K1894">
        <v>-320</v>
      </c>
      <c r="L1894">
        <v>1200</v>
      </c>
      <c r="M1894" t="str">
        <f t="shared" si="96"/>
        <v xml:space="preserve">N35DC   </v>
      </c>
      <c r="N1894">
        <v>1</v>
      </c>
      <c r="O1894">
        <v>1725</v>
      </c>
    </row>
    <row r="1895" spans="1:15" x14ac:dyDescent="0.25">
      <c r="A1895" t="str">
        <f>"10/21/2020 18:28:12.257"</f>
        <v>10/21/2020 18:28:12.257</v>
      </c>
      <c r="B1895" t="str">
        <f t="shared" si="99"/>
        <v>18:28:20.203</v>
      </c>
      <c r="C1895" t="str">
        <f t="shared" si="99"/>
        <v>18:28:20.203</v>
      </c>
      <c r="D1895" t="s">
        <v>752</v>
      </c>
      <c r="E1895">
        <v>30.550381999999999</v>
      </c>
      <c r="F1895" t="s">
        <v>753</v>
      </c>
      <c r="G1895">
        <v>-89.883162999999996</v>
      </c>
      <c r="H1895">
        <v>1600</v>
      </c>
      <c r="I1895">
        <v>54</v>
      </c>
      <c r="J1895">
        <v>126</v>
      </c>
      <c r="K1895">
        <v>-320</v>
      </c>
      <c r="L1895">
        <v>1200</v>
      </c>
      <c r="M1895" t="str">
        <f t="shared" si="96"/>
        <v xml:space="preserve">N35DC   </v>
      </c>
      <c r="N1895">
        <v>1</v>
      </c>
      <c r="O1895">
        <v>1725</v>
      </c>
    </row>
    <row r="1896" spans="1:15" x14ac:dyDescent="0.25">
      <c r="A1896" t="str">
        <f>"10/21/2020 18:28:12.257"</f>
        <v>10/21/2020 18:28:12.257</v>
      </c>
      <c r="B1896" t="str">
        <f t="shared" si="99"/>
        <v>18:28:20.203</v>
      </c>
      <c r="C1896" t="str">
        <f t="shared" si="99"/>
        <v>18:28:20.203</v>
      </c>
      <c r="D1896" t="s">
        <v>752</v>
      </c>
      <c r="E1896">
        <v>30.550381999999999</v>
      </c>
      <c r="F1896" t="s">
        <v>753</v>
      </c>
      <c r="G1896">
        <v>-89.883162999999996</v>
      </c>
      <c r="H1896">
        <v>1600</v>
      </c>
      <c r="I1896">
        <v>54</v>
      </c>
      <c r="J1896">
        <v>126</v>
      </c>
      <c r="K1896">
        <v>-320</v>
      </c>
      <c r="L1896">
        <v>1200</v>
      </c>
      <c r="M1896" t="str">
        <f t="shared" si="96"/>
        <v xml:space="preserve">N35DC   </v>
      </c>
      <c r="N1896">
        <v>1</v>
      </c>
      <c r="O1896">
        <v>1725</v>
      </c>
    </row>
    <row r="1897" spans="1:15" x14ac:dyDescent="0.25">
      <c r="A1897" t="str">
        <f>"10/21/2020 18:28:13.176"</f>
        <v>10/21/2020 18:28:13.176</v>
      </c>
      <c r="B1897" t="str">
        <f>"18:28:21.133"</f>
        <v>18:28:21.133</v>
      </c>
      <c r="C1897" t="str">
        <f>"18:28:20.833"</f>
        <v>18:28:20.833</v>
      </c>
      <c r="D1897" t="s">
        <v>754</v>
      </c>
      <c r="E1897">
        <v>30.550875999999999</v>
      </c>
      <c r="F1897" t="s">
        <v>755</v>
      </c>
      <c r="G1897">
        <v>-89.882884000000004</v>
      </c>
      <c r="H1897">
        <v>1600</v>
      </c>
      <c r="I1897">
        <v>55</v>
      </c>
      <c r="J1897">
        <v>126</v>
      </c>
      <c r="K1897">
        <v>-320</v>
      </c>
      <c r="L1897">
        <v>1200</v>
      </c>
      <c r="M1897" t="str">
        <f t="shared" si="96"/>
        <v xml:space="preserve">N35DC   </v>
      </c>
      <c r="N1897">
        <v>1</v>
      </c>
      <c r="O1897">
        <v>1725</v>
      </c>
    </row>
    <row r="1898" spans="1:15" x14ac:dyDescent="0.25">
      <c r="A1898" t="str">
        <f>"10/21/2020 18:28:13.176"</f>
        <v>10/21/2020 18:28:13.176</v>
      </c>
      <c r="B1898" t="str">
        <f>"18:28:21.133"</f>
        <v>18:28:21.133</v>
      </c>
      <c r="C1898" t="str">
        <f>"18:28:20.833"</f>
        <v>18:28:20.833</v>
      </c>
      <c r="D1898" t="s">
        <v>754</v>
      </c>
      <c r="E1898">
        <v>30.550875999999999</v>
      </c>
      <c r="F1898" t="s">
        <v>755</v>
      </c>
      <c r="G1898">
        <v>-89.882884000000004</v>
      </c>
      <c r="H1898">
        <v>1600</v>
      </c>
      <c r="I1898">
        <v>55</v>
      </c>
      <c r="J1898">
        <v>126</v>
      </c>
      <c r="K1898">
        <v>-320</v>
      </c>
      <c r="L1898">
        <v>1200</v>
      </c>
      <c r="M1898" t="str">
        <f t="shared" si="96"/>
        <v xml:space="preserve">N35DC   </v>
      </c>
      <c r="N1898">
        <v>1</v>
      </c>
      <c r="O1898">
        <v>1725</v>
      </c>
    </row>
    <row r="1899" spans="1:15" x14ac:dyDescent="0.25">
      <c r="A1899" t="str">
        <f>"10/21/2020 18:28:13.176"</f>
        <v>10/21/2020 18:28:13.176</v>
      </c>
      <c r="B1899" t="str">
        <f>"18:28:21.133"</f>
        <v>18:28:21.133</v>
      </c>
      <c r="C1899" t="str">
        <f>"18:28:20.833"</f>
        <v>18:28:20.833</v>
      </c>
      <c r="D1899" t="s">
        <v>754</v>
      </c>
      <c r="E1899">
        <v>30.550875999999999</v>
      </c>
      <c r="F1899" t="s">
        <v>755</v>
      </c>
      <c r="G1899">
        <v>-89.882884000000004</v>
      </c>
      <c r="H1899">
        <v>1600</v>
      </c>
      <c r="I1899">
        <v>55</v>
      </c>
      <c r="J1899">
        <v>126</v>
      </c>
      <c r="K1899">
        <v>-320</v>
      </c>
      <c r="L1899">
        <v>1200</v>
      </c>
      <c r="M1899" t="str">
        <f t="shared" si="96"/>
        <v xml:space="preserve">N35DC   </v>
      </c>
      <c r="N1899">
        <v>1</v>
      </c>
      <c r="O1899">
        <v>1725</v>
      </c>
    </row>
    <row r="1900" spans="1:15" x14ac:dyDescent="0.25">
      <c r="A1900" t="str">
        <f>"10/21/2020 18:28:13.176"</f>
        <v>10/21/2020 18:28:13.176</v>
      </c>
      <c r="B1900" t="str">
        <f>"18:28:21.133"</f>
        <v>18:28:21.133</v>
      </c>
      <c r="C1900" t="str">
        <f>"18:28:20.833"</f>
        <v>18:28:20.833</v>
      </c>
      <c r="D1900" t="s">
        <v>754</v>
      </c>
      <c r="E1900">
        <v>30.550875999999999</v>
      </c>
      <c r="F1900" t="s">
        <v>755</v>
      </c>
      <c r="G1900">
        <v>-89.882884000000004</v>
      </c>
      <c r="H1900">
        <v>1600</v>
      </c>
      <c r="I1900">
        <v>55</v>
      </c>
      <c r="J1900">
        <v>126</v>
      </c>
      <c r="K1900">
        <v>-320</v>
      </c>
      <c r="L1900">
        <v>1200</v>
      </c>
      <c r="M1900" t="str">
        <f t="shared" si="96"/>
        <v xml:space="preserve">N35DC   </v>
      </c>
      <c r="N1900">
        <v>1</v>
      </c>
      <c r="O1900">
        <v>1725</v>
      </c>
    </row>
    <row r="1901" spans="1:15" x14ac:dyDescent="0.25">
      <c r="A1901" t="str">
        <f>"10/21/2020 18:28:13.176"</f>
        <v>10/21/2020 18:28:13.176</v>
      </c>
      <c r="B1901" t="str">
        <f>"18:28:21.133"</f>
        <v>18:28:21.133</v>
      </c>
      <c r="C1901" t="str">
        <f>"18:28:20.833"</f>
        <v>18:28:20.833</v>
      </c>
      <c r="D1901" t="s">
        <v>754</v>
      </c>
      <c r="E1901">
        <v>30.550875999999999</v>
      </c>
      <c r="F1901" t="s">
        <v>755</v>
      </c>
      <c r="G1901">
        <v>-89.882884000000004</v>
      </c>
      <c r="H1901">
        <v>1600</v>
      </c>
      <c r="I1901">
        <v>55</v>
      </c>
      <c r="J1901">
        <v>126</v>
      </c>
      <c r="K1901">
        <v>-320</v>
      </c>
      <c r="L1901">
        <v>1200</v>
      </c>
      <c r="M1901" t="str">
        <f t="shared" si="96"/>
        <v xml:space="preserve">N35DC   </v>
      </c>
      <c r="N1901">
        <v>1</v>
      </c>
      <c r="O1901">
        <v>1725</v>
      </c>
    </row>
    <row r="1902" spans="1:15" x14ac:dyDescent="0.25">
      <c r="A1902" t="str">
        <f>"10/21/2020 18:28:15.156"</f>
        <v>10/21/2020 18:28:15.156</v>
      </c>
      <c r="B1902" t="str">
        <f>"18:28:23.094"</f>
        <v>18:28:23.094</v>
      </c>
      <c r="C1902" t="str">
        <f>"18:28:22.894"</f>
        <v>18:28:22.894</v>
      </c>
      <c r="D1902" t="s">
        <v>756</v>
      </c>
      <c r="E1902">
        <v>30.552056</v>
      </c>
      <c r="F1902" t="s">
        <v>757</v>
      </c>
      <c r="G1902">
        <v>-89.882283000000001</v>
      </c>
      <c r="H1902">
        <v>1600</v>
      </c>
      <c r="I1902">
        <v>55</v>
      </c>
      <c r="J1902">
        <v>127</v>
      </c>
      <c r="K1902">
        <v>-384</v>
      </c>
      <c r="L1902">
        <v>1200</v>
      </c>
      <c r="M1902" t="str">
        <f t="shared" si="96"/>
        <v xml:space="preserve">N35DC   </v>
      </c>
      <c r="N1902">
        <v>1</v>
      </c>
      <c r="O1902">
        <v>1700</v>
      </c>
    </row>
    <row r="1903" spans="1:15" x14ac:dyDescent="0.25">
      <c r="A1903" t="str">
        <f>"10/21/2020 18:28:15.156"</f>
        <v>10/21/2020 18:28:15.156</v>
      </c>
      <c r="B1903" t="str">
        <f>"18:28:23.094"</f>
        <v>18:28:23.094</v>
      </c>
      <c r="C1903" t="str">
        <f>"18:28:22.894"</f>
        <v>18:28:22.894</v>
      </c>
      <c r="D1903" t="s">
        <v>756</v>
      </c>
      <c r="E1903">
        <v>30.552056</v>
      </c>
      <c r="F1903" t="s">
        <v>757</v>
      </c>
      <c r="G1903">
        <v>-89.882283000000001</v>
      </c>
      <c r="H1903">
        <v>1600</v>
      </c>
      <c r="I1903">
        <v>55</v>
      </c>
      <c r="J1903">
        <v>127</v>
      </c>
      <c r="K1903">
        <v>-384</v>
      </c>
      <c r="L1903">
        <v>1200</v>
      </c>
      <c r="M1903" t="str">
        <f t="shared" si="96"/>
        <v xml:space="preserve">N35DC   </v>
      </c>
      <c r="N1903">
        <v>1</v>
      </c>
      <c r="O1903">
        <v>1700</v>
      </c>
    </row>
    <row r="1904" spans="1:15" x14ac:dyDescent="0.25">
      <c r="A1904" t="str">
        <f>"10/21/2020 18:28:15.156"</f>
        <v>10/21/2020 18:28:15.156</v>
      </c>
      <c r="B1904" t="str">
        <f>"18:28:23.094"</f>
        <v>18:28:23.094</v>
      </c>
      <c r="C1904" t="str">
        <f>"18:28:22.894"</f>
        <v>18:28:22.894</v>
      </c>
      <c r="D1904" t="s">
        <v>756</v>
      </c>
      <c r="E1904">
        <v>30.552056</v>
      </c>
      <c r="F1904" t="s">
        <v>757</v>
      </c>
      <c r="G1904">
        <v>-89.882283000000001</v>
      </c>
      <c r="H1904">
        <v>1600</v>
      </c>
      <c r="I1904">
        <v>55</v>
      </c>
      <c r="J1904">
        <v>127</v>
      </c>
      <c r="K1904">
        <v>-384</v>
      </c>
      <c r="L1904">
        <v>1200</v>
      </c>
      <c r="M1904" t="str">
        <f t="shared" si="96"/>
        <v xml:space="preserve">N35DC   </v>
      </c>
      <c r="N1904">
        <v>1</v>
      </c>
      <c r="O1904">
        <v>1700</v>
      </c>
    </row>
    <row r="1905" spans="1:15" x14ac:dyDescent="0.25">
      <c r="A1905" t="str">
        <f>"10/21/2020 18:28:15.156"</f>
        <v>10/21/2020 18:28:15.156</v>
      </c>
      <c r="B1905" t="str">
        <f>"18:28:23.094"</f>
        <v>18:28:23.094</v>
      </c>
      <c r="C1905" t="str">
        <f>"18:28:22.894"</f>
        <v>18:28:22.894</v>
      </c>
      <c r="D1905" t="s">
        <v>756</v>
      </c>
      <c r="E1905">
        <v>30.552056</v>
      </c>
      <c r="F1905" t="s">
        <v>757</v>
      </c>
      <c r="G1905">
        <v>-89.882283000000001</v>
      </c>
      <c r="H1905">
        <v>1600</v>
      </c>
      <c r="I1905">
        <v>55</v>
      </c>
      <c r="J1905">
        <v>127</v>
      </c>
      <c r="K1905">
        <v>-384</v>
      </c>
      <c r="L1905">
        <v>1200</v>
      </c>
      <c r="M1905" t="str">
        <f t="shared" si="96"/>
        <v xml:space="preserve">N35DC   </v>
      </c>
      <c r="N1905">
        <v>1</v>
      </c>
      <c r="O1905">
        <v>1700</v>
      </c>
    </row>
    <row r="1906" spans="1:15" x14ac:dyDescent="0.25">
      <c r="A1906" t="str">
        <f>"10/21/2020 18:28:15.156"</f>
        <v>10/21/2020 18:28:15.156</v>
      </c>
      <c r="B1906" t="str">
        <f>"18:28:23.094"</f>
        <v>18:28:23.094</v>
      </c>
      <c r="C1906" t="str">
        <f>"18:28:22.894"</f>
        <v>18:28:22.894</v>
      </c>
      <c r="D1906" t="s">
        <v>756</v>
      </c>
      <c r="E1906">
        <v>30.552056</v>
      </c>
      <c r="F1906" t="s">
        <v>757</v>
      </c>
      <c r="G1906">
        <v>-89.882283000000001</v>
      </c>
      <c r="H1906">
        <v>1600</v>
      </c>
      <c r="I1906">
        <v>55</v>
      </c>
      <c r="J1906">
        <v>127</v>
      </c>
      <c r="K1906">
        <v>-384</v>
      </c>
      <c r="L1906">
        <v>1200</v>
      </c>
      <c r="M1906" t="str">
        <f t="shared" si="96"/>
        <v xml:space="preserve">N35DC   </v>
      </c>
      <c r="N1906">
        <v>1</v>
      </c>
      <c r="O1906">
        <v>1700</v>
      </c>
    </row>
    <row r="1907" spans="1:15" x14ac:dyDescent="0.25">
      <c r="A1907" t="str">
        <f>"10/21/2020 18:28:16.019"</f>
        <v>10/21/2020 18:28:16.019</v>
      </c>
      <c r="B1907" t="str">
        <f>"18:28:23.969"</f>
        <v>18:28:23.969</v>
      </c>
      <c r="C1907" t="str">
        <f>"18:28:23.869"</f>
        <v>18:28:23.869</v>
      </c>
      <c r="D1907" t="s">
        <v>758</v>
      </c>
      <c r="E1907">
        <v>30.552613999999998</v>
      </c>
      <c r="F1907" t="s">
        <v>759</v>
      </c>
      <c r="G1907">
        <v>-89.882003999999995</v>
      </c>
      <c r="H1907">
        <v>1600</v>
      </c>
      <c r="I1907">
        <v>55</v>
      </c>
      <c r="J1907">
        <v>128</v>
      </c>
      <c r="K1907">
        <v>-448</v>
      </c>
      <c r="L1907">
        <v>1200</v>
      </c>
      <c r="M1907" t="str">
        <f t="shared" si="96"/>
        <v xml:space="preserve">N35DC   </v>
      </c>
      <c r="N1907">
        <v>1</v>
      </c>
      <c r="O1907">
        <v>1700</v>
      </c>
    </row>
    <row r="1908" spans="1:15" x14ac:dyDescent="0.25">
      <c r="A1908" t="str">
        <f>"10/21/2020 18:28:16.019"</f>
        <v>10/21/2020 18:28:16.019</v>
      </c>
      <c r="B1908" t="str">
        <f>"18:28:23.969"</f>
        <v>18:28:23.969</v>
      </c>
      <c r="C1908" t="str">
        <f>"18:28:23.869"</f>
        <v>18:28:23.869</v>
      </c>
      <c r="D1908" t="s">
        <v>758</v>
      </c>
      <c r="E1908">
        <v>30.552613999999998</v>
      </c>
      <c r="F1908" t="s">
        <v>759</v>
      </c>
      <c r="G1908">
        <v>-89.882003999999995</v>
      </c>
      <c r="H1908">
        <v>1600</v>
      </c>
      <c r="I1908">
        <v>55</v>
      </c>
      <c r="J1908">
        <v>128</v>
      </c>
      <c r="K1908">
        <v>-448</v>
      </c>
      <c r="L1908">
        <v>1200</v>
      </c>
      <c r="M1908" t="str">
        <f t="shared" si="96"/>
        <v xml:space="preserve">N35DC   </v>
      </c>
      <c r="N1908">
        <v>1</v>
      </c>
      <c r="O1908">
        <v>1700</v>
      </c>
    </row>
    <row r="1909" spans="1:15" x14ac:dyDescent="0.25">
      <c r="A1909" t="str">
        <f>"10/21/2020 18:28:16.019"</f>
        <v>10/21/2020 18:28:16.019</v>
      </c>
      <c r="B1909" t="str">
        <f>"18:28:23.969"</f>
        <v>18:28:23.969</v>
      </c>
      <c r="C1909" t="str">
        <f>"18:28:23.869"</f>
        <v>18:28:23.869</v>
      </c>
      <c r="D1909" t="s">
        <v>758</v>
      </c>
      <c r="E1909">
        <v>30.552613999999998</v>
      </c>
      <c r="F1909" t="s">
        <v>759</v>
      </c>
      <c r="G1909">
        <v>-89.882003999999995</v>
      </c>
      <c r="H1909">
        <v>1600</v>
      </c>
      <c r="I1909">
        <v>55</v>
      </c>
      <c r="J1909">
        <v>128</v>
      </c>
      <c r="K1909">
        <v>-448</v>
      </c>
      <c r="L1909">
        <v>1200</v>
      </c>
      <c r="M1909" t="str">
        <f t="shared" si="96"/>
        <v xml:space="preserve">N35DC   </v>
      </c>
      <c r="N1909">
        <v>1</v>
      </c>
      <c r="O1909">
        <v>1700</v>
      </c>
    </row>
    <row r="1910" spans="1:15" x14ac:dyDescent="0.25">
      <c r="A1910" t="str">
        <f>"10/21/2020 18:28:16.019"</f>
        <v>10/21/2020 18:28:16.019</v>
      </c>
      <c r="B1910" t="str">
        <f>"18:28:23.969"</f>
        <v>18:28:23.969</v>
      </c>
      <c r="C1910" t="str">
        <f>"18:28:23.869"</f>
        <v>18:28:23.869</v>
      </c>
      <c r="D1910" t="s">
        <v>758</v>
      </c>
      <c r="E1910">
        <v>30.552613999999998</v>
      </c>
      <c r="F1910" t="s">
        <v>759</v>
      </c>
      <c r="G1910">
        <v>-89.882003999999995</v>
      </c>
      <c r="H1910">
        <v>1600</v>
      </c>
      <c r="I1910">
        <v>55</v>
      </c>
      <c r="J1910">
        <v>128</v>
      </c>
      <c r="K1910">
        <v>-448</v>
      </c>
      <c r="L1910">
        <v>1200</v>
      </c>
      <c r="M1910" t="str">
        <f t="shared" si="96"/>
        <v xml:space="preserve">N35DC   </v>
      </c>
      <c r="N1910">
        <v>1</v>
      </c>
      <c r="O1910">
        <v>1700</v>
      </c>
    </row>
    <row r="1911" spans="1:15" x14ac:dyDescent="0.25">
      <c r="A1911" t="str">
        <f>"10/21/2020 18:28:16.019"</f>
        <v>10/21/2020 18:28:16.019</v>
      </c>
      <c r="B1911" t="str">
        <f>"18:28:23.969"</f>
        <v>18:28:23.969</v>
      </c>
      <c r="C1911" t="str">
        <f>"18:28:23.869"</f>
        <v>18:28:23.869</v>
      </c>
      <c r="D1911" t="s">
        <v>758</v>
      </c>
      <c r="E1911">
        <v>30.552613999999998</v>
      </c>
      <c r="F1911" t="s">
        <v>759</v>
      </c>
      <c r="G1911">
        <v>-89.882003999999995</v>
      </c>
      <c r="H1911">
        <v>1600</v>
      </c>
      <c r="I1911">
        <v>55</v>
      </c>
      <c r="J1911">
        <v>128</v>
      </c>
      <c r="K1911">
        <v>-448</v>
      </c>
      <c r="L1911">
        <v>1200</v>
      </c>
      <c r="M1911" t="str">
        <f t="shared" si="96"/>
        <v xml:space="preserve">N35DC   </v>
      </c>
      <c r="N1911">
        <v>1</v>
      </c>
      <c r="O1911">
        <v>1700</v>
      </c>
    </row>
    <row r="1912" spans="1:15" x14ac:dyDescent="0.25">
      <c r="A1912" t="str">
        <f>"10/21/2020 18:28:18.896"</f>
        <v>10/21/2020 18:28:18.896</v>
      </c>
      <c r="B1912" t="str">
        <f>"18:28:26.844"</f>
        <v>18:28:26.844</v>
      </c>
      <c r="C1912" t="str">
        <f>"18:28:26.744"</f>
        <v>18:28:26.744</v>
      </c>
      <c r="D1912" t="s">
        <v>760</v>
      </c>
      <c r="E1912">
        <v>30.554352000000002</v>
      </c>
      <c r="F1912" t="s">
        <v>761</v>
      </c>
      <c r="G1912">
        <v>-89.881189000000006</v>
      </c>
      <c r="H1912">
        <v>1600</v>
      </c>
      <c r="I1912">
        <v>51</v>
      </c>
      <c r="J1912">
        <v>132</v>
      </c>
      <c r="K1912">
        <v>-192</v>
      </c>
      <c r="L1912">
        <v>1200</v>
      </c>
      <c r="M1912" t="str">
        <f t="shared" si="96"/>
        <v xml:space="preserve">N35DC   </v>
      </c>
      <c r="N1912">
        <v>1</v>
      </c>
      <c r="O1912">
        <v>1675</v>
      </c>
    </row>
    <row r="1913" spans="1:15" x14ac:dyDescent="0.25">
      <c r="A1913" t="str">
        <f>"10/21/2020 18:28:18.896"</f>
        <v>10/21/2020 18:28:18.896</v>
      </c>
      <c r="B1913" t="str">
        <f>"18:28:26.844"</f>
        <v>18:28:26.844</v>
      </c>
      <c r="C1913" t="str">
        <f>"18:28:26.844"</f>
        <v>18:28:26.844</v>
      </c>
      <c r="D1913" t="s">
        <v>760</v>
      </c>
      <c r="E1913">
        <v>30.554352000000002</v>
      </c>
      <c r="F1913" t="s">
        <v>761</v>
      </c>
      <c r="G1913">
        <v>-89.881189000000006</v>
      </c>
      <c r="H1913">
        <v>1600</v>
      </c>
      <c r="I1913">
        <v>51</v>
      </c>
      <c r="J1913">
        <v>132</v>
      </c>
      <c r="K1913">
        <v>-192</v>
      </c>
      <c r="L1913">
        <v>1200</v>
      </c>
      <c r="M1913" t="str">
        <f t="shared" si="96"/>
        <v xml:space="preserve">N35DC   </v>
      </c>
      <c r="N1913">
        <v>1</v>
      </c>
      <c r="O1913">
        <v>1675</v>
      </c>
    </row>
    <row r="1914" spans="1:15" x14ac:dyDescent="0.25">
      <c r="A1914" t="str">
        <f>"10/21/2020 18:28:18.896"</f>
        <v>10/21/2020 18:28:18.896</v>
      </c>
      <c r="B1914" t="str">
        <f>"18:28:26.844"</f>
        <v>18:28:26.844</v>
      </c>
      <c r="C1914" t="str">
        <f>"18:28:26.844"</f>
        <v>18:28:26.844</v>
      </c>
      <c r="D1914" t="s">
        <v>760</v>
      </c>
      <c r="E1914">
        <v>30.554352000000002</v>
      </c>
      <c r="F1914" t="s">
        <v>761</v>
      </c>
      <c r="G1914">
        <v>-89.881189000000006</v>
      </c>
      <c r="H1914">
        <v>1600</v>
      </c>
      <c r="I1914">
        <v>51</v>
      </c>
      <c r="J1914">
        <v>132</v>
      </c>
      <c r="K1914">
        <v>-192</v>
      </c>
      <c r="L1914">
        <v>1200</v>
      </c>
      <c r="M1914" t="str">
        <f t="shared" si="96"/>
        <v xml:space="preserve">N35DC   </v>
      </c>
      <c r="N1914">
        <v>1</v>
      </c>
      <c r="O1914">
        <v>1675</v>
      </c>
    </row>
    <row r="1915" spans="1:15" x14ac:dyDescent="0.25">
      <c r="A1915" t="str">
        <f>"10/21/2020 18:28:18.896"</f>
        <v>10/21/2020 18:28:18.896</v>
      </c>
      <c r="B1915" t="str">
        <f>"18:28:26.844"</f>
        <v>18:28:26.844</v>
      </c>
      <c r="C1915" t="str">
        <f>"18:28:26.744"</f>
        <v>18:28:26.744</v>
      </c>
      <c r="D1915" t="s">
        <v>760</v>
      </c>
      <c r="E1915">
        <v>30.554352000000002</v>
      </c>
      <c r="F1915" t="s">
        <v>761</v>
      </c>
      <c r="G1915">
        <v>-89.881189000000006</v>
      </c>
      <c r="H1915">
        <v>1600</v>
      </c>
      <c r="I1915">
        <v>51</v>
      </c>
      <c r="J1915">
        <v>132</v>
      </c>
      <c r="K1915">
        <v>-192</v>
      </c>
      <c r="L1915">
        <v>1200</v>
      </c>
      <c r="M1915" t="str">
        <f t="shared" si="96"/>
        <v xml:space="preserve">N35DC   </v>
      </c>
      <c r="N1915">
        <v>1</v>
      </c>
      <c r="O1915">
        <v>1675</v>
      </c>
    </row>
    <row r="1916" spans="1:15" x14ac:dyDescent="0.25">
      <c r="A1916" t="str">
        <f>"10/21/2020 18:28:18.896"</f>
        <v>10/21/2020 18:28:18.896</v>
      </c>
      <c r="B1916" t="str">
        <f>"18:28:26.844"</f>
        <v>18:28:26.844</v>
      </c>
      <c r="C1916" t="str">
        <f>"18:28:26.744"</f>
        <v>18:28:26.744</v>
      </c>
      <c r="D1916" t="s">
        <v>760</v>
      </c>
      <c r="E1916">
        <v>30.554352000000002</v>
      </c>
      <c r="F1916" t="s">
        <v>761</v>
      </c>
      <c r="G1916">
        <v>-89.881189000000006</v>
      </c>
      <c r="H1916">
        <v>1600</v>
      </c>
      <c r="I1916">
        <v>51</v>
      </c>
      <c r="J1916">
        <v>132</v>
      </c>
      <c r="K1916">
        <v>-192</v>
      </c>
      <c r="L1916">
        <v>1200</v>
      </c>
      <c r="M1916" t="str">
        <f t="shared" si="96"/>
        <v xml:space="preserve">N35DC   </v>
      </c>
      <c r="N1916">
        <v>1</v>
      </c>
      <c r="O1916">
        <v>1675</v>
      </c>
    </row>
    <row r="1917" spans="1:15" x14ac:dyDescent="0.25">
      <c r="A1917" t="str">
        <f>"10/21/2020 18:28:20.039"</f>
        <v>10/21/2020 18:28:20.039</v>
      </c>
      <c r="B1917" t="str">
        <f>"18:28:27.984"</f>
        <v>18:28:27.984</v>
      </c>
      <c r="C1917" t="str">
        <f>"18:28:27.684"</f>
        <v>18:28:27.684</v>
      </c>
      <c r="D1917" t="s">
        <v>762</v>
      </c>
      <c r="E1917">
        <v>30.555038</v>
      </c>
      <c r="F1917" t="s">
        <v>763</v>
      </c>
      <c r="G1917">
        <v>-89.880931000000004</v>
      </c>
      <c r="H1917">
        <v>1600</v>
      </c>
      <c r="I1917">
        <v>49</v>
      </c>
      <c r="J1917">
        <v>133</v>
      </c>
      <c r="K1917">
        <v>-192</v>
      </c>
      <c r="L1917">
        <v>1200</v>
      </c>
      <c r="M1917" t="str">
        <f t="shared" si="96"/>
        <v xml:space="preserve">N35DC   </v>
      </c>
      <c r="N1917">
        <v>1</v>
      </c>
      <c r="O1917">
        <v>1675</v>
      </c>
    </row>
    <row r="1918" spans="1:15" x14ac:dyDescent="0.25">
      <c r="A1918" t="str">
        <f>"10/21/2020 18:28:20.039"</f>
        <v>10/21/2020 18:28:20.039</v>
      </c>
      <c r="B1918" t="str">
        <f>"18:28:27.984"</f>
        <v>18:28:27.984</v>
      </c>
      <c r="C1918" t="str">
        <f>"18:28:27.684"</f>
        <v>18:28:27.684</v>
      </c>
      <c r="D1918" t="s">
        <v>762</v>
      </c>
      <c r="E1918">
        <v>30.555038</v>
      </c>
      <c r="F1918" t="s">
        <v>763</v>
      </c>
      <c r="G1918">
        <v>-89.880931000000004</v>
      </c>
      <c r="H1918">
        <v>1600</v>
      </c>
      <c r="I1918">
        <v>49</v>
      </c>
      <c r="J1918">
        <v>133</v>
      </c>
      <c r="K1918">
        <v>-192</v>
      </c>
      <c r="L1918">
        <v>1200</v>
      </c>
      <c r="M1918" t="str">
        <f t="shared" si="96"/>
        <v xml:space="preserve">N35DC   </v>
      </c>
      <c r="N1918">
        <v>1</v>
      </c>
      <c r="O1918">
        <v>1675</v>
      </c>
    </row>
    <row r="1919" spans="1:15" x14ac:dyDescent="0.25">
      <c r="A1919" t="str">
        <f>"10/21/2020 18:28:20.039"</f>
        <v>10/21/2020 18:28:20.039</v>
      </c>
      <c r="B1919" t="str">
        <f>"18:28:27.984"</f>
        <v>18:28:27.984</v>
      </c>
      <c r="C1919" t="str">
        <f>"18:28:27.684"</f>
        <v>18:28:27.684</v>
      </c>
      <c r="D1919" t="s">
        <v>762</v>
      </c>
      <c r="E1919">
        <v>30.555038</v>
      </c>
      <c r="F1919" t="s">
        <v>763</v>
      </c>
      <c r="G1919">
        <v>-89.880931000000004</v>
      </c>
      <c r="H1919">
        <v>1600</v>
      </c>
      <c r="I1919">
        <v>49</v>
      </c>
      <c r="J1919">
        <v>133</v>
      </c>
      <c r="K1919">
        <v>-192</v>
      </c>
      <c r="L1919">
        <v>1200</v>
      </c>
      <c r="M1919" t="str">
        <f t="shared" si="96"/>
        <v xml:space="preserve">N35DC   </v>
      </c>
      <c r="N1919">
        <v>1</v>
      </c>
      <c r="O1919">
        <v>1675</v>
      </c>
    </row>
    <row r="1920" spans="1:15" x14ac:dyDescent="0.25">
      <c r="A1920" t="str">
        <f>"10/21/2020 18:28:20.039"</f>
        <v>10/21/2020 18:28:20.039</v>
      </c>
      <c r="B1920" t="str">
        <f>"18:28:27.984"</f>
        <v>18:28:27.984</v>
      </c>
      <c r="C1920" t="str">
        <f>"18:28:27.684"</f>
        <v>18:28:27.684</v>
      </c>
      <c r="D1920" t="s">
        <v>762</v>
      </c>
      <c r="E1920">
        <v>30.555038</v>
      </c>
      <c r="F1920" t="s">
        <v>763</v>
      </c>
      <c r="G1920">
        <v>-89.880931000000004</v>
      </c>
      <c r="H1920">
        <v>1600</v>
      </c>
      <c r="I1920">
        <v>49</v>
      </c>
      <c r="J1920">
        <v>133</v>
      </c>
      <c r="K1920">
        <v>-192</v>
      </c>
      <c r="L1920">
        <v>1200</v>
      </c>
      <c r="M1920" t="str">
        <f t="shared" si="96"/>
        <v xml:space="preserve">N35DC   </v>
      </c>
      <c r="N1920">
        <v>1</v>
      </c>
      <c r="O1920">
        <v>1675</v>
      </c>
    </row>
    <row r="1921" spans="1:15" x14ac:dyDescent="0.25">
      <c r="A1921" t="str">
        <f>"10/21/2020 18:28:20.039"</f>
        <v>10/21/2020 18:28:20.039</v>
      </c>
      <c r="B1921" t="str">
        <f>"18:28:27.984"</f>
        <v>18:28:27.984</v>
      </c>
      <c r="C1921" t="str">
        <f>"18:28:27.684"</f>
        <v>18:28:27.684</v>
      </c>
      <c r="D1921" t="s">
        <v>762</v>
      </c>
      <c r="E1921">
        <v>30.555038</v>
      </c>
      <c r="F1921" t="s">
        <v>763</v>
      </c>
      <c r="G1921">
        <v>-89.880931000000004</v>
      </c>
      <c r="H1921">
        <v>1600</v>
      </c>
      <c r="I1921">
        <v>49</v>
      </c>
      <c r="J1921">
        <v>133</v>
      </c>
      <c r="K1921">
        <v>-192</v>
      </c>
      <c r="L1921">
        <v>1200</v>
      </c>
      <c r="M1921" t="str">
        <f t="shared" si="96"/>
        <v xml:space="preserve">N35DC   </v>
      </c>
      <c r="N1921">
        <v>1</v>
      </c>
      <c r="O1921">
        <v>1675</v>
      </c>
    </row>
    <row r="1922" spans="1:15" x14ac:dyDescent="0.25">
      <c r="A1922" t="str">
        <f>"10/21/2020 18:28:22.182"</f>
        <v>10/21/2020 18:28:22.182</v>
      </c>
      <c r="B1922" t="str">
        <f>"18:28:30.133"</f>
        <v>18:28:30.133</v>
      </c>
      <c r="C1922" t="str">
        <f>"18:28:29.733"</f>
        <v>18:28:29.733</v>
      </c>
      <c r="D1922" t="s">
        <v>764</v>
      </c>
      <c r="E1922">
        <v>30.556369</v>
      </c>
      <c r="F1922" t="s">
        <v>765</v>
      </c>
      <c r="G1922">
        <v>-89.880394999999993</v>
      </c>
      <c r="H1922">
        <v>1600</v>
      </c>
      <c r="I1922">
        <v>43</v>
      </c>
      <c r="J1922">
        <v>135</v>
      </c>
      <c r="K1922">
        <v>0</v>
      </c>
      <c r="L1922">
        <v>1200</v>
      </c>
      <c r="M1922" t="str">
        <f t="shared" si="96"/>
        <v xml:space="preserve">N35DC   </v>
      </c>
      <c r="N1922">
        <v>1</v>
      </c>
      <c r="O1922">
        <v>1675</v>
      </c>
    </row>
    <row r="1923" spans="1:15" x14ac:dyDescent="0.25">
      <c r="A1923" t="str">
        <f>"10/21/2020 18:28:22.182"</f>
        <v>10/21/2020 18:28:22.182</v>
      </c>
      <c r="B1923" t="str">
        <f>"18:28:30.133"</f>
        <v>18:28:30.133</v>
      </c>
      <c r="C1923" t="str">
        <f>"18:28:29.733"</f>
        <v>18:28:29.733</v>
      </c>
      <c r="D1923" t="s">
        <v>764</v>
      </c>
      <c r="E1923">
        <v>30.556369</v>
      </c>
      <c r="F1923" t="s">
        <v>765</v>
      </c>
      <c r="G1923">
        <v>-89.880394999999993</v>
      </c>
      <c r="H1923">
        <v>1600</v>
      </c>
      <c r="I1923">
        <v>43</v>
      </c>
      <c r="J1923">
        <v>135</v>
      </c>
      <c r="K1923">
        <v>0</v>
      </c>
      <c r="L1923">
        <v>1200</v>
      </c>
      <c r="M1923" t="str">
        <f t="shared" si="96"/>
        <v xml:space="preserve">N35DC   </v>
      </c>
      <c r="N1923">
        <v>1</v>
      </c>
      <c r="O1923">
        <v>1675</v>
      </c>
    </row>
    <row r="1924" spans="1:15" x14ac:dyDescent="0.25">
      <c r="A1924" t="str">
        <f>"10/21/2020 18:28:22.182"</f>
        <v>10/21/2020 18:28:22.182</v>
      </c>
      <c r="B1924" t="str">
        <f>"18:28:30.133"</f>
        <v>18:28:30.133</v>
      </c>
      <c r="C1924" t="str">
        <f>"18:28:29.733"</f>
        <v>18:28:29.733</v>
      </c>
      <c r="D1924" t="s">
        <v>764</v>
      </c>
      <c r="E1924">
        <v>30.556369</v>
      </c>
      <c r="F1924" t="s">
        <v>765</v>
      </c>
      <c r="G1924">
        <v>-89.880394999999993</v>
      </c>
      <c r="H1924">
        <v>1600</v>
      </c>
      <c r="I1924">
        <v>43</v>
      </c>
      <c r="J1924">
        <v>135</v>
      </c>
      <c r="K1924">
        <v>0</v>
      </c>
      <c r="L1924">
        <v>1200</v>
      </c>
      <c r="M1924" t="str">
        <f t="shared" si="96"/>
        <v xml:space="preserve">N35DC   </v>
      </c>
      <c r="N1924">
        <v>1</v>
      </c>
      <c r="O1924">
        <v>1675</v>
      </c>
    </row>
    <row r="1925" spans="1:15" x14ac:dyDescent="0.25">
      <c r="A1925" t="str">
        <f>"10/21/2020 18:28:22.182"</f>
        <v>10/21/2020 18:28:22.182</v>
      </c>
      <c r="B1925" t="str">
        <f>"18:28:30.133"</f>
        <v>18:28:30.133</v>
      </c>
      <c r="C1925" t="str">
        <f>"18:28:29.733"</f>
        <v>18:28:29.733</v>
      </c>
      <c r="D1925" t="s">
        <v>764</v>
      </c>
      <c r="E1925">
        <v>30.556369</v>
      </c>
      <c r="F1925" t="s">
        <v>765</v>
      </c>
      <c r="G1925">
        <v>-89.880394999999993</v>
      </c>
      <c r="H1925">
        <v>1600</v>
      </c>
      <c r="I1925">
        <v>43</v>
      </c>
      <c r="J1925">
        <v>135</v>
      </c>
      <c r="K1925">
        <v>0</v>
      </c>
      <c r="L1925">
        <v>1200</v>
      </c>
      <c r="M1925" t="str">
        <f t="shared" si="96"/>
        <v xml:space="preserve">N35DC   </v>
      </c>
      <c r="N1925">
        <v>1</v>
      </c>
      <c r="O1925">
        <v>1675</v>
      </c>
    </row>
    <row r="1926" spans="1:15" x14ac:dyDescent="0.25">
      <c r="A1926" t="str">
        <f>"10/21/2020 18:28:22.182"</f>
        <v>10/21/2020 18:28:22.182</v>
      </c>
      <c r="B1926" t="str">
        <f>"18:28:30.133"</f>
        <v>18:28:30.133</v>
      </c>
      <c r="C1926" t="str">
        <f>"18:28:29.733"</f>
        <v>18:28:29.733</v>
      </c>
      <c r="D1926" t="s">
        <v>764</v>
      </c>
      <c r="E1926">
        <v>30.556369</v>
      </c>
      <c r="F1926" t="s">
        <v>765</v>
      </c>
      <c r="G1926">
        <v>-89.880394999999993</v>
      </c>
      <c r="H1926">
        <v>1600</v>
      </c>
      <c r="I1926">
        <v>43</v>
      </c>
      <c r="J1926">
        <v>135</v>
      </c>
      <c r="K1926">
        <v>0</v>
      </c>
      <c r="L1926">
        <v>1200</v>
      </c>
      <c r="M1926" t="str">
        <f t="shared" si="96"/>
        <v xml:space="preserve">N35DC   </v>
      </c>
      <c r="N1926">
        <v>1</v>
      </c>
      <c r="O1926">
        <v>1675</v>
      </c>
    </row>
    <row r="1927" spans="1:15" x14ac:dyDescent="0.25">
      <c r="A1927" t="str">
        <f>"10/21/2020 18:28:23.224"</f>
        <v>10/21/2020 18:28:23.224</v>
      </c>
      <c r="B1927" t="str">
        <f>"18:28:31.164"</f>
        <v>18:28:31.164</v>
      </c>
      <c r="C1927" t="str">
        <f>"18:28:30.764"</f>
        <v>18:28:30.764</v>
      </c>
      <c r="D1927" t="s">
        <v>766</v>
      </c>
      <c r="E1927">
        <v>30.557034000000002</v>
      </c>
      <c r="F1927" t="s">
        <v>767</v>
      </c>
      <c r="G1927">
        <v>-89.880201999999997</v>
      </c>
      <c r="H1927">
        <v>1600</v>
      </c>
      <c r="I1927">
        <v>40</v>
      </c>
      <c r="J1927">
        <v>136</v>
      </c>
      <c r="K1927">
        <v>64</v>
      </c>
      <c r="L1927">
        <v>1200</v>
      </c>
      <c r="M1927" t="str">
        <f t="shared" ref="M1927:M1990" si="100">"N35DC   "</f>
        <v xml:space="preserve">N35DC   </v>
      </c>
      <c r="N1927">
        <v>1</v>
      </c>
      <c r="O1927">
        <v>1675</v>
      </c>
    </row>
    <row r="1928" spans="1:15" x14ac:dyDescent="0.25">
      <c r="A1928" t="str">
        <f>"10/21/2020 18:28:23.224"</f>
        <v>10/21/2020 18:28:23.224</v>
      </c>
      <c r="B1928" t="str">
        <f>"18:28:31.164"</f>
        <v>18:28:31.164</v>
      </c>
      <c r="C1928" t="str">
        <f>"18:28:30.764"</f>
        <v>18:28:30.764</v>
      </c>
      <c r="D1928" t="s">
        <v>766</v>
      </c>
      <c r="E1928">
        <v>30.557034000000002</v>
      </c>
      <c r="F1928" t="s">
        <v>767</v>
      </c>
      <c r="G1928">
        <v>-89.880201999999997</v>
      </c>
      <c r="H1928">
        <v>1600</v>
      </c>
      <c r="I1928">
        <v>40</v>
      </c>
      <c r="J1928">
        <v>136</v>
      </c>
      <c r="K1928">
        <v>64</v>
      </c>
      <c r="L1928">
        <v>1200</v>
      </c>
      <c r="M1928" t="str">
        <f t="shared" si="100"/>
        <v xml:space="preserve">N35DC   </v>
      </c>
      <c r="N1928">
        <v>1</v>
      </c>
      <c r="O1928">
        <v>1675</v>
      </c>
    </row>
    <row r="1929" spans="1:15" x14ac:dyDescent="0.25">
      <c r="A1929" t="str">
        <f>"10/21/2020 18:28:23.224"</f>
        <v>10/21/2020 18:28:23.224</v>
      </c>
      <c r="B1929" t="str">
        <f>"18:28:31.164"</f>
        <v>18:28:31.164</v>
      </c>
      <c r="C1929" t="str">
        <f>"18:28:30.864"</f>
        <v>18:28:30.864</v>
      </c>
      <c r="D1929" t="s">
        <v>766</v>
      </c>
      <c r="E1929">
        <v>30.557034000000002</v>
      </c>
      <c r="F1929" t="s">
        <v>767</v>
      </c>
      <c r="G1929">
        <v>-89.880201999999997</v>
      </c>
      <c r="H1929">
        <v>1600</v>
      </c>
      <c r="I1929">
        <v>40</v>
      </c>
      <c r="J1929">
        <v>136</v>
      </c>
      <c r="K1929">
        <v>64</v>
      </c>
      <c r="L1929">
        <v>1200</v>
      </c>
      <c r="M1929" t="str">
        <f t="shared" si="100"/>
        <v xml:space="preserve">N35DC   </v>
      </c>
      <c r="N1929">
        <v>1</v>
      </c>
      <c r="O1929">
        <v>1675</v>
      </c>
    </row>
    <row r="1930" spans="1:15" x14ac:dyDescent="0.25">
      <c r="A1930" t="str">
        <f>"10/21/2020 18:28:23.224"</f>
        <v>10/21/2020 18:28:23.224</v>
      </c>
      <c r="B1930" t="str">
        <f>"18:28:31.164"</f>
        <v>18:28:31.164</v>
      </c>
      <c r="C1930" t="str">
        <f>"18:28:30.764"</f>
        <v>18:28:30.764</v>
      </c>
      <c r="D1930" t="s">
        <v>766</v>
      </c>
      <c r="E1930">
        <v>30.557034000000002</v>
      </c>
      <c r="F1930" t="s">
        <v>767</v>
      </c>
      <c r="G1930">
        <v>-89.880201999999997</v>
      </c>
      <c r="H1930">
        <v>1600</v>
      </c>
      <c r="I1930">
        <v>40</v>
      </c>
      <c r="J1930">
        <v>136</v>
      </c>
      <c r="K1930">
        <v>64</v>
      </c>
      <c r="L1930">
        <v>1200</v>
      </c>
      <c r="M1930" t="str">
        <f t="shared" si="100"/>
        <v xml:space="preserve">N35DC   </v>
      </c>
      <c r="N1930">
        <v>1</v>
      </c>
      <c r="O1930">
        <v>1675</v>
      </c>
    </row>
    <row r="1931" spans="1:15" x14ac:dyDescent="0.25">
      <c r="A1931" t="str">
        <f>"10/21/2020 18:28:23.224"</f>
        <v>10/21/2020 18:28:23.224</v>
      </c>
      <c r="B1931" t="str">
        <f>"18:28:31.164"</f>
        <v>18:28:31.164</v>
      </c>
      <c r="C1931" t="str">
        <f>"18:28:30.864"</f>
        <v>18:28:30.864</v>
      </c>
      <c r="D1931" t="s">
        <v>766</v>
      </c>
      <c r="E1931">
        <v>30.557034000000002</v>
      </c>
      <c r="F1931" t="s">
        <v>767</v>
      </c>
      <c r="G1931">
        <v>-89.880201999999997</v>
      </c>
      <c r="H1931">
        <v>1600</v>
      </c>
      <c r="I1931">
        <v>40</v>
      </c>
      <c r="J1931">
        <v>136</v>
      </c>
      <c r="K1931">
        <v>64</v>
      </c>
      <c r="L1931">
        <v>1200</v>
      </c>
      <c r="M1931" t="str">
        <f t="shared" si="100"/>
        <v xml:space="preserve">N35DC   </v>
      </c>
      <c r="N1931">
        <v>1</v>
      </c>
      <c r="O1931">
        <v>1675</v>
      </c>
    </row>
    <row r="1932" spans="1:15" x14ac:dyDescent="0.25">
      <c r="A1932" t="str">
        <f>"10/21/2020 18:28:26.021"</f>
        <v>10/21/2020 18:28:26.021</v>
      </c>
      <c r="B1932" t="str">
        <f t="shared" ref="B1932:C1936" si="101">"18:28:33.969"</f>
        <v>18:28:33.969</v>
      </c>
      <c r="C1932" t="str">
        <f t="shared" si="101"/>
        <v>18:28:33.969</v>
      </c>
      <c r="D1932" t="s">
        <v>768</v>
      </c>
      <c r="E1932">
        <v>30.558835999999999</v>
      </c>
      <c r="F1932" t="s">
        <v>769</v>
      </c>
      <c r="G1932">
        <v>-89.879687000000004</v>
      </c>
      <c r="H1932">
        <v>1600</v>
      </c>
      <c r="I1932">
        <v>31</v>
      </c>
      <c r="J1932">
        <v>139</v>
      </c>
      <c r="K1932">
        <v>192</v>
      </c>
      <c r="L1932">
        <v>1200</v>
      </c>
      <c r="M1932" t="str">
        <f t="shared" si="100"/>
        <v xml:space="preserve">N35DC   </v>
      </c>
      <c r="N1932">
        <v>1</v>
      </c>
      <c r="O1932">
        <v>1700</v>
      </c>
    </row>
    <row r="1933" spans="1:15" x14ac:dyDescent="0.25">
      <c r="A1933" t="str">
        <f>"10/21/2020 18:28:26.021"</f>
        <v>10/21/2020 18:28:26.021</v>
      </c>
      <c r="B1933" t="str">
        <f t="shared" si="101"/>
        <v>18:28:33.969</v>
      </c>
      <c r="C1933" t="str">
        <f t="shared" si="101"/>
        <v>18:28:33.969</v>
      </c>
      <c r="D1933" t="s">
        <v>768</v>
      </c>
      <c r="E1933">
        <v>30.558835999999999</v>
      </c>
      <c r="F1933" t="s">
        <v>769</v>
      </c>
      <c r="G1933">
        <v>-89.879687000000004</v>
      </c>
      <c r="H1933">
        <v>1600</v>
      </c>
      <c r="I1933">
        <v>31</v>
      </c>
      <c r="J1933">
        <v>139</v>
      </c>
      <c r="K1933">
        <v>192</v>
      </c>
      <c r="L1933">
        <v>1200</v>
      </c>
      <c r="M1933" t="str">
        <f t="shared" si="100"/>
        <v xml:space="preserve">N35DC   </v>
      </c>
      <c r="N1933">
        <v>1</v>
      </c>
      <c r="O1933">
        <v>1700</v>
      </c>
    </row>
    <row r="1934" spans="1:15" x14ac:dyDescent="0.25">
      <c r="A1934" t="str">
        <f>"10/21/2020 18:28:26.021"</f>
        <v>10/21/2020 18:28:26.021</v>
      </c>
      <c r="B1934" t="str">
        <f t="shared" si="101"/>
        <v>18:28:33.969</v>
      </c>
      <c r="C1934" t="str">
        <f t="shared" si="101"/>
        <v>18:28:33.969</v>
      </c>
      <c r="D1934" t="s">
        <v>768</v>
      </c>
      <c r="E1934">
        <v>30.558835999999999</v>
      </c>
      <c r="F1934" t="s">
        <v>769</v>
      </c>
      <c r="G1934">
        <v>-89.879687000000004</v>
      </c>
      <c r="H1934">
        <v>1600</v>
      </c>
      <c r="I1934">
        <v>31</v>
      </c>
      <c r="J1934">
        <v>139</v>
      </c>
      <c r="K1934">
        <v>192</v>
      </c>
      <c r="L1934">
        <v>1200</v>
      </c>
      <c r="M1934" t="str">
        <f t="shared" si="100"/>
        <v xml:space="preserve">N35DC   </v>
      </c>
      <c r="N1934">
        <v>1</v>
      </c>
      <c r="O1934">
        <v>1700</v>
      </c>
    </row>
    <row r="1935" spans="1:15" x14ac:dyDescent="0.25">
      <c r="A1935" t="str">
        <f>"10/21/2020 18:28:26.021"</f>
        <v>10/21/2020 18:28:26.021</v>
      </c>
      <c r="B1935" t="str">
        <f t="shared" si="101"/>
        <v>18:28:33.969</v>
      </c>
      <c r="C1935" t="str">
        <f t="shared" si="101"/>
        <v>18:28:33.969</v>
      </c>
      <c r="D1935" t="s">
        <v>768</v>
      </c>
      <c r="E1935">
        <v>30.558835999999999</v>
      </c>
      <c r="F1935" t="s">
        <v>769</v>
      </c>
      <c r="G1935">
        <v>-89.879687000000004</v>
      </c>
      <c r="H1935">
        <v>1600</v>
      </c>
      <c r="I1935">
        <v>31</v>
      </c>
      <c r="J1935">
        <v>139</v>
      </c>
      <c r="K1935">
        <v>192</v>
      </c>
      <c r="L1935">
        <v>1200</v>
      </c>
      <c r="M1935" t="str">
        <f t="shared" si="100"/>
        <v xml:space="preserve">N35DC   </v>
      </c>
      <c r="N1935">
        <v>1</v>
      </c>
      <c r="O1935">
        <v>1700</v>
      </c>
    </row>
    <row r="1936" spans="1:15" x14ac:dyDescent="0.25">
      <c r="A1936" t="str">
        <f>"10/21/2020 18:28:26.021"</f>
        <v>10/21/2020 18:28:26.021</v>
      </c>
      <c r="B1936" t="str">
        <f t="shared" si="101"/>
        <v>18:28:33.969</v>
      </c>
      <c r="C1936" t="str">
        <f t="shared" si="101"/>
        <v>18:28:33.969</v>
      </c>
      <c r="D1936" t="s">
        <v>768</v>
      </c>
      <c r="E1936">
        <v>30.558835999999999</v>
      </c>
      <c r="F1936" t="s">
        <v>769</v>
      </c>
      <c r="G1936">
        <v>-89.879687000000004</v>
      </c>
      <c r="H1936">
        <v>1600</v>
      </c>
      <c r="I1936">
        <v>31</v>
      </c>
      <c r="J1936">
        <v>139</v>
      </c>
      <c r="K1936">
        <v>192</v>
      </c>
      <c r="L1936">
        <v>1200</v>
      </c>
      <c r="M1936" t="str">
        <f t="shared" si="100"/>
        <v xml:space="preserve">N35DC   </v>
      </c>
      <c r="N1936">
        <v>1</v>
      </c>
      <c r="O1936">
        <v>1700</v>
      </c>
    </row>
    <row r="1937" spans="1:15" x14ac:dyDescent="0.25">
      <c r="A1937" t="str">
        <f>"10/21/2020 18:28:27.180"</f>
        <v>10/21/2020 18:28:27.180</v>
      </c>
      <c r="B1937" t="str">
        <f>"18:28:35.109"</f>
        <v>18:28:35.109</v>
      </c>
      <c r="C1937" t="str">
        <f>"18:28:34.809"</f>
        <v>18:28:34.809</v>
      </c>
      <c r="D1937" t="s">
        <v>770</v>
      </c>
      <c r="E1937">
        <v>30.559545</v>
      </c>
      <c r="F1937" t="s">
        <v>771</v>
      </c>
      <c r="G1937">
        <v>-89.879472000000007</v>
      </c>
      <c r="H1937">
        <v>1600</v>
      </c>
      <c r="I1937">
        <v>30</v>
      </c>
      <c r="J1937">
        <v>139</v>
      </c>
      <c r="K1937">
        <v>128</v>
      </c>
      <c r="L1937">
        <v>1200</v>
      </c>
      <c r="M1937" t="str">
        <f t="shared" si="100"/>
        <v xml:space="preserve">N35DC   </v>
      </c>
      <c r="N1937">
        <v>1</v>
      </c>
      <c r="O1937">
        <v>1700</v>
      </c>
    </row>
    <row r="1938" spans="1:15" x14ac:dyDescent="0.25">
      <c r="A1938" t="str">
        <f>"10/21/2020 18:28:27.180"</f>
        <v>10/21/2020 18:28:27.180</v>
      </c>
      <c r="B1938" t="str">
        <f>"18:28:35.109"</f>
        <v>18:28:35.109</v>
      </c>
      <c r="C1938" t="str">
        <f>"18:28:34.809"</f>
        <v>18:28:34.809</v>
      </c>
      <c r="D1938" t="s">
        <v>770</v>
      </c>
      <c r="E1938">
        <v>30.559545</v>
      </c>
      <c r="F1938" t="s">
        <v>771</v>
      </c>
      <c r="G1938">
        <v>-89.879472000000007</v>
      </c>
      <c r="H1938">
        <v>1600</v>
      </c>
      <c r="I1938">
        <v>30</v>
      </c>
      <c r="J1938">
        <v>139</v>
      </c>
      <c r="K1938">
        <v>128</v>
      </c>
      <c r="L1938">
        <v>1200</v>
      </c>
      <c r="M1938" t="str">
        <f t="shared" si="100"/>
        <v xml:space="preserve">N35DC   </v>
      </c>
      <c r="N1938">
        <v>1</v>
      </c>
      <c r="O1938">
        <v>1700</v>
      </c>
    </row>
    <row r="1939" spans="1:15" x14ac:dyDescent="0.25">
      <c r="A1939" t="str">
        <f>"10/21/2020 18:28:27.180"</f>
        <v>10/21/2020 18:28:27.180</v>
      </c>
      <c r="B1939" t="str">
        <f>"18:28:35.109"</f>
        <v>18:28:35.109</v>
      </c>
      <c r="C1939" t="str">
        <f>"18:28:34.809"</f>
        <v>18:28:34.809</v>
      </c>
      <c r="D1939" t="s">
        <v>770</v>
      </c>
      <c r="E1939">
        <v>30.559545</v>
      </c>
      <c r="F1939" t="s">
        <v>771</v>
      </c>
      <c r="G1939">
        <v>-89.879472000000007</v>
      </c>
      <c r="H1939">
        <v>1600</v>
      </c>
      <c r="I1939">
        <v>30</v>
      </c>
      <c r="J1939">
        <v>139</v>
      </c>
      <c r="K1939">
        <v>128</v>
      </c>
      <c r="L1939">
        <v>1200</v>
      </c>
      <c r="M1939" t="str">
        <f t="shared" si="100"/>
        <v xml:space="preserve">N35DC   </v>
      </c>
      <c r="N1939">
        <v>1</v>
      </c>
      <c r="O1939">
        <v>1700</v>
      </c>
    </row>
    <row r="1940" spans="1:15" x14ac:dyDescent="0.25">
      <c r="A1940" t="str">
        <f>"10/21/2020 18:28:27.180"</f>
        <v>10/21/2020 18:28:27.180</v>
      </c>
      <c r="B1940" t="str">
        <f>"18:28:35.109"</f>
        <v>18:28:35.109</v>
      </c>
      <c r="C1940" t="str">
        <f>"18:28:34.809"</f>
        <v>18:28:34.809</v>
      </c>
      <c r="D1940" t="s">
        <v>770</v>
      </c>
      <c r="E1940">
        <v>30.559545</v>
      </c>
      <c r="F1940" t="s">
        <v>771</v>
      </c>
      <c r="G1940">
        <v>-89.879472000000007</v>
      </c>
      <c r="H1940">
        <v>1600</v>
      </c>
      <c r="I1940">
        <v>30</v>
      </c>
      <c r="J1940">
        <v>139</v>
      </c>
      <c r="K1940">
        <v>128</v>
      </c>
      <c r="L1940">
        <v>1200</v>
      </c>
      <c r="M1940" t="str">
        <f t="shared" si="100"/>
        <v xml:space="preserve">N35DC   </v>
      </c>
      <c r="N1940">
        <v>1</v>
      </c>
      <c r="O1940">
        <v>1700</v>
      </c>
    </row>
    <row r="1941" spans="1:15" x14ac:dyDescent="0.25">
      <c r="A1941" t="str">
        <f>"10/21/2020 18:28:27.180"</f>
        <v>10/21/2020 18:28:27.180</v>
      </c>
      <c r="B1941" t="str">
        <f>"18:28:35.109"</f>
        <v>18:28:35.109</v>
      </c>
      <c r="C1941" t="str">
        <f>"18:28:34.809"</f>
        <v>18:28:34.809</v>
      </c>
      <c r="D1941" t="s">
        <v>770</v>
      </c>
      <c r="E1941">
        <v>30.559545</v>
      </c>
      <c r="F1941" t="s">
        <v>771</v>
      </c>
      <c r="G1941">
        <v>-89.879472000000007</v>
      </c>
      <c r="H1941">
        <v>1600</v>
      </c>
      <c r="I1941">
        <v>30</v>
      </c>
      <c r="J1941">
        <v>139</v>
      </c>
      <c r="K1941">
        <v>128</v>
      </c>
      <c r="L1941">
        <v>1200</v>
      </c>
      <c r="M1941" t="str">
        <f t="shared" si="100"/>
        <v xml:space="preserve">N35DC   </v>
      </c>
      <c r="N1941">
        <v>1</v>
      </c>
      <c r="O1941">
        <v>1700</v>
      </c>
    </row>
    <row r="1942" spans="1:15" x14ac:dyDescent="0.25">
      <c r="A1942" t="str">
        <f>"10/21/2020 18:28:29.214"</f>
        <v>10/21/2020 18:28:29.214</v>
      </c>
      <c r="B1942" t="str">
        <f>"18:28:37.164"</f>
        <v>18:28:37.164</v>
      </c>
      <c r="C1942" t="str">
        <f>"18:28:36.864"</f>
        <v>18:28:36.864</v>
      </c>
      <c r="D1942" t="s">
        <v>772</v>
      </c>
      <c r="E1942">
        <v>30.560896</v>
      </c>
      <c r="F1942" t="s">
        <v>773</v>
      </c>
      <c r="G1942">
        <v>-89.879215000000002</v>
      </c>
      <c r="H1942">
        <v>1600</v>
      </c>
      <c r="I1942">
        <v>25</v>
      </c>
      <c r="J1942">
        <v>139</v>
      </c>
      <c r="K1942">
        <v>192</v>
      </c>
      <c r="L1942">
        <v>1200</v>
      </c>
      <c r="M1942" t="str">
        <f t="shared" si="100"/>
        <v xml:space="preserve">N35DC   </v>
      </c>
      <c r="N1942">
        <v>1</v>
      </c>
      <c r="O1942">
        <v>1700</v>
      </c>
    </row>
    <row r="1943" spans="1:15" x14ac:dyDescent="0.25">
      <c r="A1943" t="str">
        <f>"10/21/2020 18:28:29.214"</f>
        <v>10/21/2020 18:28:29.214</v>
      </c>
      <c r="B1943" t="str">
        <f>"18:28:37.164"</f>
        <v>18:28:37.164</v>
      </c>
      <c r="C1943" t="str">
        <f>"18:28:36.864"</f>
        <v>18:28:36.864</v>
      </c>
      <c r="D1943" t="s">
        <v>772</v>
      </c>
      <c r="E1943">
        <v>30.560896</v>
      </c>
      <c r="F1943" t="s">
        <v>773</v>
      </c>
      <c r="G1943">
        <v>-89.879215000000002</v>
      </c>
      <c r="H1943">
        <v>1600</v>
      </c>
      <c r="I1943">
        <v>25</v>
      </c>
      <c r="J1943">
        <v>139</v>
      </c>
      <c r="K1943">
        <v>192</v>
      </c>
      <c r="L1943">
        <v>1200</v>
      </c>
      <c r="M1943" t="str">
        <f t="shared" si="100"/>
        <v xml:space="preserve">N35DC   </v>
      </c>
      <c r="N1943">
        <v>1</v>
      </c>
      <c r="O1943">
        <v>1700</v>
      </c>
    </row>
    <row r="1944" spans="1:15" x14ac:dyDescent="0.25">
      <c r="A1944" t="str">
        <f>"10/21/2020 18:28:29.214"</f>
        <v>10/21/2020 18:28:29.214</v>
      </c>
      <c r="B1944" t="str">
        <f>"18:28:37.164"</f>
        <v>18:28:37.164</v>
      </c>
      <c r="C1944" t="str">
        <f>"18:28:36.864"</f>
        <v>18:28:36.864</v>
      </c>
      <c r="D1944" t="s">
        <v>772</v>
      </c>
      <c r="E1944">
        <v>30.560896</v>
      </c>
      <c r="F1944" t="s">
        <v>773</v>
      </c>
      <c r="G1944">
        <v>-89.879215000000002</v>
      </c>
      <c r="H1944">
        <v>1600</v>
      </c>
      <c r="I1944">
        <v>25</v>
      </c>
      <c r="J1944">
        <v>139</v>
      </c>
      <c r="K1944">
        <v>192</v>
      </c>
      <c r="L1944">
        <v>1200</v>
      </c>
      <c r="M1944" t="str">
        <f t="shared" si="100"/>
        <v xml:space="preserve">N35DC   </v>
      </c>
      <c r="N1944">
        <v>1</v>
      </c>
      <c r="O1944">
        <v>1700</v>
      </c>
    </row>
    <row r="1945" spans="1:15" x14ac:dyDescent="0.25">
      <c r="A1945" t="str">
        <f>"10/21/2020 18:28:29.214"</f>
        <v>10/21/2020 18:28:29.214</v>
      </c>
      <c r="B1945" t="str">
        <f>"18:28:37.164"</f>
        <v>18:28:37.164</v>
      </c>
      <c r="C1945" t="str">
        <f>"18:28:36.864"</f>
        <v>18:28:36.864</v>
      </c>
      <c r="D1945" t="s">
        <v>772</v>
      </c>
      <c r="E1945">
        <v>30.560896</v>
      </c>
      <c r="F1945" t="s">
        <v>773</v>
      </c>
      <c r="G1945">
        <v>-89.879215000000002</v>
      </c>
      <c r="H1945">
        <v>1600</v>
      </c>
      <c r="I1945">
        <v>25</v>
      </c>
      <c r="J1945">
        <v>139</v>
      </c>
      <c r="K1945">
        <v>192</v>
      </c>
      <c r="L1945">
        <v>1200</v>
      </c>
      <c r="M1945" t="str">
        <f t="shared" si="100"/>
        <v xml:space="preserve">N35DC   </v>
      </c>
      <c r="N1945">
        <v>1</v>
      </c>
      <c r="O1945">
        <v>1700</v>
      </c>
    </row>
    <row r="1946" spans="1:15" x14ac:dyDescent="0.25">
      <c r="A1946" t="str">
        <f>"10/21/2020 18:28:29.214"</f>
        <v>10/21/2020 18:28:29.214</v>
      </c>
      <c r="B1946" t="str">
        <f>"18:28:37.164"</f>
        <v>18:28:37.164</v>
      </c>
      <c r="C1946" t="str">
        <f>"18:28:36.864"</f>
        <v>18:28:36.864</v>
      </c>
      <c r="D1946" t="s">
        <v>772</v>
      </c>
      <c r="E1946">
        <v>30.560896</v>
      </c>
      <c r="F1946" t="s">
        <v>773</v>
      </c>
      <c r="G1946">
        <v>-89.879215000000002</v>
      </c>
      <c r="H1946">
        <v>1600</v>
      </c>
      <c r="I1946">
        <v>25</v>
      </c>
      <c r="J1946">
        <v>139</v>
      </c>
      <c r="K1946">
        <v>192</v>
      </c>
      <c r="L1946">
        <v>1200</v>
      </c>
      <c r="M1946" t="str">
        <f t="shared" si="100"/>
        <v xml:space="preserve">N35DC   </v>
      </c>
      <c r="N1946">
        <v>1</v>
      </c>
      <c r="O1946">
        <v>1700</v>
      </c>
    </row>
    <row r="1947" spans="1:15" x14ac:dyDescent="0.25">
      <c r="A1947" t="str">
        <f>"10/21/2020 18:28:30.126"</f>
        <v>10/21/2020 18:28:30.126</v>
      </c>
      <c r="B1947" t="str">
        <f>"18:28:38.078"</f>
        <v>18:28:38.078</v>
      </c>
      <c r="C1947" t="str">
        <f>"18:28:37.878"</f>
        <v>18:28:37.878</v>
      </c>
      <c r="D1947" t="s">
        <v>774</v>
      </c>
      <c r="E1947">
        <v>30.561496999999999</v>
      </c>
      <c r="F1947" t="s">
        <v>775</v>
      </c>
      <c r="G1947">
        <v>-89.879086000000001</v>
      </c>
      <c r="H1947">
        <v>1600</v>
      </c>
      <c r="I1947">
        <v>23</v>
      </c>
      <c r="J1947">
        <v>139</v>
      </c>
      <c r="K1947">
        <v>192</v>
      </c>
      <c r="L1947">
        <v>1200</v>
      </c>
      <c r="M1947" t="str">
        <f t="shared" si="100"/>
        <v xml:space="preserve">N35DC   </v>
      </c>
      <c r="N1947">
        <v>1</v>
      </c>
      <c r="O1947">
        <v>1700</v>
      </c>
    </row>
    <row r="1948" spans="1:15" x14ac:dyDescent="0.25">
      <c r="A1948" t="str">
        <f>"10/21/2020 18:28:30.126"</f>
        <v>10/21/2020 18:28:30.126</v>
      </c>
      <c r="B1948" t="str">
        <f>"18:28:38.078"</f>
        <v>18:28:38.078</v>
      </c>
      <c r="C1948" t="str">
        <f>"18:28:37.878"</f>
        <v>18:28:37.878</v>
      </c>
      <c r="D1948" t="s">
        <v>774</v>
      </c>
      <c r="E1948">
        <v>30.561496999999999</v>
      </c>
      <c r="F1948" t="s">
        <v>775</v>
      </c>
      <c r="G1948">
        <v>-89.879086000000001</v>
      </c>
      <c r="H1948">
        <v>1600</v>
      </c>
      <c r="I1948">
        <v>23</v>
      </c>
      <c r="J1948">
        <v>139</v>
      </c>
      <c r="K1948">
        <v>192</v>
      </c>
      <c r="L1948">
        <v>1200</v>
      </c>
      <c r="M1948" t="str">
        <f t="shared" si="100"/>
        <v xml:space="preserve">N35DC   </v>
      </c>
      <c r="N1948">
        <v>1</v>
      </c>
      <c r="O1948">
        <v>1700</v>
      </c>
    </row>
    <row r="1949" spans="1:15" x14ac:dyDescent="0.25">
      <c r="A1949" t="str">
        <f>"10/21/2020 18:28:30.126"</f>
        <v>10/21/2020 18:28:30.126</v>
      </c>
      <c r="B1949" t="str">
        <f>"18:28:38.078"</f>
        <v>18:28:38.078</v>
      </c>
      <c r="C1949" t="str">
        <f>"18:28:37.878"</f>
        <v>18:28:37.878</v>
      </c>
      <c r="D1949" t="s">
        <v>774</v>
      </c>
      <c r="E1949">
        <v>30.561496999999999</v>
      </c>
      <c r="F1949" t="s">
        <v>775</v>
      </c>
      <c r="G1949">
        <v>-89.879086000000001</v>
      </c>
      <c r="H1949">
        <v>1600</v>
      </c>
      <c r="I1949">
        <v>23</v>
      </c>
      <c r="J1949">
        <v>139</v>
      </c>
      <c r="K1949">
        <v>192</v>
      </c>
      <c r="L1949">
        <v>1200</v>
      </c>
      <c r="M1949" t="str">
        <f t="shared" si="100"/>
        <v xml:space="preserve">N35DC   </v>
      </c>
      <c r="N1949">
        <v>1</v>
      </c>
      <c r="O1949">
        <v>1700</v>
      </c>
    </row>
    <row r="1950" spans="1:15" x14ac:dyDescent="0.25">
      <c r="A1950" t="str">
        <f>"10/21/2020 18:28:30.126"</f>
        <v>10/21/2020 18:28:30.126</v>
      </c>
      <c r="B1950" t="str">
        <f>"18:28:38.078"</f>
        <v>18:28:38.078</v>
      </c>
      <c r="C1950" t="str">
        <f>"18:28:37.878"</f>
        <v>18:28:37.878</v>
      </c>
      <c r="D1950" t="s">
        <v>774</v>
      </c>
      <c r="E1950">
        <v>30.561496999999999</v>
      </c>
      <c r="F1950" t="s">
        <v>775</v>
      </c>
      <c r="G1950">
        <v>-89.879086000000001</v>
      </c>
      <c r="H1950">
        <v>1600</v>
      </c>
      <c r="I1950">
        <v>23</v>
      </c>
      <c r="J1950">
        <v>139</v>
      </c>
      <c r="K1950">
        <v>192</v>
      </c>
      <c r="L1950">
        <v>1200</v>
      </c>
      <c r="M1950" t="str">
        <f t="shared" si="100"/>
        <v xml:space="preserve">N35DC   </v>
      </c>
      <c r="N1950">
        <v>1</v>
      </c>
      <c r="O1950">
        <v>1700</v>
      </c>
    </row>
    <row r="1951" spans="1:15" x14ac:dyDescent="0.25">
      <c r="A1951" t="str">
        <f>"10/21/2020 18:28:30.126"</f>
        <v>10/21/2020 18:28:30.126</v>
      </c>
      <c r="B1951" t="str">
        <f>"18:28:38.078"</f>
        <v>18:28:38.078</v>
      </c>
      <c r="C1951" t="str">
        <f>"18:28:37.878"</f>
        <v>18:28:37.878</v>
      </c>
      <c r="D1951" t="s">
        <v>774</v>
      </c>
      <c r="E1951">
        <v>30.561496999999999</v>
      </c>
      <c r="F1951" t="s">
        <v>775</v>
      </c>
      <c r="G1951">
        <v>-89.879086000000001</v>
      </c>
      <c r="H1951">
        <v>1600</v>
      </c>
      <c r="I1951">
        <v>23</v>
      </c>
      <c r="J1951">
        <v>139</v>
      </c>
      <c r="K1951">
        <v>192</v>
      </c>
      <c r="L1951">
        <v>1200</v>
      </c>
      <c r="M1951" t="str">
        <f t="shared" si="100"/>
        <v xml:space="preserve">N35DC   </v>
      </c>
      <c r="N1951">
        <v>1</v>
      </c>
      <c r="O1951">
        <v>1700</v>
      </c>
    </row>
    <row r="1952" spans="1:15" x14ac:dyDescent="0.25">
      <c r="A1952" t="str">
        <f>"10/21/2020 18:28:33.276"</f>
        <v>10/21/2020 18:28:33.276</v>
      </c>
      <c r="B1952" t="str">
        <f>"18:28:41.219"</f>
        <v>18:28:41.219</v>
      </c>
      <c r="C1952" t="str">
        <f>"18:28:40.819"</f>
        <v>18:28:40.819</v>
      </c>
      <c r="D1952" t="s">
        <v>776</v>
      </c>
      <c r="E1952">
        <v>30.563514000000001</v>
      </c>
      <c r="F1952" t="s">
        <v>777</v>
      </c>
      <c r="G1952">
        <v>-89.878764000000004</v>
      </c>
      <c r="H1952">
        <v>1600</v>
      </c>
      <c r="I1952">
        <v>18</v>
      </c>
      <c r="J1952">
        <v>140</v>
      </c>
      <c r="K1952">
        <v>128</v>
      </c>
      <c r="L1952">
        <v>1200</v>
      </c>
      <c r="M1952" t="str">
        <f t="shared" si="100"/>
        <v xml:space="preserve">N35DC   </v>
      </c>
      <c r="N1952">
        <v>1</v>
      </c>
      <c r="O1952">
        <v>1700</v>
      </c>
    </row>
    <row r="1953" spans="1:15" x14ac:dyDescent="0.25">
      <c r="A1953" t="str">
        <f>"10/21/2020 18:28:33.276"</f>
        <v>10/21/2020 18:28:33.276</v>
      </c>
      <c r="B1953" t="str">
        <f>"18:28:41.219"</f>
        <v>18:28:41.219</v>
      </c>
      <c r="C1953" t="str">
        <f>"18:28:40.819"</f>
        <v>18:28:40.819</v>
      </c>
      <c r="D1953" t="s">
        <v>776</v>
      </c>
      <c r="E1953">
        <v>30.563514000000001</v>
      </c>
      <c r="F1953" t="s">
        <v>777</v>
      </c>
      <c r="G1953">
        <v>-89.878764000000004</v>
      </c>
      <c r="H1953">
        <v>1600</v>
      </c>
      <c r="I1953">
        <v>18</v>
      </c>
      <c r="J1953">
        <v>140</v>
      </c>
      <c r="K1953">
        <v>128</v>
      </c>
      <c r="L1953">
        <v>1200</v>
      </c>
      <c r="M1953" t="str">
        <f t="shared" si="100"/>
        <v xml:space="preserve">N35DC   </v>
      </c>
      <c r="N1953">
        <v>1</v>
      </c>
      <c r="O1953">
        <v>1700</v>
      </c>
    </row>
    <row r="1954" spans="1:15" x14ac:dyDescent="0.25">
      <c r="A1954" t="str">
        <f>"10/21/2020 18:28:33.276"</f>
        <v>10/21/2020 18:28:33.276</v>
      </c>
      <c r="B1954" t="str">
        <f>"18:28:41.219"</f>
        <v>18:28:41.219</v>
      </c>
      <c r="C1954" t="str">
        <f>"18:28:40.819"</f>
        <v>18:28:40.819</v>
      </c>
      <c r="D1954" t="s">
        <v>776</v>
      </c>
      <c r="E1954">
        <v>30.563514000000001</v>
      </c>
      <c r="F1954" t="s">
        <v>777</v>
      </c>
      <c r="G1954">
        <v>-89.878764000000004</v>
      </c>
      <c r="H1954">
        <v>1600</v>
      </c>
      <c r="I1954">
        <v>18</v>
      </c>
      <c r="J1954">
        <v>140</v>
      </c>
      <c r="K1954">
        <v>128</v>
      </c>
      <c r="L1954">
        <v>1200</v>
      </c>
      <c r="M1954" t="str">
        <f t="shared" si="100"/>
        <v xml:space="preserve">N35DC   </v>
      </c>
      <c r="N1954">
        <v>1</v>
      </c>
      <c r="O1954">
        <v>1700</v>
      </c>
    </row>
    <row r="1955" spans="1:15" x14ac:dyDescent="0.25">
      <c r="A1955" t="str">
        <f>"10/21/2020 18:28:33.276"</f>
        <v>10/21/2020 18:28:33.276</v>
      </c>
      <c r="B1955" t="str">
        <f>"18:28:41.219"</f>
        <v>18:28:41.219</v>
      </c>
      <c r="C1955" t="str">
        <f>"18:28:40.819"</f>
        <v>18:28:40.819</v>
      </c>
      <c r="D1955" t="s">
        <v>776</v>
      </c>
      <c r="E1955">
        <v>30.563514000000001</v>
      </c>
      <c r="F1955" t="s">
        <v>777</v>
      </c>
      <c r="G1955">
        <v>-89.878764000000004</v>
      </c>
      <c r="H1955">
        <v>1600</v>
      </c>
      <c r="I1955">
        <v>18</v>
      </c>
      <c r="J1955">
        <v>140</v>
      </c>
      <c r="K1955">
        <v>128</v>
      </c>
      <c r="L1955">
        <v>1200</v>
      </c>
      <c r="M1955" t="str">
        <f t="shared" si="100"/>
        <v xml:space="preserve">N35DC   </v>
      </c>
      <c r="N1955">
        <v>1</v>
      </c>
      <c r="O1955">
        <v>1700</v>
      </c>
    </row>
    <row r="1956" spans="1:15" x14ac:dyDescent="0.25">
      <c r="A1956" t="str">
        <f>"10/21/2020 18:28:33.276"</f>
        <v>10/21/2020 18:28:33.276</v>
      </c>
      <c r="B1956" t="str">
        <f>"18:28:41.219"</f>
        <v>18:28:41.219</v>
      </c>
      <c r="C1956" t="str">
        <f>"18:28:40.819"</f>
        <v>18:28:40.819</v>
      </c>
      <c r="D1956" t="s">
        <v>776</v>
      </c>
      <c r="E1956">
        <v>30.563514000000001</v>
      </c>
      <c r="F1956" t="s">
        <v>777</v>
      </c>
      <c r="G1956">
        <v>-89.878764000000004</v>
      </c>
      <c r="H1956">
        <v>1600</v>
      </c>
      <c r="I1956">
        <v>18</v>
      </c>
      <c r="J1956">
        <v>140</v>
      </c>
      <c r="K1956">
        <v>128</v>
      </c>
      <c r="L1956">
        <v>1200</v>
      </c>
      <c r="M1956" t="str">
        <f t="shared" si="100"/>
        <v xml:space="preserve">N35DC   </v>
      </c>
      <c r="N1956">
        <v>1</v>
      </c>
      <c r="O1956">
        <v>1700</v>
      </c>
    </row>
    <row r="1957" spans="1:15" x14ac:dyDescent="0.25">
      <c r="A1957" t="str">
        <f>"10/21/2020 18:28:34.316"</f>
        <v>10/21/2020 18:28:34.316</v>
      </c>
      <c r="B1957" t="str">
        <f>"18:28:42.234"</f>
        <v>18:28:42.234</v>
      </c>
      <c r="C1957" t="str">
        <f>"18:28:41.734"</f>
        <v>18:28:41.734</v>
      </c>
      <c r="D1957" t="s">
        <v>778</v>
      </c>
      <c r="E1957">
        <v>30.564157999999999</v>
      </c>
      <c r="F1957" t="s">
        <v>779</v>
      </c>
      <c r="G1957">
        <v>-89.878657000000004</v>
      </c>
      <c r="H1957">
        <v>1600</v>
      </c>
      <c r="I1957">
        <v>17</v>
      </c>
      <c r="J1957">
        <v>140</v>
      </c>
      <c r="K1957">
        <v>0</v>
      </c>
      <c r="L1957">
        <v>1200</v>
      </c>
      <c r="M1957" t="str">
        <f t="shared" si="100"/>
        <v xml:space="preserve">N35DC   </v>
      </c>
      <c r="N1957">
        <v>1</v>
      </c>
      <c r="O1957">
        <v>1700</v>
      </c>
    </row>
    <row r="1958" spans="1:15" x14ac:dyDescent="0.25">
      <c r="A1958" t="str">
        <f>"10/21/2020 18:28:34.316"</f>
        <v>10/21/2020 18:28:34.316</v>
      </c>
      <c r="B1958" t="str">
        <f>"18:28:42.234"</f>
        <v>18:28:42.234</v>
      </c>
      <c r="C1958" t="str">
        <f>"18:28:41.734"</f>
        <v>18:28:41.734</v>
      </c>
      <c r="D1958" t="s">
        <v>778</v>
      </c>
      <c r="E1958">
        <v>30.564157999999999</v>
      </c>
      <c r="F1958" t="s">
        <v>779</v>
      </c>
      <c r="G1958">
        <v>-89.878657000000004</v>
      </c>
      <c r="H1958">
        <v>1600</v>
      </c>
      <c r="I1958">
        <v>17</v>
      </c>
      <c r="J1958">
        <v>140</v>
      </c>
      <c r="K1958">
        <v>0</v>
      </c>
      <c r="L1958">
        <v>1200</v>
      </c>
      <c r="M1958" t="str">
        <f t="shared" si="100"/>
        <v xml:space="preserve">N35DC   </v>
      </c>
      <c r="N1958">
        <v>1</v>
      </c>
      <c r="O1958">
        <v>1700</v>
      </c>
    </row>
    <row r="1959" spans="1:15" x14ac:dyDescent="0.25">
      <c r="A1959" t="str">
        <f>"10/21/2020 18:28:34.316"</f>
        <v>10/21/2020 18:28:34.316</v>
      </c>
      <c r="B1959" t="str">
        <f>"18:28:42.234"</f>
        <v>18:28:42.234</v>
      </c>
      <c r="C1959" t="str">
        <f>"18:28:41.734"</f>
        <v>18:28:41.734</v>
      </c>
      <c r="D1959" t="s">
        <v>778</v>
      </c>
      <c r="E1959">
        <v>30.564157999999999</v>
      </c>
      <c r="F1959" t="s">
        <v>779</v>
      </c>
      <c r="G1959">
        <v>-89.878657000000004</v>
      </c>
      <c r="H1959">
        <v>1600</v>
      </c>
      <c r="I1959">
        <v>17</v>
      </c>
      <c r="J1959">
        <v>140</v>
      </c>
      <c r="K1959">
        <v>0</v>
      </c>
      <c r="L1959">
        <v>1200</v>
      </c>
      <c r="M1959" t="str">
        <f t="shared" si="100"/>
        <v xml:space="preserve">N35DC   </v>
      </c>
      <c r="N1959">
        <v>1</v>
      </c>
      <c r="O1959">
        <v>1700</v>
      </c>
    </row>
    <row r="1960" spans="1:15" x14ac:dyDescent="0.25">
      <c r="A1960" t="str">
        <f>"10/21/2020 18:28:34.316"</f>
        <v>10/21/2020 18:28:34.316</v>
      </c>
      <c r="B1960" t="str">
        <f>"18:28:42.234"</f>
        <v>18:28:42.234</v>
      </c>
      <c r="C1960" t="str">
        <f>"18:28:41.734"</f>
        <v>18:28:41.734</v>
      </c>
      <c r="D1960" t="s">
        <v>778</v>
      </c>
      <c r="E1960">
        <v>30.564157999999999</v>
      </c>
      <c r="F1960" t="s">
        <v>779</v>
      </c>
      <c r="G1960">
        <v>-89.878657000000004</v>
      </c>
      <c r="H1960">
        <v>1600</v>
      </c>
      <c r="I1960">
        <v>17</v>
      </c>
      <c r="J1960">
        <v>140</v>
      </c>
      <c r="K1960">
        <v>0</v>
      </c>
      <c r="L1960">
        <v>1200</v>
      </c>
      <c r="M1960" t="str">
        <f t="shared" si="100"/>
        <v xml:space="preserve">N35DC   </v>
      </c>
      <c r="N1960">
        <v>1</v>
      </c>
      <c r="O1960">
        <v>1700</v>
      </c>
    </row>
    <row r="1961" spans="1:15" x14ac:dyDescent="0.25">
      <c r="A1961" t="str">
        <f>"10/21/2020 18:28:34.316"</f>
        <v>10/21/2020 18:28:34.316</v>
      </c>
      <c r="B1961" t="str">
        <f>"18:28:42.234"</f>
        <v>18:28:42.234</v>
      </c>
      <c r="C1961" t="str">
        <f>"18:28:41.734"</f>
        <v>18:28:41.734</v>
      </c>
      <c r="D1961" t="s">
        <v>778</v>
      </c>
      <c r="E1961">
        <v>30.564157999999999</v>
      </c>
      <c r="F1961" t="s">
        <v>779</v>
      </c>
      <c r="G1961">
        <v>-89.878657000000004</v>
      </c>
      <c r="H1961">
        <v>1600</v>
      </c>
      <c r="I1961">
        <v>17</v>
      </c>
      <c r="J1961">
        <v>140</v>
      </c>
      <c r="K1961">
        <v>0</v>
      </c>
      <c r="L1961">
        <v>1200</v>
      </c>
      <c r="M1961" t="str">
        <f t="shared" si="100"/>
        <v xml:space="preserve">N35DC   </v>
      </c>
      <c r="N1961">
        <v>1</v>
      </c>
      <c r="O1961">
        <v>1700</v>
      </c>
    </row>
    <row r="1962" spans="1:15" x14ac:dyDescent="0.25">
      <c r="A1962" t="str">
        <f>"10/21/2020 18:28:37.100"</f>
        <v>10/21/2020 18:28:37.100</v>
      </c>
      <c r="B1962" t="str">
        <f>"18:28:45.055"</f>
        <v>18:28:45.055</v>
      </c>
      <c r="C1962" t="str">
        <f>"18:28:44.955"</f>
        <v>18:28:44.955</v>
      </c>
      <c r="D1962" t="s">
        <v>780</v>
      </c>
      <c r="E1962">
        <v>30.566002999999998</v>
      </c>
      <c r="F1962" t="s">
        <v>781</v>
      </c>
      <c r="G1962">
        <v>-89.878484999999998</v>
      </c>
      <c r="H1962">
        <v>1600</v>
      </c>
      <c r="I1962">
        <v>12</v>
      </c>
      <c r="J1962">
        <v>141</v>
      </c>
      <c r="K1962">
        <v>-128</v>
      </c>
      <c r="L1962">
        <v>1200</v>
      </c>
      <c r="M1962" t="str">
        <f t="shared" si="100"/>
        <v xml:space="preserve">N35DC   </v>
      </c>
      <c r="N1962">
        <v>1</v>
      </c>
      <c r="O1962">
        <v>1700</v>
      </c>
    </row>
    <row r="1963" spans="1:15" x14ac:dyDescent="0.25">
      <c r="A1963" t="str">
        <f>"10/21/2020 18:28:37.100"</f>
        <v>10/21/2020 18:28:37.100</v>
      </c>
      <c r="B1963" t="str">
        <f>"18:28:45.055"</f>
        <v>18:28:45.055</v>
      </c>
      <c r="C1963" t="str">
        <f>"18:28:44.955"</f>
        <v>18:28:44.955</v>
      </c>
      <c r="D1963" t="s">
        <v>780</v>
      </c>
      <c r="E1963">
        <v>30.566002999999998</v>
      </c>
      <c r="F1963" t="s">
        <v>781</v>
      </c>
      <c r="G1963">
        <v>-89.878484999999998</v>
      </c>
      <c r="H1963">
        <v>1600</v>
      </c>
      <c r="I1963">
        <v>12</v>
      </c>
      <c r="J1963">
        <v>141</v>
      </c>
      <c r="K1963">
        <v>-128</v>
      </c>
      <c r="L1963">
        <v>1200</v>
      </c>
      <c r="M1963" t="str">
        <f t="shared" si="100"/>
        <v xml:space="preserve">N35DC   </v>
      </c>
      <c r="N1963">
        <v>1</v>
      </c>
      <c r="O1963">
        <v>1700</v>
      </c>
    </row>
    <row r="1964" spans="1:15" x14ac:dyDescent="0.25">
      <c r="A1964" t="str">
        <f>"10/21/2020 18:28:37.100"</f>
        <v>10/21/2020 18:28:37.100</v>
      </c>
      <c r="B1964" t="str">
        <f>"18:28:45.055"</f>
        <v>18:28:45.055</v>
      </c>
      <c r="C1964" t="str">
        <f>"18:28:44.955"</f>
        <v>18:28:44.955</v>
      </c>
      <c r="D1964" t="s">
        <v>780</v>
      </c>
      <c r="E1964">
        <v>30.566002999999998</v>
      </c>
      <c r="F1964" t="s">
        <v>781</v>
      </c>
      <c r="G1964">
        <v>-89.878484999999998</v>
      </c>
      <c r="H1964">
        <v>1600</v>
      </c>
      <c r="I1964">
        <v>12</v>
      </c>
      <c r="J1964">
        <v>141</v>
      </c>
      <c r="K1964">
        <v>-128</v>
      </c>
      <c r="L1964">
        <v>1200</v>
      </c>
      <c r="M1964" t="str">
        <f t="shared" si="100"/>
        <v xml:space="preserve">N35DC   </v>
      </c>
      <c r="N1964">
        <v>1</v>
      </c>
      <c r="O1964">
        <v>1700</v>
      </c>
    </row>
    <row r="1965" spans="1:15" x14ac:dyDescent="0.25">
      <c r="A1965" t="str">
        <f>"10/21/2020 18:28:37.100"</f>
        <v>10/21/2020 18:28:37.100</v>
      </c>
      <c r="B1965" t="str">
        <f>"18:28:45.055"</f>
        <v>18:28:45.055</v>
      </c>
      <c r="C1965" t="str">
        <f>"18:28:44.955"</f>
        <v>18:28:44.955</v>
      </c>
      <c r="D1965" t="s">
        <v>780</v>
      </c>
      <c r="E1965">
        <v>30.566002999999998</v>
      </c>
      <c r="F1965" t="s">
        <v>781</v>
      </c>
      <c r="G1965">
        <v>-89.878484999999998</v>
      </c>
      <c r="H1965">
        <v>1600</v>
      </c>
      <c r="I1965">
        <v>12</v>
      </c>
      <c r="J1965">
        <v>141</v>
      </c>
      <c r="K1965">
        <v>-128</v>
      </c>
      <c r="L1965">
        <v>1200</v>
      </c>
      <c r="M1965" t="str">
        <f t="shared" si="100"/>
        <v xml:space="preserve">N35DC   </v>
      </c>
      <c r="N1965">
        <v>1</v>
      </c>
      <c r="O1965">
        <v>1700</v>
      </c>
    </row>
    <row r="1966" spans="1:15" x14ac:dyDescent="0.25">
      <c r="A1966" t="str">
        <f>"10/21/2020 18:28:37.100"</f>
        <v>10/21/2020 18:28:37.100</v>
      </c>
      <c r="B1966" t="str">
        <f>"18:28:45.055"</f>
        <v>18:28:45.055</v>
      </c>
      <c r="C1966" t="str">
        <f>"18:28:44.955"</f>
        <v>18:28:44.955</v>
      </c>
      <c r="D1966" t="s">
        <v>780</v>
      </c>
      <c r="E1966">
        <v>30.566002999999998</v>
      </c>
      <c r="F1966" t="s">
        <v>781</v>
      </c>
      <c r="G1966">
        <v>-89.878484999999998</v>
      </c>
      <c r="H1966">
        <v>1600</v>
      </c>
      <c r="I1966">
        <v>12</v>
      </c>
      <c r="J1966">
        <v>141</v>
      </c>
      <c r="K1966">
        <v>-128</v>
      </c>
      <c r="L1966">
        <v>1200</v>
      </c>
      <c r="M1966" t="str">
        <f t="shared" si="100"/>
        <v xml:space="preserve">N35DC   </v>
      </c>
      <c r="N1966">
        <v>1</v>
      </c>
      <c r="O1966">
        <v>1700</v>
      </c>
    </row>
    <row r="1967" spans="1:15" x14ac:dyDescent="0.25">
      <c r="A1967" t="str">
        <f>"10/21/2020 18:28:38.055"</f>
        <v>10/21/2020 18:28:38.055</v>
      </c>
      <c r="B1967" t="str">
        <f>"18:28:46.000"</f>
        <v>18:28:46.000</v>
      </c>
      <c r="C1967" t="str">
        <f>"18:28:45.800"</f>
        <v>18:28:45.800</v>
      </c>
      <c r="D1967" t="s">
        <v>782</v>
      </c>
      <c r="E1967">
        <v>30.566669000000001</v>
      </c>
      <c r="F1967" t="s">
        <v>783</v>
      </c>
      <c r="G1967">
        <v>-89.878399000000002</v>
      </c>
      <c r="H1967">
        <v>1600</v>
      </c>
      <c r="I1967">
        <v>11</v>
      </c>
      <c r="J1967">
        <v>141</v>
      </c>
      <c r="K1967">
        <v>-64</v>
      </c>
      <c r="L1967">
        <v>1200</v>
      </c>
      <c r="M1967" t="str">
        <f t="shared" si="100"/>
        <v xml:space="preserve">N35DC   </v>
      </c>
      <c r="N1967">
        <v>1</v>
      </c>
      <c r="O1967">
        <v>1700</v>
      </c>
    </row>
    <row r="1968" spans="1:15" x14ac:dyDescent="0.25">
      <c r="A1968" t="str">
        <f>"10/21/2020 18:28:38.055"</f>
        <v>10/21/2020 18:28:38.055</v>
      </c>
      <c r="B1968" t="str">
        <f>"18:28:46.000"</f>
        <v>18:28:46.000</v>
      </c>
      <c r="C1968" t="str">
        <f>"18:28:45.800"</f>
        <v>18:28:45.800</v>
      </c>
      <c r="D1968" t="s">
        <v>782</v>
      </c>
      <c r="E1968">
        <v>30.566669000000001</v>
      </c>
      <c r="F1968" t="s">
        <v>783</v>
      </c>
      <c r="G1968">
        <v>-89.878399000000002</v>
      </c>
      <c r="H1968">
        <v>1600</v>
      </c>
      <c r="I1968">
        <v>11</v>
      </c>
      <c r="J1968">
        <v>141</v>
      </c>
      <c r="K1968">
        <v>-64</v>
      </c>
      <c r="L1968">
        <v>1200</v>
      </c>
      <c r="M1968" t="str">
        <f t="shared" si="100"/>
        <v xml:space="preserve">N35DC   </v>
      </c>
      <c r="N1968">
        <v>1</v>
      </c>
      <c r="O1968">
        <v>1700</v>
      </c>
    </row>
    <row r="1969" spans="1:15" x14ac:dyDescent="0.25">
      <c r="A1969" t="str">
        <f>"10/21/2020 18:28:38.055"</f>
        <v>10/21/2020 18:28:38.055</v>
      </c>
      <c r="B1969" t="str">
        <f>"18:28:46.000"</f>
        <v>18:28:46.000</v>
      </c>
      <c r="C1969" t="str">
        <f>"18:28:45.800"</f>
        <v>18:28:45.800</v>
      </c>
      <c r="D1969" t="s">
        <v>782</v>
      </c>
      <c r="E1969">
        <v>30.566669000000001</v>
      </c>
      <c r="F1969" t="s">
        <v>783</v>
      </c>
      <c r="G1969">
        <v>-89.878399000000002</v>
      </c>
      <c r="H1969">
        <v>1600</v>
      </c>
      <c r="I1969">
        <v>11</v>
      </c>
      <c r="J1969">
        <v>141</v>
      </c>
      <c r="K1969">
        <v>-64</v>
      </c>
      <c r="L1969">
        <v>1200</v>
      </c>
      <c r="M1969" t="str">
        <f t="shared" si="100"/>
        <v xml:space="preserve">N35DC   </v>
      </c>
      <c r="N1969">
        <v>1</v>
      </c>
      <c r="O1969">
        <v>1700</v>
      </c>
    </row>
    <row r="1970" spans="1:15" x14ac:dyDescent="0.25">
      <c r="A1970" t="str">
        <f>"10/21/2020 18:28:38.055"</f>
        <v>10/21/2020 18:28:38.055</v>
      </c>
      <c r="B1970" t="str">
        <f>"18:28:46.000"</f>
        <v>18:28:46.000</v>
      </c>
      <c r="C1970" t="str">
        <f>"18:28:45.800"</f>
        <v>18:28:45.800</v>
      </c>
      <c r="D1970" t="s">
        <v>782</v>
      </c>
      <c r="E1970">
        <v>30.566669000000001</v>
      </c>
      <c r="F1970" t="s">
        <v>783</v>
      </c>
      <c r="G1970">
        <v>-89.878399000000002</v>
      </c>
      <c r="H1970">
        <v>1600</v>
      </c>
      <c r="I1970">
        <v>11</v>
      </c>
      <c r="J1970">
        <v>141</v>
      </c>
      <c r="K1970">
        <v>-64</v>
      </c>
      <c r="L1970">
        <v>1200</v>
      </c>
      <c r="M1970" t="str">
        <f t="shared" si="100"/>
        <v xml:space="preserve">N35DC   </v>
      </c>
      <c r="N1970">
        <v>1</v>
      </c>
      <c r="O1970">
        <v>1700</v>
      </c>
    </row>
    <row r="1971" spans="1:15" x14ac:dyDescent="0.25">
      <c r="A1971" t="str">
        <f>"10/21/2020 18:28:38.055"</f>
        <v>10/21/2020 18:28:38.055</v>
      </c>
      <c r="B1971" t="str">
        <f>"18:28:46.000"</f>
        <v>18:28:46.000</v>
      </c>
      <c r="C1971" t="str">
        <f>"18:28:45.800"</f>
        <v>18:28:45.800</v>
      </c>
      <c r="D1971" t="s">
        <v>782</v>
      </c>
      <c r="E1971">
        <v>30.566669000000001</v>
      </c>
      <c r="F1971" t="s">
        <v>783</v>
      </c>
      <c r="G1971">
        <v>-89.878399000000002</v>
      </c>
      <c r="H1971">
        <v>1600</v>
      </c>
      <c r="I1971">
        <v>11</v>
      </c>
      <c r="J1971">
        <v>141</v>
      </c>
      <c r="K1971">
        <v>-64</v>
      </c>
      <c r="L1971">
        <v>1200</v>
      </c>
      <c r="M1971" t="str">
        <f t="shared" si="100"/>
        <v xml:space="preserve">N35DC   </v>
      </c>
      <c r="N1971">
        <v>1</v>
      </c>
      <c r="O1971">
        <v>1700</v>
      </c>
    </row>
    <row r="1972" spans="1:15" x14ac:dyDescent="0.25">
      <c r="A1972" t="str">
        <f>"10/21/2020 18:28:40.176"</f>
        <v>10/21/2020 18:28:40.176</v>
      </c>
      <c r="B1972" t="str">
        <f>"18:28:48.086"</f>
        <v>18:28:48.086</v>
      </c>
      <c r="C1972" t="str">
        <f>"18:28:47.786"</f>
        <v>18:28:47.786</v>
      </c>
      <c r="D1972" t="s">
        <v>784</v>
      </c>
      <c r="E1972">
        <v>30.567999</v>
      </c>
      <c r="F1972" t="s">
        <v>785</v>
      </c>
      <c r="G1972">
        <v>-89.878335000000007</v>
      </c>
      <c r="H1972">
        <v>1600</v>
      </c>
      <c r="I1972">
        <v>8</v>
      </c>
      <c r="J1972">
        <v>142</v>
      </c>
      <c r="K1972">
        <v>-64</v>
      </c>
      <c r="L1972">
        <v>1200</v>
      </c>
      <c r="M1972" t="str">
        <f t="shared" si="100"/>
        <v xml:space="preserve">N35DC   </v>
      </c>
      <c r="N1972">
        <v>1</v>
      </c>
      <c r="O1972">
        <v>1700</v>
      </c>
    </row>
    <row r="1973" spans="1:15" x14ac:dyDescent="0.25">
      <c r="A1973" t="str">
        <f>"10/21/2020 18:28:40.176"</f>
        <v>10/21/2020 18:28:40.176</v>
      </c>
      <c r="B1973" t="str">
        <f>"18:28:48.086"</f>
        <v>18:28:48.086</v>
      </c>
      <c r="C1973" t="str">
        <f>"18:28:47.786"</f>
        <v>18:28:47.786</v>
      </c>
      <c r="D1973" t="s">
        <v>784</v>
      </c>
      <c r="E1973">
        <v>30.567999</v>
      </c>
      <c r="F1973" t="s">
        <v>785</v>
      </c>
      <c r="G1973">
        <v>-89.878335000000007</v>
      </c>
      <c r="H1973">
        <v>1600</v>
      </c>
      <c r="I1973">
        <v>8</v>
      </c>
      <c r="J1973">
        <v>142</v>
      </c>
      <c r="K1973">
        <v>-64</v>
      </c>
      <c r="L1973">
        <v>1200</v>
      </c>
      <c r="M1973" t="str">
        <f t="shared" si="100"/>
        <v xml:space="preserve">N35DC   </v>
      </c>
      <c r="N1973">
        <v>1</v>
      </c>
      <c r="O1973">
        <v>1700</v>
      </c>
    </row>
    <row r="1974" spans="1:15" x14ac:dyDescent="0.25">
      <c r="A1974" t="str">
        <f>"10/21/2020 18:28:40.176"</f>
        <v>10/21/2020 18:28:40.176</v>
      </c>
      <c r="B1974" t="str">
        <f>"18:28:48.086"</f>
        <v>18:28:48.086</v>
      </c>
      <c r="C1974" t="str">
        <f>"18:28:47.786"</f>
        <v>18:28:47.786</v>
      </c>
      <c r="D1974" t="s">
        <v>784</v>
      </c>
      <c r="E1974">
        <v>30.567999</v>
      </c>
      <c r="F1974" t="s">
        <v>785</v>
      </c>
      <c r="G1974">
        <v>-89.878335000000007</v>
      </c>
      <c r="H1974">
        <v>1600</v>
      </c>
      <c r="I1974">
        <v>8</v>
      </c>
      <c r="J1974">
        <v>142</v>
      </c>
      <c r="K1974">
        <v>-64</v>
      </c>
      <c r="L1974">
        <v>1200</v>
      </c>
      <c r="M1974" t="str">
        <f t="shared" si="100"/>
        <v xml:space="preserve">N35DC   </v>
      </c>
      <c r="N1974">
        <v>1</v>
      </c>
      <c r="O1974">
        <v>1700</v>
      </c>
    </row>
    <row r="1975" spans="1:15" x14ac:dyDescent="0.25">
      <c r="A1975" t="str">
        <f>"10/21/2020 18:28:40.176"</f>
        <v>10/21/2020 18:28:40.176</v>
      </c>
      <c r="B1975" t="str">
        <f>"18:28:48.086"</f>
        <v>18:28:48.086</v>
      </c>
      <c r="C1975" t="str">
        <f>"18:28:47.786"</f>
        <v>18:28:47.786</v>
      </c>
      <c r="D1975" t="s">
        <v>784</v>
      </c>
      <c r="E1975">
        <v>30.567999</v>
      </c>
      <c r="F1975" t="s">
        <v>785</v>
      </c>
      <c r="G1975">
        <v>-89.878335000000007</v>
      </c>
      <c r="H1975">
        <v>1600</v>
      </c>
      <c r="I1975">
        <v>8</v>
      </c>
      <c r="J1975">
        <v>142</v>
      </c>
      <c r="K1975">
        <v>-64</v>
      </c>
      <c r="L1975">
        <v>1200</v>
      </c>
      <c r="M1975" t="str">
        <f t="shared" si="100"/>
        <v xml:space="preserve">N35DC   </v>
      </c>
      <c r="N1975">
        <v>1</v>
      </c>
      <c r="O1975">
        <v>1700</v>
      </c>
    </row>
    <row r="1976" spans="1:15" x14ac:dyDescent="0.25">
      <c r="A1976" t="str">
        <f>"10/21/2020 18:28:40.176"</f>
        <v>10/21/2020 18:28:40.176</v>
      </c>
      <c r="B1976" t="str">
        <f>"18:28:48.086"</f>
        <v>18:28:48.086</v>
      </c>
      <c r="C1976" t="str">
        <f>"18:28:47.786"</f>
        <v>18:28:47.786</v>
      </c>
      <c r="D1976" t="s">
        <v>784</v>
      </c>
      <c r="E1976">
        <v>30.567999</v>
      </c>
      <c r="F1976" t="s">
        <v>785</v>
      </c>
      <c r="G1976">
        <v>-89.878335000000007</v>
      </c>
      <c r="H1976">
        <v>1600</v>
      </c>
      <c r="I1976">
        <v>8</v>
      </c>
      <c r="J1976">
        <v>142</v>
      </c>
      <c r="K1976">
        <v>-64</v>
      </c>
      <c r="L1976">
        <v>1200</v>
      </c>
      <c r="M1976" t="str">
        <f t="shared" si="100"/>
        <v xml:space="preserve">N35DC   </v>
      </c>
      <c r="N1976">
        <v>1</v>
      </c>
      <c r="O1976">
        <v>1700</v>
      </c>
    </row>
    <row r="1977" spans="1:15" x14ac:dyDescent="0.25">
      <c r="A1977" t="str">
        <f>"10/21/2020 18:28:41.134"</f>
        <v>10/21/2020 18:28:41.134</v>
      </c>
      <c r="B1977" t="str">
        <f>"18:28:49.062"</f>
        <v>18:28:49.062</v>
      </c>
      <c r="C1977" t="str">
        <f>"18:28:48.663"</f>
        <v>18:28:48.663</v>
      </c>
      <c r="D1977" t="s">
        <v>786</v>
      </c>
      <c r="E1977">
        <v>30.568621</v>
      </c>
      <c r="F1977" t="s">
        <v>787</v>
      </c>
      <c r="G1977">
        <v>-89.878270999999998</v>
      </c>
      <c r="H1977">
        <v>1600</v>
      </c>
      <c r="I1977">
        <v>7</v>
      </c>
      <c r="J1977">
        <v>142</v>
      </c>
      <c r="K1977">
        <v>-128</v>
      </c>
      <c r="L1977">
        <v>1200</v>
      </c>
      <c r="M1977" t="str">
        <f t="shared" si="100"/>
        <v xml:space="preserve">N35DC   </v>
      </c>
      <c r="N1977">
        <v>1</v>
      </c>
      <c r="O1977">
        <v>1700</v>
      </c>
    </row>
    <row r="1978" spans="1:15" x14ac:dyDescent="0.25">
      <c r="A1978" t="str">
        <f>"10/21/2020 18:28:41.134"</f>
        <v>10/21/2020 18:28:41.134</v>
      </c>
      <c r="B1978" t="str">
        <f>"18:28:49.062"</f>
        <v>18:28:49.062</v>
      </c>
      <c r="C1978" t="str">
        <f>"18:28:48.663"</f>
        <v>18:28:48.663</v>
      </c>
      <c r="D1978" t="s">
        <v>786</v>
      </c>
      <c r="E1978">
        <v>30.568621</v>
      </c>
      <c r="F1978" t="s">
        <v>787</v>
      </c>
      <c r="G1978">
        <v>-89.878270999999998</v>
      </c>
      <c r="H1978">
        <v>1600</v>
      </c>
      <c r="I1978">
        <v>7</v>
      </c>
      <c r="J1978">
        <v>142</v>
      </c>
      <c r="K1978">
        <v>-128</v>
      </c>
      <c r="L1978">
        <v>1200</v>
      </c>
      <c r="M1978" t="str">
        <f t="shared" si="100"/>
        <v xml:space="preserve">N35DC   </v>
      </c>
      <c r="N1978">
        <v>1</v>
      </c>
      <c r="O1978">
        <v>1700</v>
      </c>
    </row>
    <row r="1979" spans="1:15" x14ac:dyDescent="0.25">
      <c r="A1979" t="str">
        <f>"10/21/2020 18:28:41.134"</f>
        <v>10/21/2020 18:28:41.134</v>
      </c>
      <c r="B1979" t="str">
        <f>"18:28:49.062"</f>
        <v>18:28:49.062</v>
      </c>
      <c r="C1979" t="str">
        <f>"18:28:48.663"</f>
        <v>18:28:48.663</v>
      </c>
      <c r="D1979" t="s">
        <v>786</v>
      </c>
      <c r="E1979">
        <v>30.568621</v>
      </c>
      <c r="F1979" t="s">
        <v>787</v>
      </c>
      <c r="G1979">
        <v>-89.878270999999998</v>
      </c>
      <c r="H1979">
        <v>1600</v>
      </c>
      <c r="I1979">
        <v>7</v>
      </c>
      <c r="J1979">
        <v>142</v>
      </c>
      <c r="K1979">
        <v>-128</v>
      </c>
      <c r="L1979">
        <v>1200</v>
      </c>
      <c r="M1979" t="str">
        <f t="shared" si="100"/>
        <v xml:space="preserve">N35DC   </v>
      </c>
      <c r="N1979">
        <v>1</v>
      </c>
      <c r="O1979">
        <v>1700</v>
      </c>
    </row>
    <row r="1980" spans="1:15" x14ac:dyDescent="0.25">
      <c r="A1980" t="str">
        <f>"10/21/2020 18:28:41.134"</f>
        <v>10/21/2020 18:28:41.134</v>
      </c>
      <c r="B1980" t="str">
        <f>"18:28:49.062"</f>
        <v>18:28:49.062</v>
      </c>
      <c r="C1980" t="str">
        <f>"18:28:48.663"</f>
        <v>18:28:48.663</v>
      </c>
      <c r="D1980" t="s">
        <v>786</v>
      </c>
      <c r="E1980">
        <v>30.568621</v>
      </c>
      <c r="F1980" t="s">
        <v>787</v>
      </c>
      <c r="G1980">
        <v>-89.878270999999998</v>
      </c>
      <c r="H1980">
        <v>1600</v>
      </c>
      <c r="I1980">
        <v>7</v>
      </c>
      <c r="J1980">
        <v>142</v>
      </c>
      <c r="K1980">
        <v>-128</v>
      </c>
      <c r="L1980">
        <v>1200</v>
      </c>
      <c r="M1980" t="str">
        <f t="shared" si="100"/>
        <v xml:space="preserve">N35DC   </v>
      </c>
      <c r="N1980">
        <v>1</v>
      </c>
      <c r="O1980">
        <v>1700</v>
      </c>
    </row>
    <row r="1981" spans="1:15" x14ac:dyDescent="0.25">
      <c r="A1981" t="str">
        <f>"10/21/2020 18:28:41.134"</f>
        <v>10/21/2020 18:28:41.134</v>
      </c>
      <c r="B1981" t="str">
        <f>"18:28:49.062"</f>
        <v>18:28:49.062</v>
      </c>
      <c r="C1981" t="str">
        <f>"18:28:48.663"</f>
        <v>18:28:48.663</v>
      </c>
      <c r="D1981" t="s">
        <v>786</v>
      </c>
      <c r="E1981">
        <v>30.568621</v>
      </c>
      <c r="F1981" t="s">
        <v>787</v>
      </c>
      <c r="G1981">
        <v>-89.878270999999998</v>
      </c>
      <c r="H1981">
        <v>1600</v>
      </c>
      <c r="I1981">
        <v>7</v>
      </c>
      <c r="J1981">
        <v>142</v>
      </c>
      <c r="K1981">
        <v>-128</v>
      </c>
      <c r="L1981">
        <v>1200</v>
      </c>
      <c r="M1981" t="str">
        <f t="shared" si="100"/>
        <v xml:space="preserve">N35DC   </v>
      </c>
      <c r="N1981">
        <v>1</v>
      </c>
      <c r="O1981">
        <v>1700</v>
      </c>
    </row>
    <row r="1982" spans="1:15" x14ac:dyDescent="0.25">
      <c r="A1982" t="str">
        <f>"10/21/2020 18:28:44.308"</f>
        <v>10/21/2020 18:28:44.308</v>
      </c>
      <c r="B1982" t="str">
        <f>"18:28:52.242"</f>
        <v>18:28:52.242</v>
      </c>
      <c r="C1982" t="str">
        <f>"18:28:51.842"</f>
        <v>18:28:51.842</v>
      </c>
      <c r="D1982" t="s">
        <v>788</v>
      </c>
      <c r="E1982">
        <v>30.570767</v>
      </c>
      <c r="F1982" t="s">
        <v>789</v>
      </c>
      <c r="G1982">
        <v>-89.878163000000001</v>
      </c>
      <c r="H1982">
        <v>1600</v>
      </c>
      <c r="I1982">
        <v>6</v>
      </c>
      <c r="J1982">
        <v>143</v>
      </c>
      <c r="K1982">
        <v>-192</v>
      </c>
      <c r="L1982">
        <v>1200</v>
      </c>
      <c r="M1982" t="str">
        <f t="shared" si="100"/>
        <v xml:space="preserve">N35DC   </v>
      </c>
      <c r="N1982">
        <v>1</v>
      </c>
      <c r="O1982">
        <v>1700</v>
      </c>
    </row>
    <row r="1983" spans="1:15" x14ac:dyDescent="0.25">
      <c r="A1983" t="str">
        <f>"10/21/2020 18:28:44.308"</f>
        <v>10/21/2020 18:28:44.308</v>
      </c>
      <c r="B1983" t="str">
        <f>"18:28:52.242"</f>
        <v>18:28:52.242</v>
      </c>
      <c r="C1983" t="str">
        <f>"18:28:51.842"</f>
        <v>18:28:51.842</v>
      </c>
      <c r="D1983" t="s">
        <v>788</v>
      </c>
      <c r="E1983">
        <v>30.570767</v>
      </c>
      <c r="F1983" t="s">
        <v>789</v>
      </c>
      <c r="G1983">
        <v>-89.878163000000001</v>
      </c>
      <c r="H1983">
        <v>1600</v>
      </c>
      <c r="I1983">
        <v>6</v>
      </c>
      <c r="J1983">
        <v>143</v>
      </c>
      <c r="K1983">
        <v>-192</v>
      </c>
      <c r="L1983">
        <v>1200</v>
      </c>
      <c r="M1983" t="str">
        <f t="shared" si="100"/>
        <v xml:space="preserve">N35DC   </v>
      </c>
      <c r="N1983">
        <v>1</v>
      </c>
      <c r="O1983">
        <v>1700</v>
      </c>
    </row>
    <row r="1984" spans="1:15" x14ac:dyDescent="0.25">
      <c r="A1984" t="str">
        <f>"10/21/2020 18:28:44.308"</f>
        <v>10/21/2020 18:28:44.308</v>
      </c>
      <c r="B1984" t="str">
        <f>"18:28:52.242"</f>
        <v>18:28:52.242</v>
      </c>
      <c r="C1984" t="str">
        <f>"18:28:51.842"</f>
        <v>18:28:51.842</v>
      </c>
      <c r="D1984" t="s">
        <v>788</v>
      </c>
      <c r="E1984">
        <v>30.570767</v>
      </c>
      <c r="F1984" t="s">
        <v>789</v>
      </c>
      <c r="G1984">
        <v>-89.878163000000001</v>
      </c>
      <c r="H1984">
        <v>1600</v>
      </c>
      <c r="I1984">
        <v>6</v>
      </c>
      <c r="J1984">
        <v>143</v>
      </c>
      <c r="K1984">
        <v>-192</v>
      </c>
      <c r="L1984">
        <v>1200</v>
      </c>
      <c r="M1984" t="str">
        <f t="shared" si="100"/>
        <v xml:space="preserve">N35DC   </v>
      </c>
      <c r="N1984">
        <v>1</v>
      </c>
      <c r="O1984">
        <v>1700</v>
      </c>
    </row>
    <row r="1985" spans="1:15" x14ac:dyDescent="0.25">
      <c r="A1985" t="str">
        <f>"10/21/2020 18:28:44.308"</f>
        <v>10/21/2020 18:28:44.308</v>
      </c>
      <c r="B1985" t="str">
        <f>"18:28:52.242"</f>
        <v>18:28:52.242</v>
      </c>
      <c r="C1985" t="str">
        <f>"18:28:51.842"</f>
        <v>18:28:51.842</v>
      </c>
      <c r="D1985" t="s">
        <v>788</v>
      </c>
      <c r="E1985">
        <v>30.570767</v>
      </c>
      <c r="F1985" t="s">
        <v>789</v>
      </c>
      <c r="G1985">
        <v>-89.878163000000001</v>
      </c>
      <c r="H1985">
        <v>1600</v>
      </c>
      <c r="I1985">
        <v>6</v>
      </c>
      <c r="J1985">
        <v>143</v>
      </c>
      <c r="K1985">
        <v>-192</v>
      </c>
      <c r="L1985">
        <v>1200</v>
      </c>
      <c r="M1985" t="str">
        <f t="shared" si="100"/>
        <v xml:space="preserve">N35DC   </v>
      </c>
      <c r="N1985">
        <v>1</v>
      </c>
      <c r="O1985">
        <v>1700</v>
      </c>
    </row>
    <row r="1986" spans="1:15" x14ac:dyDescent="0.25">
      <c r="A1986" t="str">
        <f>"10/21/2020 18:28:44.308"</f>
        <v>10/21/2020 18:28:44.308</v>
      </c>
      <c r="B1986" t="str">
        <f>"18:28:52.242"</f>
        <v>18:28:52.242</v>
      </c>
      <c r="C1986" t="str">
        <f>"18:28:51.842"</f>
        <v>18:28:51.842</v>
      </c>
      <c r="D1986" t="s">
        <v>788</v>
      </c>
      <c r="E1986">
        <v>30.570767</v>
      </c>
      <c r="F1986" t="s">
        <v>789</v>
      </c>
      <c r="G1986">
        <v>-89.878163000000001</v>
      </c>
      <c r="H1986">
        <v>1600</v>
      </c>
      <c r="I1986">
        <v>6</v>
      </c>
      <c r="J1986">
        <v>143</v>
      </c>
      <c r="K1986">
        <v>-192</v>
      </c>
      <c r="L1986">
        <v>1200</v>
      </c>
      <c r="M1986" t="str">
        <f t="shared" si="100"/>
        <v xml:space="preserve">N35DC   </v>
      </c>
      <c r="N1986">
        <v>1</v>
      </c>
      <c r="O1986">
        <v>1700</v>
      </c>
    </row>
    <row r="1987" spans="1:15" x14ac:dyDescent="0.25">
      <c r="A1987" t="str">
        <f>"10/21/2020 18:28:45.215"</f>
        <v>10/21/2020 18:28:45.215</v>
      </c>
      <c r="B1987" t="str">
        <f t="shared" ref="B1987:C1991" si="102">"18:28:53.172"</f>
        <v>18:28:53.172</v>
      </c>
      <c r="C1987" t="str">
        <f t="shared" si="102"/>
        <v>18:28:53.172</v>
      </c>
      <c r="D1987" t="s">
        <v>790</v>
      </c>
      <c r="E1987">
        <v>30.571389</v>
      </c>
      <c r="F1987" t="s">
        <v>791</v>
      </c>
      <c r="G1987">
        <v>-89.878119999999996</v>
      </c>
      <c r="H1987">
        <v>1600</v>
      </c>
      <c r="I1987">
        <v>6</v>
      </c>
      <c r="J1987">
        <v>143</v>
      </c>
      <c r="K1987">
        <v>0</v>
      </c>
      <c r="L1987">
        <v>1200</v>
      </c>
      <c r="M1987" t="str">
        <f t="shared" si="100"/>
        <v xml:space="preserve">N35DC   </v>
      </c>
      <c r="N1987">
        <v>1</v>
      </c>
      <c r="O1987">
        <v>1675</v>
      </c>
    </row>
    <row r="1988" spans="1:15" x14ac:dyDescent="0.25">
      <c r="A1988" t="str">
        <f>"10/21/2020 18:28:45.215"</f>
        <v>10/21/2020 18:28:45.215</v>
      </c>
      <c r="B1988" t="str">
        <f t="shared" si="102"/>
        <v>18:28:53.172</v>
      </c>
      <c r="C1988" t="str">
        <f t="shared" si="102"/>
        <v>18:28:53.172</v>
      </c>
      <c r="D1988" t="s">
        <v>790</v>
      </c>
      <c r="E1988">
        <v>30.571389</v>
      </c>
      <c r="F1988" t="s">
        <v>791</v>
      </c>
      <c r="G1988">
        <v>-89.878119999999996</v>
      </c>
      <c r="H1988">
        <v>1600</v>
      </c>
      <c r="I1988">
        <v>6</v>
      </c>
      <c r="J1988">
        <v>143</v>
      </c>
      <c r="K1988">
        <v>0</v>
      </c>
      <c r="L1988">
        <v>1200</v>
      </c>
      <c r="M1988" t="str">
        <f t="shared" si="100"/>
        <v xml:space="preserve">N35DC   </v>
      </c>
      <c r="N1988">
        <v>1</v>
      </c>
      <c r="O1988">
        <v>1675</v>
      </c>
    </row>
    <row r="1989" spans="1:15" x14ac:dyDescent="0.25">
      <c r="A1989" t="str">
        <f>"10/21/2020 18:28:45.215"</f>
        <v>10/21/2020 18:28:45.215</v>
      </c>
      <c r="B1989" t="str">
        <f t="shared" si="102"/>
        <v>18:28:53.172</v>
      </c>
      <c r="C1989" t="str">
        <f t="shared" si="102"/>
        <v>18:28:53.172</v>
      </c>
      <c r="D1989" t="s">
        <v>790</v>
      </c>
      <c r="E1989">
        <v>30.571389</v>
      </c>
      <c r="F1989" t="s">
        <v>791</v>
      </c>
      <c r="G1989">
        <v>-89.878119999999996</v>
      </c>
      <c r="H1989">
        <v>1600</v>
      </c>
      <c r="I1989">
        <v>6</v>
      </c>
      <c r="J1989">
        <v>143</v>
      </c>
      <c r="K1989">
        <v>0</v>
      </c>
      <c r="L1989">
        <v>1200</v>
      </c>
      <c r="M1989" t="str">
        <f t="shared" si="100"/>
        <v xml:space="preserve">N35DC   </v>
      </c>
      <c r="N1989">
        <v>1</v>
      </c>
      <c r="O1989">
        <v>1675</v>
      </c>
    </row>
    <row r="1990" spans="1:15" x14ac:dyDescent="0.25">
      <c r="A1990" t="str">
        <f>"10/21/2020 18:28:45.215"</f>
        <v>10/21/2020 18:28:45.215</v>
      </c>
      <c r="B1990" t="str">
        <f t="shared" si="102"/>
        <v>18:28:53.172</v>
      </c>
      <c r="C1990" t="str">
        <f t="shared" si="102"/>
        <v>18:28:53.172</v>
      </c>
      <c r="D1990" t="s">
        <v>790</v>
      </c>
      <c r="E1990">
        <v>30.571389</v>
      </c>
      <c r="F1990" t="s">
        <v>791</v>
      </c>
      <c r="G1990">
        <v>-89.878119999999996</v>
      </c>
      <c r="H1990">
        <v>1600</v>
      </c>
      <c r="I1990">
        <v>6</v>
      </c>
      <c r="J1990">
        <v>143</v>
      </c>
      <c r="K1990">
        <v>0</v>
      </c>
      <c r="L1990">
        <v>1200</v>
      </c>
      <c r="M1990" t="str">
        <f t="shared" si="100"/>
        <v xml:space="preserve">N35DC   </v>
      </c>
      <c r="N1990">
        <v>1</v>
      </c>
      <c r="O1990">
        <v>1675</v>
      </c>
    </row>
    <row r="1991" spans="1:15" x14ac:dyDescent="0.25">
      <c r="A1991" t="str">
        <f>"10/21/2020 18:28:45.215"</f>
        <v>10/21/2020 18:28:45.215</v>
      </c>
      <c r="B1991" t="str">
        <f t="shared" si="102"/>
        <v>18:28:53.172</v>
      </c>
      <c r="C1991" t="str">
        <f t="shared" si="102"/>
        <v>18:28:53.172</v>
      </c>
      <c r="D1991" t="s">
        <v>790</v>
      </c>
      <c r="E1991">
        <v>30.571389</v>
      </c>
      <c r="F1991" t="s">
        <v>791</v>
      </c>
      <c r="G1991">
        <v>-89.878119999999996</v>
      </c>
      <c r="H1991">
        <v>1600</v>
      </c>
      <c r="I1991">
        <v>6</v>
      </c>
      <c r="J1991">
        <v>143</v>
      </c>
      <c r="K1991">
        <v>0</v>
      </c>
      <c r="L1991">
        <v>1200</v>
      </c>
      <c r="M1991" t="str">
        <f t="shared" ref="M1991:M2054" si="103">"N35DC   "</f>
        <v xml:space="preserve">N35DC   </v>
      </c>
      <c r="N1991">
        <v>1</v>
      </c>
      <c r="O1991">
        <v>1675</v>
      </c>
    </row>
    <row r="1992" spans="1:15" x14ac:dyDescent="0.25">
      <c r="A1992" t="str">
        <f>"10/21/2020 18:28:47.170"</f>
        <v>10/21/2020 18:28:47.170</v>
      </c>
      <c r="B1992" t="str">
        <f>"18:28:55.117"</f>
        <v>18:28:55.117</v>
      </c>
      <c r="C1992" t="str">
        <f>"18:28:54.817"</f>
        <v>18:28:54.817</v>
      </c>
      <c r="D1992" t="s">
        <v>792</v>
      </c>
      <c r="E1992">
        <v>30.572676999999999</v>
      </c>
      <c r="F1992" t="s">
        <v>793</v>
      </c>
      <c r="G1992">
        <v>-89.878056000000001</v>
      </c>
      <c r="H1992">
        <v>1600</v>
      </c>
      <c r="I1992">
        <v>5</v>
      </c>
      <c r="J1992">
        <v>143</v>
      </c>
      <c r="K1992">
        <v>128</v>
      </c>
      <c r="L1992">
        <v>1200</v>
      </c>
      <c r="M1992" t="str">
        <f t="shared" si="103"/>
        <v xml:space="preserve">N35DC   </v>
      </c>
      <c r="N1992">
        <v>1</v>
      </c>
      <c r="O1992">
        <v>1700</v>
      </c>
    </row>
    <row r="1993" spans="1:15" x14ac:dyDescent="0.25">
      <c r="A1993" t="str">
        <f>"10/21/2020 18:28:47.170"</f>
        <v>10/21/2020 18:28:47.170</v>
      </c>
      <c r="B1993" t="str">
        <f>"18:28:55.117"</f>
        <v>18:28:55.117</v>
      </c>
      <c r="C1993" t="str">
        <f>"18:28:54.817"</f>
        <v>18:28:54.817</v>
      </c>
      <c r="D1993" t="s">
        <v>792</v>
      </c>
      <c r="E1993">
        <v>30.572676999999999</v>
      </c>
      <c r="F1993" t="s">
        <v>793</v>
      </c>
      <c r="G1993">
        <v>-89.878056000000001</v>
      </c>
      <c r="H1993">
        <v>1600</v>
      </c>
      <c r="I1993">
        <v>5</v>
      </c>
      <c r="J1993">
        <v>143</v>
      </c>
      <c r="K1993">
        <v>128</v>
      </c>
      <c r="L1993">
        <v>1200</v>
      </c>
      <c r="M1993" t="str">
        <f t="shared" si="103"/>
        <v xml:space="preserve">N35DC   </v>
      </c>
      <c r="N1993">
        <v>1</v>
      </c>
      <c r="O1993">
        <v>1700</v>
      </c>
    </row>
    <row r="1994" spans="1:15" x14ac:dyDescent="0.25">
      <c r="A1994" t="str">
        <f>"10/21/2020 18:28:47.170"</f>
        <v>10/21/2020 18:28:47.170</v>
      </c>
      <c r="B1994" t="str">
        <f>"18:28:55.117"</f>
        <v>18:28:55.117</v>
      </c>
      <c r="C1994" t="str">
        <f>"18:28:54.817"</f>
        <v>18:28:54.817</v>
      </c>
      <c r="D1994" t="s">
        <v>792</v>
      </c>
      <c r="E1994">
        <v>30.572676999999999</v>
      </c>
      <c r="F1994" t="s">
        <v>793</v>
      </c>
      <c r="G1994">
        <v>-89.878056000000001</v>
      </c>
      <c r="H1994">
        <v>1600</v>
      </c>
      <c r="I1994">
        <v>5</v>
      </c>
      <c r="J1994">
        <v>143</v>
      </c>
      <c r="K1994">
        <v>128</v>
      </c>
      <c r="L1994">
        <v>1200</v>
      </c>
      <c r="M1994" t="str">
        <f t="shared" si="103"/>
        <v xml:space="preserve">N35DC   </v>
      </c>
      <c r="N1994">
        <v>1</v>
      </c>
      <c r="O1994">
        <v>1700</v>
      </c>
    </row>
    <row r="1995" spans="1:15" x14ac:dyDescent="0.25">
      <c r="A1995" t="str">
        <f>"10/21/2020 18:28:47.170"</f>
        <v>10/21/2020 18:28:47.170</v>
      </c>
      <c r="B1995" t="str">
        <f>"18:28:55.117"</f>
        <v>18:28:55.117</v>
      </c>
      <c r="C1995" t="str">
        <f>"18:28:54.817"</f>
        <v>18:28:54.817</v>
      </c>
      <c r="D1995" t="s">
        <v>792</v>
      </c>
      <c r="E1995">
        <v>30.572676999999999</v>
      </c>
      <c r="F1995" t="s">
        <v>793</v>
      </c>
      <c r="G1995">
        <v>-89.878056000000001</v>
      </c>
      <c r="H1995">
        <v>1600</v>
      </c>
      <c r="I1995">
        <v>5</v>
      </c>
      <c r="J1995">
        <v>143</v>
      </c>
      <c r="K1995">
        <v>128</v>
      </c>
      <c r="L1995">
        <v>1200</v>
      </c>
      <c r="M1995" t="str">
        <f t="shared" si="103"/>
        <v xml:space="preserve">N35DC   </v>
      </c>
      <c r="N1995">
        <v>1</v>
      </c>
      <c r="O1995">
        <v>1700</v>
      </c>
    </row>
    <row r="1996" spans="1:15" x14ac:dyDescent="0.25">
      <c r="A1996" t="str">
        <f>"10/21/2020 18:28:47.170"</f>
        <v>10/21/2020 18:28:47.170</v>
      </c>
      <c r="B1996" t="str">
        <f>"18:28:55.117"</f>
        <v>18:28:55.117</v>
      </c>
      <c r="C1996" t="str">
        <f>"18:28:54.817"</f>
        <v>18:28:54.817</v>
      </c>
      <c r="D1996" t="s">
        <v>792</v>
      </c>
      <c r="E1996">
        <v>30.572676999999999</v>
      </c>
      <c r="F1996" t="s">
        <v>793</v>
      </c>
      <c r="G1996">
        <v>-89.878056000000001</v>
      </c>
      <c r="H1996">
        <v>1600</v>
      </c>
      <c r="I1996">
        <v>5</v>
      </c>
      <c r="J1996">
        <v>143</v>
      </c>
      <c r="K1996">
        <v>128</v>
      </c>
      <c r="L1996">
        <v>1200</v>
      </c>
      <c r="M1996" t="str">
        <f t="shared" si="103"/>
        <v xml:space="preserve">N35DC   </v>
      </c>
      <c r="N1996">
        <v>1</v>
      </c>
      <c r="O1996">
        <v>1700</v>
      </c>
    </row>
    <row r="1997" spans="1:15" x14ac:dyDescent="0.25">
      <c r="A1997" t="str">
        <f>"10/21/2020 18:28:48.273"</f>
        <v>10/21/2020 18:28:48.273</v>
      </c>
      <c r="B1997" t="str">
        <f>"18:28:56.211"</f>
        <v>18:28:56.211</v>
      </c>
      <c r="C1997" t="str">
        <f>"18:28:55.711"</f>
        <v>18:28:55.711</v>
      </c>
      <c r="D1997" t="s">
        <v>794</v>
      </c>
      <c r="E1997">
        <v>30.573363000000001</v>
      </c>
      <c r="F1997" t="s">
        <v>793</v>
      </c>
      <c r="G1997">
        <v>-89.878056000000001</v>
      </c>
      <c r="H1997">
        <v>1600</v>
      </c>
      <c r="I1997">
        <v>5</v>
      </c>
      <c r="J1997">
        <v>142</v>
      </c>
      <c r="K1997">
        <v>64</v>
      </c>
      <c r="L1997">
        <v>1200</v>
      </c>
      <c r="M1997" t="str">
        <f t="shared" si="103"/>
        <v xml:space="preserve">N35DC   </v>
      </c>
      <c r="N1997">
        <v>1</v>
      </c>
      <c r="O1997">
        <v>1700</v>
      </c>
    </row>
    <row r="1998" spans="1:15" x14ac:dyDescent="0.25">
      <c r="A1998" t="str">
        <f>"10/21/2020 18:28:48.273"</f>
        <v>10/21/2020 18:28:48.273</v>
      </c>
      <c r="B1998" t="str">
        <f>"18:28:56.211"</f>
        <v>18:28:56.211</v>
      </c>
      <c r="C1998" t="str">
        <f>"18:28:55.711"</f>
        <v>18:28:55.711</v>
      </c>
      <c r="D1998" t="s">
        <v>794</v>
      </c>
      <c r="E1998">
        <v>30.573363000000001</v>
      </c>
      <c r="F1998" t="s">
        <v>793</v>
      </c>
      <c r="G1998">
        <v>-89.878056000000001</v>
      </c>
      <c r="H1998">
        <v>1600</v>
      </c>
      <c r="I1998">
        <v>5</v>
      </c>
      <c r="J1998">
        <v>142</v>
      </c>
      <c r="K1998">
        <v>64</v>
      </c>
      <c r="L1998">
        <v>1200</v>
      </c>
      <c r="M1998" t="str">
        <f t="shared" si="103"/>
        <v xml:space="preserve">N35DC   </v>
      </c>
      <c r="N1998">
        <v>1</v>
      </c>
      <c r="O1998">
        <v>1700</v>
      </c>
    </row>
    <row r="1999" spans="1:15" x14ac:dyDescent="0.25">
      <c r="A1999" t="str">
        <f>"10/21/2020 18:28:48.273"</f>
        <v>10/21/2020 18:28:48.273</v>
      </c>
      <c r="B1999" t="str">
        <f>"18:28:56.211"</f>
        <v>18:28:56.211</v>
      </c>
      <c r="C1999" t="str">
        <f>"18:28:55.711"</f>
        <v>18:28:55.711</v>
      </c>
      <c r="D1999" t="s">
        <v>794</v>
      </c>
      <c r="E1999">
        <v>30.573363000000001</v>
      </c>
      <c r="F1999" t="s">
        <v>793</v>
      </c>
      <c r="G1999">
        <v>-89.878056000000001</v>
      </c>
      <c r="H1999">
        <v>1600</v>
      </c>
      <c r="I1999">
        <v>5</v>
      </c>
      <c r="J1999">
        <v>142</v>
      </c>
      <c r="K1999">
        <v>64</v>
      </c>
      <c r="L1999">
        <v>1200</v>
      </c>
      <c r="M1999" t="str">
        <f t="shared" si="103"/>
        <v xml:space="preserve">N35DC   </v>
      </c>
      <c r="N1999">
        <v>1</v>
      </c>
      <c r="O1999">
        <v>1700</v>
      </c>
    </row>
    <row r="2000" spans="1:15" x14ac:dyDescent="0.25">
      <c r="A2000" t="str">
        <f>"10/21/2020 18:28:48.273"</f>
        <v>10/21/2020 18:28:48.273</v>
      </c>
      <c r="B2000" t="str">
        <f>"18:28:56.211"</f>
        <v>18:28:56.211</v>
      </c>
      <c r="C2000" t="str">
        <f>"18:28:55.711"</f>
        <v>18:28:55.711</v>
      </c>
      <c r="D2000" t="s">
        <v>794</v>
      </c>
      <c r="E2000">
        <v>30.573363000000001</v>
      </c>
      <c r="F2000" t="s">
        <v>793</v>
      </c>
      <c r="G2000">
        <v>-89.878056000000001</v>
      </c>
      <c r="H2000">
        <v>1600</v>
      </c>
      <c r="I2000">
        <v>5</v>
      </c>
      <c r="J2000">
        <v>142</v>
      </c>
      <c r="K2000">
        <v>64</v>
      </c>
      <c r="L2000">
        <v>1200</v>
      </c>
      <c r="M2000" t="str">
        <f t="shared" si="103"/>
        <v xml:space="preserve">N35DC   </v>
      </c>
      <c r="N2000">
        <v>1</v>
      </c>
      <c r="O2000">
        <v>1700</v>
      </c>
    </row>
    <row r="2001" spans="1:15" x14ac:dyDescent="0.25">
      <c r="A2001" t="str">
        <f>"10/21/2020 18:28:48.273"</f>
        <v>10/21/2020 18:28:48.273</v>
      </c>
      <c r="B2001" t="str">
        <f>"18:28:56.211"</f>
        <v>18:28:56.211</v>
      </c>
      <c r="C2001" t="str">
        <f>"18:28:55.711"</f>
        <v>18:28:55.711</v>
      </c>
      <c r="D2001" t="s">
        <v>794</v>
      </c>
      <c r="E2001">
        <v>30.573363000000001</v>
      </c>
      <c r="F2001" t="s">
        <v>793</v>
      </c>
      <c r="G2001">
        <v>-89.878056000000001</v>
      </c>
      <c r="H2001">
        <v>1600</v>
      </c>
      <c r="I2001">
        <v>5</v>
      </c>
      <c r="J2001">
        <v>142</v>
      </c>
      <c r="K2001">
        <v>64</v>
      </c>
      <c r="L2001">
        <v>1200</v>
      </c>
      <c r="M2001" t="str">
        <f t="shared" si="103"/>
        <v xml:space="preserve">N35DC   </v>
      </c>
      <c r="N2001">
        <v>1</v>
      </c>
      <c r="O2001">
        <v>1700</v>
      </c>
    </row>
    <row r="2002" spans="1:15" x14ac:dyDescent="0.25">
      <c r="A2002" t="str">
        <f>"10/21/2020 18:28:51.364"</f>
        <v>10/21/2020 18:28:51.364</v>
      </c>
      <c r="B2002" t="str">
        <f>"18:28:59.305"</f>
        <v>18:28:59.305</v>
      </c>
      <c r="C2002" t="str">
        <f>"18:28:58.905"</f>
        <v>18:28:58.905</v>
      </c>
      <c r="D2002" t="s">
        <v>795</v>
      </c>
      <c r="E2002">
        <v>30.575402</v>
      </c>
      <c r="F2002" t="s">
        <v>796</v>
      </c>
      <c r="G2002">
        <v>-89.877970000000005</v>
      </c>
      <c r="H2002">
        <v>1600</v>
      </c>
      <c r="I2002">
        <v>4</v>
      </c>
      <c r="J2002">
        <v>142</v>
      </c>
      <c r="K2002">
        <v>0</v>
      </c>
      <c r="L2002">
        <v>1200</v>
      </c>
      <c r="M2002" t="str">
        <f t="shared" si="103"/>
        <v xml:space="preserve">N35DC   </v>
      </c>
      <c r="N2002">
        <v>1</v>
      </c>
      <c r="O2002">
        <v>1700</v>
      </c>
    </row>
    <row r="2003" spans="1:15" x14ac:dyDescent="0.25">
      <c r="A2003" t="str">
        <f>"10/21/2020 18:28:51.364"</f>
        <v>10/21/2020 18:28:51.364</v>
      </c>
      <c r="B2003" t="str">
        <f>"18:28:59.305"</f>
        <v>18:28:59.305</v>
      </c>
      <c r="C2003" t="str">
        <f>"18:28:58.905"</f>
        <v>18:28:58.905</v>
      </c>
      <c r="D2003" t="s">
        <v>795</v>
      </c>
      <c r="E2003">
        <v>30.575402</v>
      </c>
      <c r="F2003" t="s">
        <v>796</v>
      </c>
      <c r="G2003">
        <v>-89.877970000000005</v>
      </c>
      <c r="H2003">
        <v>1600</v>
      </c>
      <c r="I2003">
        <v>4</v>
      </c>
      <c r="J2003">
        <v>142</v>
      </c>
      <c r="K2003">
        <v>0</v>
      </c>
      <c r="L2003">
        <v>1200</v>
      </c>
      <c r="M2003" t="str">
        <f t="shared" si="103"/>
        <v xml:space="preserve">N35DC   </v>
      </c>
      <c r="N2003">
        <v>1</v>
      </c>
      <c r="O2003">
        <v>1700</v>
      </c>
    </row>
    <row r="2004" spans="1:15" x14ac:dyDescent="0.25">
      <c r="A2004" t="str">
        <f>"10/21/2020 18:28:51.364"</f>
        <v>10/21/2020 18:28:51.364</v>
      </c>
      <c r="B2004" t="str">
        <f>"18:28:59.305"</f>
        <v>18:28:59.305</v>
      </c>
      <c r="C2004" t="str">
        <f>"18:28:58.905"</f>
        <v>18:28:58.905</v>
      </c>
      <c r="D2004" t="s">
        <v>795</v>
      </c>
      <c r="E2004">
        <v>30.575402</v>
      </c>
      <c r="F2004" t="s">
        <v>796</v>
      </c>
      <c r="G2004">
        <v>-89.877970000000005</v>
      </c>
      <c r="H2004">
        <v>1600</v>
      </c>
      <c r="I2004">
        <v>4</v>
      </c>
      <c r="J2004">
        <v>142</v>
      </c>
      <c r="K2004">
        <v>0</v>
      </c>
      <c r="L2004">
        <v>1200</v>
      </c>
      <c r="M2004" t="str">
        <f t="shared" si="103"/>
        <v xml:space="preserve">N35DC   </v>
      </c>
      <c r="N2004">
        <v>1</v>
      </c>
      <c r="O2004">
        <v>1700</v>
      </c>
    </row>
    <row r="2005" spans="1:15" x14ac:dyDescent="0.25">
      <c r="A2005" t="str">
        <f>"10/21/2020 18:28:51.364"</f>
        <v>10/21/2020 18:28:51.364</v>
      </c>
      <c r="B2005" t="str">
        <f>"18:28:59.305"</f>
        <v>18:28:59.305</v>
      </c>
      <c r="C2005" t="str">
        <f>"18:28:58.905"</f>
        <v>18:28:58.905</v>
      </c>
      <c r="D2005" t="s">
        <v>795</v>
      </c>
      <c r="E2005">
        <v>30.575402</v>
      </c>
      <c r="F2005" t="s">
        <v>796</v>
      </c>
      <c r="G2005">
        <v>-89.877970000000005</v>
      </c>
      <c r="H2005">
        <v>1600</v>
      </c>
      <c r="I2005">
        <v>4</v>
      </c>
      <c r="J2005">
        <v>142</v>
      </c>
      <c r="K2005">
        <v>0</v>
      </c>
      <c r="L2005">
        <v>1200</v>
      </c>
      <c r="M2005" t="str">
        <f t="shared" si="103"/>
        <v xml:space="preserve">N35DC   </v>
      </c>
      <c r="N2005">
        <v>1</v>
      </c>
      <c r="O2005">
        <v>1700</v>
      </c>
    </row>
    <row r="2006" spans="1:15" x14ac:dyDescent="0.25">
      <c r="A2006" t="str">
        <f>"10/21/2020 18:28:51.364"</f>
        <v>10/21/2020 18:28:51.364</v>
      </c>
      <c r="B2006" t="str">
        <f>"18:28:59.305"</f>
        <v>18:28:59.305</v>
      </c>
      <c r="C2006" t="str">
        <f>"18:28:58.905"</f>
        <v>18:28:58.905</v>
      </c>
      <c r="D2006" t="s">
        <v>795</v>
      </c>
      <c r="E2006">
        <v>30.575402</v>
      </c>
      <c r="F2006" t="s">
        <v>796</v>
      </c>
      <c r="G2006">
        <v>-89.877970000000005</v>
      </c>
      <c r="H2006">
        <v>1600</v>
      </c>
      <c r="I2006">
        <v>4</v>
      </c>
      <c r="J2006">
        <v>142</v>
      </c>
      <c r="K2006">
        <v>0</v>
      </c>
      <c r="L2006">
        <v>1200</v>
      </c>
      <c r="M2006" t="str">
        <f t="shared" si="103"/>
        <v xml:space="preserve">N35DC   </v>
      </c>
      <c r="N2006">
        <v>1</v>
      </c>
      <c r="O2006">
        <v>1700</v>
      </c>
    </row>
    <row r="2007" spans="1:15" x14ac:dyDescent="0.25">
      <c r="A2007" t="str">
        <f>"10/21/2020 18:28:54.409"</f>
        <v>10/21/2020 18:28:54.409</v>
      </c>
      <c r="B2007" t="str">
        <f>"18:29:02.352"</f>
        <v>18:29:02.352</v>
      </c>
      <c r="C2007" t="str">
        <f>"18:29:02.252"</f>
        <v>18:29:02.252</v>
      </c>
      <c r="D2007" t="s">
        <v>797</v>
      </c>
      <c r="E2007">
        <v>30.577418999999999</v>
      </c>
      <c r="F2007" t="s">
        <v>798</v>
      </c>
      <c r="G2007">
        <v>-89.877949000000001</v>
      </c>
      <c r="H2007">
        <v>1600</v>
      </c>
      <c r="I2007">
        <v>4</v>
      </c>
      <c r="J2007">
        <v>140</v>
      </c>
      <c r="K2007">
        <v>64</v>
      </c>
      <c r="L2007">
        <v>1200</v>
      </c>
      <c r="M2007" t="str">
        <f t="shared" si="103"/>
        <v xml:space="preserve">N35DC   </v>
      </c>
      <c r="N2007">
        <v>1</v>
      </c>
      <c r="O2007">
        <v>1700</v>
      </c>
    </row>
    <row r="2008" spans="1:15" x14ac:dyDescent="0.25">
      <c r="A2008" t="str">
        <f>"10/21/2020 18:28:54.409"</f>
        <v>10/21/2020 18:28:54.409</v>
      </c>
      <c r="B2008" t="str">
        <f>"18:29:02.352"</f>
        <v>18:29:02.352</v>
      </c>
      <c r="C2008" t="str">
        <f>"18:29:02.252"</f>
        <v>18:29:02.252</v>
      </c>
      <c r="D2008" t="s">
        <v>797</v>
      </c>
      <c r="E2008">
        <v>30.577418999999999</v>
      </c>
      <c r="F2008" t="s">
        <v>798</v>
      </c>
      <c r="G2008">
        <v>-89.877949000000001</v>
      </c>
      <c r="H2008">
        <v>1600</v>
      </c>
      <c r="I2008">
        <v>4</v>
      </c>
      <c r="J2008">
        <v>140</v>
      </c>
      <c r="K2008">
        <v>64</v>
      </c>
      <c r="L2008">
        <v>1200</v>
      </c>
      <c r="M2008" t="str">
        <f t="shared" si="103"/>
        <v xml:space="preserve">N35DC   </v>
      </c>
      <c r="N2008">
        <v>1</v>
      </c>
      <c r="O2008">
        <v>1700</v>
      </c>
    </row>
    <row r="2009" spans="1:15" x14ac:dyDescent="0.25">
      <c r="A2009" t="str">
        <f>"10/21/2020 18:28:54.409"</f>
        <v>10/21/2020 18:28:54.409</v>
      </c>
      <c r="B2009" t="str">
        <f>"18:29:02.352"</f>
        <v>18:29:02.352</v>
      </c>
      <c r="C2009" t="str">
        <f>"18:29:02.252"</f>
        <v>18:29:02.252</v>
      </c>
      <c r="D2009" t="s">
        <v>797</v>
      </c>
      <c r="E2009">
        <v>30.577418999999999</v>
      </c>
      <c r="F2009" t="s">
        <v>798</v>
      </c>
      <c r="G2009">
        <v>-89.877949000000001</v>
      </c>
      <c r="H2009">
        <v>1600</v>
      </c>
      <c r="I2009">
        <v>4</v>
      </c>
      <c r="J2009">
        <v>140</v>
      </c>
      <c r="K2009">
        <v>64</v>
      </c>
      <c r="L2009">
        <v>1200</v>
      </c>
      <c r="M2009" t="str">
        <f t="shared" si="103"/>
        <v xml:space="preserve">N35DC   </v>
      </c>
      <c r="N2009">
        <v>1</v>
      </c>
      <c r="O2009">
        <v>1700</v>
      </c>
    </row>
    <row r="2010" spans="1:15" x14ac:dyDescent="0.25">
      <c r="A2010" t="str">
        <f>"10/21/2020 18:28:54.409"</f>
        <v>10/21/2020 18:28:54.409</v>
      </c>
      <c r="B2010" t="str">
        <f>"18:29:02.352"</f>
        <v>18:29:02.352</v>
      </c>
      <c r="C2010" t="str">
        <f>"18:29:02.252"</f>
        <v>18:29:02.252</v>
      </c>
      <c r="D2010" t="s">
        <v>797</v>
      </c>
      <c r="E2010">
        <v>30.577418999999999</v>
      </c>
      <c r="F2010" t="s">
        <v>798</v>
      </c>
      <c r="G2010">
        <v>-89.877949000000001</v>
      </c>
      <c r="H2010">
        <v>1600</v>
      </c>
      <c r="I2010">
        <v>4</v>
      </c>
      <c r="J2010">
        <v>140</v>
      </c>
      <c r="K2010">
        <v>64</v>
      </c>
      <c r="L2010">
        <v>1200</v>
      </c>
      <c r="M2010" t="str">
        <f t="shared" si="103"/>
        <v xml:space="preserve">N35DC   </v>
      </c>
      <c r="N2010">
        <v>1</v>
      </c>
      <c r="O2010">
        <v>1700</v>
      </c>
    </row>
    <row r="2011" spans="1:15" x14ac:dyDescent="0.25">
      <c r="A2011" t="str">
        <f>"10/21/2020 18:28:54.409"</f>
        <v>10/21/2020 18:28:54.409</v>
      </c>
      <c r="B2011" t="str">
        <f>"18:29:02.352"</f>
        <v>18:29:02.352</v>
      </c>
      <c r="C2011" t="str">
        <f>"18:29:02.252"</f>
        <v>18:29:02.252</v>
      </c>
      <c r="D2011" t="s">
        <v>797</v>
      </c>
      <c r="E2011">
        <v>30.577418999999999</v>
      </c>
      <c r="F2011" t="s">
        <v>798</v>
      </c>
      <c r="G2011">
        <v>-89.877949000000001</v>
      </c>
      <c r="H2011">
        <v>1600</v>
      </c>
      <c r="I2011">
        <v>4</v>
      </c>
      <c r="J2011">
        <v>140</v>
      </c>
      <c r="K2011">
        <v>64</v>
      </c>
      <c r="L2011">
        <v>1200</v>
      </c>
      <c r="M2011" t="str">
        <f t="shared" si="103"/>
        <v xml:space="preserve">N35DC   </v>
      </c>
      <c r="N2011">
        <v>1</v>
      </c>
      <c r="O2011">
        <v>1700</v>
      </c>
    </row>
    <row r="2012" spans="1:15" x14ac:dyDescent="0.25">
      <c r="A2012" t="str">
        <f>"10/21/2020 18:28:56.550"</f>
        <v>10/21/2020 18:28:56.550</v>
      </c>
      <c r="B2012" t="str">
        <f>"18:29:04.461"</f>
        <v>18:29:04.461</v>
      </c>
      <c r="C2012" t="str">
        <f>"18:29:04.361"</f>
        <v>18:29:04.361</v>
      </c>
      <c r="D2012" t="s">
        <v>799</v>
      </c>
      <c r="E2012">
        <v>30.578792</v>
      </c>
      <c r="F2012" t="s">
        <v>800</v>
      </c>
      <c r="G2012">
        <v>-89.877863000000005</v>
      </c>
      <c r="H2012">
        <v>1600</v>
      </c>
      <c r="I2012">
        <v>5</v>
      </c>
      <c r="J2012">
        <v>140</v>
      </c>
      <c r="K2012">
        <v>-128</v>
      </c>
      <c r="L2012">
        <v>1200</v>
      </c>
      <c r="M2012" t="str">
        <f t="shared" si="103"/>
        <v xml:space="preserve">N35DC   </v>
      </c>
      <c r="N2012">
        <v>1</v>
      </c>
      <c r="O2012">
        <v>1700</v>
      </c>
    </row>
    <row r="2013" spans="1:15" x14ac:dyDescent="0.25">
      <c r="A2013" t="str">
        <f>"10/21/2020 18:28:56.550"</f>
        <v>10/21/2020 18:28:56.550</v>
      </c>
      <c r="B2013" t="str">
        <f>"18:29:04.461"</f>
        <v>18:29:04.461</v>
      </c>
      <c r="C2013" t="str">
        <f>"18:29:04.461"</f>
        <v>18:29:04.461</v>
      </c>
      <c r="D2013" t="s">
        <v>799</v>
      </c>
      <c r="E2013">
        <v>30.578792</v>
      </c>
      <c r="F2013" t="s">
        <v>800</v>
      </c>
      <c r="G2013">
        <v>-89.877863000000005</v>
      </c>
      <c r="H2013">
        <v>1600</v>
      </c>
      <c r="I2013">
        <v>5</v>
      </c>
      <c r="J2013">
        <v>140</v>
      </c>
      <c r="K2013">
        <v>-128</v>
      </c>
      <c r="L2013">
        <v>1200</v>
      </c>
      <c r="M2013" t="str">
        <f t="shared" si="103"/>
        <v xml:space="preserve">N35DC   </v>
      </c>
      <c r="N2013">
        <v>1</v>
      </c>
      <c r="O2013">
        <v>1700</v>
      </c>
    </row>
    <row r="2014" spans="1:15" x14ac:dyDescent="0.25">
      <c r="A2014" t="str">
        <f>"10/21/2020 18:28:56.550"</f>
        <v>10/21/2020 18:28:56.550</v>
      </c>
      <c r="B2014" t="str">
        <f>"18:29:04.461"</f>
        <v>18:29:04.461</v>
      </c>
      <c r="C2014" t="str">
        <f>"18:29:04.361"</f>
        <v>18:29:04.361</v>
      </c>
      <c r="D2014" t="s">
        <v>799</v>
      </c>
      <c r="E2014">
        <v>30.578792</v>
      </c>
      <c r="F2014" t="s">
        <v>800</v>
      </c>
      <c r="G2014">
        <v>-89.877863000000005</v>
      </c>
      <c r="H2014">
        <v>1600</v>
      </c>
      <c r="I2014">
        <v>5</v>
      </c>
      <c r="J2014">
        <v>140</v>
      </c>
      <c r="K2014">
        <v>-128</v>
      </c>
      <c r="L2014">
        <v>1200</v>
      </c>
      <c r="M2014" t="str">
        <f t="shared" si="103"/>
        <v xml:space="preserve">N35DC   </v>
      </c>
      <c r="N2014">
        <v>1</v>
      </c>
      <c r="O2014">
        <v>1700</v>
      </c>
    </row>
    <row r="2015" spans="1:15" x14ac:dyDescent="0.25">
      <c r="A2015" t="str">
        <f>"10/21/2020 18:28:56.550"</f>
        <v>10/21/2020 18:28:56.550</v>
      </c>
      <c r="B2015" t="str">
        <f>"18:29:04.461"</f>
        <v>18:29:04.461</v>
      </c>
      <c r="C2015" t="str">
        <f>"18:29:04.361"</f>
        <v>18:29:04.361</v>
      </c>
      <c r="D2015" t="s">
        <v>799</v>
      </c>
      <c r="E2015">
        <v>30.578792</v>
      </c>
      <c r="F2015" t="s">
        <v>800</v>
      </c>
      <c r="G2015">
        <v>-89.877863000000005</v>
      </c>
      <c r="H2015">
        <v>1600</v>
      </c>
      <c r="I2015">
        <v>5</v>
      </c>
      <c r="J2015">
        <v>140</v>
      </c>
      <c r="K2015">
        <v>-128</v>
      </c>
      <c r="L2015">
        <v>1200</v>
      </c>
      <c r="M2015" t="str">
        <f t="shared" si="103"/>
        <v xml:space="preserve">N35DC   </v>
      </c>
      <c r="N2015">
        <v>1</v>
      </c>
      <c r="O2015">
        <v>1700</v>
      </c>
    </row>
    <row r="2016" spans="1:15" x14ac:dyDescent="0.25">
      <c r="A2016" t="str">
        <f>"10/21/2020 18:28:56.550"</f>
        <v>10/21/2020 18:28:56.550</v>
      </c>
      <c r="B2016" t="str">
        <f>"18:29:04.461"</f>
        <v>18:29:04.461</v>
      </c>
      <c r="C2016" t="str">
        <f>"18:29:04.461"</f>
        <v>18:29:04.461</v>
      </c>
      <c r="D2016" t="s">
        <v>799</v>
      </c>
      <c r="E2016">
        <v>30.578792</v>
      </c>
      <c r="F2016" t="s">
        <v>800</v>
      </c>
      <c r="G2016">
        <v>-89.877863000000005</v>
      </c>
      <c r="H2016">
        <v>1600</v>
      </c>
      <c r="I2016">
        <v>5</v>
      </c>
      <c r="J2016">
        <v>140</v>
      </c>
      <c r="K2016">
        <v>-128</v>
      </c>
      <c r="L2016">
        <v>1200</v>
      </c>
      <c r="M2016" t="str">
        <f t="shared" si="103"/>
        <v xml:space="preserve">N35DC   </v>
      </c>
      <c r="N2016">
        <v>1</v>
      </c>
      <c r="O2016">
        <v>1700</v>
      </c>
    </row>
    <row r="2017" spans="1:15" x14ac:dyDescent="0.25">
      <c r="A2017" t="str">
        <f>"10/21/2020 18:28:59.371"</f>
        <v>10/21/2020 18:28:59.371</v>
      </c>
      <c r="B2017" t="str">
        <f>"18:29:07.328"</f>
        <v>18:29:07.328</v>
      </c>
      <c r="C2017" t="str">
        <f>"18:29:07.228"</f>
        <v>18:29:07.228</v>
      </c>
      <c r="D2017" t="s">
        <v>801</v>
      </c>
      <c r="E2017">
        <v>30.580680000000001</v>
      </c>
      <c r="F2017" t="s">
        <v>802</v>
      </c>
      <c r="G2017">
        <v>-89.877798999999996</v>
      </c>
      <c r="H2017">
        <v>1600</v>
      </c>
      <c r="I2017">
        <v>4</v>
      </c>
      <c r="J2017">
        <v>139</v>
      </c>
      <c r="K2017">
        <v>-128</v>
      </c>
      <c r="L2017">
        <v>1200</v>
      </c>
      <c r="M2017" t="str">
        <f t="shared" si="103"/>
        <v xml:space="preserve">N35DC   </v>
      </c>
      <c r="N2017">
        <v>1</v>
      </c>
      <c r="O2017">
        <v>1675</v>
      </c>
    </row>
    <row r="2018" spans="1:15" x14ac:dyDescent="0.25">
      <c r="A2018" t="str">
        <f>"10/21/2020 18:28:59.371"</f>
        <v>10/21/2020 18:28:59.371</v>
      </c>
      <c r="B2018" t="str">
        <f>"18:29:07.328"</f>
        <v>18:29:07.328</v>
      </c>
      <c r="C2018" t="str">
        <f>"18:29:07.228"</f>
        <v>18:29:07.228</v>
      </c>
      <c r="D2018" t="s">
        <v>801</v>
      </c>
      <c r="E2018">
        <v>30.580680000000001</v>
      </c>
      <c r="F2018" t="s">
        <v>802</v>
      </c>
      <c r="G2018">
        <v>-89.877798999999996</v>
      </c>
      <c r="H2018">
        <v>1600</v>
      </c>
      <c r="I2018">
        <v>4</v>
      </c>
      <c r="J2018">
        <v>139</v>
      </c>
      <c r="K2018">
        <v>-128</v>
      </c>
      <c r="L2018">
        <v>1200</v>
      </c>
      <c r="M2018" t="str">
        <f t="shared" si="103"/>
        <v xml:space="preserve">N35DC   </v>
      </c>
      <c r="N2018">
        <v>1</v>
      </c>
      <c r="O2018">
        <v>1675</v>
      </c>
    </row>
    <row r="2019" spans="1:15" x14ac:dyDescent="0.25">
      <c r="A2019" t="str">
        <f>"10/21/2020 18:28:59.371"</f>
        <v>10/21/2020 18:28:59.371</v>
      </c>
      <c r="B2019" t="str">
        <f>"18:29:07.328"</f>
        <v>18:29:07.328</v>
      </c>
      <c r="C2019" t="str">
        <f>"18:29:07.228"</f>
        <v>18:29:07.228</v>
      </c>
      <c r="D2019" t="s">
        <v>801</v>
      </c>
      <c r="E2019">
        <v>30.580680000000001</v>
      </c>
      <c r="F2019" t="s">
        <v>802</v>
      </c>
      <c r="G2019">
        <v>-89.877798999999996</v>
      </c>
      <c r="H2019">
        <v>1600</v>
      </c>
      <c r="I2019">
        <v>4</v>
      </c>
      <c r="J2019">
        <v>139</v>
      </c>
      <c r="K2019">
        <v>-128</v>
      </c>
      <c r="L2019">
        <v>1200</v>
      </c>
      <c r="M2019" t="str">
        <f t="shared" si="103"/>
        <v xml:space="preserve">N35DC   </v>
      </c>
      <c r="N2019">
        <v>1</v>
      </c>
      <c r="O2019">
        <v>1675</v>
      </c>
    </row>
    <row r="2020" spans="1:15" x14ac:dyDescent="0.25">
      <c r="A2020" t="str">
        <f>"10/21/2020 18:28:59.371"</f>
        <v>10/21/2020 18:28:59.371</v>
      </c>
      <c r="B2020" t="str">
        <f>"18:29:07.328"</f>
        <v>18:29:07.328</v>
      </c>
      <c r="C2020" t="str">
        <f>"18:29:07.228"</f>
        <v>18:29:07.228</v>
      </c>
      <c r="D2020" t="s">
        <v>801</v>
      </c>
      <c r="E2020">
        <v>30.580680000000001</v>
      </c>
      <c r="F2020" t="s">
        <v>802</v>
      </c>
      <c r="G2020">
        <v>-89.877798999999996</v>
      </c>
      <c r="H2020">
        <v>1600</v>
      </c>
      <c r="I2020">
        <v>4</v>
      </c>
      <c r="J2020">
        <v>139</v>
      </c>
      <c r="K2020">
        <v>-128</v>
      </c>
      <c r="L2020">
        <v>1200</v>
      </c>
      <c r="M2020" t="str">
        <f t="shared" si="103"/>
        <v xml:space="preserve">N35DC   </v>
      </c>
      <c r="N2020">
        <v>1</v>
      </c>
      <c r="O2020">
        <v>1675</v>
      </c>
    </row>
    <row r="2021" spans="1:15" x14ac:dyDescent="0.25">
      <c r="A2021" t="str">
        <f>"10/21/2020 18:28:59.371"</f>
        <v>10/21/2020 18:28:59.371</v>
      </c>
      <c r="B2021" t="str">
        <f>"18:29:07.328"</f>
        <v>18:29:07.328</v>
      </c>
      <c r="C2021" t="str">
        <f>"18:29:07.228"</f>
        <v>18:29:07.228</v>
      </c>
      <c r="D2021" t="s">
        <v>801</v>
      </c>
      <c r="E2021">
        <v>30.580680000000001</v>
      </c>
      <c r="F2021" t="s">
        <v>802</v>
      </c>
      <c r="G2021">
        <v>-89.877798999999996</v>
      </c>
      <c r="H2021">
        <v>1600</v>
      </c>
      <c r="I2021">
        <v>4</v>
      </c>
      <c r="J2021">
        <v>139</v>
      </c>
      <c r="K2021">
        <v>-128</v>
      </c>
      <c r="L2021">
        <v>1200</v>
      </c>
      <c r="M2021" t="str">
        <f t="shared" si="103"/>
        <v xml:space="preserve">N35DC   </v>
      </c>
      <c r="N2021">
        <v>1</v>
      </c>
      <c r="O2021">
        <v>1675</v>
      </c>
    </row>
    <row r="2022" spans="1:15" x14ac:dyDescent="0.25">
      <c r="A2022" t="str">
        <f>"10/21/2020 18:29:00.214"</f>
        <v>10/21/2020 18:29:00.214</v>
      </c>
      <c r="B2022" t="str">
        <f>"18:29:08.164"</f>
        <v>18:29:08.164</v>
      </c>
      <c r="C2022" t="str">
        <f>"18:29:07.864"</f>
        <v>18:29:07.864</v>
      </c>
      <c r="D2022" t="s">
        <v>803</v>
      </c>
      <c r="E2022">
        <v>30.581174000000001</v>
      </c>
      <c r="F2022" t="s">
        <v>802</v>
      </c>
      <c r="G2022">
        <v>-89.877798999999996</v>
      </c>
      <c r="H2022">
        <v>1600</v>
      </c>
      <c r="I2022">
        <v>4</v>
      </c>
      <c r="J2022">
        <v>139</v>
      </c>
      <c r="K2022">
        <v>-64</v>
      </c>
      <c r="L2022">
        <v>1200</v>
      </c>
      <c r="M2022" t="str">
        <f t="shared" si="103"/>
        <v xml:space="preserve">N35DC   </v>
      </c>
      <c r="N2022">
        <v>1</v>
      </c>
      <c r="O2022">
        <v>1675</v>
      </c>
    </row>
    <row r="2023" spans="1:15" x14ac:dyDescent="0.25">
      <c r="A2023" t="str">
        <f>"10/21/2020 18:29:00.214"</f>
        <v>10/21/2020 18:29:00.214</v>
      </c>
      <c r="B2023" t="str">
        <f>"18:29:08.164"</f>
        <v>18:29:08.164</v>
      </c>
      <c r="C2023" t="str">
        <f>"18:29:07.864"</f>
        <v>18:29:07.864</v>
      </c>
      <c r="D2023" t="s">
        <v>803</v>
      </c>
      <c r="E2023">
        <v>30.581174000000001</v>
      </c>
      <c r="F2023" t="s">
        <v>802</v>
      </c>
      <c r="G2023">
        <v>-89.877798999999996</v>
      </c>
      <c r="H2023">
        <v>1600</v>
      </c>
      <c r="I2023">
        <v>4</v>
      </c>
      <c r="J2023">
        <v>139</v>
      </c>
      <c r="K2023">
        <v>-64</v>
      </c>
      <c r="L2023">
        <v>1200</v>
      </c>
      <c r="M2023" t="str">
        <f t="shared" si="103"/>
        <v xml:space="preserve">N35DC   </v>
      </c>
      <c r="N2023">
        <v>1</v>
      </c>
      <c r="O2023">
        <v>1675</v>
      </c>
    </row>
    <row r="2024" spans="1:15" x14ac:dyDescent="0.25">
      <c r="A2024" t="str">
        <f>"10/21/2020 18:29:00.214"</f>
        <v>10/21/2020 18:29:00.214</v>
      </c>
      <c r="B2024" t="str">
        <f>"18:29:08.164"</f>
        <v>18:29:08.164</v>
      </c>
      <c r="C2024" t="str">
        <f>"18:29:07.864"</f>
        <v>18:29:07.864</v>
      </c>
      <c r="D2024" t="s">
        <v>803</v>
      </c>
      <c r="E2024">
        <v>30.581174000000001</v>
      </c>
      <c r="F2024" t="s">
        <v>802</v>
      </c>
      <c r="G2024">
        <v>-89.877798999999996</v>
      </c>
      <c r="H2024">
        <v>1600</v>
      </c>
      <c r="I2024">
        <v>4</v>
      </c>
      <c r="J2024">
        <v>139</v>
      </c>
      <c r="K2024">
        <v>-64</v>
      </c>
      <c r="L2024">
        <v>1200</v>
      </c>
      <c r="M2024" t="str">
        <f t="shared" si="103"/>
        <v xml:space="preserve">N35DC   </v>
      </c>
      <c r="N2024">
        <v>1</v>
      </c>
      <c r="O2024">
        <v>1675</v>
      </c>
    </row>
    <row r="2025" spans="1:15" x14ac:dyDescent="0.25">
      <c r="A2025" t="str">
        <f>"10/21/2020 18:29:00.214"</f>
        <v>10/21/2020 18:29:00.214</v>
      </c>
      <c r="B2025" t="str">
        <f>"18:29:08.164"</f>
        <v>18:29:08.164</v>
      </c>
      <c r="C2025" t="str">
        <f>"18:29:07.864"</f>
        <v>18:29:07.864</v>
      </c>
      <c r="D2025" t="s">
        <v>803</v>
      </c>
      <c r="E2025">
        <v>30.581174000000001</v>
      </c>
      <c r="F2025" t="s">
        <v>802</v>
      </c>
      <c r="G2025">
        <v>-89.877798999999996</v>
      </c>
      <c r="H2025">
        <v>1600</v>
      </c>
      <c r="I2025">
        <v>4</v>
      </c>
      <c r="J2025">
        <v>139</v>
      </c>
      <c r="K2025">
        <v>-64</v>
      </c>
      <c r="L2025">
        <v>1200</v>
      </c>
      <c r="M2025" t="str">
        <f t="shared" si="103"/>
        <v xml:space="preserve">N35DC   </v>
      </c>
      <c r="N2025">
        <v>1</v>
      </c>
      <c r="O2025">
        <v>1675</v>
      </c>
    </row>
    <row r="2026" spans="1:15" x14ac:dyDescent="0.25">
      <c r="A2026" t="str">
        <f>"10/21/2020 18:29:00.214"</f>
        <v>10/21/2020 18:29:00.214</v>
      </c>
      <c r="B2026" t="str">
        <f>"18:29:08.164"</f>
        <v>18:29:08.164</v>
      </c>
      <c r="C2026" t="str">
        <f>"18:29:07.864"</f>
        <v>18:29:07.864</v>
      </c>
      <c r="D2026" t="s">
        <v>803</v>
      </c>
      <c r="E2026">
        <v>30.581174000000001</v>
      </c>
      <c r="F2026" t="s">
        <v>802</v>
      </c>
      <c r="G2026">
        <v>-89.877798999999996</v>
      </c>
      <c r="H2026">
        <v>1600</v>
      </c>
      <c r="I2026">
        <v>4</v>
      </c>
      <c r="J2026">
        <v>139</v>
      </c>
      <c r="K2026">
        <v>-64</v>
      </c>
      <c r="L2026">
        <v>1200</v>
      </c>
      <c r="M2026" t="str">
        <f t="shared" si="103"/>
        <v xml:space="preserve">N35DC   </v>
      </c>
      <c r="N2026">
        <v>1</v>
      </c>
      <c r="O2026">
        <v>1675</v>
      </c>
    </row>
    <row r="2027" spans="1:15" x14ac:dyDescent="0.25">
      <c r="A2027" t="str">
        <f>"10/21/2020 18:29:01.225"</f>
        <v>10/21/2020 18:29:01.225</v>
      </c>
      <c r="B2027" t="str">
        <f>"18:29:09.172"</f>
        <v>18:29:09.172</v>
      </c>
      <c r="C2027" t="str">
        <f>"18:29:08.772"</f>
        <v>18:29:08.772</v>
      </c>
      <c r="D2027" t="s">
        <v>804</v>
      </c>
      <c r="E2027">
        <v>30.581838999999999</v>
      </c>
      <c r="F2027" t="s">
        <v>805</v>
      </c>
      <c r="G2027">
        <v>-89.877776999999995</v>
      </c>
      <c r="H2027">
        <v>1600</v>
      </c>
      <c r="I2027">
        <v>4</v>
      </c>
      <c r="J2027">
        <v>139</v>
      </c>
      <c r="K2027">
        <v>64</v>
      </c>
      <c r="L2027">
        <v>1200</v>
      </c>
      <c r="M2027" t="str">
        <f t="shared" si="103"/>
        <v xml:space="preserve">N35DC   </v>
      </c>
      <c r="N2027">
        <v>1</v>
      </c>
      <c r="O2027">
        <v>1675</v>
      </c>
    </row>
    <row r="2028" spans="1:15" x14ac:dyDescent="0.25">
      <c r="A2028" t="str">
        <f>"10/21/2020 18:29:01.225"</f>
        <v>10/21/2020 18:29:01.225</v>
      </c>
      <c r="B2028" t="str">
        <f>"18:29:09.172"</f>
        <v>18:29:09.172</v>
      </c>
      <c r="C2028" t="str">
        <f>"18:29:08.772"</f>
        <v>18:29:08.772</v>
      </c>
      <c r="D2028" t="s">
        <v>804</v>
      </c>
      <c r="E2028">
        <v>30.581838999999999</v>
      </c>
      <c r="F2028" t="s">
        <v>805</v>
      </c>
      <c r="G2028">
        <v>-89.877776999999995</v>
      </c>
      <c r="H2028">
        <v>1600</v>
      </c>
      <c r="I2028">
        <v>4</v>
      </c>
      <c r="J2028">
        <v>139</v>
      </c>
      <c r="K2028">
        <v>64</v>
      </c>
      <c r="L2028">
        <v>1200</v>
      </c>
      <c r="M2028" t="str">
        <f t="shared" si="103"/>
        <v xml:space="preserve">N35DC   </v>
      </c>
      <c r="N2028">
        <v>1</v>
      </c>
      <c r="O2028">
        <v>1675</v>
      </c>
    </row>
    <row r="2029" spans="1:15" x14ac:dyDescent="0.25">
      <c r="A2029" t="str">
        <f>"10/21/2020 18:29:01.225"</f>
        <v>10/21/2020 18:29:01.225</v>
      </c>
      <c r="B2029" t="str">
        <f>"18:29:09.172"</f>
        <v>18:29:09.172</v>
      </c>
      <c r="C2029" t="str">
        <f>"18:29:08.772"</f>
        <v>18:29:08.772</v>
      </c>
      <c r="D2029" t="s">
        <v>804</v>
      </c>
      <c r="E2029">
        <v>30.581838999999999</v>
      </c>
      <c r="F2029" t="s">
        <v>805</v>
      </c>
      <c r="G2029">
        <v>-89.877776999999995</v>
      </c>
      <c r="H2029">
        <v>1600</v>
      </c>
      <c r="I2029">
        <v>4</v>
      </c>
      <c r="J2029">
        <v>139</v>
      </c>
      <c r="K2029">
        <v>64</v>
      </c>
      <c r="L2029">
        <v>1200</v>
      </c>
      <c r="M2029" t="str">
        <f t="shared" si="103"/>
        <v xml:space="preserve">N35DC   </v>
      </c>
      <c r="N2029">
        <v>1</v>
      </c>
      <c r="O2029">
        <v>1675</v>
      </c>
    </row>
    <row r="2030" spans="1:15" x14ac:dyDescent="0.25">
      <c r="A2030" t="str">
        <f>"10/21/2020 18:29:01.225"</f>
        <v>10/21/2020 18:29:01.225</v>
      </c>
      <c r="B2030" t="str">
        <f>"18:29:09.172"</f>
        <v>18:29:09.172</v>
      </c>
      <c r="C2030" t="str">
        <f>"18:29:08.772"</f>
        <v>18:29:08.772</v>
      </c>
      <c r="D2030" t="s">
        <v>804</v>
      </c>
      <c r="E2030">
        <v>30.581838999999999</v>
      </c>
      <c r="F2030" t="s">
        <v>805</v>
      </c>
      <c r="G2030">
        <v>-89.877776999999995</v>
      </c>
      <c r="H2030">
        <v>1600</v>
      </c>
      <c r="I2030">
        <v>4</v>
      </c>
      <c r="J2030">
        <v>139</v>
      </c>
      <c r="K2030">
        <v>64</v>
      </c>
      <c r="L2030">
        <v>1200</v>
      </c>
      <c r="M2030" t="str">
        <f t="shared" si="103"/>
        <v xml:space="preserve">N35DC   </v>
      </c>
      <c r="N2030">
        <v>1</v>
      </c>
      <c r="O2030">
        <v>1675</v>
      </c>
    </row>
    <row r="2031" spans="1:15" x14ac:dyDescent="0.25">
      <c r="A2031" t="str">
        <f>"10/21/2020 18:29:01.225"</f>
        <v>10/21/2020 18:29:01.225</v>
      </c>
      <c r="B2031" t="str">
        <f>"18:29:09.172"</f>
        <v>18:29:09.172</v>
      </c>
      <c r="C2031" t="str">
        <f>"18:29:08.772"</f>
        <v>18:29:08.772</v>
      </c>
      <c r="D2031" t="s">
        <v>804</v>
      </c>
      <c r="E2031">
        <v>30.581838999999999</v>
      </c>
      <c r="F2031" t="s">
        <v>805</v>
      </c>
      <c r="G2031">
        <v>-89.877776999999995</v>
      </c>
      <c r="H2031">
        <v>1600</v>
      </c>
      <c r="I2031">
        <v>4</v>
      </c>
      <c r="J2031">
        <v>139</v>
      </c>
      <c r="K2031">
        <v>64</v>
      </c>
      <c r="L2031">
        <v>1200</v>
      </c>
      <c r="M2031" t="str">
        <f t="shared" si="103"/>
        <v xml:space="preserve">N35DC   </v>
      </c>
      <c r="N2031">
        <v>1</v>
      </c>
      <c r="O2031">
        <v>1675</v>
      </c>
    </row>
    <row r="2032" spans="1:15" x14ac:dyDescent="0.25">
      <c r="A2032" t="str">
        <f>"10/21/2020 18:29:06.597"</f>
        <v>10/21/2020 18:29:06.597</v>
      </c>
      <c r="B2032" t="str">
        <f>"18:29:14.539"</f>
        <v>18:29:14.539</v>
      </c>
      <c r="C2032" t="str">
        <f>"18:29:14.339"</f>
        <v>18:29:14.339</v>
      </c>
      <c r="D2032" t="s">
        <v>806</v>
      </c>
      <c r="E2032">
        <v>30.585294000000001</v>
      </c>
      <c r="F2032" t="s">
        <v>807</v>
      </c>
      <c r="G2032">
        <v>-89.877647999999994</v>
      </c>
      <c r="H2032">
        <v>1600</v>
      </c>
      <c r="I2032">
        <v>6</v>
      </c>
      <c r="J2032">
        <v>139</v>
      </c>
      <c r="K2032">
        <v>-64</v>
      </c>
      <c r="L2032">
        <v>1200</v>
      </c>
      <c r="M2032" t="str">
        <f t="shared" si="103"/>
        <v xml:space="preserve">N35DC   </v>
      </c>
      <c r="N2032">
        <v>1</v>
      </c>
      <c r="O2032">
        <v>1700</v>
      </c>
    </row>
    <row r="2033" spans="1:15" x14ac:dyDescent="0.25">
      <c r="A2033" t="str">
        <f>"10/21/2020 18:29:06.597"</f>
        <v>10/21/2020 18:29:06.597</v>
      </c>
      <c r="B2033" t="str">
        <f>"18:29:14.539"</f>
        <v>18:29:14.539</v>
      </c>
      <c r="C2033" t="str">
        <f>"18:29:14.339"</f>
        <v>18:29:14.339</v>
      </c>
      <c r="D2033" t="s">
        <v>806</v>
      </c>
      <c r="E2033">
        <v>30.585294000000001</v>
      </c>
      <c r="F2033" t="s">
        <v>807</v>
      </c>
      <c r="G2033">
        <v>-89.877647999999994</v>
      </c>
      <c r="H2033">
        <v>1600</v>
      </c>
      <c r="I2033">
        <v>6</v>
      </c>
      <c r="J2033">
        <v>139</v>
      </c>
      <c r="K2033">
        <v>-64</v>
      </c>
      <c r="L2033">
        <v>1200</v>
      </c>
      <c r="M2033" t="str">
        <f t="shared" si="103"/>
        <v xml:space="preserve">N35DC   </v>
      </c>
      <c r="N2033">
        <v>1</v>
      </c>
      <c r="O2033">
        <v>1700</v>
      </c>
    </row>
    <row r="2034" spans="1:15" x14ac:dyDescent="0.25">
      <c r="A2034" t="str">
        <f>"10/21/2020 18:29:06.597"</f>
        <v>10/21/2020 18:29:06.597</v>
      </c>
      <c r="B2034" t="str">
        <f>"18:29:14.539"</f>
        <v>18:29:14.539</v>
      </c>
      <c r="C2034" t="str">
        <f>"18:29:14.339"</f>
        <v>18:29:14.339</v>
      </c>
      <c r="D2034" t="s">
        <v>806</v>
      </c>
      <c r="E2034">
        <v>30.585294000000001</v>
      </c>
      <c r="F2034" t="s">
        <v>807</v>
      </c>
      <c r="G2034">
        <v>-89.877647999999994</v>
      </c>
      <c r="H2034">
        <v>1600</v>
      </c>
      <c r="I2034">
        <v>6</v>
      </c>
      <c r="J2034">
        <v>139</v>
      </c>
      <c r="K2034">
        <v>-64</v>
      </c>
      <c r="L2034">
        <v>1200</v>
      </c>
      <c r="M2034" t="str">
        <f t="shared" si="103"/>
        <v xml:space="preserve">N35DC   </v>
      </c>
      <c r="N2034">
        <v>1</v>
      </c>
      <c r="O2034">
        <v>1700</v>
      </c>
    </row>
    <row r="2035" spans="1:15" x14ac:dyDescent="0.25">
      <c r="A2035" t="str">
        <f>"10/21/2020 18:29:06.597"</f>
        <v>10/21/2020 18:29:06.597</v>
      </c>
      <c r="B2035" t="str">
        <f>"18:29:14.539"</f>
        <v>18:29:14.539</v>
      </c>
      <c r="C2035" t="str">
        <f>"18:29:14.339"</f>
        <v>18:29:14.339</v>
      </c>
      <c r="D2035" t="s">
        <v>806</v>
      </c>
      <c r="E2035">
        <v>30.585294000000001</v>
      </c>
      <c r="F2035" t="s">
        <v>807</v>
      </c>
      <c r="G2035">
        <v>-89.877647999999994</v>
      </c>
      <c r="H2035">
        <v>1600</v>
      </c>
      <c r="I2035">
        <v>6</v>
      </c>
      <c r="J2035">
        <v>139</v>
      </c>
      <c r="K2035">
        <v>-64</v>
      </c>
      <c r="L2035">
        <v>1200</v>
      </c>
      <c r="M2035" t="str">
        <f t="shared" si="103"/>
        <v xml:space="preserve">N35DC   </v>
      </c>
      <c r="N2035">
        <v>1</v>
      </c>
      <c r="O2035">
        <v>1700</v>
      </c>
    </row>
    <row r="2036" spans="1:15" x14ac:dyDescent="0.25">
      <c r="A2036" t="str">
        <f>"10/21/2020 18:29:06.597"</f>
        <v>10/21/2020 18:29:06.597</v>
      </c>
      <c r="B2036" t="str">
        <f>"18:29:14.539"</f>
        <v>18:29:14.539</v>
      </c>
      <c r="C2036" t="str">
        <f>"18:29:14.339"</f>
        <v>18:29:14.339</v>
      </c>
      <c r="D2036" t="s">
        <v>806</v>
      </c>
      <c r="E2036">
        <v>30.585294000000001</v>
      </c>
      <c r="F2036" t="s">
        <v>807</v>
      </c>
      <c r="G2036">
        <v>-89.877647999999994</v>
      </c>
      <c r="H2036">
        <v>1600</v>
      </c>
      <c r="I2036">
        <v>6</v>
      </c>
      <c r="J2036">
        <v>139</v>
      </c>
      <c r="K2036">
        <v>-64</v>
      </c>
      <c r="L2036">
        <v>1200</v>
      </c>
      <c r="M2036" t="str">
        <f t="shared" si="103"/>
        <v xml:space="preserve">N35DC   </v>
      </c>
      <c r="N2036">
        <v>1</v>
      </c>
      <c r="O2036">
        <v>1700</v>
      </c>
    </row>
    <row r="2037" spans="1:15" x14ac:dyDescent="0.25">
      <c r="A2037" t="str">
        <f>"10/21/2020 18:29:08.114"</f>
        <v>10/21/2020 18:29:08.114</v>
      </c>
      <c r="B2037" t="str">
        <f>"18:29:16.039"</f>
        <v>18:29:16.039</v>
      </c>
      <c r="C2037" t="str">
        <f>"18:29:15.839"</f>
        <v>18:29:15.839</v>
      </c>
      <c r="D2037" t="s">
        <v>808</v>
      </c>
      <c r="E2037">
        <v>30.586258999999998</v>
      </c>
      <c r="F2037" t="s">
        <v>707</v>
      </c>
      <c r="G2037">
        <v>-89.877540999999994</v>
      </c>
      <c r="H2037">
        <v>1600</v>
      </c>
      <c r="I2037">
        <v>6</v>
      </c>
      <c r="J2037">
        <v>139</v>
      </c>
      <c r="K2037">
        <v>64</v>
      </c>
      <c r="L2037">
        <v>1200</v>
      </c>
      <c r="M2037" t="str">
        <f t="shared" si="103"/>
        <v xml:space="preserve">N35DC   </v>
      </c>
      <c r="N2037">
        <v>1</v>
      </c>
      <c r="O2037">
        <v>1700</v>
      </c>
    </row>
    <row r="2038" spans="1:15" x14ac:dyDescent="0.25">
      <c r="A2038" t="str">
        <f>"10/21/2020 18:29:08.114"</f>
        <v>10/21/2020 18:29:08.114</v>
      </c>
      <c r="B2038" t="str">
        <f>"18:29:16.039"</f>
        <v>18:29:16.039</v>
      </c>
      <c r="C2038" t="str">
        <f>"18:29:15.839"</f>
        <v>18:29:15.839</v>
      </c>
      <c r="D2038" t="s">
        <v>808</v>
      </c>
      <c r="E2038">
        <v>30.586258999999998</v>
      </c>
      <c r="F2038" t="s">
        <v>707</v>
      </c>
      <c r="G2038">
        <v>-89.877540999999994</v>
      </c>
      <c r="H2038">
        <v>1600</v>
      </c>
      <c r="I2038">
        <v>6</v>
      </c>
      <c r="J2038">
        <v>139</v>
      </c>
      <c r="K2038">
        <v>64</v>
      </c>
      <c r="L2038">
        <v>1200</v>
      </c>
      <c r="M2038" t="str">
        <f t="shared" si="103"/>
        <v xml:space="preserve">N35DC   </v>
      </c>
      <c r="N2038">
        <v>1</v>
      </c>
      <c r="O2038">
        <v>1700</v>
      </c>
    </row>
    <row r="2039" spans="1:15" x14ac:dyDescent="0.25">
      <c r="A2039" t="str">
        <f>"10/21/2020 18:29:08.114"</f>
        <v>10/21/2020 18:29:08.114</v>
      </c>
      <c r="B2039" t="str">
        <f>"18:29:16.039"</f>
        <v>18:29:16.039</v>
      </c>
      <c r="C2039" t="str">
        <f>"18:29:15.839"</f>
        <v>18:29:15.839</v>
      </c>
      <c r="D2039" t="s">
        <v>808</v>
      </c>
      <c r="E2039">
        <v>30.586258999999998</v>
      </c>
      <c r="F2039" t="s">
        <v>707</v>
      </c>
      <c r="G2039">
        <v>-89.877540999999994</v>
      </c>
      <c r="H2039">
        <v>1600</v>
      </c>
      <c r="I2039">
        <v>6</v>
      </c>
      <c r="J2039">
        <v>139</v>
      </c>
      <c r="K2039">
        <v>64</v>
      </c>
      <c r="L2039">
        <v>1200</v>
      </c>
      <c r="M2039" t="str">
        <f t="shared" si="103"/>
        <v xml:space="preserve">N35DC   </v>
      </c>
      <c r="N2039">
        <v>1</v>
      </c>
      <c r="O2039">
        <v>1700</v>
      </c>
    </row>
    <row r="2040" spans="1:15" x14ac:dyDescent="0.25">
      <c r="A2040" t="str">
        <f>"10/21/2020 18:29:08.114"</f>
        <v>10/21/2020 18:29:08.114</v>
      </c>
      <c r="B2040" t="str">
        <f>"18:29:16.039"</f>
        <v>18:29:16.039</v>
      </c>
      <c r="C2040" t="str">
        <f>"18:29:15.839"</f>
        <v>18:29:15.839</v>
      </c>
      <c r="D2040" t="s">
        <v>808</v>
      </c>
      <c r="E2040">
        <v>30.586258999999998</v>
      </c>
      <c r="F2040" t="s">
        <v>707</v>
      </c>
      <c r="G2040">
        <v>-89.877540999999994</v>
      </c>
      <c r="H2040">
        <v>1600</v>
      </c>
      <c r="I2040">
        <v>6</v>
      </c>
      <c r="J2040">
        <v>139</v>
      </c>
      <c r="K2040">
        <v>64</v>
      </c>
      <c r="L2040">
        <v>1200</v>
      </c>
      <c r="M2040" t="str">
        <f t="shared" si="103"/>
        <v xml:space="preserve">N35DC   </v>
      </c>
      <c r="N2040">
        <v>1</v>
      </c>
      <c r="O2040">
        <v>1700</v>
      </c>
    </row>
    <row r="2041" spans="1:15" x14ac:dyDescent="0.25">
      <c r="A2041" t="str">
        <f>"10/21/2020 18:29:08.114"</f>
        <v>10/21/2020 18:29:08.114</v>
      </c>
      <c r="B2041" t="str">
        <f>"18:29:16.039"</f>
        <v>18:29:16.039</v>
      </c>
      <c r="C2041" t="str">
        <f>"18:29:15.839"</f>
        <v>18:29:15.839</v>
      </c>
      <c r="D2041" t="s">
        <v>808</v>
      </c>
      <c r="E2041">
        <v>30.586258999999998</v>
      </c>
      <c r="F2041" t="s">
        <v>707</v>
      </c>
      <c r="G2041">
        <v>-89.877540999999994</v>
      </c>
      <c r="H2041">
        <v>1600</v>
      </c>
      <c r="I2041">
        <v>6</v>
      </c>
      <c r="J2041">
        <v>139</v>
      </c>
      <c r="K2041">
        <v>64</v>
      </c>
      <c r="L2041">
        <v>1200</v>
      </c>
      <c r="M2041" t="str">
        <f t="shared" si="103"/>
        <v xml:space="preserve">N35DC   </v>
      </c>
      <c r="N2041">
        <v>1</v>
      </c>
      <c r="O2041">
        <v>1700</v>
      </c>
    </row>
    <row r="2042" spans="1:15" x14ac:dyDescent="0.25">
      <c r="A2042" t="str">
        <f>"10/21/2020 18:29:11.907"</f>
        <v>10/21/2020 18:29:11.907</v>
      </c>
      <c r="B2042" t="str">
        <f>"18:29:19.852"</f>
        <v>18:29:19.852</v>
      </c>
      <c r="C2042" t="str">
        <f>"18:29:19.552"</f>
        <v>18:29:19.552</v>
      </c>
      <c r="D2042" t="s">
        <v>809</v>
      </c>
      <c r="E2042">
        <v>30.588684000000001</v>
      </c>
      <c r="F2042" t="s">
        <v>810</v>
      </c>
      <c r="G2042">
        <v>-89.877454999999998</v>
      </c>
      <c r="H2042">
        <v>1600</v>
      </c>
      <c r="I2042">
        <v>7</v>
      </c>
      <c r="J2042">
        <v>139</v>
      </c>
      <c r="K2042">
        <v>192</v>
      </c>
      <c r="L2042">
        <v>1200</v>
      </c>
      <c r="M2042" t="str">
        <f t="shared" si="103"/>
        <v xml:space="preserve">N35DC   </v>
      </c>
      <c r="N2042">
        <v>1</v>
      </c>
      <c r="O2042">
        <v>1700</v>
      </c>
    </row>
    <row r="2043" spans="1:15" x14ac:dyDescent="0.25">
      <c r="A2043" t="str">
        <f>"10/21/2020 18:29:11.907"</f>
        <v>10/21/2020 18:29:11.907</v>
      </c>
      <c r="B2043" t="str">
        <f>"18:29:19.852"</f>
        <v>18:29:19.852</v>
      </c>
      <c r="C2043" t="str">
        <f>"18:29:19.552"</f>
        <v>18:29:19.552</v>
      </c>
      <c r="D2043" t="s">
        <v>809</v>
      </c>
      <c r="E2043">
        <v>30.588684000000001</v>
      </c>
      <c r="F2043" t="s">
        <v>810</v>
      </c>
      <c r="G2043">
        <v>-89.877454999999998</v>
      </c>
      <c r="H2043">
        <v>1600</v>
      </c>
      <c r="I2043">
        <v>7</v>
      </c>
      <c r="J2043">
        <v>139</v>
      </c>
      <c r="K2043">
        <v>192</v>
      </c>
      <c r="L2043">
        <v>1200</v>
      </c>
      <c r="M2043" t="str">
        <f t="shared" si="103"/>
        <v xml:space="preserve">N35DC   </v>
      </c>
      <c r="N2043">
        <v>1</v>
      </c>
      <c r="O2043">
        <v>1700</v>
      </c>
    </row>
    <row r="2044" spans="1:15" x14ac:dyDescent="0.25">
      <c r="A2044" t="str">
        <f>"10/21/2020 18:29:11.907"</f>
        <v>10/21/2020 18:29:11.907</v>
      </c>
      <c r="B2044" t="str">
        <f>"18:29:19.852"</f>
        <v>18:29:19.852</v>
      </c>
      <c r="C2044" t="str">
        <f>"18:29:19.552"</f>
        <v>18:29:19.552</v>
      </c>
      <c r="D2044" t="s">
        <v>809</v>
      </c>
      <c r="E2044">
        <v>30.588684000000001</v>
      </c>
      <c r="F2044" t="s">
        <v>810</v>
      </c>
      <c r="G2044">
        <v>-89.877454999999998</v>
      </c>
      <c r="H2044">
        <v>1600</v>
      </c>
      <c r="I2044">
        <v>7</v>
      </c>
      <c r="J2044">
        <v>139</v>
      </c>
      <c r="K2044">
        <v>192</v>
      </c>
      <c r="L2044">
        <v>1200</v>
      </c>
      <c r="M2044" t="str">
        <f t="shared" si="103"/>
        <v xml:space="preserve">N35DC   </v>
      </c>
      <c r="N2044">
        <v>1</v>
      </c>
      <c r="O2044">
        <v>1700</v>
      </c>
    </row>
    <row r="2045" spans="1:15" x14ac:dyDescent="0.25">
      <c r="A2045" t="str">
        <f>"10/21/2020 18:29:11.907"</f>
        <v>10/21/2020 18:29:11.907</v>
      </c>
      <c r="B2045" t="str">
        <f>"18:29:19.852"</f>
        <v>18:29:19.852</v>
      </c>
      <c r="C2045" t="str">
        <f>"18:29:19.552"</f>
        <v>18:29:19.552</v>
      </c>
      <c r="D2045" t="s">
        <v>809</v>
      </c>
      <c r="E2045">
        <v>30.588684000000001</v>
      </c>
      <c r="F2045" t="s">
        <v>810</v>
      </c>
      <c r="G2045">
        <v>-89.877454999999998</v>
      </c>
      <c r="H2045">
        <v>1600</v>
      </c>
      <c r="I2045">
        <v>7</v>
      </c>
      <c r="J2045">
        <v>139</v>
      </c>
      <c r="K2045">
        <v>192</v>
      </c>
      <c r="L2045">
        <v>1200</v>
      </c>
      <c r="M2045" t="str">
        <f t="shared" si="103"/>
        <v xml:space="preserve">N35DC   </v>
      </c>
      <c r="N2045">
        <v>1</v>
      </c>
      <c r="O2045">
        <v>1700</v>
      </c>
    </row>
    <row r="2046" spans="1:15" x14ac:dyDescent="0.25">
      <c r="A2046" t="str">
        <f>"10/21/2020 18:29:11.907"</f>
        <v>10/21/2020 18:29:11.907</v>
      </c>
      <c r="B2046" t="str">
        <f>"18:29:19.852"</f>
        <v>18:29:19.852</v>
      </c>
      <c r="C2046" t="str">
        <f>"18:29:19.552"</f>
        <v>18:29:19.552</v>
      </c>
      <c r="D2046" t="s">
        <v>809</v>
      </c>
      <c r="E2046">
        <v>30.588684000000001</v>
      </c>
      <c r="F2046" t="s">
        <v>810</v>
      </c>
      <c r="G2046">
        <v>-89.877454999999998</v>
      </c>
      <c r="H2046">
        <v>1600</v>
      </c>
      <c r="I2046">
        <v>7</v>
      </c>
      <c r="J2046">
        <v>139</v>
      </c>
      <c r="K2046">
        <v>192</v>
      </c>
      <c r="L2046">
        <v>1200</v>
      </c>
      <c r="M2046" t="str">
        <f t="shared" si="103"/>
        <v xml:space="preserve">N35DC   </v>
      </c>
      <c r="N2046">
        <v>1</v>
      </c>
      <c r="O2046">
        <v>1700</v>
      </c>
    </row>
    <row r="2047" spans="1:15" x14ac:dyDescent="0.25">
      <c r="A2047" t="str">
        <f>"10/21/2020 18:29:12.868"</f>
        <v>10/21/2020 18:29:12.868</v>
      </c>
      <c r="B2047" t="str">
        <f>"18:29:20.828"</f>
        <v>18:29:20.828</v>
      </c>
      <c r="C2047" t="str">
        <f>"18:29:20.528"</f>
        <v>18:29:20.528</v>
      </c>
      <c r="D2047" t="s">
        <v>811</v>
      </c>
      <c r="E2047">
        <v>30.589327999999998</v>
      </c>
      <c r="F2047" t="s">
        <v>812</v>
      </c>
      <c r="G2047">
        <v>-89.877433999999994</v>
      </c>
      <c r="H2047">
        <v>1600</v>
      </c>
      <c r="I2047">
        <v>7</v>
      </c>
      <c r="J2047">
        <v>139</v>
      </c>
      <c r="K2047">
        <v>0</v>
      </c>
      <c r="L2047">
        <v>1200</v>
      </c>
      <c r="M2047" t="str">
        <f t="shared" si="103"/>
        <v xml:space="preserve">N35DC   </v>
      </c>
      <c r="N2047">
        <v>1</v>
      </c>
      <c r="O2047">
        <v>1700</v>
      </c>
    </row>
    <row r="2048" spans="1:15" x14ac:dyDescent="0.25">
      <c r="A2048" t="str">
        <f>"10/21/2020 18:29:12.868"</f>
        <v>10/21/2020 18:29:12.868</v>
      </c>
      <c r="B2048" t="str">
        <f>"18:29:20.828"</f>
        <v>18:29:20.828</v>
      </c>
      <c r="C2048" t="str">
        <f>"18:29:20.528"</f>
        <v>18:29:20.528</v>
      </c>
      <c r="D2048" t="s">
        <v>811</v>
      </c>
      <c r="E2048">
        <v>30.589327999999998</v>
      </c>
      <c r="F2048" t="s">
        <v>812</v>
      </c>
      <c r="G2048">
        <v>-89.877433999999994</v>
      </c>
      <c r="H2048">
        <v>1600</v>
      </c>
      <c r="I2048">
        <v>7</v>
      </c>
      <c r="J2048">
        <v>139</v>
      </c>
      <c r="K2048">
        <v>0</v>
      </c>
      <c r="L2048">
        <v>1200</v>
      </c>
      <c r="M2048" t="str">
        <f t="shared" si="103"/>
        <v xml:space="preserve">N35DC   </v>
      </c>
      <c r="N2048">
        <v>1</v>
      </c>
      <c r="O2048">
        <v>1700</v>
      </c>
    </row>
    <row r="2049" spans="1:15" x14ac:dyDescent="0.25">
      <c r="A2049" t="str">
        <f>"10/21/2020 18:29:12.868"</f>
        <v>10/21/2020 18:29:12.868</v>
      </c>
      <c r="B2049" t="str">
        <f>"18:29:20.828"</f>
        <v>18:29:20.828</v>
      </c>
      <c r="C2049" t="str">
        <f>"18:29:20.528"</f>
        <v>18:29:20.528</v>
      </c>
      <c r="D2049" t="s">
        <v>811</v>
      </c>
      <c r="E2049">
        <v>30.589327999999998</v>
      </c>
      <c r="F2049" t="s">
        <v>812</v>
      </c>
      <c r="G2049">
        <v>-89.877433999999994</v>
      </c>
      <c r="H2049">
        <v>1600</v>
      </c>
      <c r="I2049">
        <v>7</v>
      </c>
      <c r="J2049">
        <v>139</v>
      </c>
      <c r="K2049">
        <v>0</v>
      </c>
      <c r="L2049">
        <v>1200</v>
      </c>
      <c r="M2049" t="str">
        <f t="shared" si="103"/>
        <v xml:space="preserve">N35DC   </v>
      </c>
      <c r="N2049">
        <v>1</v>
      </c>
      <c r="O2049">
        <v>1700</v>
      </c>
    </row>
    <row r="2050" spans="1:15" x14ac:dyDescent="0.25">
      <c r="A2050" t="str">
        <f>"10/21/2020 18:29:12.868"</f>
        <v>10/21/2020 18:29:12.868</v>
      </c>
      <c r="B2050" t="str">
        <f>"18:29:20.828"</f>
        <v>18:29:20.828</v>
      </c>
      <c r="C2050" t="str">
        <f>"18:29:20.528"</f>
        <v>18:29:20.528</v>
      </c>
      <c r="D2050" t="s">
        <v>811</v>
      </c>
      <c r="E2050">
        <v>30.589327999999998</v>
      </c>
      <c r="F2050" t="s">
        <v>812</v>
      </c>
      <c r="G2050">
        <v>-89.877433999999994</v>
      </c>
      <c r="H2050">
        <v>1600</v>
      </c>
      <c r="I2050">
        <v>7</v>
      </c>
      <c r="J2050">
        <v>139</v>
      </c>
      <c r="K2050">
        <v>0</v>
      </c>
      <c r="L2050">
        <v>1200</v>
      </c>
      <c r="M2050" t="str">
        <f t="shared" si="103"/>
        <v xml:space="preserve">N35DC   </v>
      </c>
      <c r="N2050">
        <v>1</v>
      </c>
      <c r="O2050">
        <v>1700</v>
      </c>
    </row>
    <row r="2051" spans="1:15" x14ac:dyDescent="0.25">
      <c r="A2051" t="str">
        <f>"10/21/2020 18:29:12.868"</f>
        <v>10/21/2020 18:29:12.868</v>
      </c>
      <c r="B2051" t="str">
        <f>"18:29:20.828"</f>
        <v>18:29:20.828</v>
      </c>
      <c r="C2051" t="str">
        <f>"18:29:20.528"</f>
        <v>18:29:20.528</v>
      </c>
      <c r="D2051" t="s">
        <v>811</v>
      </c>
      <c r="E2051">
        <v>30.589327999999998</v>
      </c>
      <c r="F2051" t="s">
        <v>812</v>
      </c>
      <c r="G2051">
        <v>-89.877433999999994</v>
      </c>
      <c r="H2051">
        <v>1600</v>
      </c>
      <c r="I2051">
        <v>7</v>
      </c>
      <c r="J2051">
        <v>139</v>
      </c>
      <c r="K2051">
        <v>0</v>
      </c>
      <c r="L2051">
        <v>1200</v>
      </c>
      <c r="M2051" t="str">
        <f t="shared" si="103"/>
        <v xml:space="preserve">N35DC   </v>
      </c>
      <c r="N2051">
        <v>1</v>
      </c>
      <c r="O2051">
        <v>1700</v>
      </c>
    </row>
    <row r="2052" spans="1:15" x14ac:dyDescent="0.25">
      <c r="A2052" t="str">
        <f>"10/21/2020 18:29:16.989"</f>
        <v>10/21/2020 18:29:16.989</v>
      </c>
      <c r="B2052" t="str">
        <f>"18:29:24.937"</f>
        <v>18:29:24.937</v>
      </c>
      <c r="C2052" t="str">
        <f>"18:29:24.637"</f>
        <v>18:29:24.637</v>
      </c>
      <c r="D2052" t="s">
        <v>447</v>
      </c>
      <c r="E2052">
        <v>30.591989000000002</v>
      </c>
      <c r="F2052" t="s">
        <v>813</v>
      </c>
      <c r="G2052">
        <v>-89.877262000000002</v>
      </c>
      <c r="H2052">
        <v>1600</v>
      </c>
      <c r="I2052">
        <v>7</v>
      </c>
      <c r="J2052">
        <v>139</v>
      </c>
      <c r="K2052">
        <v>64</v>
      </c>
      <c r="L2052">
        <v>1200</v>
      </c>
      <c r="M2052" t="str">
        <f t="shared" si="103"/>
        <v xml:space="preserve">N35DC   </v>
      </c>
      <c r="N2052">
        <v>1</v>
      </c>
      <c r="O2052">
        <v>1700</v>
      </c>
    </row>
    <row r="2053" spans="1:15" x14ac:dyDescent="0.25">
      <c r="A2053" t="str">
        <f>"10/21/2020 18:29:16.989"</f>
        <v>10/21/2020 18:29:16.989</v>
      </c>
      <c r="B2053" t="str">
        <f>"18:29:24.937"</f>
        <v>18:29:24.937</v>
      </c>
      <c r="C2053" t="str">
        <f>"18:29:24.637"</f>
        <v>18:29:24.637</v>
      </c>
      <c r="D2053" t="s">
        <v>447</v>
      </c>
      <c r="E2053">
        <v>30.591989000000002</v>
      </c>
      <c r="F2053" t="s">
        <v>813</v>
      </c>
      <c r="G2053">
        <v>-89.877262000000002</v>
      </c>
      <c r="H2053">
        <v>1600</v>
      </c>
      <c r="I2053">
        <v>7</v>
      </c>
      <c r="J2053">
        <v>139</v>
      </c>
      <c r="K2053">
        <v>64</v>
      </c>
      <c r="L2053">
        <v>1200</v>
      </c>
      <c r="M2053" t="str">
        <f t="shared" si="103"/>
        <v xml:space="preserve">N35DC   </v>
      </c>
      <c r="N2053">
        <v>1</v>
      </c>
      <c r="O2053">
        <v>1700</v>
      </c>
    </row>
    <row r="2054" spans="1:15" x14ac:dyDescent="0.25">
      <c r="A2054" t="str">
        <f>"10/21/2020 18:29:16.989"</f>
        <v>10/21/2020 18:29:16.989</v>
      </c>
      <c r="B2054" t="str">
        <f>"18:29:24.937"</f>
        <v>18:29:24.937</v>
      </c>
      <c r="C2054" t="str">
        <f>"18:29:24.637"</f>
        <v>18:29:24.637</v>
      </c>
      <c r="D2054" t="s">
        <v>447</v>
      </c>
      <c r="E2054">
        <v>30.591989000000002</v>
      </c>
      <c r="F2054" t="s">
        <v>813</v>
      </c>
      <c r="G2054">
        <v>-89.877262000000002</v>
      </c>
      <c r="H2054">
        <v>1600</v>
      </c>
      <c r="I2054">
        <v>7</v>
      </c>
      <c r="J2054">
        <v>139</v>
      </c>
      <c r="K2054">
        <v>64</v>
      </c>
      <c r="L2054">
        <v>1200</v>
      </c>
      <c r="M2054" t="str">
        <f t="shared" si="103"/>
        <v xml:space="preserve">N35DC   </v>
      </c>
      <c r="N2054">
        <v>1</v>
      </c>
      <c r="O2054">
        <v>1700</v>
      </c>
    </row>
    <row r="2055" spans="1:15" x14ac:dyDescent="0.25">
      <c r="A2055" t="str">
        <f>"10/21/2020 18:29:16.989"</f>
        <v>10/21/2020 18:29:16.989</v>
      </c>
      <c r="B2055" t="str">
        <f>"18:29:24.937"</f>
        <v>18:29:24.937</v>
      </c>
      <c r="C2055" t="str">
        <f>"18:29:24.637"</f>
        <v>18:29:24.637</v>
      </c>
      <c r="D2055" t="s">
        <v>447</v>
      </c>
      <c r="E2055">
        <v>30.591989000000002</v>
      </c>
      <c r="F2055" t="s">
        <v>813</v>
      </c>
      <c r="G2055">
        <v>-89.877262000000002</v>
      </c>
      <c r="H2055">
        <v>1600</v>
      </c>
      <c r="I2055">
        <v>7</v>
      </c>
      <c r="J2055">
        <v>139</v>
      </c>
      <c r="K2055">
        <v>64</v>
      </c>
      <c r="L2055">
        <v>1200</v>
      </c>
      <c r="M2055" t="str">
        <f t="shared" ref="M2055:M2118" si="104">"N35DC   "</f>
        <v xml:space="preserve">N35DC   </v>
      </c>
      <c r="N2055">
        <v>1</v>
      </c>
      <c r="O2055">
        <v>1700</v>
      </c>
    </row>
    <row r="2056" spans="1:15" x14ac:dyDescent="0.25">
      <c r="A2056" t="str">
        <f>"10/21/2020 18:29:16.989"</f>
        <v>10/21/2020 18:29:16.989</v>
      </c>
      <c r="B2056" t="str">
        <f>"18:29:24.937"</f>
        <v>18:29:24.937</v>
      </c>
      <c r="C2056" t="str">
        <f>"18:29:24.637"</f>
        <v>18:29:24.637</v>
      </c>
      <c r="D2056" t="s">
        <v>447</v>
      </c>
      <c r="E2056">
        <v>30.591989000000002</v>
      </c>
      <c r="F2056" t="s">
        <v>813</v>
      </c>
      <c r="G2056">
        <v>-89.877262000000002</v>
      </c>
      <c r="H2056">
        <v>1600</v>
      </c>
      <c r="I2056">
        <v>7</v>
      </c>
      <c r="J2056">
        <v>139</v>
      </c>
      <c r="K2056">
        <v>64</v>
      </c>
      <c r="L2056">
        <v>1200</v>
      </c>
      <c r="M2056" t="str">
        <f t="shared" si="104"/>
        <v xml:space="preserve">N35DC   </v>
      </c>
      <c r="N2056">
        <v>1</v>
      </c>
      <c r="O2056">
        <v>1700</v>
      </c>
    </row>
    <row r="2057" spans="1:15" x14ac:dyDescent="0.25">
      <c r="A2057" t="str">
        <f>"10/21/2020 18:29:18.035"</f>
        <v>10/21/2020 18:29:18.035</v>
      </c>
      <c r="B2057" t="str">
        <f t="shared" ref="B2057:C2061" si="105">"18:29:25.984"</f>
        <v>18:29:25.984</v>
      </c>
      <c r="C2057" t="str">
        <f t="shared" si="105"/>
        <v>18:29:25.984</v>
      </c>
      <c r="D2057" t="s">
        <v>814</v>
      </c>
      <c r="E2057">
        <v>30.592675</v>
      </c>
      <c r="F2057" t="s">
        <v>815</v>
      </c>
      <c r="G2057">
        <v>-89.877218999999997</v>
      </c>
      <c r="H2057">
        <v>1600</v>
      </c>
      <c r="I2057">
        <v>6</v>
      </c>
      <c r="J2057">
        <v>139</v>
      </c>
      <c r="K2057">
        <v>0</v>
      </c>
      <c r="L2057">
        <v>1200</v>
      </c>
      <c r="M2057" t="str">
        <f t="shared" si="104"/>
        <v xml:space="preserve">N35DC   </v>
      </c>
      <c r="N2057">
        <v>1</v>
      </c>
      <c r="O2057">
        <v>1700</v>
      </c>
    </row>
    <row r="2058" spans="1:15" x14ac:dyDescent="0.25">
      <c r="A2058" t="str">
        <f>"10/21/2020 18:29:18.035"</f>
        <v>10/21/2020 18:29:18.035</v>
      </c>
      <c r="B2058" t="str">
        <f t="shared" si="105"/>
        <v>18:29:25.984</v>
      </c>
      <c r="C2058" t="str">
        <f t="shared" si="105"/>
        <v>18:29:25.984</v>
      </c>
      <c r="D2058" t="s">
        <v>814</v>
      </c>
      <c r="E2058">
        <v>30.592675</v>
      </c>
      <c r="F2058" t="s">
        <v>815</v>
      </c>
      <c r="G2058">
        <v>-89.877218999999997</v>
      </c>
      <c r="H2058">
        <v>1600</v>
      </c>
      <c r="I2058">
        <v>6</v>
      </c>
      <c r="J2058">
        <v>139</v>
      </c>
      <c r="K2058">
        <v>0</v>
      </c>
      <c r="L2058">
        <v>1200</v>
      </c>
      <c r="M2058" t="str">
        <f t="shared" si="104"/>
        <v xml:space="preserve">N35DC   </v>
      </c>
      <c r="N2058">
        <v>1</v>
      </c>
      <c r="O2058">
        <v>1700</v>
      </c>
    </row>
    <row r="2059" spans="1:15" x14ac:dyDescent="0.25">
      <c r="A2059" t="str">
        <f>"10/21/2020 18:29:18.035"</f>
        <v>10/21/2020 18:29:18.035</v>
      </c>
      <c r="B2059" t="str">
        <f t="shared" si="105"/>
        <v>18:29:25.984</v>
      </c>
      <c r="C2059" t="str">
        <f t="shared" si="105"/>
        <v>18:29:25.984</v>
      </c>
      <c r="D2059" t="s">
        <v>814</v>
      </c>
      <c r="E2059">
        <v>30.592675</v>
      </c>
      <c r="F2059" t="s">
        <v>815</v>
      </c>
      <c r="G2059">
        <v>-89.877218999999997</v>
      </c>
      <c r="H2059">
        <v>1600</v>
      </c>
      <c r="I2059">
        <v>6</v>
      </c>
      <c r="J2059">
        <v>139</v>
      </c>
      <c r="K2059">
        <v>0</v>
      </c>
      <c r="L2059">
        <v>1200</v>
      </c>
      <c r="M2059" t="str">
        <f t="shared" si="104"/>
        <v xml:space="preserve">N35DC   </v>
      </c>
      <c r="N2059">
        <v>1</v>
      </c>
      <c r="O2059">
        <v>1700</v>
      </c>
    </row>
    <row r="2060" spans="1:15" x14ac:dyDescent="0.25">
      <c r="A2060" t="str">
        <f>"10/21/2020 18:29:18.035"</f>
        <v>10/21/2020 18:29:18.035</v>
      </c>
      <c r="B2060" t="str">
        <f t="shared" si="105"/>
        <v>18:29:25.984</v>
      </c>
      <c r="C2060" t="str">
        <f t="shared" si="105"/>
        <v>18:29:25.984</v>
      </c>
      <c r="D2060" t="s">
        <v>814</v>
      </c>
      <c r="E2060">
        <v>30.592675</v>
      </c>
      <c r="F2060" t="s">
        <v>815</v>
      </c>
      <c r="G2060">
        <v>-89.877218999999997</v>
      </c>
      <c r="H2060">
        <v>1600</v>
      </c>
      <c r="I2060">
        <v>6</v>
      </c>
      <c r="J2060">
        <v>139</v>
      </c>
      <c r="K2060">
        <v>0</v>
      </c>
      <c r="L2060">
        <v>1200</v>
      </c>
      <c r="M2060" t="str">
        <f t="shared" si="104"/>
        <v xml:space="preserve">N35DC   </v>
      </c>
      <c r="N2060">
        <v>1</v>
      </c>
      <c r="O2060">
        <v>1700</v>
      </c>
    </row>
    <row r="2061" spans="1:15" x14ac:dyDescent="0.25">
      <c r="A2061" t="str">
        <f>"10/21/2020 18:29:18.035"</f>
        <v>10/21/2020 18:29:18.035</v>
      </c>
      <c r="B2061" t="str">
        <f t="shared" si="105"/>
        <v>18:29:25.984</v>
      </c>
      <c r="C2061" t="str">
        <f t="shared" si="105"/>
        <v>18:29:25.984</v>
      </c>
      <c r="D2061" t="s">
        <v>814</v>
      </c>
      <c r="E2061">
        <v>30.592675</v>
      </c>
      <c r="F2061" t="s">
        <v>815</v>
      </c>
      <c r="G2061">
        <v>-89.877218999999997</v>
      </c>
      <c r="H2061">
        <v>1600</v>
      </c>
      <c r="I2061">
        <v>6</v>
      </c>
      <c r="J2061">
        <v>139</v>
      </c>
      <c r="K2061">
        <v>0</v>
      </c>
      <c r="L2061">
        <v>1200</v>
      </c>
      <c r="M2061" t="str">
        <f t="shared" si="104"/>
        <v xml:space="preserve">N35DC   </v>
      </c>
      <c r="N2061">
        <v>1</v>
      </c>
      <c r="O2061">
        <v>1700</v>
      </c>
    </row>
    <row r="2062" spans="1:15" x14ac:dyDescent="0.25">
      <c r="A2062" t="str">
        <f>"10/21/2020 18:29:19.826"</f>
        <v>10/21/2020 18:29:19.826</v>
      </c>
      <c r="B2062" t="str">
        <f>"18:29:27.758"</f>
        <v>18:29:27.758</v>
      </c>
      <c r="C2062" t="str">
        <f>"18:29:27.458"</f>
        <v>18:29:27.458</v>
      </c>
      <c r="D2062" t="s">
        <v>816</v>
      </c>
      <c r="E2062">
        <v>30.593812</v>
      </c>
      <c r="F2062" t="s">
        <v>817</v>
      </c>
      <c r="G2062">
        <v>-89.877155000000002</v>
      </c>
      <c r="H2062">
        <v>1600</v>
      </c>
      <c r="I2062">
        <v>5</v>
      </c>
      <c r="J2062">
        <v>139</v>
      </c>
      <c r="K2062">
        <v>0</v>
      </c>
      <c r="L2062">
        <v>1200</v>
      </c>
      <c r="M2062" t="str">
        <f t="shared" si="104"/>
        <v xml:space="preserve">N35DC   </v>
      </c>
      <c r="N2062">
        <v>1</v>
      </c>
      <c r="O2062">
        <v>1700</v>
      </c>
    </row>
    <row r="2063" spans="1:15" x14ac:dyDescent="0.25">
      <c r="A2063" t="str">
        <f>"10/21/2020 18:29:19.826"</f>
        <v>10/21/2020 18:29:19.826</v>
      </c>
      <c r="B2063" t="str">
        <f>"18:29:27.758"</f>
        <v>18:29:27.758</v>
      </c>
      <c r="C2063" t="str">
        <f>"18:29:27.458"</f>
        <v>18:29:27.458</v>
      </c>
      <c r="D2063" t="s">
        <v>816</v>
      </c>
      <c r="E2063">
        <v>30.593812</v>
      </c>
      <c r="F2063" t="s">
        <v>817</v>
      </c>
      <c r="G2063">
        <v>-89.877155000000002</v>
      </c>
      <c r="H2063">
        <v>1600</v>
      </c>
      <c r="I2063">
        <v>5</v>
      </c>
      <c r="J2063">
        <v>139</v>
      </c>
      <c r="K2063">
        <v>0</v>
      </c>
      <c r="L2063">
        <v>1200</v>
      </c>
      <c r="M2063" t="str">
        <f t="shared" si="104"/>
        <v xml:space="preserve">N35DC   </v>
      </c>
      <c r="N2063">
        <v>1</v>
      </c>
      <c r="O2063">
        <v>1700</v>
      </c>
    </row>
    <row r="2064" spans="1:15" x14ac:dyDescent="0.25">
      <c r="A2064" t="str">
        <f>"10/21/2020 18:29:19.826"</f>
        <v>10/21/2020 18:29:19.826</v>
      </c>
      <c r="B2064" t="str">
        <f>"18:29:27.758"</f>
        <v>18:29:27.758</v>
      </c>
      <c r="C2064" t="str">
        <f>"18:29:27.458"</f>
        <v>18:29:27.458</v>
      </c>
      <c r="D2064" t="s">
        <v>816</v>
      </c>
      <c r="E2064">
        <v>30.593812</v>
      </c>
      <c r="F2064" t="s">
        <v>817</v>
      </c>
      <c r="G2064">
        <v>-89.877155000000002</v>
      </c>
      <c r="H2064">
        <v>1600</v>
      </c>
      <c r="I2064">
        <v>5</v>
      </c>
      <c r="J2064">
        <v>139</v>
      </c>
      <c r="K2064">
        <v>0</v>
      </c>
      <c r="L2064">
        <v>1200</v>
      </c>
      <c r="M2064" t="str">
        <f t="shared" si="104"/>
        <v xml:space="preserve">N35DC   </v>
      </c>
      <c r="N2064">
        <v>1</v>
      </c>
      <c r="O2064">
        <v>1700</v>
      </c>
    </row>
    <row r="2065" spans="1:15" x14ac:dyDescent="0.25">
      <c r="A2065" t="str">
        <f>"10/21/2020 18:29:19.826"</f>
        <v>10/21/2020 18:29:19.826</v>
      </c>
      <c r="B2065" t="str">
        <f>"18:29:27.758"</f>
        <v>18:29:27.758</v>
      </c>
      <c r="C2065" t="str">
        <f>"18:29:27.458"</f>
        <v>18:29:27.458</v>
      </c>
      <c r="D2065" t="s">
        <v>816</v>
      </c>
      <c r="E2065">
        <v>30.593812</v>
      </c>
      <c r="F2065" t="s">
        <v>817</v>
      </c>
      <c r="G2065">
        <v>-89.877155000000002</v>
      </c>
      <c r="H2065">
        <v>1600</v>
      </c>
      <c r="I2065">
        <v>5</v>
      </c>
      <c r="J2065">
        <v>139</v>
      </c>
      <c r="K2065">
        <v>0</v>
      </c>
      <c r="L2065">
        <v>1200</v>
      </c>
      <c r="M2065" t="str">
        <f t="shared" si="104"/>
        <v xml:space="preserve">N35DC   </v>
      </c>
      <c r="N2065">
        <v>1</v>
      </c>
      <c r="O2065">
        <v>1700</v>
      </c>
    </row>
    <row r="2066" spans="1:15" x14ac:dyDescent="0.25">
      <c r="A2066" t="str">
        <f>"10/21/2020 18:29:19.826"</f>
        <v>10/21/2020 18:29:19.826</v>
      </c>
      <c r="B2066" t="str">
        <f>"18:29:27.758"</f>
        <v>18:29:27.758</v>
      </c>
      <c r="C2066" t="str">
        <f>"18:29:27.458"</f>
        <v>18:29:27.458</v>
      </c>
      <c r="D2066" t="s">
        <v>816</v>
      </c>
      <c r="E2066">
        <v>30.593812</v>
      </c>
      <c r="F2066" t="s">
        <v>817</v>
      </c>
      <c r="G2066">
        <v>-89.877155000000002</v>
      </c>
      <c r="H2066">
        <v>1600</v>
      </c>
      <c r="I2066">
        <v>5</v>
      </c>
      <c r="J2066">
        <v>139</v>
      </c>
      <c r="K2066">
        <v>0</v>
      </c>
      <c r="L2066">
        <v>1200</v>
      </c>
      <c r="M2066" t="str">
        <f t="shared" si="104"/>
        <v xml:space="preserve">N35DC   </v>
      </c>
      <c r="N2066">
        <v>1</v>
      </c>
      <c r="O2066">
        <v>1700</v>
      </c>
    </row>
    <row r="2067" spans="1:15" x14ac:dyDescent="0.25">
      <c r="A2067" t="str">
        <f>"10/21/2020 18:29:20.859"</f>
        <v>10/21/2020 18:29:20.859</v>
      </c>
      <c r="B2067" t="str">
        <f>"18:29:28.805"</f>
        <v>18:29:28.805</v>
      </c>
      <c r="C2067" t="str">
        <f>"18:29:28.405"</f>
        <v>18:29:28.405</v>
      </c>
      <c r="D2067" t="s">
        <v>818</v>
      </c>
      <c r="E2067">
        <v>30.594498999999999</v>
      </c>
      <c r="F2067" t="s">
        <v>817</v>
      </c>
      <c r="G2067">
        <v>-89.877155000000002</v>
      </c>
      <c r="H2067">
        <v>1600</v>
      </c>
      <c r="I2067">
        <v>5</v>
      </c>
      <c r="J2067">
        <v>139</v>
      </c>
      <c r="K2067">
        <v>64</v>
      </c>
      <c r="L2067">
        <v>1200</v>
      </c>
      <c r="M2067" t="str">
        <f t="shared" si="104"/>
        <v xml:space="preserve">N35DC   </v>
      </c>
      <c r="N2067">
        <v>1</v>
      </c>
      <c r="O2067">
        <v>1700</v>
      </c>
    </row>
    <row r="2068" spans="1:15" x14ac:dyDescent="0.25">
      <c r="A2068" t="str">
        <f>"10/21/2020 18:29:20.859"</f>
        <v>10/21/2020 18:29:20.859</v>
      </c>
      <c r="B2068" t="str">
        <f>"18:29:28.805"</f>
        <v>18:29:28.805</v>
      </c>
      <c r="C2068" t="str">
        <f>"18:29:28.405"</f>
        <v>18:29:28.405</v>
      </c>
      <c r="D2068" t="s">
        <v>818</v>
      </c>
      <c r="E2068">
        <v>30.594498999999999</v>
      </c>
      <c r="F2068" t="s">
        <v>817</v>
      </c>
      <c r="G2068">
        <v>-89.877155000000002</v>
      </c>
      <c r="H2068">
        <v>1600</v>
      </c>
      <c r="I2068">
        <v>5</v>
      </c>
      <c r="J2068">
        <v>139</v>
      </c>
      <c r="K2068">
        <v>64</v>
      </c>
      <c r="L2068">
        <v>1200</v>
      </c>
      <c r="M2068" t="str">
        <f t="shared" si="104"/>
        <v xml:space="preserve">N35DC   </v>
      </c>
      <c r="N2068">
        <v>1</v>
      </c>
      <c r="O2068">
        <v>1700</v>
      </c>
    </row>
    <row r="2069" spans="1:15" x14ac:dyDescent="0.25">
      <c r="A2069" t="str">
        <f>"10/21/2020 18:29:20.859"</f>
        <v>10/21/2020 18:29:20.859</v>
      </c>
      <c r="B2069" t="str">
        <f>"18:29:28.805"</f>
        <v>18:29:28.805</v>
      </c>
      <c r="C2069" t="str">
        <f>"18:29:28.405"</f>
        <v>18:29:28.405</v>
      </c>
      <c r="D2069" t="s">
        <v>818</v>
      </c>
      <c r="E2069">
        <v>30.594498999999999</v>
      </c>
      <c r="F2069" t="s">
        <v>817</v>
      </c>
      <c r="G2069">
        <v>-89.877155000000002</v>
      </c>
      <c r="H2069">
        <v>1600</v>
      </c>
      <c r="I2069">
        <v>5</v>
      </c>
      <c r="J2069">
        <v>139</v>
      </c>
      <c r="K2069">
        <v>64</v>
      </c>
      <c r="L2069">
        <v>1200</v>
      </c>
      <c r="M2069" t="str">
        <f t="shared" si="104"/>
        <v xml:space="preserve">N35DC   </v>
      </c>
      <c r="N2069">
        <v>1</v>
      </c>
      <c r="O2069">
        <v>1700</v>
      </c>
    </row>
    <row r="2070" spans="1:15" x14ac:dyDescent="0.25">
      <c r="A2070" t="str">
        <f>"10/21/2020 18:29:20.859"</f>
        <v>10/21/2020 18:29:20.859</v>
      </c>
      <c r="B2070" t="str">
        <f>"18:29:28.805"</f>
        <v>18:29:28.805</v>
      </c>
      <c r="C2070" t="str">
        <f>"18:29:28.405"</f>
        <v>18:29:28.405</v>
      </c>
      <c r="D2070" t="s">
        <v>818</v>
      </c>
      <c r="E2070">
        <v>30.594498999999999</v>
      </c>
      <c r="F2070" t="s">
        <v>817</v>
      </c>
      <c r="G2070">
        <v>-89.877155000000002</v>
      </c>
      <c r="H2070">
        <v>1600</v>
      </c>
      <c r="I2070">
        <v>5</v>
      </c>
      <c r="J2070">
        <v>139</v>
      </c>
      <c r="K2070">
        <v>64</v>
      </c>
      <c r="L2070">
        <v>1200</v>
      </c>
      <c r="M2070" t="str">
        <f t="shared" si="104"/>
        <v xml:space="preserve">N35DC   </v>
      </c>
      <c r="N2070">
        <v>1</v>
      </c>
      <c r="O2070">
        <v>1700</v>
      </c>
    </row>
    <row r="2071" spans="1:15" x14ac:dyDescent="0.25">
      <c r="A2071" t="str">
        <f>"10/21/2020 18:29:20.859"</f>
        <v>10/21/2020 18:29:20.859</v>
      </c>
      <c r="B2071" t="str">
        <f>"18:29:28.805"</f>
        <v>18:29:28.805</v>
      </c>
      <c r="C2071" t="str">
        <f>"18:29:28.405"</f>
        <v>18:29:28.405</v>
      </c>
      <c r="D2071" t="s">
        <v>818</v>
      </c>
      <c r="E2071">
        <v>30.594498999999999</v>
      </c>
      <c r="F2071" t="s">
        <v>817</v>
      </c>
      <c r="G2071">
        <v>-89.877155000000002</v>
      </c>
      <c r="H2071">
        <v>1600</v>
      </c>
      <c r="I2071">
        <v>5</v>
      </c>
      <c r="J2071">
        <v>139</v>
      </c>
      <c r="K2071">
        <v>64</v>
      </c>
      <c r="L2071">
        <v>1200</v>
      </c>
      <c r="M2071" t="str">
        <f t="shared" si="104"/>
        <v xml:space="preserve">N35DC   </v>
      </c>
      <c r="N2071">
        <v>1</v>
      </c>
      <c r="O2071">
        <v>1700</v>
      </c>
    </row>
    <row r="2072" spans="1:15" x14ac:dyDescent="0.25">
      <c r="A2072" t="str">
        <f>"10/21/2020 18:29:23.032"</f>
        <v>10/21/2020 18:29:23.032</v>
      </c>
      <c r="B2072" t="str">
        <f>"18:29:30.984"</f>
        <v>18:29:30.984</v>
      </c>
      <c r="C2072" t="str">
        <f>"18:29:30.584"</f>
        <v>18:29:30.584</v>
      </c>
      <c r="D2072" t="s">
        <v>819</v>
      </c>
      <c r="E2072">
        <v>30.595894000000001</v>
      </c>
      <c r="F2072" t="s">
        <v>820</v>
      </c>
      <c r="G2072">
        <v>-89.877069000000006</v>
      </c>
      <c r="H2072">
        <v>1600</v>
      </c>
      <c r="I2072">
        <v>6</v>
      </c>
      <c r="J2072">
        <v>138</v>
      </c>
      <c r="K2072">
        <v>-64</v>
      </c>
      <c r="L2072">
        <v>1200</v>
      </c>
      <c r="M2072" t="str">
        <f t="shared" si="104"/>
        <v xml:space="preserve">N35DC   </v>
      </c>
      <c r="N2072">
        <v>1</v>
      </c>
      <c r="O2072">
        <v>1700</v>
      </c>
    </row>
    <row r="2073" spans="1:15" x14ac:dyDescent="0.25">
      <c r="A2073" t="str">
        <f>"10/21/2020 18:29:23.032"</f>
        <v>10/21/2020 18:29:23.032</v>
      </c>
      <c r="B2073" t="str">
        <f>"18:29:30.984"</f>
        <v>18:29:30.984</v>
      </c>
      <c r="C2073" t="str">
        <f>"18:29:30.584"</f>
        <v>18:29:30.584</v>
      </c>
      <c r="D2073" t="s">
        <v>819</v>
      </c>
      <c r="E2073">
        <v>30.595894000000001</v>
      </c>
      <c r="F2073" t="s">
        <v>820</v>
      </c>
      <c r="G2073">
        <v>-89.877069000000006</v>
      </c>
      <c r="H2073">
        <v>1600</v>
      </c>
      <c r="I2073">
        <v>6</v>
      </c>
      <c r="J2073">
        <v>138</v>
      </c>
      <c r="K2073">
        <v>-64</v>
      </c>
      <c r="L2073">
        <v>1200</v>
      </c>
      <c r="M2073" t="str">
        <f t="shared" si="104"/>
        <v xml:space="preserve">N35DC   </v>
      </c>
      <c r="N2073">
        <v>1</v>
      </c>
      <c r="O2073">
        <v>1700</v>
      </c>
    </row>
    <row r="2074" spans="1:15" x14ac:dyDescent="0.25">
      <c r="A2074" t="str">
        <f>"10/21/2020 18:29:23.032"</f>
        <v>10/21/2020 18:29:23.032</v>
      </c>
      <c r="B2074" t="str">
        <f>"18:29:30.984"</f>
        <v>18:29:30.984</v>
      </c>
      <c r="C2074" t="str">
        <f>"18:29:30.584"</f>
        <v>18:29:30.584</v>
      </c>
      <c r="D2074" t="s">
        <v>819</v>
      </c>
      <c r="E2074">
        <v>30.595894000000001</v>
      </c>
      <c r="F2074" t="s">
        <v>820</v>
      </c>
      <c r="G2074">
        <v>-89.877069000000006</v>
      </c>
      <c r="H2074">
        <v>1600</v>
      </c>
      <c r="I2074">
        <v>6</v>
      </c>
      <c r="J2074">
        <v>138</v>
      </c>
      <c r="K2074">
        <v>-64</v>
      </c>
      <c r="L2074">
        <v>1200</v>
      </c>
      <c r="M2074" t="str">
        <f t="shared" si="104"/>
        <v xml:space="preserve">N35DC   </v>
      </c>
      <c r="N2074">
        <v>1</v>
      </c>
      <c r="O2074">
        <v>1700</v>
      </c>
    </row>
    <row r="2075" spans="1:15" x14ac:dyDescent="0.25">
      <c r="A2075" t="str">
        <f>"10/21/2020 18:29:23.032"</f>
        <v>10/21/2020 18:29:23.032</v>
      </c>
      <c r="B2075" t="str">
        <f>"18:29:30.984"</f>
        <v>18:29:30.984</v>
      </c>
      <c r="C2075" t="str">
        <f>"18:29:30.584"</f>
        <v>18:29:30.584</v>
      </c>
      <c r="D2075" t="s">
        <v>819</v>
      </c>
      <c r="E2075">
        <v>30.595894000000001</v>
      </c>
      <c r="F2075" t="s">
        <v>820</v>
      </c>
      <c r="G2075">
        <v>-89.877069000000006</v>
      </c>
      <c r="H2075">
        <v>1600</v>
      </c>
      <c r="I2075">
        <v>6</v>
      </c>
      <c r="J2075">
        <v>138</v>
      </c>
      <c r="K2075">
        <v>-64</v>
      </c>
      <c r="L2075">
        <v>1200</v>
      </c>
      <c r="M2075" t="str">
        <f t="shared" si="104"/>
        <v xml:space="preserve">N35DC   </v>
      </c>
      <c r="N2075">
        <v>1</v>
      </c>
      <c r="O2075">
        <v>1700</v>
      </c>
    </row>
    <row r="2076" spans="1:15" x14ac:dyDescent="0.25">
      <c r="A2076" t="str">
        <f>"10/21/2020 18:29:23.032"</f>
        <v>10/21/2020 18:29:23.032</v>
      </c>
      <c r="B2076" t="str">
        <f>"18:29:30.984"</f>
        <v>18:29:30.984</v>
      </c>
      <c r="C2076" t="str">
        <f>"18:29:30.584"</f>
        <v>18:29:30.584</v>
      </c>
      <c r="D2076" t="s">
        <v>819</v>
      </c>
      <c r="E2076">
        <v>30.595894000000001</v>
      </c>
      <c r="F2076" t="s">
        <v>820</v>
      </c>
      <c r="G2076">
        <v>-89.877069000000006</v>
      </c>
      <c r="H2076">
        <v>1600</v>
      </c>
      <c r="I2076">
        <v>6</v>
      </c>
      <c r="J2076">
        <v>138</v>
      </c>
      <c r="K2076">
        <v>-64</v>
      </c>
      <c r="L2076">
        <v>1200</v>
      </c>
      <c r="M2076" t="str">
        <f t="shared" si="104"/>
        <v xml:space="preserve">N35DC   </v>
      </c>
      <c r="N2076">
        <v>1</v>
      </c>
      <c r="O2076">
        <v>1700</v>
      </c>
    </row>
    <row r="2077" spans="1:15" x14ac:dyDescent="0.25">
      <c r="A2077" t="str">
        <f>"10/21/2020 18:29:24.031"</f>
        <v>10/21/2020 18:29:24.031</v>
      </c>
      <c r="B2077" t="str">
        <f>"18:29:31.953"</f>
        <v>18:29:31.953</v>
      </c>
      <c r="C2077" t="str">
        <f>"18:29:31.653"</f>
        <v>18:29:31.653</v>
      </c>
      <c r="D2077" t="s">
        <v>821</v>
      </c>
      <c r="E2077">
        <v>30.596495000000001</v>
      </c>
      <c r="F2077" t="s">
        <v>820</v>
      </c>
      <c r="G2077">
        <v>-89.877069000000006</v>
      </c>
      <c r="H2077">
        <v>1600</v>
      </c>
      <c r="I2077">
        <v>6</v>
      </c>
      <c r="J2077">
        <v>138</v>
      </c>
      <c r="K2077">
        <v>-64</v>
      </c>
      <c r="L2077">
        <v>1200</v>
      </c>
      <c r="M2077" t="str">
        <f t="shared" si="104"/>
        <v xml:space="preserve">N35DC   </v>
      </c>
      <c r="N2077">
        <v>1</v>
      </c>
      <c r="O2077">
        <v>1700</v>
      </c>
    </row>
    <row r="2078" spans="1:15" x14ac:dyDescent="0.25">
      <c r="A2078" t="str">
        <f>"10/21/2020 18:29:24.031"</f>
        <v>10/21/2020 18:29:24.031</v>
      </c>
      <c r="B2078" t="str">
        <f>"18:29:31.953"</f>
        <v>18:29:31.953</v>
      </c>
      <c r="C2078" t="str">
        <f>"18:29:31.653"</f>
        <v>18:29:31.653</v>
      </c>
      <c r="D2078" t="s">
        <v>821</v>
      </c>
      <c r="E2078">
        <v>30.596495000000001</v>
      </c>
      <c r="F2078" t="s">
        <v>820</v>
      </c>
      <c r="G2078">
        <v>-89.877069000000006</v>
      </c>
      <c r="H2078">
        <v>1600</v>
      </c>
      <c r="I2078">
        <v>6</v>
      </c>
      <c r="J2078">
        <v>138</v>
      </c>
      <c r="K2078">
        <v>-64</v>
      </c>
      <c r="L2078">
        <v>1200</v>
      </c>
      <c r="M2078" t="str">
        <f t="shared" si="104"/>
        <v xml:space="preserve">N35DC   </v>
      </c>
      <c r="N2078">
        <v>1</v>
      </c>
      <c r="O2078">
        <v>1700</v>
      </c>
    </row>
    <row r="2079" spans="1:15" x14ac:dyDescent="0.25">
      <c r="A2079" t="str">
        <f>"10/21/2020 18:29:24.031"</f>
        <v>10/21/2020 18:29:24.031</v>
      </c>
      <c r="B2079" t="str">
        <f>"18:29:31.953"</f>
        <v>18:29:31.953</v>
      </c>
      <c r="C2079" t="str">
        <f>"18:29:31.653"</f>
        <v>18:29:31.653</v>
      </c>
      <c r="D2079" t="s">
        <v>821</v>
      </c>
      <c r="E2079">
        <v>30.596495000000001</v>
      </c>
      <c r="F2079" t="s">
        <v>820</v>
      </c>
      <c r="G2079">
        <v>-89.877069000000006</v>
      </c>
      <c r="H2079">
        <v>1600</v>
      </c>
      <c r="I2079">
        <v>6</v>
      </c>
      <c r="J2079">
        <v>138</v>
      </c>
      <c r="K2079">
        <v>-64</v>
      </c>
      <c r="L2079">
        <v>1200</v>
      </c>
      <c r="M2079" t="str">
        <f t="shared" si="104"/>
        <v xml:space="preserve">N35DC   </v>
      </c>
      <c r="N2079">
        <v>1</v>
      </c>
      <c r="O2079">
        <v>1700</v>
      </c>
    </row>
    <row r="2080" spans="1:15" x14ac:dyDescent="0.25">
      <c r="A2080" t="str">
        <f>"10/21/2020 18:29:24.031"</f>
        <v>10/21/2020 18:29:24.031</v>
      </c>
      <c r="B2080" t="str">
        <f>"18:29:31.953"</f>
        <v>18:29:31.953</v>
      </c>
      <c r="C2080" t="str">
        <f>"18:29:31.653"</f>
        <v>18:29:31.653</v>
      </c>
      <c r="D2080" t="s">
        <v>821</v>
      </c>
      <c r="E2080">
        <v>30.596495000000001</v>
      </c>
      <c r="F2080" t="s">
        <v>820</v>
      </c>
      <c r="G2080">
        <v>-89.877069000000006</v>
      </c>
      <c r="H2080">
        <v>1600</v>
      </c>
      <c r="I2080">
        <v>6</v>
      </c>
      <c r="J2080">
        <v>138</v>
      </c>
      <c r="K2080">
        <v>-64</v>
      </c>
      <c r="L2080">
        <v>1200</v>
      </c>
      <c r="M2080" t="str">
        <f t="shared" si="104"/>
        <v xml:space="preserve">N35DC   </v>
      </c>
      <c r="N2080">
        <v>1</v>
      </c>
      <c r="O2080">
        <v>1700</v>
      </c>
    </row>
    <row r="2081" spans="1:15" x14ac:dyDescent="0.25">
      <c r="A2081" t="str">
        <f>"10/21/2020 18:29:24.031"</f>
        <v>10/21/2020 18:29:24.031</v>
      </c>
      <c r="B2081" t="str">
        <f>"18:29:31.953"</f>
        <v>18:29:31.953</v>
      </c>
      <c r="C2081" t="str">
        <f>"18:29:31.653"</f>
        <v>18:29:31.653</v>
      </c>
      <c r="D2081" t="s">
        <v>821</v>
      </c>
      <c r="E2081">
        <v>30.596495000000001</v>
      </c>
      <c r="F2081" t="s">
        <v>820</v>
      </c>
      <c r="G2081">
        <v>-89.877069000000006</v>
      </c>
      <c r="H2081">
        <v>1600</v>
      </c>
      <c r="I2081">
        <v>6</v>
      </c>
      <c r="J2081">
        <v>138</v>
      </c>
      <c r="K2081">
        <v>-64</v>
      </c>
      <c r="L2081">
        <v>1200</v>
      </c>
      <c r="M2081" t="str">
        <f t="shared" si="104"/>
        <v xml:space="preserve">N35DC   </v>
      </c>
      <c r="N2081">
        <v>1</v>
      </c>
      <c r="O2081">
        <v>1700</v>
      </c>
    </row>
    <row r="2082" spans="1:15" x14ac:dyDescent="0.25">
      <c r="A2082" t="str">
        <f>"10/21/2020 18:29:26.985"</f>
        <v>10/21/2020 18:29:26.985</v>
      </c>
      <c r="B2082" t="str">
        <f>"18:29:34.922"</f>
        <v>18:29:34.922</v>
      </c>
      <c r="C2082" t="str">
        <f>"18:29:34.622"</f>
        <v>18:29:34.622</v>
      </c>
      <c r="D2082" t="s">
        <v>822</v>
      </c>
      <c r="E2082">
        <v>30.598426</v>
      </c>
      <c r="F2082" t="s">
        <v>823</v>
      </c>
      <c r="G2082">
        <v>-89.876940000000005</v>
      </c>
      <c r="H2082">
        <v>1600</v>
      </c>
      <c r="I2082">
        <v>7</v>
      </c>
      <c r="J2082">
        <v>139</v>
      </c>
      <c r="K2082">
        <v>-64</v>
      </c>
      <c r="L2082">
        <v>1200</v>
      </c>
      <c r="M2082" t="str">
        <f t="shared" si="104"/>
        <v xml:space="preserve">N35DC   </v>
      </c>
      <c r="N2082">
        <v>1</v>
      </c>
      <c r="O2082">
        <v>1700</v>
      </c>
    </row>
    <row r="2083" spans="1:15" x14ac:dyDescent="0.25">
      <c r="A2083" t="str">
        <f>"10/21/2020 18:29:26.985"</f>
        <v>10/21/2020 18:29:26.985</v>
      </c>
      <c r="B2083" t="str">
        <f>"18:29:34.922"</f>
        <v>18:29:34.922</v>
      </c>
      <c r="C2083" t="str">
        <f>"18:29:34.622"</f>
        <v>18:29:34.622</v>
      </c>
      <c r="D2083" t="s">
        <v>822</v>
      </c>
      <c r="E2083">
        <v>30.598426</v>
      </c>
      <c r="F2083" t="s">
        <v>823</v>
      </c>
      <c r="G2083">
        <v>-89.876940000000005</v>
      </c>
      <c r="H2083">
        <v>1600</v>
      </c>
      <c r="I2083">
        <v>7</v>
      </c>
      <c r="J2083">
        <v>139</v>
      </c>
      <c r="K2083">
        <v>-64</v>
      </c>
      <c r="L2083">
        <v>1200</v>
      </c>
      <c r="M2083" t="str">
        <f t="shared" si="104"/>
        <v xml:space="preserve">N35DC   </v>
      </c>
      <c r="N2083">
        <v>1</v>
      </c>
      <c r="O2083">
        <v>1700</v>
      </c>
    </row>
    <row r="2084" spans="1:15" x14ac:dyDescent="0.25">
      <c r="A2084" t="str">
        <f>"10/21/2020 18:29:26.985"</f>
        <v>10/21/2020 18:29:26.985</v>
      </c>
      <c r="B2084" t="str">
        <f>"18:29:34.922"</f>
        <v>18:29:34.922</v>
      </c>
      <c r="C2084" t="str">
        <f>"18:29:34.622"</f>
        <v>18:29:34.622</v>
      </c>
      <c r="D2084" t="s">
        <v>822</v>
      </c>
      <c r="E2084">
        <v>30.598426</v>
      </c>
      <c r="F2084" t="s">
        <v>823</v>
      </c>
      <c r="G2084">
        <v>-89.876940000000005</v>
      </c>
      <c r="H2084">
        <v>1600</v>
      </c>
      <c r="I2084">
        <v>7</v>
      </c>
      <c r="J2084">
        <v>139</v>
      </c>
      <c r="K2084">
        <v>-64</v>
      </c>
      <c r="L2084">
        <v>1200</v>
      </c>
      <c r="M2084" t="str">
        <f t="shared" si="104"/>
        <v xml:space="preserve">N35DC   </v>
      </c>
      <c r="N2084">
        <v>1</v>
      </c>
      <c r="O2084">
        <v>1700</v>
      </c>
    </row>
    <row r="2085" spans="1:15" x14ac:dyDescent="0.25">
      <c r="A2085" t="str">
        <f>"10/21/2020 18:29:26.985"</f>
        <v>10/21/2020 18:29:26.985</v>
      </c>
      <c r="B2085" t="str">
        <f>"18:29:34.922"</f>
        <v>18:29:34.922</v>
      </c>
      <c r="C2085" t="str">
        <f>"18:29:34.622"</f>
        <v>18:29:34.622</v>
      </c>
      <c r="D2085" t="s">
        <v>822</v>
      </c>
      <c r="E2085">
        <v>30.598426</v>
      </c>
      <c r="F2085" t="s">
        <v>823</v>
      </c>
      <c r="G2085">
        <v>-89.876940000000005</v>
      </c>
      <c r="H2085">
        <v>1600</v>
      </c>
      <c r="I2085">
        <v>7</v>
      </c>
      <c r="J2085">
        <v>139</v>
      </c>
      <c r="K2085">
        <v>-64</v>
      </c>
      <c r="L2085">
        <v>1200</v>
      </c>
      <c r="M2085" t="str">
        <f t="shared" si="104"/>
        <v xml:space="preserve">N35DC   </v>
      </c>
      <c r="N2085">
        <v>1</v>
      </c>
      <c r="O2085">
        <v>1700</v>
      </c>
    </row>
    <row r="2086" spans="1:15" x14ac:dyDescent="0.25">
      <c r="A2086" t="str">
        <f>"10/21/2020 18:29:26.985"</f>
        <v>10/21/2020 18:29:26.985</v>
      </c>
      <c r="B2086" t="str">
        <f>"18:29:34.922"</f>
        <v>18:29:34.922</v>
      </c>
      <c r="C2086" t="str">
        <f>"18:29:34.622"</f>
        <v>18:29:34.622</v>
      </c>
      <c r="D2086" t="s">
        <v>822</v>
      </c>
      <c r="E2086">
        <v>30.598426</v>
      </c>
      <c r="F2086" t="s">
        <v>823</v>
      </c>
      <c r="G2086">
        <v>-89.876940000000005</v>
      </c>
      <c r="H2086">
        <v>1600</v>
      </c>
      <c r="I2086">
        <v>7</v>
      </c>
      <c r="J2086">
        <v>139</v>
      </c>
      <c r="K2086">
        <v>-64</v>
      </c>
      <c r="L2086">
        <v>1200</v>
      </c>
      <c r="M2086" t="str">
        <f t="shared" si="104"/>
        <v xml:space="preserve">N35DC   </v>
      </c>
      <c r="N2086">
        <v>1</v>
      </c>
      <c r="O2086">
        <v>1700</v>
      </c>
    </row>
    <row r="2087" spans="1:15" x14ac:dyDescent="0.25">
      <c r="A2087" t="str">
        <f>"10/21/2020 18:29:29.952"</f>
        <v>10/21/2020 18:29:29.952</v>
      </c>
      <c r="B2087" t="str">
        <f>"18:29:37.898"</f>
        <v>18:29:37.898</v>
      </c>
      <c r="C2087" t="str">
        <f>"18:29:37.398"</f>
        <v>18:29:37.398</v>
      </c>
      <c r="D2087" t="s">
        <v>463</v>
      </c>
      <c r="E2087">
        <v>30.600314000000001</v>
      </c>
      <c r="F2087" t="s">
        <v>824</v>
      </c>
      <c r="G2087">
        <v>-89.87679</v>
      </c>
      <c r="H2087">
        <v>1600</v>
      </c>
      <c r="I2087">
        <v>9</v>
      </c>
      <c r="J2087">
        <v>138</v>
      </c>
      <c r="K2087">
        <v>64</v>
      </c>
      <c r="L2087">
        <v>1200</v>
      </c>
      <c r="M2087" t="str">
        <f t="shared" si="104"/>
        <v xml:space="preserve">N35DC   </v>
      </c>
      <c r="N2087">
        <v>1</v>
      </c>
      <c r="O2087">
        <v>1700</v>
      </c>
    </row>
    <row r="2088" spans="1:15" x14ac:dyDescent="0.25">
      <c r="A2088" t="str">
        <f>"10/21/2020 18:29:29.952"</f>
        <v>10/21/2020 18:29:29.952</v>
      </c>
      <c r="B2088" t="str">
        <f>"18:29:37.898"</f>
        <v>18:29:37.898</v>
      </c>
      <c r="C2088" t="str">
        <f>"18:29:37.398"</f>
        <v>18:29:37.398</v>
      </c>
      <c r="D2088" t="s">
        <v>463</v>
      </c>
      <c r="E2088">
        <v>30.600314000000001</v>
      </c>
      <c r="F2088" t="s">
        <v>824</v>
      </c>
      <c r="G2088">
        <v>-89.87679</v>
      </c>
      <c r="H2088">
        <v>1600</v>
      </c>
      <c r="I2088">
        <v>9</v>
      </c>
      <c r="J2088">
        <v>138</v>
      </c>
      <c r="K2088">
        <v>64</v>
      </c>
      <c r="L2088">
        <v>1200</v>
      </c>
      <c r="M2088" t="str">
        <f t="shared" si="104"/>
        <v xml:space="preserve">N35DC   </v>
      </c>
      <c r="N2088">
        <v>1</v>
      </c>
      <c r="O2088">
        <v>1700</v>
      </c>
    </row>
    <row r="2089" spans="1:15" x14ac:dyDescent="0.25">
      <c r="A2089" t="str">
        <f>"10/21/2020 18:29:29.952"</f>
        <v>10/21/2020 18:29:29.952</v>
      </c>
      <c r="B2089" t="str">
        <f>"18:29:37.898"</f>
        <v>18:29:37.898</v>
      </c>
      <c r="C2089" t="str">
        <f>"18:29:37.398"</f>
        <v>18:29:37.398</v>
      </c>
      <c r="D2089" t="s">
        <v>463</v>
      </c>
      <c r="E2089">
        <v>30.600314000000001</v>
      </c>
      <c r="F2089" t="s">
        <v>824</v>
      </c>
      <c r="G2089">
        <v>-89.87679</v>
      </c>
      <c r="H2089">
        <v>1600</v>
      </c>
      <c r="I2089">
        <v>9</v>
      </c>
      <c r="J2089">
        <v>138</v>
      </c>
      <c r="K2089">
        <v>64</v>
      </c>
      <c r="L2089">
        <v>1200</v>
      </c>
      <c r="M2089" t="str">
        <f t="shared" si="104"/>
        <v xml:space="preserve">N35DC   </v>
      </c>
      <c r="N2089">
        <v>1</v>
      </c>
      <c r="O2089">
        <v>1700</v>
      </c>
    </row>
    <row r="2090" spans="1:15" x14ac:dyDescent="0.25">
      <c r="A2090" t="str">
        <f>"10/21/2020 18:29:29.952"</f>
        <v>10/21/2020 18:29:29.952</v>
      </c>
      <c r="B2090" t="str">
        <f>"18:29:37.898"</f>
        <v>18:29:37.898</v>
      </c>
      <c r="C2090" t="str">
        <f>"18:29:37.398"</f>
        <v>18:29:37.398</v>
      </c>
      <c r="D2090" t="s">
        <v>463</v>
      </c>
      <c r="E2090">
        <v>30.600314000000001</v>
      </c>
      <c r="F2090" t="s">
        <v>824</v>
      </c>
      <c r="G2090">
        <v>-89.87679</v>
      </c>
      <c r="H2090">
        <v>1600</v>
      </c>
      <c r="I2090">
        <v>9</v>
      </c>
      <c r="J2090">
        <v>138</v>
      </c>
      <c r="K2090">
        <v>64</v>
      </c>
      <c r="L2090">
        <v>1200</v>
      </c>
      <c r="M2090" t="str">
        <f t="shared" si="104"/>
        <v xml:space="preserve">N35DC   </v>
      </c>
      <c r="N2090">
        <v>1</v>
      </c>
      <c r="O2090">
        <v>1700</v>
      </c>
    </row>
    <row r="2091" spans="1:15" x14ac:dyDescent="0.25">
      <c r="A2091" t="str">
        <f>"10/21/2020 18:29:29.952"</f>
        <v>10/21/2020 18:29:29.952</v>
      </c>
      <c r="B2091" t="str">
        <f>"18:29:37.898"</f>
        <v>18:29:37.898</v>
      </c>
      <c r="C2091" t="str">
        <f>"18:29:37.398"</f>
        <v>18:29:37.398</v>
      </c>
      <c r="D2091" t="s">
        <v>463</v>
      </c>
      <c r="E2091">
        <v>30.600314000000001</v>
      </c>
      <c r="F2091" t="s">
        <v>824</v>
      </c>
      <c r="G2091">
        <v>-89.87679</v>
      </c>
      <c r="H2091">
        <v>1600</v>
      </c>
      <c r="I2091">
        <v>9</v>
      </c>
      <c r="J2091">
        <v>138</v>
      </c>
      <c r="K2091">
        <v>64</v>
      </c>
      <c r="L2091">
        <v>1200</v>
      </c>
      <c r="M2091" t="str">
        <f t="shared" si="104"/>
        <v xml:space="preserve">N35DC   </v>
      </c>
      <c r="N2091">
        <v>1</v>
      </c>
      <c r="O2091">
        <v>1700</v>
      </c>
    </row>
    <row r="2092" spans="1:15" x14ac:dyDescent="0.25">
      <c r="A2092" t="str">
        <f>"10/21/2020 18:29:30.951"</f>
        <v>10/21/2020 18:29:30.951</v>
      </c>
      <c r="B2092" t="str">
        <f>"18:29:38.898"</f>
        <v>18:29:38.898</v>
      </c>
      <c r="C2092" t="str">
        <f>"18:29:38.598"</f>
        <v>18:29:38.598</v>
      </c>
      <c r="D2092" t="s">
        <v>825</v>
      </c>
      <c r="E2092">
        <v>30.600957999999999</v>
      </c>
      <c r="F2092" t="s">
        <v>826</v>
      </c>
      <c r="G2092">
        <v>-89.876726000000005</v>
      </c>
      <c r="H2092">
        <v>1600</v>
      </c>
      <c r="I2092">
        <v>9</v>
      </c>
      <c r="J2092">
        <v>138</v>
      </c>
      <c r="K2092">
        <v>128</v>
      </c>
      <c r="L2092">
        <v>1200</v>
      </c>
      <c r="M2092" t="str">
        <f t="shared" si="104"/>
        <v xml:space="preserve">N35DC   </v>
      </c>
      <c r="N2092">
        <v>1</v>
      </c>
      <c r="O2092">
        <v>1700</v>
      </c>
    </row>
    <row r="2093" spans="1:15" x14ac:dyDescent="0.25">
      <c r="A2093" t="str">
        <f>"10/21/2020 18:29:30.951"</f>
        <v>10/21/2020 18:29:30.951</v>
      </c>
      <c r="B2093" t="str">
        <f>"18:29:38.898"</f>
        <v>18:29:38.898</v>
      </c>
      <c r="C2093" t="str">
        <f>"18:29:38.598"</f>
        <v>18:29:38.598</v>
      </c>
      <c r="D2093" t="s">
        <v>825</v>
      </c>
      <c r="E2093">
        <v>30.600957999999999</v>
      </c>
      <c r="F2093" t="s">
        <v>826</v>
      </c>
      <c r="G2093">
        <v>-89.876726000000005</v>
      </c>
      <c r="H2093">
        <v>1600</v>
      </c>
      <c r="I2093">
        <v>9</v>
      </c>
      <c r="J2093">
        <v>138</v>
      </c>
      <c r="K2093">
        <v>128</v>
      </c>
      <c r="L2093">
        <v>1200</v>
      </c>
      <c r="M2093" t="str">
        <f t="shared" si="104"/>
        <v xml:space="preserve">N35DC   </v>
      </c>
      <c r="N2093">
        <v>1</v>
      </c>
      <c r="O2093">
        <v>1700</v>
      </c>
    </row>
    <row r="2094" spans="1:15" x14ac:dyDescent="0.25">
      <c r="A2094" t="str">
        <f>"10/21/2020 18:29:30.951"</f>
        <v>10/21/2020 18:29:30.951</v>
      </c>
      <c r="B2094" t="str">
        <f>"18:29:38.898"</f>
        <v>18:29:38.898</v>
      </c>
      <c r="C2094" t="str">
        <f>"18:29:38.598"</f>
        <v>18:29:38.598</v>
      </c>
      <c r="D2094" t="s">
        <v>825</v>
      </c>
      <c r="E2094">
        <v>30.600957999999999</v>
      </c>
      <c r="F2094" t="s">
        <v>826</v>
      </c>
      <c r="G2094">
        <v>-89.876726000000005</v>
      </c>
      <c r="H2094">
        <v>1600</v>
      </c>
      <c r="I2094">
        <v>9</v>
      </c>
      <c r="J2094">
        <v>138</v>
      </c>
      <c r="K2094">
        <v>128</v>
      </c>
      <c r="L2094">
        <v>1200</v>
      </c>
      <c r="M2094" t="str">
        <f t="shared" si="104"/>
        <v xml:space="preserve">N35DC   </v>
      </c>
      <c r="N2094">
        <v>1</v>
      </c>
      <c r="O2094">
        <v>1700</v>
      </c>
    </row>
    <row r="2095" spans="1:15" x14ac:dyDescent="0.25">
      <c r="A2095" t="str">
        <f>"10/21/2020 18:29:30.951"</f>
        <v>10/21/2020 18:29:30.951</v>
      </c>
      <c r="B2095" t="str">
        <f>"18:29:38.898"</f>
        <v>18:29:38.898</v>
      </c>
      <c r="C2095" t="str">
        <f>"18:29:38.598"</f>
        <v>18:29:38.598</v>
      </c>
      <c r="D2095" t="s">
        <v>825</v>
      </c>
      <c r="E2095">
        <v>30.600957999999999</v>
      </c>
      <c r="F2095" t="s">
        <v>826</v>
      </c>
      <c r="G2095">
        <v>-89.876726000000005</v>
      </c>
      <c r="H2095">
        <v>1600</v>
      </c>
      <c r="I2095">
        <v>9</v>
      </c>
      <c r="J2095">
        <v>138</v>
      </c>
      <c r="K2095">
        <v>128</v>
      </c>
      <c r="L2095">
        <v>1200</v>
      </c>
      <c r="M2095" t="str">
        <f t="shared" si="104"/>
        <v xml:space="preserve">N35DC   </v>
      </c>
      <c r="N2095">
        <v>1</v>
      </c>
      <c r="O2095">
        <v>1700</v>
      </c>
    </row>
    <row r="2096" spans="1:15" x14ac:dyDescent="0.25">
      <c r="A2096" t="str">
        <f>"10/21/2020 18:29:30.951"</f>
        <v>10/21/2020 18:29:30.951</v>
      </c>
      <c r="B2096" t="str">
        <f>"18:29:38.898"</f>
        <v>18:29:38.898</v>
      </c>
      <c r="C2096" t="str">
        <f>"18:29:38.598"</f>
        <v>18:29:38.598</v>
      </c>
      <c r="D2096" t="s">
        <v>825</v>
      </c>
      <c r="E2096">
        <v>30.600957999999999</v>
      </c>
      <c r="F2096" t="s">
        <v>826</v>
      </c>
      <c r="G2096">
        <v>-89.876726000000005</v>
      </c>
      <c r="H2096">
        <v>1600</v>
      </c>
      <c r="I2096">
        <v>9</v>
      </c>
      <c r="J2096">
        <v>138</v>
      </c>
      <c r="K2096">
        <v>128</v>
      </c>
      <c r="L2096">
        <v>1200</v>
      </c>
      <c r="M2096" t="str">
        <f t="shared" si="104"/>
        <v xml:space="preserve">N35DC   </v>
      </c>
      <c r="N2096">
        <v>1</v>
      </c>
      <c r="O2096">
        <v>1700</v>
      </c>
    </row>
    <row r="2097" spans="1:15" x14ac:dyDescent="0.25">
      <c r="A2097" t="str">
        <f>"10/21/2020 18:29:34.158"</f>
        <v>10/21/2020 18:29:34.158</v>
      </c>
      <c r="B2097" t="str">
        <f>"18:29:42.109"</f>
        <v>18:29:42.109</v>
      </c>
      <c r="C2097" t="str">
        <f>"18:29:42.009"</f>
        <v>18:29:42.009</v>
      </c>
      <c r="D2097" t="s">
        <v>827</v>
      </c>
      <c r="E2097">
        <v>30.603061</v>
      </c>
      <c r="F2097" t="s">
        <v>828</v>
      </c>
      <c r="G2097">
        <v>-89.876575000000003</v>
      </c>
      <c r="H2097">
        <v>1600</v>
      </c>
      <c r="I2097">
        <v>6</v>
      </c>
      <c r="J2097">
        <v>138</v>
      </c>
      <c r="K2097">
        <v>128</v>
      </c>
      <c r="L2097">
        <v>1200</v>
      </c>
      <c r="M2097" t="str">
        <f t="shared" si="104"/>
        <v xml:space="preserve">N35DC   </v>
      </c>
      <c r="N2097">
        <v>1</v>
      </c>
      <c r="O2097">
        <v>1700</v>
      </c>
    </row>
    <row r="2098" spans="1:15" x14ac:dyDescent="0.25">
      <c r="A2098" t="str">
        <f>"10/21/2020 18:29:34.158"</f>
        <v>10/21/2020 18:29:34.158</v>
      </c>
      <c r="B2098" t="str">
        <f>"18:29:42.109"</f>
        <v>18:29:42.109</v>
      </c>
      <c r="C2098" t="str">
        <f>"18:29:42.009"</f>
        <v>18:29:42.009</v>
      </c>
      <c r="D2098" t="s">
        <v>827</v>
      </c>
      <c r="E2098">
        <v>30.603061</v>
      </c>
      <c r="F2098" t="s">
        <v>828</v>
      </c>
      <c r="G2098">
        <v>-89.876575000000003</v>
      </c>
      <c r="H2098">
        <v>1600</v>
      </c>
      <c r="I2098">
        <v>6</v>
      </c>
      <c r="J2098">
        <v>138</v>
      </c>
      <c r="K2098">
        <v>128</v>
      </c>
      <c r="L2098">
        <v>1200</v>
      </c>
      <c r="M2098" t="str">
        <f t="shared" si="104"/>
        <v xml:space="preserve">N35DC   </v>
      </c>
      <c r="N2098">
        <v>1</v>
      </c>
      <c r="O2098">
        <v>1700</v>
      </c>
    </row>
    <row r="2099" spans="1:15" x14ac:dyDescent="0.25">
      <c r="A2099" t="str">
        <f>"10/21/2020 18:29:34.158"</f>
        <v>10/21/2020 18:29:34.158</v>
      </c>
      <c r="B2099" t="str">
        <f>"18:29:42.109"</f>
        <v>18:29:42.109</v>
      </c>
      <c r="C2099" t="str">
        <f>"18:29:42.009"</f>
        <v>18:29:42.009</v>
      </c>
      <c r="D2099" t="s">
        <v>827</v>
      </c>
      <c r="E2099">
        <v>30.603061</v>
      </c>
      <c r="F2099" t="s">
        <v>828</v>
      </c>
      <c r="G2099">
        <v>-89.876575000000003</v>
      </c>
      <c r="H2099">
        <v>1600</v>
      </c>
      <c r="I2099">
        <v>6</v>
      </c>
      <c r="J2099">
        <v>138</v>
      </c>
      <c r="K2099">
        <v>128</v>
      </c>
      <c r="L2099">
        <v>1200</v>
      </c>
      <c r="M2099" t="str">
        <f t="shared" si="104"/>
        <v xml:space="preserve">N35DC   </v>
      </c>
      <c r="N2099">
        <v>1</v>
      </c>
      <c r="O2099">
        <v>1700</v>
      </c>
    </row>
    <row r="2100" spans="1:15" x14ac:dyDescent="0.25">
      <c r="A2100" t="str">
        <f>"10/21/2020 18:29:34.158"</f>
        <v>10/21/2020 18:29:34.158</v>
      </c>
      <c r="B2100" t="str">
        <f>"18:29:42.109"</f>
        <v>18:29:42.109</v>
      </c>
      <c r="C2100" t="str">
        <f>"18:29:42.009"</f>
        <v>18:29:42.009</v>
      </c>
      <c r="D2100" t="s">
        <v>827</v>
      </c>
      <c r="E2100">
        <v>30.603061</v>
      </c>
      <c r="F2100" t="s">
        <v>828</v>
      </c>
      <c r="G2100">
        <v>-89.876575000000003</v>
      </c>
      <c r="H2100">
        <v>1600</v>
      </c>
      <c r="I2100">
        <v>6</v>
      </c>
      <c r="J2100">
        <v>138</v>
      </c>
      <c r="K2100">
        <v>128</v>
      </c>
      <c r="L2100">
        <v>1200</v>
      </c>
      <c r="M2100" t="str">
        <f t="shared" si="104"/>
        <v xml:space="preserve">N35DC   </v>
      </c>
      <c r="N2100">
        <v>1</v>
      </c>
      <c r="O2100">
        <v>1700</v>
      </c>
    </row>
    <row r="2101" spans="1:15" x14ac:dyDescent="0.25">
      <c r="A2101" t="str">
        <f>"10/21/2020 18:29:34.158"</f>
        <v>10/21/2020 18:29:34.158</v>
      </c>
      <c r="B2101" t="str">
        <f>"18:29:42.109"</f>
        <v>18:29:42.109</v>
      </c>
      <c r="C2101" t="str">
        <f>"18:29:42.009"</f>
        <v>18:29:42.009</v>
      </c>
      <c r="D2101" t="s">
        <v>827</v>
      </c>
      <c r="E2101">
        <v>30.603061</v>
      </c>
      <c r="F2101" t="s">
        <v>828</v>
      </c>
      <c r="G2101">
        <v>-89.876575000000003</v>
      </c>
      <c r="H2101">
        <v>1600</v>
      </c>
      <c r="I2101">
        <v>6</v>
      </c>
      <c r="J2101">
        <v>138</v>
      </c>
      <c r="K2101">
        <v>128</v>
      </c>
      <c r="L2101">
        <v>1200</v>
      </c>
      <c r="M2101" t="str">
        <f t="shared" si="104"/>
        <v xml:space="preserve">N35DC   </v>
      </c>
      <c r="N2101">
        <v>1</v>
      </c>
      <c r="O2101">
        <v>1700</v>
      </c>
    </row>
    <row r="2102" spans="1:15" x14ac:dyDescent="0.25">
      <c r="A2102" t="str">
        <f>"10/21/2020 18:29:37.046"</f>
        <v>10/21/2020 18:29:37.046</v>
      </c>
      <c r="B2102" t="str">
        <f>"18:29:44.977"</f>
        <v>18:29:44.977</v>
      </c>
      <c r="C2102" t="str">
        <f>"18:29:44.577"</f>
        <v>18:29:44.577</v>
      </c>
      <c r="D2102" t="s">
        <v>829</v>
      </c>
      <c r="E2102">
        <v>30.604842000000001</v>
      </c>
      <c r="F2102" t="s">
        <v>486</v>
      </c>
      <c r="G2102">
        <v>-89.876510999999994</v>
      </c>
      <c r="H2102">
        <v>1600</v>
      </c>
      <c r="I2102">
        <v>3</v>
      </c>
      <c r="J2102">
        <v>138</v>
      </c>
      <c r="K2102">
        <v>0</v>
      </c>
      <c r="L2102">
        <v>1200</v>
      </c>
      <c r="M2102" t="str">
        <f t="shared" si="104"/>
        <v xml:space="preserve">N35DC   </v>
      </c>
      <c r="N2102">
        <v>1</v>
      </c>
      <c r="O2102">
        <v>1700</v>
      </c>
    </row>
    <row r="2103" spans="1:15" x14ac:dyDescent="0.25">
      <c r="A2103" t="str">
        <f>"10/21/2020 18:29:37.046"</f>
        <v>10/21/2020 18:29:37.046</v>
      </c>
      <c r="B2103" t="str">
        <f>"18:29:44.977"</f>
        <v>18:29:44.977</v>
      </c>
      <c r="C2103" t="str">
        <f>"18:29:44.577"</f>
        <v>18:29:44.577</v>
      </c>
      <c r="D2103" t="s">
        <v>829</v>
      </c>
      <c r="E2103">
        <v>30.604842000000001</v>
      </c>
      <c r="F2103" t="s">
        <v>486</v>
      </c>
      <c r="G2103">
        <v>-89.876510999999994</v>
      </c>
      <c r="H2103">
        <v>1600</v>
      </c>
      <c r="I2103">
        <v>3</v>
      </c>
      <c r="J2103">
        <v>138</v>
      </c>
      <c r="K2103">
        <v>0</v>
      </c>
      <c r="L2103">
        <v>1200</v>
      </c>
      <c r="M2103" t="str">
        <f t="shared" si="104"/>
        <v xml:space="preserve">N35DC   </v>
      </c>
      <c r="N2103">
        <v>1</v>
      </c>
      <c r="O2103">
        <v>1700</v>
      </c>
    </row>
    <row r="2104" spans="1:15" x14ac:dyDescent="0.25">
      <c r="A2104" t="str">
        <f>"10/21/2020 18:29:37.046"</f>
        <v>10/21/2020 18:29:37.046</v>
      </c>
      <c r="B2104" t="str">
        <f>"18:29:44.977"</f>
        <v>18:29:44.977</v>
      </c>
      <c r="C2104" t="str">
        <f>"18:29:44.577"</f>
        <v>18:29:44.577</v>
      </c>
      <c r="D2104" t="s">
        <v>829</v>
      </c>
      <c r="E2104">
        <v>30.604842000000001</v>
      </c>
      <c r="F2104" t="s">
        <v>486</v>
      </c>
      <c r="G2104">
        <v>-89.876510999999994</v>
      </c>
      <c r="H2104">
        <v>1600</v>
      </c>
      <c r="I2104">
        <v>3</v>
      </c>
      <c r="J2104">
        <v>138</v>
      </c>
      <c r="K2104">
        <v>0</v>
      </c>
      <c r="L2104">
        <v>1200</v>
      </c>
      <c r="M2104" t="str">
        <f t="shared" si="104"/>
        <v xml:space="preserve">N35DC   </v>
      </c>
      <c r="N2104">
        <v>1</v>
      </c>
      <c r="O2104">
        <v>1700</v>
      </c>
    </row>
    <row r="2105" spans="1:15" x14ac:dyDescent="0.25">
      <c r="A2105" t="str">
        <f>"10/21/2020 18:29:37.046"</f>
        <v>10/21/2020 18:29:37.046</v>
      </c>
      <c r="B2105" t="str">
        <f>"18:29:44.977"</f>
        <v>18:29:44.977</v>
      </c>
      <c r="C2105" t="str">
        <f>"18:29:44.577"</f>
        <v>18:29:44.577</v>
      </c>
      <c r="D2105" t="s">
        <v>829</v>
      </c>
      <c r="E2105">
        <v>30.604842000000001</v>
      </c>
      <c r="F2105" t="s">
        <v>486</v>
      </c>
      <c r="G2105">
        <v>-89.876510999999994</v>
      </c>
      <c r="H2105">
        <v>1600</v>
      </c>
      <c r="I2105">
        <v>3</v>
      </c>
      <c r="J2105">
        <v>138</v>
      </c>
      <c r="K2105">
        <v>0</v>
      </c>
      <c r="L2105">
        <v>1200</v>
      </c>
      <c r="M2105" t="str">
        <f t="shared" si="104"/>
        <v xml:space="preserve">N35DC   </v>
      </c>
      <c r="N2105">
        <v>1</v>
      </c>
      <c r="O2105">
        <v>1700</v>
      </c>
    </row>
    <row r="2106" spans="1:15" x14ac:dyDescent="0.25">
      <c r="A2106" t="str">
        <f>"10/21/2020 18:29:37.046"</f>
        <v>10/21/2020 18:29:37.046</v>
      </c>
      <c r="B2106" t="str">
        <f>"18:29:44.977"</f>
        <v>18:29:44.977</v>
      </c>
      <c r="C2106" t="str">
        <f>"18:29:44.577"</f>
        <v>18:29:44.577</v>
      </c>
      <c r="D2106" t="s">
        <v>829</v>
      </c>
      <c r="E2106">
        <v>30.604842000000001</v>
      </c>
      <c r="F2106" t="s">
        <v>486</v>
      </c>
      <c r="G2106">
        <v>-89.876510999999994</v>
      </c>
      <c r="H2106">
        <v>1600</v>
      </c>
      <c r="I2106">
        <v>3</v>
      </c>
      <c r="J2106">
        <v>138</v>
      </c>
      <c r="K2106">
        <v>0</v>
      </c>
      <c r="L2106">
        <v>1200</v>
      </c>
      <c r="M2106" t="str">
        <f t="shared" si="104"/>
        <v xml:space="preserve">N35DC   </v>
      </c>
      <c r="N2106">
        <v>1</v>
      </c>
      <c r="O2106">
        <v>1700</v>
      </c>
    </row>
    <row r="2107" spans="1:15" x14ac:dyDescent="0.25">
      <c r="A2107" t="str">
        <f>"10/21/2020 18:29:38.106"</f>
        <v>10/21/2020 18:29:38.106</v>
      </c>
      <c r="B2107" t="str">
        <f t="shared" ref="B2107:C2111" si="106">"18:29:46.023"</f>
        <v>18:29:46.023</v>
      </c>
      <c r="C2107" t="str">
        <f t="shared" si="106"/>
        <v>18:29:46.023</v>
      </c>
      <c r="D2107" t="s">
        <v>830</v>
      </c>
      <c r="E2107">
        <v>30.605528</v>
      </c>
      <c r="F2107" t="s">
        <v>486</v>
      </c>
      <c r="G2107">
        <v>-89.876510999999994</v>
      </c>
      <c r="H2107">
        <v>1600</v>
      </c>
      <c r="I2107">
        <v>2</v>
      </c>
      <c r="J2107">
        <v>139</v>
      </c>
      <c r="K2107">
        <v>0</v>
      </c>
      <c r="L2107">
        <v>1200</v>
      </c>
      <c r="M2107" t="str">
        <f t="shared" si="104"/>
        <v xml:space="preserve">N35DC   </v>
      </c>
      <c r="N2107">
        <v>1</v>
      </c>
      <c r="O2107">
        <v>1700</v>
      </c>
    </row>
    <row r="2108" spans="1:15" x14ac:dyDescent="0.25">
      <c r="A2108" t="str">
        <f>"10/21/2020 18:29:38.106"</f>
        <v>10/21/2020 18:29:38.106</v>
      </c>
      <c r="B2108" t="str">
        <f t="shared" si="106"/>
        <v>18:29:46.023</v>
      </c>
      <c r="C2108" t="str">
        <f t="shared" si="106"/>
        <v>18:29:46.023</v>
      </c>
      <c r="D2108" t="s">
        <v>830</v>
      </c>
      <c r="E2108">
        <v>30.605528</v>
      </c>
      <c r="F2108" t="s">
        <v>486</v>
      </c>
      <c r="G2108">
        <v>-89.876510999999994</v>
      </c>
      <c r="H2108">
        <v>1600</v>
      </c>
      <c r="I2108">
        <v>2</v>
      </c>
      <c r="J2108">
        <v>139</v>
      </c>
      <c r="K2108">
        <v>0</v>
      </c>
      <c r="L2108">
        <v>1200</v>
      </c>
      <c r="M2108" t="str">
        <f t="shared" si="104"/>
        <v xml:space="preserve">N35DC   </v>
      </c>
      <c r="N2108">
        <v>1</v>
      </c>
      <c r="O2108">
        <v>1700</v>
      </c>
    </row>
    <row r="2109" spans="1:15" x14ac:dyDescent="0.25">
      <c r="A2109" t="str">
        <f>"10/21/2020 18:29:38.106"</f>
        <v>10/21/2020 18:29:38.106</v>
      </c>
      <c r="B2109" t="str">
        <f t="shared" si="106"/>
        <v>18:29:46.023</v>
      </c>
      <c r="C2109" t="str">
        <f t="shared" si="106"/>
        <v>18:29:46.023</v>
      </c>
      <c r="D2109" t="s">
        <v>830</v>
      </c>
      <c r="E2109">
        <v>30.605528</v>
      </c>
      <c r="F2109" t="s">
        <v>486</v>
      </c>
      <c r="G2109">
        <v>-89.876510999999994</v>
      </c>
      <c r="H2109">
        <v>1600</v>
      </c>
      <c r="I2109">
        <v>2</v>
      </c>
      <c r="J2109">
        <v>139</v>
      </c>
      <c r="K2109">
        <v>0</v>
      </c>
      <c r="L2109">
        <v>1200</v>
      </c>
      <c r="M2109" t="str">
        <f t="shared" si="104"/>
        <v xml:space="preserve">N35DC   </v>
      </c>
      <c r="N2109">
        <v>1</v>
      </c>
      <c r="O2109">
        <v>1700</v>
      </c>
    </row>
    <row r="2110" spans="1:15" x14ac:dyDescent="0.25">
      <c r="A2110" t="str">
        <f>"10/21/2020 18:29:38.106"</f>
        <v>10/21/2020 18:29:38.106</v>
      </c>
      <c r="B2110" t="str">
        <f t="shared" si="106"/>
        <v>18:29:46.023</v>
      </c>
      <c r="C2110" t="str">
        <f t="shared" si="106"/>
        <v>18:29:46.023</v>
      </c>
      <c r="D2110" t="s">
        <v>830</v>
      </c>
      <c r="E2110">
        <v>30.605528</v>
      </c>
      <c r="F2110" t="s">
        <v>486</v>
      </c>
      <c r="G2110">
        <v>-89.876510999999994</v>
      </c>
      <c r="H2110">
        <v>1600</v>
      </c>
      <c r="I2110">
        <v>2</v>
      </c>
      <c r="J2110">
        <v>139</v>
      </c>
      <c r="K2110">
        <v>0</v>
      </c>
      <c r="L2110">
        <v>1200</v>
      </c>
      <c r="M2110" t="str">
        <f t="shared" si="104"/>
        <v xml:space="preserve">N35DC   </v>
      </c>
      <c r="N2110">
        <v>1</v>
      </c>
      <c r="O2110">
        <v>1700</v>
      </c>
    </row>
    <row r="2111" spans="1:15" x14ac:dyDescent="0.25">
      <c r="A2111" t="str">
        <f>"10/21/2020 18:29:38.106"</f>
        <v>10/21/2020 18:29:38.106</v>
      </c>
      <c r="B2111" t="str">
        <f t="shared" si="106"/>
        <v>18:29:46.023</v>
      </c>
      <c r="C2111" t="str">
        <f t="shared" si="106"/>
        <v>18:29:46.023</v>
      </c>
      <c r="D2111" t="s">
        <v>830</v>
      </c>
      <c r="E2111">
        <v>30.605528</v>
      </c>
      <c r="F2111" t="s">
        <v>486</v>
      </c>
      <c r="G2111">
        <v>-89.876510999999994</v>
      </c>
      <c r="H2111">
        <v>1600</v>
      </c>
      <c r="I2111">
        <v>2</v>
      </c>
      <c r="J2111">
        <v>139</v>
      </c>
      <c r="K2111">
        <v>0</v>
      </c>
      <c r="L2111">
        <v>1200</v>
      </c>
      <c r="M2111" t="str">
        <f t="shared" si="104"/>
        <v xml:space="preserve">N35DC   </v>
      </c>
      <c r="N2111">
        <v>1</v>
      </c>
      <c r="O2111">
        <v>1700</v>
      </c>
    </row>
    <row r="2112" spans="1:15" x14ac:dyDescent="0.25">
      <c r="A2112" t="str">
        <f>"10/21/2020 18:29:40.082"</f>
        <v>10/21/2020 18:29:40.082</v>
      </c>
      <c r="B2112" t="str">
        <f>"18:29:48.016"</f>
        <v>18:29:48.016</v>
      </c>
      <c r="C2112" t="str">
        <f>"18:29:47.616"</f>
        <v>18:29:47.616</v>
      </c>
      <c r="D2112" t="s">
        <v>831</v>
      </c>
      <c r="E2112">
        <v>30.606815999999998</v>
      </c>
      <c r="F2112" t="s">
        <v>486</v>
      </c>
      <c r="G2112">
        <v>-89.876510999999994</v>
      </c>
      <c r="H2112">
        <v>1600</v>
      </c>
      <c r="I2112">
        <v>1</v>
      </c>
      <c r="J2112">
        <v>139</v>
      </c>
      <c r="K2112">
        <v>-64</v>
      </c>
      <c r="L2112">
        <v>1200</v>
      </c>
      <c r="M2112" t="str">
        <f t="shared" si="104"/>
        <v xml:space="preserve">N35DC   </v>
      </c>
      <c r="N2112">
        <v>1</v>
      </c>
      <c r="O2112">
        <v>1700</v>
      </c>
    </row>
    <row r="2113" spans="1:15" x14ac:dyDescent="0.25">
      <c r="A2113" t="str">
        <f>"10/21/2020 18:29:40.082"</f>
        <v>10/21/2020 18:29:40.082</v>
      </c>
      <c r="B2113" t="str">
        <f>"18:29:48.016"</f>
        <v>18:29:48.016</v>
      </c>
      <c r="C2113" t="str">
        <f>"18:29:47.616"</f>
        <v>18:29:47.616</v>
      </c>
      <c r="D2113" t="s">
        <v>831</v>
      </c>
      <c r="E2113">
        <v>30.606815999999998</v>
      </c>
      <c r="F2113" t="s">
        <v>486</v>
      </c>
      <c r="G2113">
        <v>-89.876510999999994</v>
      </c>
      <c r="H2113">
        <v>1600</v>
      </c>
      <c r="I2113">
        <v>1</v>
      </c>
      <c r="J2113">
        <v>139</v>
      </c>
      <c r="K2113">
        <v>-64</v>
      </c>
      <c r="L2113">
        <v>1200</v>
      </c>
      <c r="M2113" t="str">
        <f t="shared" si="104"/>
        <v xml:space="preserve">N35DC   </v>
      </c>
      <c r="N2113">
        <v>1</v>
      </c>
      <c r="O2113">
        <v>1700</v>
      </c>
    </row>
    <row r="2114" spans="1:15" x14ac:dyDescent="0.25">
      <c r="A2114" t="str">
        <f>"10/21/2020 18:29:40.082"</f>
        <v>10/21/2020 18:29:40.082</v>
      </c>
      <c r="B2114" t="str">
        <f>"18:29:48.016"</f>
        <v>18:29:48.016</v>
      </c>
      <c r="C2114" t="str">
        <f>"18:29:47.616"</f>
        <v>18:29:47.616</v>
      </c>
      <c r="D2114" t="s">
        <v>831</v>
      </c>
      <c r="E2114">
        <v>30.606815999999998</v>
      </c>
      <c r="F2114" t="s">
        <v>486</v>
      </c>
      <c r="G2114">
        <v>-89.876510999999994</v>
      </c>
      <c r="H2114">
        <v>1600</v>
      </c>
      <c r="I2114">
        <v>1</v>
      </c>
      <c r="J2114">
        <v>139</v>
      </c>
      <c r="K2114">
        <v>-64</v>
      </c>
      <c r="L2114">
        <v>1200</v>
      </c>
      <c r="M2114" t="str">
        <f t="shared" si="104"/>
        <v xml:space="preserve">N35DC   </v>
      </c>
      <c r="N2114">
        <v>1</v>
      </c>
      <c r="O2114">
        <v>1700</v>
      </c>
    </row>
    <row r="2115" spans="1:15" x14ac:dyDescent="0.25">
      <c r="A2115" t="str">
        <f>"10/21/2020 18:29:40.082"</f>
        <v>10/21/2020 18:29:40.082</v>
      </c>
      <c r="B2115" t="str">
        <f>"18:29:48.016"</f>
        <v>18:29:48.016</v>
      </c>
      <c r="C2115" t="str">
        <f>"18:29:47.616"</f>
        <v>18:29:47.616</v>
      </c>
      <c r="D2115" t="s">
        <v>831</v>
      </c>
      <c r="E2115">
        <v>30.606815999999998</v>
      </c>
      <c r="F2115" t="s">
        <v>486</v>
      </c>
      <c r="G2115">
        <v>-89.876510999999994</v>
      </c>
      <c r="H2115">
        <v>1600</v>
      </c>
      <c r="I2115">
        <v>1</v>
      </c>
      <c r="J2115">
        <v>139</v>
      </c>
      <c r="K2115">
        <v>-64</v>
      </c>
      <c r="L2115">
        <v>1200</v>
      </c>
      <c r="M2115" t="str">
        <f t="shared" si="104"/>
        <v xml:space="preserve">N35DC   </v>
      </c>
      <c r="N2115">
        <v>1</v>
      </c>
      <c r="O2115">
        <v>1700</v>
      </c>
    </row>
    <row r="2116" spans="1:15" x14ac:dyDescent="0.25">
      <c r="A2116" t="str">
        <f>"10/21/2020 18:29:40.082"</f>
        <v>10/21/2020 18:29:40.082</v>
      </c>
      <c r="B2116" t="str">
        <f>"18:29:48.016"</f>
        <v>18:29:48.016</v>
      </c>
      <c r="C2116" t="str">
        <f>"18:29:47.616"</f>
        <v>18:29:47.616</v>
      </c>
      <c r="D2116" t="s">
        <v>831</v>
      </c>
      <c r="E2116">
        <v>30.606815999999998</v>
      </c>
      <c r="F2116" t="s">
        <v>486</v>
      </c>
      <c r="G2116">
        <v>-89.876510999999994</v>
      </c>
      <c r="H2116">
        <v>1600</v>
      </c>
      <c r="I2116">
        <v>1</v>
      </c>
      <c r="J2116">
        <v>139</v>
      </c>
      <c r="K2116">
        <v>-64</v>
      </c>
      <c r="L2116">
        <v>1200</v>
      </c>
      <c r="M2116" t="str">
        <f t="shared" si="104"/>
        <v xml:space="preserve">N35DC   </v>
      </c>
      <c r="N2116">
        <v>1</v>
      </c>
      <c r="O2116">
        <v>1700</v>
      </c>
    </row>
    <row r="2117" spans="1:15" x14ac:dyDescent="0.25">
      <c r="A2117" t="str">
        <f>"10/21/2020 18:29:41.087"</f>
        <v>10/21/2020 18:29:41.087</v>
      </c>
      <c r="B2117" t="str">
        <f>"18:29:49.008"</f>
        <v>18:29:49.008</v>
      </c>
      <c r="C2117" t="str">
        <f>"18:29:48.708"</f>
        <v>18:29:48.708</v>
      </c>
      <c r="D2117" t="s">
        <v>832</v>
      </c>
      <c r="E2117">
        <v>30.607437999999998</v>
      </c>
      <c r="F2117" t="s">
        <v>486</v>
      </c>
      <c r="G2117">
        <v>-89.876510999999994</v>
      </c>
      <c r="H2117">
        <v>1600</v>
      </c>
      <c r="I2117">
        <v>1</v>
      </c>
      <c r="J2117">
        <v>139</v>
      </c>
      <c r="K2117">
        <v>-64</v>
      </c>
      <c r="L2117">
        <v>1200</v>
      </c>
      <c r="M2117" t="str">
        <f t="shared" si="104"/>
        <v xml:space="preserve">N35DC   </v>
      </c>
      <c r="N2117">
        <v>1</v>
      </c>
      <c r="O2117">
        <v>1700</v>
      </c>
    </row>
    <row r="2118" spans="1:15" x14ac:dyDescent="0.25">
      <c r="A2118" t="str">
        <f>"10/21/2020 18:29:41.087"</f>
        <v>10/21/2020 18:29:41.087</v>
      </c>
      <c r="B2118" t="str">
        <f>"18:29:49.008"</f>
        <v>18:29:49.008</v>
      </c>
      <c r="C2118" t="str">
        <f>"18:29:48.708"</f>
        <v>18:29:48.708</v>
      </c>
      <c r="D2118" t="s">
        <v>832</v>
      </c>
      <c r="E2118">
        <v>30.607437999999998</v>
      </c>
      <c r="F2118" t="s">
        <v>486</v>
      </c>
      <c r="G2118">
        <v>-89.876510999999994</v>
      </c>
      <c r="H2118">
        <v>1600</v>
      </c>
      <c r="I2118">
        <v>1</v>
      </c>
      <c r="J2118">
        <v>139</v>
      </c>
      <c r="K2118">
        <v>-64</v>
      </c>
      <c r="L2118">
        <v>1200</v>
      </c>
      <c r="M2118" t="str">
        <f t="shared" si="104"/>
        <v xml:space="preserve">N35DC   </v>
      </c>
      <c r="N2118">
        <v>1</v>
      </c>
      <c r="O2118">
        <v>1700</v>
      </c>
    </row>
    <row r="2119" spans="1:15" x14ac:dyDescent="0.25">
      <c r="A2119" t="str">
        <f>"10/21/2020 18:29:41.087"</f>
        <v>10/21/2020 18:29:41.087</v>
      </c>
      <c r="B2119" t="str">
        <f>"18:29:49.008"</f>
        <v>18:29:49.008</v>
      </c>
      <c r="C2119" t="str">
        <f>"18:29:48.708"</f>
        <v>18:29:48.708</v>
      </c>
      <c r="D2119" t="s">
        <v>832</v>
      </c>
      <c r="E2119">
        <v>30.607437999999998</v>
      </c>
      <c r="F2119" t="s">
        <v>486</v>
      </c>
      <c r="G2119">
        <v>-89.876510999999994</v>
      </c>
      <c r="H2119">
        <v>1600</v>
      </c>
      <c r="I2119">
        <v>1</v>
      </c>
      <c r="J2119">
        <v>139</v>
      </c>
      <c r="K2119">
        <v>-64</v>
      </c>
      <c r="L2119">
        <v>1200</v>
      </c>
      <c r="M2119" t="str">
        <f t="shared" ref="M2119:M2182" si="107">"N35DC   "</f>
        <v xml:space="preserve">N35DC   </v>
      </c>
      <c r="N2119">
        <v>1</v>
      </c>
      <c r="O2119">
        <v>1700</v>
      </c>
    </row>
    <row r="2120" spans="1:15" x14ac:dyDescent="0.25">
      <c r="A2120" t="str">
        <f>"10/21/2020 18:29:41.087"</f>
        <v>10/21/2020 18:29:41.087</v>
      </c>
      <c r="B2120" t="str">
        <f>"18:29:49.008"</f>
        <v>18:29:49.008</v>
      </c>
      <c r="C2120" t="str">
        <f>"18:29:48.708"</f>
        <v>18:29:48.708</v>
      </c>
      <c r="D2120" t="s">
        <v>832</v>
      </c>
      <c r="E2120">
        <v>30.607437999999998</v>
      </c>
      <c r="F2120" t="s">
        <v>486</v>
      </c>
      <c r="G2120">
        <v>-89.876510999999994</v>
      </c>
      <c r="H2120">
        <v>1600</v>
      </c>
      <c r="I2120">
        <v>1</v>
      </c>
      <c r="J2120">
        <v>139</v>
      </c>
      <c r="K2120">
        <v>-64</v>
      </c>
      <c r="L2120">
        <v>1200</v>
      </c>
      <c r="M2120" t="str">
        <f t="shared" si="107"/>
        <v xml:space="preserve">N35DC   </v>
      </c>
      <c r="N2120">
        <v>1</v>
      </c>
      <c r="O2120">
        <v>1700</v>
      </c>
    </row>
    <row r="2121" spans="1:15" x14ac:dyDescent="0.25">
      <c r="A2121" t="str">
        <f>"10/21/2020 18:29:41.087"</f>
        <v>10/21/2020 18:29:41.087</v>
      </c>
      <c r="B2121" t="str">
        <f>"18:29:49.008"</f>
        <v>18:29:49.008</v>
      </c>
      <c r="C2121" t="str">
        <f>"18:29:48.708"</f>
        <v>18:29:48.708</v>
      </c>
      <c r="D2121" t="s">
        <v>832</v>
      </c>
      <c r="E2121">
        <v>30.607437999999998</v>
      </c>
      <c r="F2121" t="s">
        <v>486</v>
      </c>
      <c r="G2121">
        <v>-89.876510999999994</v>
      </c>
      <c r="H2121">
        <v>1600</v>
      </c>
      <c r="I2121">
        <v>1</v>
      </c>
      <c r="J2121">
        <v>139</v>
      </c>
      <c r="K2121">
        <v>-64</v>
      </c>
      <c r="L2121">
        <v>1200</v>
      </c>
      <c r="M2121" t="str">
        <f t="shared" si="107"/>
        <v xml:space="preserve">N35DC   </v>
      </c>
      <c r="N2121">
        <v>1</v>
      </c>
      <c r="O2121">
        <v>1700</v>
      </c>
    </row>
    <row r="2122" spans="1:15" x14ac:dyDescent="0.25">
      <c r="A2122" t="str">
        <f>"10/21/2020 18:29:44.112"</f>
        <v>10/21/2020 18:29:44.112</v>
      </c>
      <c r="B2122" t="str">
        <f>"18:29:52.039"</f>
        <v>18:29:52.039</v>
      </c>
      <c r="C2122" t="str">
        <f>"18:29:51.639"</f>
        <v>18:29:51.639</v>
      </c>
      <c r="D2122" t="s">
        <v>833</v>
      </c>
      <c r="E2122">
        <v>30.609411999999999</v>
      </c>
      <c r="F2122" t="s">
        <v>486</v>
      </c>
      <c r="G2122">
        <v>-89.876510999999994</v>
      </c>
      <c r="H2122">
        <v>1600</v>
      </c>
      <c r="I2122">
        <v>1</v>
      </c>
      <c r="J2122">
        <v>139</v>
      </c>
      <c r="K2122">
        <v>0</v>
      </c>
      <c r="L2122">
        <v>1200</v>
      </c>
      <c r="M2122" t="str">
        <f t="shared" si="107"/>
        <v xml:space="preserve">N35DC   </v>
      </c>
      <c r="N2122">
        <v>1</v>
      </c>
      <c r="O2122">
        <v>1700</v>
      </c>
    </row>
    <row r="2123" spans="1:15" x14ac:dyDescent="0.25">
      <c r="A2123" t="str">
        <f>"10/21/2020 18:29:44.112"</f>
        <v>10/21/2020 18:29:44.112</v>
      </c>
      <c r="B2123" t="str">
        <f>"18:29:52.039"</f>
        <v>18:29:52.039</v>
      </c>
      <c r="C2123" t="str">
        <f>"18:29:51.639"</f>
        <v>18:29:51.639</v>
      </c>
      <c r="D2123" t="s">
        <v>833</v>
      </c>
      <c r="E2123">
        <v>30.609411999999999</v>
      </c>
      <c r="F2123" t="s">
        <v>486</v>
      </c>
      <c r="G2123">
        <v>-89.876510999999994</v>
      </c>
      <c r="H2123">
        <v>1600</v>
      </c>
      <c r="I2123">
        <v>1</v>
      </c>
      <c r="J2123">
        <v>139</v>
      </c>
      <c r="K2123">
        <v>0</v>
      </c>
      <c r="L2123">
        <v>1200</v>
      </c>
      <c r="M2123" t="str">
        <f t="shared" si="107"/>
        <v xml:space="preserve">N35DC   </v>
      </c>
      <c r="N2123">
        <v>1</v>
      </c>
      <c r="O2123">
        <v>1700</v>
      </c>
    </row>
    <row r="2124" spans="1:15" x14ac:dyDescent="0.25">
      <c r="A2124" t="str">
        <f>"10/21/2020 18:29:44.112"</f>
        <v>10/21/2020 18:29:44.112</v>
      </c>
      <c r="B2124" t="str">
        <f>"18:29:52.039"</f>
        <v>18:29:52.039</v>
      </c>
      <c r="C2124" t="str">
        <f>"18:29:51.639"</f>
        <v>18:29:51.639</v>
      </c>
      <c r="D2124" t="s">
        <v>833</v>
      </c>
      <c r="E2124">
        <v>30.609411999999999</v>
      </c>
      <c r="F2124" t="s">
        <v>486</v>
      </c>
      <c r="G2124">
        <v>-89.876510999999994</v>
      </c>
      <c r="H2124">
        <v>1600</v>
      </c>
      <c r="I2124">
        <v>1</v>
      </c>
      <c r="J2124">
        <v>139</v>
      </c>
      <c r="K2124">
        <v>0</v>
      </c>
      <c r="L2124">
        <v>1200</v>
      </c>
      <c r="M2124" t="str">
        <f t="shared" si="107"/>
        <v xml:space="preserve">N35DC   </v>
      </c>
      <c r="N2124">
        <v>1</v>
      </c>
      <c r="O2124">
        <v>1700</v>
      </c>
    </row>
    <row r="2125" spans="1:15" x14ac:dyDescent="0.25">
      <c r="A2125" t="str">
        <f>"10/21/2020 18:29:44.112"</f>
        <v>10/21/2020 18:29:44.112</v>
      </c>
      <c r="B2125" t="str">
        <f>"18:29:52.039"</f>
        <v>18:29:52.039</v>
      </c>
      <c r="C2125" t="str">
        <f>"18:29:51.639"</f>
        <v>18:29:51.639</v>
      </c>
      <c r="D2125" t="s">
        <v>833</v>
      </c>
      <c r="E2125">
        <v>30.609411999999999</v>
      </c>
      <c r="F2125" t="s">
        <v>486</v>
      </c>
      <c r="G2125">
        <v>-89.876510999999994</v>
      </c>
      <c r="H2125">
        <v>1600</v>
      </c>
      <c r="I2125">
        <v>1</v>
      </c>
      <c r="J2125">
        <v>139</v>
      </c>
      <c r="K2125">
        <v>0</v>
      </c>
      <c r="L2125">
        <v>1200</v>
      </c>
      <c r="M2125" t="str">
        <f t="shared" si="107"/>
        <v xml:space="preserve">N35DC   </v>
      </c>
      <c r="N2125">
        <v>1</v>
      </c>
      <c r="O2125">
        <v>1700</v>
      </c>
    </row>
    <row r="2126" spans="1:15" x14ac:dyDescent="0.25">
      <c r="A2126" t="str">
        <f>"10/21/2020 18:29:44.112"</f>
        <v>10/21/2020 18:29:44.112</v>
      </c>
      <c r="B2126" t="str">
        <f>"18:29:52.039"</f>
        <v>18:29:52.039</v>
      </c>
      <c r="C2126" t="str">
        <f>"18:29:51.639"</f>
        <v>18:29:51.639</v>
      </c>
      <c r="D2126" t="s">
        <v>833</v>
      </c>
      <c r="E2126">
        <v>30.609411999999999</v>
      </c>
      <c r="F2126" t="s">
        <v>486</v>
      </c>
      <c r="G2126">
        <v>-89.876510999999994</v>
      </c>
      <c r="H2126">
        <v>1600</v>
      </c>
      <c r="I2126">
        <v>1</v>
      </c>
      <c r="J2126">
        <v>139</v>
      </c>
      <c r="K2126">
        <v>0</v>
      </c>
      <c r="L2126">
        <v>1200</v>
      </c>
      <c r="M2126" t="str">
        <f t="shared" si="107"/>
        <v xml:space="preserve">N35DC   </v>
      </c>
      <c r="N2126">
        <v>1</v>
      </c>
      <c r="O2126">
        <v>1700</v>
      </c>
    </row>
    <row r="2127" spans="1:15" x14ac:dyDescent="0.25">
      <c r="A2127" t="str">
        <f>"10/21/2020 18:29:45.086"</f>
        <v>10/21/2020 18:29:45.086</v>
      </c>
      <c r="B2127" t="str">
        <f>"18:29:53.047"</f>
        <v>18:29:53.047</v>
      </c>
      <c r="C2127" t="str">
        <f>"18:29:52.647"</f>
        <v>18:29:52.647</v>
      </c>
      <c r="D2127" t="s">
        <v>834</v>
      </c>
      <c r="E2127">
        <v>30.610099000000002</v>
      </c>
      <c r="F2127" t="s">
        <v>486</v>
      </c>
      <c r="G2127">
        <v>-89.876510999999994</v>
      </c>
      <c r="H2127">
        <v>1600</v>
      </c>
      <c r="I2127">
        <v>1</v>
      </c>
      <c r="J2127">
        <v>139</v>
      </c>
      <c r="K2127">
        <v>0</v>
      </c>
      <c r="L2127">
        <v>1200</v>
      </c>
      <c r="M2127" t="str">
        <f t="shared" si="107"/>
        <v xml:space="preserve">N35DC   </v>
      </c>
      <c r="N2127">
        <v>1</v>
      </c>
      <c r="O2127">
        <v>1700</v>
      </c>
    </row>
    <row r="2128" spans="1:15" x14ac:dyDescent="0.25">
      <c r="A2128" t="str">
        <f>"10/21/2020 18:29:45.086"</f>
        <v>10/21/2020 18:29:45.086</v>
      </c>
      <c r="B2128" t="str">
        <f>"18:29:53.047"</f>
        <v>18:29:53.047</v>
      </c>
      <c r="C2128" t="str">
        <f>"18:29:52.647"</f>
        <v>18:29:52.647</v>
      </c>
      <c r="D2128" t="s">
        <v>834</v>
      </c>
      <c r="E2128">
        <v>30.610099000000002</v>
      </c>
      <c r="F2128" t="s">
        <v>486</v>
      </c>
      <c r="G2128">
        <v>-89.876510999999994</v>
      </c>
      <c r="H2128">
        <v>1600</v>
      </c>
      <c r="I2128">
        <v>1</v>
      </c>
      <c r="J2128">
        <v>139</v>
      </c>
      <c r="K2128">
        <v>0</v>
      </c>
      <c r="L2128">
        <v>1200</v>
      </c>
      <c r="M2128" t="str">
        <f t="shared" si="107"/>
        <v xml:space="preserve">N35DC   </v>
      </c>
      <c r="N2128">
        <v>1</v>
      </c>
      <c r="O2128">
        <v>1700</v>
      </c>
    </row>
    <row r="2129" spans="1:15" x14ac:dyDescent="0.25">
      <c r="A2129" t="str">
        <f>"10/21/2020 18:29:45.086"</f>
        <v>10/21/2020 18:29:45.086</v>
      </c>
      <c r="B2129" t="str">
        <f>"18:29:53.047"</f>
        <v>18:29:53.047</v>
      </c>
      <c r="C2129" t="str">
        <f>"18:29:52.647"</f>
        <v>18:29:52.647</v>
      </c>
      <c r="D2129" t="s">
        <v>834</v>
      </c>
      <c r="E2129">
        <v>30.610099000000002</v>
      </c>
      <c r="F2129" t="s">
        <v>486</v>
      </c>
      <c r="G2129">
        <v>-89.876510999999994</v>
      </c>
      <c r="H2129">
        <v>1600</v>
      </c>
      <c r="I2129">
        <v>1</v>
      </c>
      <c r="J2129">
        <v>139</v>
      </c>
      <c r="K2129">
        <v>0</v>
      </c>
      <c r="L2129">
        <v>1200</v>
      </c>
      <c r="M2129" t="str">
        <f t="shared" si="107"/>
        <v xml:space="preserve">N35DC   </v>
      </c>
      <c r="N2129">
        <v>1</v>
      </c>
      <c r="O2129">
        <v>1700</v>
      </c>
    </row>
    <row r="2130" spans="1:15" x14ac:dyDescent="0.25">
      <c r="A2130" t="str">
        <f>"10/21/2020 18:29:45.086"</f>
        <v>10/21/2020 18:29:45.086</v>
      </c>
      <c r="B2130" t="str">
        <f>"18:29:53.047"</f>
        <v>18:29:53.047</v>
      </c>
      <c r="C2130" t="str">
        <f>"18:29:52.647"</f>
        <v>18:29:52.647</v>
      </c>
      <c r="D2130" t="s">
        <v>834</v>
      </c>
      <c r="E2130">
        <v>30.610099000000002</v>
      </c>
      <c r="F2130" t="s">
        <v>486</v>
      </c>
      <c r="G2130">
        <v>-89.876510999999994</v>
      </c>
      <c r="H2130">
        <v>1600</v>
      </c>
      <c r="I2130">
        <v>1</v>
      </c>
      <c r="J2130">
        <v>139</v>
      </c>
      <c r="K2130">
        <v>0</v>
      </c>
      <c r="L2130">
        <v>1200</v>
      </c>
      <c r="M2130" t="str">
        <f t="shared" si="107"/>
        <v xml:space="preserve">N35DC   </v>
      </c>
      <c r="N2130">
        <v>1</v>
      </c>
      <c r="O2130">
        <v>1700</v>
      </c>
    </row>
    <row r="2131" spans="1:15" x14ac:dyDescent="0.25">
      <c r="A2131" t="str">
        <f>"10/21/2020 18:29:45.086"</f>
        <v>10/21/2020 18:29:45.086</v>
      </c>
      <c r="B2131" t="str">
        <f>"18:29:53.047"</f>
        <v>18:29:53.047</v>
      </c>
      <c r="C2131" t="str">
        <f>"18:29:52.647"</f>
        <v>18:29:52.647</v>
      </c>
      <c r="D2131" t="s">
        <v>834</v>
      </c>
      <c r="E2131">
        <v>30.610099000000002</v>
      </c>
      <c r="F2131" t="s">
        <v>486</v>
      </c>
      <c r="G2131">
        <v>-89.876510999999994</v>
      </c>
      <c r="H2131">
        <v>1600</v>
      </c>
      <c r="I2131">
        <v>1</v>
      </c>
      <c r="J2131">
        <v>139</v>
      </c>
      <c r="K2131">
        <v>0</v>
      </c>
      <c r="L2131">
        <v>1200</v>
      </c>
      <c r="M2131" t="str">
        <f t="shared" si="107"/>
        <v xml:space="preserve">N35DC   </v>
      </c>
      <c r="N2131">
        <v>1</v>
      </c>
      <c r="O2131">
        <v>1700</v>
      </c>
    </row>
    <row r="2132" spans="1:15" x14ac:dyDescent="0.25">
      <c r="A2132" t="str">
        <f>"10/21/2020 18:29:48.107"</f>
        <v>10/21/2020 18:29:48.107</v>
      </c>
      <c r="B2132" t="str">
        <f t="shared" ref="B2132:C2136" si="108">"18:29:56.070"</f>
        <v>18:29:56.070</v>
      </c>
      <c r="C2132" t="str">
        <f t="shared" si="108"/>
        <v>18:29:56.070</v>
      </c>
      <c r="D2132" t="s">
        <v>835</v>
      </c>
      <c r="E2132">
        <v>30.612030000000001</v>
      </c>
      <c r="F2132" t="s">
        <v>836</v>
      </c>
      <c r="G2132">
        <v>-89.876468000000003</v>
      </c>
      <c r="H2132">
        <v>1600</v>
      </c>
      <c r="I2132">
        <v>3</v>
      </c>
      <c r="J2132">
        <v>139</v>
      </c>
      <c r="K2132">
        <v>64</v>
      </c>
      <c r="L2132">
        <v>1200</v>
      </c>
      <c r="M2132" t="str">
        <f t="shared" si="107"/>
        <v xml:space="preserve">N35DC   </v>
      </c>
      <c r="N2132">
        <v>1</v>
      </c>
      <c r="O2132">
        <v>1700</v>
      </c>
    </row>
    <row r="2133" spans="1:15" x14ac:dyDescent="0.25">
      <c r="A2133" t="str">
        <f>"10/21/2020 18:29:48.107"</f>
        <v>10/21/2020 18:29:48.107</v>
      </c>
      <c r="B2133" t="str">
        <f t="shared" si="108"/>
        <v>18:29:56.070</v>
      </c>
      <c r="C2133" t="str">
        <f t="shared" si="108"/>
        <v>18:29:56.070</v>
      </c>
      <c r="D2133" t="s">
        <v>835</v>
      </c>
      <c r="E2133">
        <v>30.612030000000001</v>
      </c>
      <c r="F2133" t="s">
        <v>836</v>
      </c>
      <c r="G2133">
        <v>-89.876468000000003</v>
      </c>
      <c r="H2133">
        <v>1600</v>
      </c>
      <c r="I2133">
        <v>3</v>
      </c>
      <c r="J2133">
        <v>139</v>
      </c>
      <c r="K2133">
        <v>64</v>
      </c>
      <c r="L2133">
        <v>1200</v>
      </c>
      <c r="M2133" t="str">
        <f t="shared" si="107"/>
        <v xml:space="preserve">N35DC   </v>
      </c>
      <c r="N2133">
        <v>1</v>
      </c>
      <c r="O2133">
        <v>1700</v>
      </c>
    </row>
    <row r="2134" spans="1:15" x14ac:dyDescent="0.25">
      <c r="A2134" t="str">
        <f>"10/21/2020 18:29:48.107"</f>
        <v>10/21/2020 18:29:48.107</v>
      </c>
      <c r="B2134" t="str">
        <f t="shared" si="108"/>
        <v>18:29:56.070</v>
      </c>
      <c r="C2134" t="str">
        <f t="shared" si="108"/>
        <v>18:29:56.070</v>
      </c>
      <c r="D2134" t="s">
        <v>835</v>
      </c>
      <c r="E2134">
        <v>30.612030000000001</v>
      </c>
      <c r="F2134" t="s">
        <v>836</v>
      </c>
      <c r="G2134">
        <v>-89.876468000000003</v>
      </c>
      <c r="H2134">
        <v>1600</v>
      </c>
      <c r="I2134">
        <v>3</v>
      </c>
      <c r="J2134">
        <v>139</v>
      </c>
      <c r="K2134">
        <v>64</v>
      </c>
      <c r="L2134">
        <v>1200</v>
      </c>
      <c r="M2134" t="str">
        <f t="shared" si="107"/>
        <v xml:space="preserve">N35DC   </v>
      </c>
      <c r="N2134">
        <v>1</v>
      </c>
      <c r="O2134">
        <v>1700</v>
      </c>
    </row>
    <row r="2135" spans="1:15" x14ac:dyDescent="0.25">
      <c r="A2135" t="str">
        <f>"10/21/2020 18:29:48.107"</f>
        <v>10/21/2020 18:29:48.107</v>
      </c>
      <c r="B2135" t="str">
        <f t="shared" si="108"/>
        <v>18:29:56.070</v>
      </c>
      <c r="C2135" t="str">
        <f t="shared" si="108"/>
        <v>18:29:56.070</v>
      </c>
      <c r="D2135" t="s">
        <v>835</v>
      </c>
      <c r="E2135">
        <v>30.612030000000001</v>
      </c>
      <c r="F2135" t="s">
        <v>836</v>
      </c>
      <c r="G2135">
        <v>-89.876468000000003</v>
      </c>
      <c r="H2135">
        <v>1600</v>
      </c>
      <c r="I2135">
        <v>3</v>
      </c>
      <c r="J2135">
        <v>139</v>
      </c>
      <c r="K2135">
        <v>64</v>
      </c>
      <c r="L2135">
        <v>1200</v>
      </c>
      <c r="M2135" t="str">
        <f t="shared" si="107"/>
        <v xml:space="preserve">N35DC   </v>
      </c>
      <c r="N2135">
        <v>1</v>
      </c>
      <c r="O2135">
        <v>1700</v>
      </c>
    </row>
    <row r="2136" spans="1:15" x14ac:dyDescent="0.25">
      <c r="A2136" t="str">
        <f>"10/21/2020 18:29:48.107"</f>
        <v>10/21/2020 18:29:48.107</v>
      </c>
      <c r="B2136" t="str">
        <f t="shared" si="108"/>
        <v>18:29:56.070</v>
      </c>
      <c r="C2136" t="str">
        <f t="shared" si="108"/>
        <v>18:29:56.070</v>
      </c>
      <c r="D2136" t="s">
        <v>835</v>
      </c>
      <c r="E2136">
        <v>30.612030000000001</v>
      </c>
      <c r="F2136" t="s">
        <v>836</v>
      </c>
      <c r="G2136">
        <v>-89.876468000000003</v>
      </c>
      <c r="H2136">
        <v>1600</v>
      </c>
      <c r="I2136">
        <v>3</v>
      </c>
      <c r="J2136">
        <v>139</v>
      </c>
      <c r="K2136">
        <v>64</v>
      </c>
      <c r="L2136">
        <v>1200</v>
      </c>
      <c r="M2136" t="str">
        <f t="shared" si="107"/>
        <v xml:space="preserve">N35DC   </v>
      </c>
      <c r="N2136">
        <v>1</v>
      </c>
      <c r="O2136">
        <v>1700</v>
      </c>
    </row>
    <row r="2137" spans="1:15" x14ac:dyDescent="0.25">
      <c r="A2137" t="str">
        <f>"10/21/2020 18:29:49.171"</f>
        <v>10/21/2020 18:29:49.171</v>
      </c>
      <c r="B2137" t="str">
        <f t="shared" ref="B2137:C2141" si="109">"18:29:57.094"</f>
        <v>18:29:57.094</v>
      </c>
      <c r="C2137" t="str">
        <f t="shared" si="109"/>
        <v>18:29:57.094</v>
      </c>
      <c r="D2137" t="s">
        <v>837</v>
      </c>
      <c r="E2137">
        <v>30.612694999999999</v>
      </c>
      <c r="F2137" t="s">
        <v>492</v>
      </c>
      <c r="G2137">
        <v>-89.876403999999994</v>
      </c>
      <c r="H2137">
        <v>1600</v>
      </c>
      <c r="I2137">
        <v>5</v>
      </c>
      <c r="J2137">
        <v>139</v>
      </c>
      <c r="K2137">
        <v>0</v>
      </c>
      <c r="L2137">
        <v>1200</v>
      </c>
      <c r="M2137" t="str">
        <f t="shared" si="107"/>
        <v xml:space="preserve">N35DC   </v>
      </c>
      <c r="N2137">
        <v>1</v>
      </c>
      <c r="O2137">
        <v>1700</v>
      </c>
    </row>
    <row r="2138" spans="1:15" x14ac:dyDescent="0.25">
      <c r="A2138" t="str">
        <f>"10/21/2020 18:29:49.171"</f>
        <v>10/21/2020 18:29:49.171</v>
      </c>
      <c r="B2138" t="str">
        <f t="shared" si="109"/>
        <v>18:29:57.094</v>
      </c>
      <c r="C2138" t="str">
        <f t="shared" si="109"/>
        <v>18:29:57.094</v>
      </c>
      <c r="D2138" t="s">
        <v>837</v>
      </c>
      <c r="E2138">
        <v>30.612694999999999</v>
      </c>
      <c r="F2138" t="s">
        <v>492</v>
      </c>
      <c r="G2138">
        <v>-89.876403999999994</v>
      </c>
      <c r="H2138">
        <v>1600</v>
      </c>
      <c r="I2138">
        <v>5</v>
      </c>
      <c r="J2138">
        <v>139</v>
      </c>
      <c r="K2138">
        <v>0</v>
      </c>
      <c r="L2138">
        <v>1200</v>
      </c>
      <c r="M2138" t="str">
        <f t="shared" si="107"/>
        <v xml:space="preserve">N35DC   </v>
      </c>
      <c r="N2138">
        <v>1</v>
      </c>
      <c r="O2138">
        <v>1700</v>
      </c>
    </row>
    <row r="2139" spans="1:15" x14ac:dyDescent="0.25">
      <c r="A2139" t="str">
        <f>"10/21/2020 18:29:49.171"</f>
        <v>10/21/2020 18:29:49.171</v>
      </c>
      <c r="B2139" t="str">
        <f t="shared" si="109"/>
        <v>18:29:57.094</v>
      </c>
      <c r="C2139" t="str">
        <f t="shared" si="109"/>
        <v>18:29:57.094</v>
      </c>
      <c r="D2139" t="s">
        <v>837</v>
      </c>
      <c r="E2139">
        <v>30.612694999999999</v>
      </c>
      <c r="F2139" t="s">
        <v>492</v>
      </c>
      <c r="G2139">
        <v>-89.876403999999994</v>
      </c>
      <c r="H2139">
        <v>1600</v>
      </c>
      <c r="I2139">
        <v>5</v>
      </c>
      <c r="J2139">
        <v>139</v>
      </c>
      <c r="K2139">
        <v>0</v>
      </c>
      <c r="L2139">
        <v>1200</v>
      </c>
      <c r="M2139" t="str">
        <f t="shared" si="107"/>
        <v xml:space="preserve">N35DC   </v>
      </c>
      <c r="N2139">
        <v>1</v>
      </c>
      <c r="O2139">
        <v>1700</v>
      </c>
    </row>
    <row r="2140" spans="1:15" x14ac:dyDescent="0.25">
      <c r="A2140" t="str">
        <f>"10/21/2020 18:29:49.171"</f>
        <v>10/21/2020 18:29:49.171</v>
      </c>
      <c r="B2140" t="str">
        <f t="shared" si="109"/>
        <v>18:29:57.094</v>
      </c>
      <c r="C2140" t="str">
        <f t="shared" si="109"/>
        <v>18:29:57.094</v>
      </c>
      <c r="D2140" t="s">
        <v>837</v>
      </c>
      <c r="E2140">
        <v>30.612694999999999</v>
      </c>
      <c r="F2140" t="s">
        <v>492</v>
      </c>
      <c r="G2140">
        <v>-89.876403999999994</v>
      </c>
      <c r="H2140">
        <v>1600</v>
      </c>
      <c r="I2140">
        <v>5</v>
      </c>
      <c r="J2140">
        <v>139</v>
      </c>
      <c r="K2140">
        <v>0</v>
      </c>
      <c r="L2140">
        <v>1200</v>
      </c>
      <c r="M2140" t="str">
        <f t="shared" si="107"/>
        <v xml:space="preserve">N35DC   </v>
      </c>
      <c r="N2140">
        <v>1</v>
      </c>
      <c r="O2140">
        <v>1700</v>
      </c>
    </row>
    <row r="2141" spans="1:15" x14ac:dyDescent="0.25">
      <c r="A2141" t="str">
        <f>"10/21/2020 18:29:49.171"</f>
        <v>10/21/2020 18:29:49.171</v>
      </c>
      <c r="B2141" t="str">
        <f t="shared" si="109"/>
        <v>18:29:57.094</v>
      </c>
      <c r="C2141" t="str">
        <f t="shared" si="109"/>
        <v>18:29:57.094</v>
      </c>
      <c r="D2141" t="s">
        <v>837</v>
      </c>
      <c r="E2141">
        <v>30.612694999999999</v>
      </c>
      <c r="F2141" t="s">
        <v>492</v>
      </c>
      <c r="G2141">
        <v>-89.876403999999994</v>
      </c>
      <c r="H2141">
        <v>1600</v>
      </c>
      <c r="I2141">
        <v>5</v>
      </c>
      <c r="J2141">
        <v>139</v>
      </c>
      <c r="K2141">
        <v>0</v>
      </c>
      <c r="L2141">
        <v>1200</v>
      </c>
      <c r="M2141" t="str">
        <f t="shared" si="107"/>
        <v xml:space="preserve">N35DC   </v>
      </c>
      <c r="N2141">
        <v>1</v>
      </c>
      <c r="O2141">
        <v>1700</v>
      </c>
    </row>
    <row r="2142" spans="1:15" x14ac:dyDescent="0.25">
      <c r="A2142" t="str">
        <f>"10/21/2020 18:29:51.263"</f>
        <v>10/21/2020 18:29:51.263</v>
      </c>
      <c r="B2142" t="str">
        <f>"18:29:59.211"</f>
        <v>18:29:59.211</v>
      </c>
      <c r="C2142" t="str">
        <f>"18:29:59.111"</f>
        <v>18:29:59.111</v>
      </c>
      <c r="D2142" t="s">
        <v>838</v>
      </c>
      <c r="E2142">
        <v>30.614046999999999</v>
      </c>
      <c r="F2142" t="s">
        <v>839</v>
      </c>
      <c r="G2142">
        <v>-89.876339000000002</v>
      </c>
      <c r="H2142">
        <v>1600</v>
      </c>
      <c r="I2142">
        <v>7</v>
      </c>
      <c r="J2142">
        <v>139</v>
      </c>
      <c r="K2142">
        <v>-64</v>
      </c>
      <c r="L2142">
        <v>1200</v>
      </c>
      <c r="M2142" t="str">
        <f t="shared" si="107"/>
        <v xml:space="preserve">N35DC   </v>
      </c>
      <c r="N2142">
        <v>1</v>
      </c>
      <c r="O2142">
        <v>1700</v>
      </c>
    </row>
    <row r="2143" spans="1:15" x14ac:dyDescent="0.25">
      <c r="A2143" t="str">
        <f>"10/21/2020 18:29:51.263"</f>
        <v>10/21/2020 18:29:51.263</v>
      </c>
      <c r="B2143" t="str">
        <f>"18:29:59.211"</f>
        <v>18:29:59.211</v>
      </c>
      <c r="C2143" t="str">
        <f>"18:29:59.111"</f>
        <v>18:29:59.111</v>
      </c>
      <c r="D2143" t="s">
        <v>838</v>
      </c>
      <c r="E2143">
        <v>30.614046999999999</v>
      </c>
      <c r="F2143" t="s">
        <v>839</v>
      </c>
      <c r="G2143">
        <v>-89.876339000000002</v>
      </c>
      <c r="H2143">
        <v>1600</v>
      </c>
      <c r="I2143">
        <v>7</v>
      </c>
      <c r="J2143">
        <v>139</v>
      </c>
      <c r="K2143">
        <v>-64</v>
      </c>
      <c r="L2143">
        <v>1200</v>
      </c>
      <c r="M2143" t="str">
        <f t="shared" si="107"/>
        <v xml:space="preserve">N35DC   </v>
      </c>
      <c r="N2143">
        <v>1</v>
      </c>
      <c r="O2143">
        <v>1700</v>
      </c>
    </row>
    <row r="2144" spans="1:15" x14ac:dyDescent="0.25">
      <c r="A2144" t="str">
        <f>"10/21/2020 18:29:51.263"</f>
        <v>10/21/2020 18:29:51.263</v>
      </c>
      <c r="B2144" t="str">
        <f>"18:29:59.211"</f>
        <v>18:29:59.211</v>
      </c>
      <c r="C2144" t="str">
        <f>"18:29:59.111"</f>
        <v>18:29:59.111</v>
      </c>
      <c r="D2144" t="s">
        <v>838</v>
      </c>
      <c r="E2144">
        <v>30.614046999999999</v>
      </c>
      <c r="F2144" t="s">
        <v>839</v>
      </c>
      <c r="G2144">
        <v>-89.876339000000002</v>
      </c>
      <c r="H2144">
        <v>1600</v>
      </c>
      <c r="I2144">
        <v>7</v>
      </c>
      <c r="J2144">
        <v>139</v>
      </c>
      <c r="K2144">
        <v>-64</v>
      </c>
      <c r="L2144">
        <v>1200</v>
      </c>
      <c r="M2144" t="str">
        <f t="shared" si="107"/>
        <v xml:space="preserve">N35DC   </v>
      </c>
      <c r="N2144">
        <v>1</v>
      </c>
      <c r="O2144">
        <v>1700</v>
      </c>
    </row>
    <row r="2145" spans="1:15" x14ac:dyDescent="0.25">
      <c r="A2145" t="str">
        <f>"10/21/2020 18:29:51.263"</f>
        <v>10/21/2020 18:29:51.263</v>
      </c>
      <c r="B2145" t="str">
        <f>"18:29:59.211"</f>
        <v>18:29:59.211</v>
      </c>
      <c r="C2145" t="str">
        <f>"18:29:59.111"</f>
        <v>18:29:59.111</v>
      </c>
      <c r="D2145" t="s">
        <v>838</v>
      </c>
      <c r="E2145">
        <v>30.614046999999999</v>
      </c>
      <c r="F2145" t="s">
        <v>839</v>
      </c>
      <c r="G2145">
        <v>-89.876339000000002</v>
      </c>
      <c r="H2145">
        <v>1600</v>
      </c>
      <c r="I2145">
        <v>7</v>
      </c>
      <c r="J2145">
        <v>139</v>
      </c>
      <c r="K2145">
        <v>-64</v>
      </c>
      <c r="L2145">
        <v>1200</v>
      </c>
      <c r="M2145" t="str">
        <f t="shared" si="107"/>
        <v xml:space="preserve">N35DC   </v>
      </c>
      <c r="N2145">
        <v>1</v>
      </c>
      <c r="O2145">
        <v>1700</v>
      </c>
    </row>
    <row r="2146" spans="1:15" x14ac:dyDescent="0.25">
      <c r="A2146" t="str">
        <f>"10/21/2020 18:29:51.263"</f>
        <v>10/21/2020 18:29:51.263</v>
      </c>
      <c r="B2146" t="str">
        <f>"18:29:59.211"</f>
        <v>18:29:59.211</v>
      </c>
      <c r="C2146" t="str">
        <f>"18:29:59.111"</f>
        <v>18:29:59.111</v>
      </c>
      <c r="D2146" t="s">
        <v>838</v>
      </c>
      <c r="E2146">
        <v>30.614046999999999</v>
      </c>
      <c r="F2146" t="s">
        <v>839</v>
      </c>
      <c r="G2146">
        <v>-89.876339000000002</v>
      </c>
      <c r="H2146">
        <v>1600</v>
      </c>
      <c r="I2146">
        <v>7</v>
      </c>
      <c r="J2146">
        <v>139</v>
      </c>
      <c r="K2146">
        <v>-64</v>
      </c>
      <c r="L2146">
        <v>1200</v>
      </c>
      <c r="M2146" t="str">
        <f t="shared" si="107"/>
        <v xml:space="preserve">N35DC   </v>
      </c>
      <c r="N2146">
        <v>1</v>
      </c>
      <c r="O2146">
        <v>1700</v>
      </c>
    </row>
    <row r="2147" spans="1:15" x14ac:dyDescent="0.25">
      <c r="A2147" t="str">
        <f>"10/21/2020 18:29:52.253"</f>
        <v>10/21/2020 18:29:52.253</v>
      </c>
      <c r="B2147" t="str">
        <f t="shared" ref="B2147:C2151" si="110">"18:30:00.180"</f>
        <v>18:30:00.180</v>
      </c>
      <c r="C2147" t="str">
        <f t="shared" si="110"/>
        <v>18:30:00.180</v>
      </c>
      <c r="D2147" t="s">
        <v>840</v>
      </c>
      <c r="E2147">
        <v>30.614691000000001</v>
      </c>
      <c r="F2147" t="s">
        <v>839</v>
      </c>
      <c r="G2147">
        <v>-89.876339000000002</v>
      </c>
      <c r="H2147">
        <v>1600</v>
      </c>
      <c r="I2147">
        <v>9</v>
      </c>
      <c r="J2147">
        <v>139</v>
      </c>
      <c r="K2147">
        <v>-64</v>
      </c>
      <c r="L2147">
        <v>1200</v>
      </c>
      <c r="M2147" t="str">
        <f t="shared" si="107"/>
        <v xml:space="preserve">N35DC   </v>
      </c>
      <c r="N2147">
        <v>1</v>
      </c>
      <c r="O2147">
        <v>1700</v>
      </c>
    </row>
    <row r="2148" spans="1:15" x14ac:dyDescent="0.25">
      <c r="A2148" t="str">
        <f>"10/21/2020 18:29:52.253"</f>
        <v>10/21/2020 18:29:52.253</v>
      </c>
      <c r="B2148" t="str">
        <f t="shared" si="110"/>
        <v>18:30:00.180</v>
      </c>
      <c r="C2148" t="str">
        <f t="shared" si="110"/>
        <v>18:30:00.180</v>
      </c>
      <c r="D2148" t="s">
        <v>840</v>
      </c>
      <c r="E2148">
        <v>30.614691000000001</v>
      </c>
      <c r="F2148" t="s">
        <v>839</v>
      </c>
      <c r="G2148">
        <v>-89.876339000000002</v>
      </c>
      <c r="H2148">
        <v>1600</v>
      </c>
      <c r="I2148">
        <v>9</v>
      </c>
      <c r="J2148">
        <v>139</v>
      </c>
      <c r="K2148">
        <v>-64</v>
      </c>
      <c r="L2148">
        <v>1200</v>
      </c>
      <c r="M2148" t="str">
        <f t="shared" si="107"/>
        <v xml:space="preserve">N35DC   </v>
      </c>
      <c r="N2148">
        <v>1</v>
      </c>
      <c r="O2148">
        <v>1700</v>
      </c>
    </row>
    <row r="2149" spans="1:15" x14ac:dyDescent="0.25">
      <c r="A2149" t="str">
        <f>"10/21/2020 18:29:52.253"</f>
        <v>10/21/2020 18:29:52.253</v>
      </c>
      <c r="B2149" t="str">
        <f t="shared" si="110"/>
        <v>18:30:00.180</v>
      </c>
      <c r="C2149" t="str">
        <f t="shared" si="110"/>
        <v>18:30:00.180</v>
      </c>
      <c r="D2149" t="s">
        <v>840</v>
      </c>
      <c r="E2149">
        <v>30.614691000000001</v>
      </c>
      <c r="F2149" t="s">
        <v>839</v>
      </c>
      <c r="G2149">
        <v>-89.876339000000002</v>
      </c>
      <c r="H2149">
        <v>1600</v>
      </c>
      <c r="I2149">
        <v>9</v>
      </c>
      <c r="J2149">
        <v>139</v>
      </c>
      <c r="K2149">
        <v>-64</v>
      </c>
      <c r="L2149">
        <v>1200</v>
      </c>
      <c r="M2149" t="str">
        <f t="shared" si="107"/>
        <v xml:space="preserve">N35DC   </v>
      </c>
      <c r="N2149">
        <v>1</v>
      </c>
      <c r="O2149">
        <v>1700</v>
      </c>
    </row>
    <row r="2150" spans="1:15" x14ac:dyDescent="0.25">
      <c r="A2150" t="str">
        <f>"10/21/2020 18:29:52.253"</f>
        <v>10/21/2020 18:29:52.253</v>
      </c>
      <c r="B2150" t="str">
        <f t="shared" si="110"/>
        <v>18:30:00.180</v>
      </c>
      <c r="C2150" t="str">
        <f t="shared" si="110"/>
        <v>18:30:00.180</v>
      </c>
      <c r="D2150" t="s">
        <v>840</v>
      </c>
      <c r="E2150">
        <v>30.614691000000001</v>
      </c>
      <c r="F2150" t="s">
        <v>839</v>
      </c>
      <c r="G2150">
        <v>-89.876339000000002</v>
      </c>
      <c r="H2150">
        <v>1600</v>
      </c>
      <c r="I2150">
        <v>9</v>
      </c>
      <c r="J2150">
        <v>139</v>
      </c>
      <c r="K2150">
        <v>-64</v>
      </c>
      <c r="L2150">
        <v>1200</v>
      </c>
      <c r="M2150" t="str">
        <f t="shared" si="107"/>
        <v xml:space="preserve">N35DC   </v>
      </c>
      <c r="N2150">
        <v>1</v>
      </c>
      <c r="O2150">
        <v>1700</v>
      </c>
    </row>
    <row r="2151" spans="1:15" x14ac:dyDescent="0.25">
      <c r="A2151" t="str">
        <f>"10/21/2020 18:29:52.253"</f>
        <v>10/21/2020 18:29:52.253</v>
      </c>
      <c r="B2151" t="str">
        <f t="shared" si="110"/>
        <v>18:30:00.180</v>
      </c>
      <c r="C2151" t="str">
        <f t="shared" si="110"/>
        <v>18:30:00.180</v>
      </c>
      <c r="D2151" t="s">
        <v>840</v>
      </c>
      <c r="E2151">
        <v>30.614691000000001</v>
      </c>
      <c r="F2151" t="s">
        <v>839</v>
      </c>
      <c r="G2151">
        <v>-89.876339000000002</v>
      </c>
      <c r="H2151">
        <v>1600</v>
      </c>
      <c r="I2151">
        <v>9</v>
      </c>
      <c r="J2151">
        <v>139</v>
      </c>
      <c r="K2151">
        <v>-64</v>
      </c>
      <c r="L2151">
        <v>1200</v>
      </c>
      <c r="M2151" t="str">
        <f t="shared" si="107"/>
        <v xml:space="preserve">N35DC   </v>
      </c>
      <c r="N2151">
        <v>1</v>
      </c>
      <c r="O2151">
        <v>1700</v>
      </c>
    </row>
    <row r="2152" spans="1:15" x14ac:dyDescent="0.25">
      <c r="A2152" t="str">
        <f>"10/21/2020 18:29:53.214"</f>
        <v>10/21/2020 18:29:53.214</v>
      </c>
      <c r="B2152" t="str">
        <f t="shared" ref="B2152:C2156" si="111">"18:30:01.141"</f>
        <v>18:30:01.141</v>
      </c>
      <c r="C2152" t="str">
        <f t="shared" si="111"/>
        <v>18:30:01.141</v>
      </c>
      <c r="D2152" t="s">
        <v>841</v>
      </c>
      <c r="E2152">
        <v>30.615313</v>
      </c>
      <c r="F2152" t="s">
        <v>842</v>
      </c>
      <c r="G2152">
        <v>-89.876296999999994</v>
      </c>
      <c r="H2152">
        <v>1600</v>
      </c>
      <c r="I2152">
        <v>10</v>
      </c>
      <c r="J2152">
        <v>139</v>
      </c>
      <c r="K2152">
        <v>-128</v>
      </c>
      <c r="L2152">
        <v>1200</v>
      </c>
      <c r="M2152" t="str">
        <f t="shared" si="107"/>
        <v xml:space="preserve">N35DC   </v>
      </c>
      <c r="N2152">
        <v>1</v>
      </c>
      <c r="O2152">
        <v>1700</v>
      </c>
    </row>
    <row r="2153" spans="1:15" x14ac:dyDescent="0.25">
      <c r="A2153" t="str">
        <f>"10/21/2020 18:29:53.214"</f>
        <v>10/21/2020 18:29:53.214</v>
      </c>
      <c r="B2153" t="str">
        <f t="shared" si="111"/>
        <v>18:30:01.141</v>
      </c>
      <c r="C2153" t="str">
        <f t="shared" si="111"/>
        <v>18:30:01.141</v>
      </c>
      <c r="D2153" t="s">
        <v>841</v>
      </c>
      <c r="E2153">
        <v>30.615313</v>
      </c>
      <c r="F2153" t="s">
        <v>842</v>
      </c>
      <c r="G2153">
        <v>-89.876296999999994</v>
      </c>
      <c r="H2153">
        <v>1600</v>
      </c>
      <c r="I2153">
        <v>10</v>
      </c>
      <c r="J2153">
        <v>139</v>
      </c>
      <c r="K2153">
        <v>-128</v>
      </c>
      <c r="L2153">
        <v>1200</v>
      </c>
      <c r="M2153" t="str">
        <f t="shared" si="107"/>
        <v xml:space="preserve">N35DC   </v>
      </c>
      <c r="N2153">
        <v>1</v>
      </c>
      <c r="O2153">
        <v>1700</v>
      </c>
    </row>
    <row r="2154" spans="1:15" x14ac:dyDescent="0.25">
      <c r="A2154" t="str">
        <f>"10/21/2020 18:29:53.214"</f>
        <v>10/21/2020 18:29:53.214</v>
      </c>
      <c r="B2154" t="str">
        <f t="shared" si="111"/>
        <v>18:30:01.141</v>
      </c>
      <c r="C2154" t="str">
        <f t="shared" si="111"/>
        <v>18:30:01.141</v>
      </c>
      <c r="D2154" t="s">
        <v>841</v>
      </c>
      <c r="E2154">
        <v>30.615313</v>
      </c>
      <c r="F2154" t="s">
        <v>842</v>
      </c>
      <c r="G2154">
        <v>-89.876296999999994</v>
      </c>
      <c r="H2154">
        <v>1600</v>
      </c>
      <c r="I2154">
        <v>10</v>
      </c>
      <c r="J2154">
        <v>139</v>
      </c>
      <c r="K2154">
        <v>-128</v>
      </c>
      <c r="L2154">
        <v>1200</v>
      </c>
      <c r="M2154" t="str">
        <f t="shared" si="107"/>
        <v xml:space="preserve">N35DC   </v>
      </c>
      <c r="N2154">
        <v>1</v>
      </c>
      <c r="O2154">
        <v>1700</v>
      </c>
    </row>
    <row r="2155" spans="1:15" x14ac:dyDescent="0.25">
      <c r="A2155" t="str">
        <f>"10/21/2020 18:29:53.214"</f>
        <v>10/21/2020 18:29:53.214</v>
      </c>
      <c r="B2155" t="str">
        <f t="shared" si="111"/>
        <v>18:30:01.141</v>
      </c>
      <c r="C2155" t="str">
        <f t="shared" si="111"/>
        <v>18:30:01.141</v>
      </c>
      <c r="D2155" t="s">
        <v>841</v>
      </c>
      <c r="E2155">
        <v>30.615313</v>
      </c>
      <c r="F2155" t="s">
        <v>842</v>
      </c>
      <c r="G2155">
        <v>-89.876296999999994</v>
      </c>
      <c r="H2155">
        <v>1600</v>
      </c>
      <c r="I2155">
        <v>10</v>
      </c>
      <c r="J2155">
        <v>139</v>
      </c>
      <c r="K2155">
        <v>-128</v>
      </c>
      <c r="L2155">
        <v>1200</v>
      </c>
      <c r="M2155" t="str">
        <f t="shared" si="107"/>
        <v xml:space="preserve">N35DC   </v>
      </c>
      <c r="N2155">
        <v>1</v>
      </c>
      <c r="O2155">
        <v>1700</v>
      </c>
    </row>
    <row r="2156" spans="1:15" x14ac:dyDescent="0.25">
      <c r="A2156" t="str">
        <f>"10/21/2020 18:29:53.214"</f>
        <v>10/21/2020 18:29:53.214</v>
      </c>
      <c r="B2156" t="str">
        <f t="shared" si="111"/>
        <v>18:30:01.141</v>
      </c>
      <c r="C2156" t="str">
        <f t="shared" si="111"/>
        <v>18:30:01.141</v>
      </c>
      <c r="D2156" t="s">
        <v>841</v>
      </c>
      <c r="E2156">
        <v>30.615313</v>
      </c>
      <c r="F2156" t="s">
        <v>842</v>
      </c>
      <c r="G2156">
        <v>-89.876296999999994</v>
      </c>
      <c r="H2156">
        <v>1600</v>
      </c>
      <c r="I2156">
        <v>10</v>
      </c>
      <c r="J2156">
        <v>139</v>
      </c>
      <c r="K2156">
        <v>-128</v>
      </c>
      <c r="L2156">
        <v>1200</v>
      </c>
      <c r="M2156" t="str">
        <f t="shared" si="107"/>
        <v xml:space="preserve">N35DC   </v>
      </c>
      <c r="N2156">
        <v>1</v>
      </c>
      <c r="O2156">
        <v>1700</v>
      </c>
    </row>
    <row r="2157" spans="1:15" x14ac:dyDescent="0.25">
      <c r="A2157" t="str">
        <f>"10/21/2020 18:29:56.093"</f>
        <v>10/21/2020 18:29:56.093</v>
      </c>
      <c r="B2157" t="str">
        <f>"18:30:04.008"</f>
        <v>18:30:04.008</v>
      </c>
      <c r="C2157" t="str">
        <f>"18:30:03.608"</f>
        <v>18:30:03.608</v>
      </c>
      <c r="D2157" t="s">
        <v>843</v>
      </c>
      <c r="E2157">
        <v>30.617158</v>
      </c>
      <c r="F2157" t="s">
        <v>844</v>
      </c>
      <c r="G2157">
        <v>-89.876081999999997</v>
      </c>
      <c r="H2157">
        <v>1600</v>
      </c>
      <c r="I2157">
        <v>14</v>
      </c>
      <c r="J2157">
        <v>139</v>
      </c>
      <c r="K2157">
        <v>-128</v>
      </c>
      <c r="L2157">
        <v>1200</v>
      </c>
      <c r="M2157" t="str">
        <f t="shared" si="107"/>
        <v xml:space="preserve">N35DC   </v>
      </c>
      <c r="N2157">
        <v>1</v>
      </c>
      <c r="O2157">
        <v>1700</v>
      </c>
    </row>
    <row r="2158" spans="1:15" x14ac:dyDescent="0.25">
      <c r="A2158" t="str">
        <f>"10/21/2020 18:29:56.093"</f>
        <v>10/21/2020 18:29:56.093</v>
      </c>
      <c r="B2158" t="str">
        <f>"18:30:04.008"</f>
        <v>18:30:04.008</v>
      </c>
      <c r="C2158" t="str">
        <f>"18:30:03.608"</f>
        <v>18:30:03.608</v>
      </c>
      <c r="D2158" t="s">
        <v>843</v>
      </c>
      <c r="E2158">
        <v>30.617158</v>
      </c>
      <c r="F2158" t="s">
        <v>844</v>
      </c>
      <c r="G2158">
        <v>-89.876081999999997</v>
      </c>
      <c r="H2158">
        <v>1600</v>
      </c>
      <c r="I2158">
        <v>14</v>
      </c>
      <c r="J2158">
        <v>139</v>
      </c>
      <c r="K2158">
        <v>-128</v>
      </c>
      <c r="L2158">
        <v>1200</v>
      </c>
      <c r="M2158" t="str">
        <f t="shared" si="107"/>
        <v xml:space="preserve">N35DC   </v>
      </c>
      <c r="N2158">
        <v>1</v>
      </c>
      <c r="O2158">
        <v>1700</v>
      </c>
    </row>
    <row r="2159" spans="1:15" x14ac:dyDescent="0.25">
      <c r="A2159" t="str">
        <f>"10/21/2020 18:29:56.093"</f>
        <v>10/21/2020 18:29:56.093</v>
      </c>
      <c r="B2159" t="str">
        <f>"18:30:04.008"</f>
        <v>18:30:04.008</v>
      </c>
      <c r="C2159" t="str">
        <f>"18:30:03.608"</f>
        <v>18:30:03.608</v>
      </c>
      <c r="D2159" t="s">
        <v>843</v>
      </c>
      <c r="E2159">
        <v>30.617158</v>
      </c>
      <c r="F2159" t="s">
        <v>844</v>
      </c>
      <c r="G2159">
        <v>-89.876081999999997</v>
      </c>
      <c r="H2159">
        <v>1600</v>
      </c>
      <c r="I2159">
        <v>14</v>
      </c>
      <c r="J2159">
        <v>139</v>
      </c>
      <c r="K2159">
        <v>-128</v>
      </c>
      <c r="L2159">
        <v>1200</v>
      </c>
      <c r="M2159" t="str">
        <f t="shared" si="107"/>
        <v xml:space="preserve">N35DC   </v>
      </c>
      <c r="N2159">
        <v>1</v>
      </c>
      <c r="O2159">
        <v>1700</v>
      </c>
    </row>
    <row r="2160" spans="1:15" x14ac:dyDescent="0.25">
      <c r="A2160" t="str">
        <f>"10/21/2020 18:29:56.093"</f>
        <v>10/21/2020 18:29:56.093</v>
      </c>
      <c r="B2160" t="str">
        <f>"18:30:04.008"</f>
        <v>18:30:04.008</v>
      </c>
      <c r="C2160" t="str">
        <f>"18:30:03.608"</f>
        <v>18:30:03.608</v>
      </c>
      <c r="D2160" t="s">
        <v>843</v>
      </c>
      <c r="E2160">
        <v>30.617158</v>
      </c>
      <c r="F2160" t="s">
        <v>844</v>
      </c>
      <c r="G2160">
        <v>-89.876081999999997</v>
      </c>
      <c r="H2160">
        <v>1600</v>
      </c>
      <c r="I2160">
        <v>14</v>
      </c>
      <c r="J2160">
        <v>139</v>
      </c>
      <c r="K2160">
        <v>-128</v>
      </c>
      <c r="L2160">
        <v>1200</v>
      </c>
      <c r="M2160" t="str">
        <f t="shared" si="107"/>
        <v xml:space="preserve">N35DC   </v>
      </c>
      <c r="N2160">
        <v>1</v>
      </c>
      <c r="O2160">
        <v>1700</v>
      </c>
    </row>
    <row r="2161" spans="1:15" x14ac:dyDescent="0.25">
      <c r="A2161" t="str">
        <f>"10/21/2020 18:29:56.093"</f>
        <v>10/21/2020 18:29:56.093</v>
      </c>
      <c r="B2161" t="str">
        <f>"18:30:04.008"</f>
        <v>18:30:04.008</v>
      </c>
      <c r="C2161" t="str">
        <f>"18:30:03.608"</f>
        <v>18:30:03.608</v>
      </c>
      <c r="D2161" t="s">
        <v>843</v>
      </c>
      <c r="E2161">
        <v>30.617158</v>
      </c>
      <c r="F2161" t="s">
        <v>844</v>
      </c>
      <c r="G2161">
        <v>-89.876081999999997</v>
      </c>
      <c r="H2161">
        <v>1600</v>
      </c>
      <c r="I2161">
        <v>14</v>
      </c>
      <c r="J2161">
        <v>139</v>
      </c>
      <c r="K2161">
        <v>-128</v>
      </c>
      <c r="L2161">
        <v>1200</v>
      </c>
      <c r="M2161" t="str">
        <f t="shared" si="107"/>
        <v xml:space="preserve">N35DC   </v>
      </c>
      <c r="N2161">
        <v>1</v>
      </c>
      <c r="O2161">
        <v>1700</v>
      </c>
    </row>
    <row r="2162" spans="1:15" x14ac:dyDescent="0.25">
      <c r="A2162" t="str">
        <f>"10/21/2020 18:29:57.055"</f>
        <v>10/21/2020 18:29:57.055</v>
      </c>
      <c r="B2162" t="str">
        <f t="shared" ref="B2162:C2166" si="112">"18:30:05.000"</f>
        <v>18:30:05.000</v>
      </c>
      <c r="C2162" t="str">
        <f t="shared" si="112"/>
        <v>18:30:05.000</v>
      </c>
      <c r="D2162" t="s">
        <v>845</v>
      </c>
      <c r="E2162">
        <v>30.617781000000001</v>
      </c>
      <c r="F2162" t="s">
        <v>484</v>
      </c>
      <c r="G2162">
        <v>-89.876018000000002</v>
      </c>
      <c r="H2162">
        <v>1600</v>
      </c>
      <c r="I2162">
        <v>15</v>
      </c>
      <c r="J2162">
        <v>139</v>
      </c>
      <c r="K2162">
        <v>0</v>
      </c>
      <c r="L2162">
        <v>1200</v>
      </c>
      <c r="M2162" t="str">
        <f t="shared" si="107"/>
        <v xml:space="preserve">N35DC   </v>
      </c>
      <c r="N2162">
        <v>1</v>
      </c>
      <c r="O2162">
        <v>1700</v>
      </c>
    </row>
    <row r="2163" spans="1:15" x14ac:dyDescent="0.25">
      <c r="A2163" t="str">
        <f>"10/21/2020 18:29:57.055"</f>
        <v>10/21/2020 18:29:57.055</v>
      </c>
      <c r="B2163" t="str">
        <f t="shared" si="112"/>
        <v>18:30:05.000</v>
      </c>
      <c r="C2163" t="str">
        <f t="shared" si="112"/>
        <v>18:30:05.000</v>
      </c>
      <c r="D2163" t="s">
        <v>845</v>
      </c>
      <c r="E2163">
        <v>30.617781000000001</v>
      </c>
      <c r="F2163" t="s">
        <v>484</v>
      </c>
      <c r="G2163">
        <v>-89.876018000000002</v>
      </c>
      <c r="H2163">
        <v>1600</v>
      </c>
      <c r="I2163">
        <v>15</v>
      </c>
      <c r="J2163">
        <v>139</v>
      </c>
      <c r="K2163">
        <v>0</v>
      </c>
      <c r="L2163">
        <v>1200</v>
      </c>
      <c r="M2163" t="str">
        <f t="shared" si="107"/>
        <v xml:space="preserve">N35DC   </v>
      </c>
      <c r="N2163">
        <v>1</v>
      </c>
      <c r="O2163">
        <v>1700</v>
      </c>
    </row>
    <row r="2164" spans="1:15" x14ac:dyDescent="0.25">
      <c r="A2164" t="str">
        <f>"10/21/2020 18:29:57.055"</f>
        <v>10/21/2020 18:29:57.055</v>
      </c>
      <c r="B2164" t="str">
        <f t="shared" si="112"/>
        <v>18:30:05.000</v>
      </c>
      <c r="C2164" t="str">
        <f t="shared" si="112"/>
        <v>18:30:05.000</v>
      </c>
      <c r="D2164" t="s">
        <v>845</v>
      </c>
      <c r="E2164">
        <v>30.617781000000001</v>
      </c>
      <c r="F2164" t="s">
        <v>484</v>
      </c>
      <c r="G2164">
        <v>-89.876018000000002</v>
      </c>
      <c r="H2164">
        <v>1600</v>
      </c>
      <c r="I2164">
        <v>15</v>
      </c>
      <c r="J2164">
        <v>139</v>
      </c>
      <c r="K2164">
        <v>0</v>
      </c>
      <c r="L2164">
        <v>1200</v>
      </c>
      <c r="M2164" t="str">
        <f t="shared" si="107"/>
        <v xml:space="preserve">N35DC   </v>
      </c>
      <c r="N2164">
        <v>1</v>
      </c>
      <c r="O2164">
        <v>1700</v>
      </c>
    </row>
    <row r="2165" spans="1:15" x14ac:dyDescent="0.25">
      <c r="A2165" t="str">
        <f>"10/21/2020 18:29:57.055"</f>
        <v>10/21/2020 18:29:57.055</v>
      </c>
      <c r="B2165" t="str">
        <f t="shared" si="112"/>
        <v>18:30:05.000</v>
      </c>
      <c r="C2165" t="str">
        <f t="shared" si="112"/>
        <v>18:30:05.000</v>
      </c>
      <c r="D2165" t="s">
        <v>845</v>
      </c>
      <c r="E2165">
        <v>30.617781000000001</v>
      </c>
      <c r="F2165" t="s">
        <v>484</v>
      </c>
      <c r="G2165">
        <v>-89.876018000000002</v>
      </c>
      <c r="H2165">
        <v>1600</v>
      </c>
      <c r="I2165">
        <v>15</v>
      </c>
      <c r="J2165">
        <v>139</v>
      </c>
      <c r="K2165">
        <v>0</v>
      </c>
      <c r="L2165">
        <v>1200</v>
      </c>
      <c r="M2165" t="str">
        <f t="shared" si="107"/>
        <v xml:space="preserve">N35DC   </v>
      </c>
      <c r="N2165">
        <v>1</v>
      </c>
      <c r="O2165">
        <v>1700</v>
      </c>
    </row>
    <row r="2166" spans="1:15" x14ac:dyDescent="0.25">
      <c r="A2166" t="str">
        <f>"10/21/2020 18:29:57.055"</f>
        <v>10/21/2020 18:29:57.055</v>
      </c>
      <c r="B2166" t="str">
        <f t="shared" si="112"/>
        <v>18:30:05.000</v>
      </c>
      <c r="C2166" t="str">
        <f t="shared" si="112"/>
        <v>18:30:05.000</v>
      </c>
      <c r="D2166" t="s">
        <v>845</v>
      </c>
      <c r="E2166">
        <v>30.617781000000001</v>
      </c>
      <c r="F2166" t="s">
        <v>484</v>
      </c>
      <c r="G2166">
        <v>-89.876018000000002</v>
      </c>
      <c r="H2166">
        <v>1600</v>
      </c>
      <c r="I2166">
        <v>15</v>
      </c>
      <c r="J2166">
        <v>139</v>
      </c>
      <c r="K2166">
        <v>0</v>
      </c>
      <c r="L2166">
        <v>1200</v>
      </c>
      <c r="M2166" t="str">
        <f t="shared" si="107"/>
        <v xml:space="preserve">N35DC   </v>
      </c>
      <c r="N2166">
        <v>1</v>
      </c>
      <c r="O2166">
        <v>1700</v>
      </c>
    </row>
    <row r="2167" spans="1:15" x14ac:dyDescent="0.25">
      <c r="A2167" t="str">
        <f>"10/21/2020 18:29:59.077"</f>
        <v>10/21/2020 18:29:59.077</v>
      </c>
      <c r="B2167" t="str">
        <f>"18:30:07.023"</f>
        <v>18:30:07.023</v>
      </c>
      <c r="C2167" t="str">
        <f>"18:30:06.723"</f>
        <v>18:30:06.723</v>
      </c>
      <c r="D2167" t="s">
        <v>846</v>
      </c>
      <c r="E2167">
        <v>30.61909</v>
      </c>
      <c r="F2167" t="s">
        <v>482</v>
      </c>
      <c r="G2167">
        <v>-89.875803000000005</v>
      </c>
      <c r="H2167">
        <v>1600</v>
      </c>
      <c r="I2167">
        <v>16</v>
      </c>
      <c r="J2167">
        <v>139</v>
      </c>
      <c r="K2167">
        <v>64</v>
      </c>
      <c r="L2167">
        <v>1200</v>
      </c>
      <c r="M2167" t="str">
        <f t="shared" si="107"/>
        <v xml:space="preserve">N35DC   </v>
      </c>
      <c r="N2167">
        <v>1</v>
      </c>
      <c r="O2167">
        <v>1700</v>
      </c>
    </row>
    <row r="2168" spans="1:15" x14ac:dyDescent="0.25">
      <c r="A2168" t="str">
        <f>"10/21/2020 18:29:59.077"</f>
        <v>10/21/2020 18:29:59.077</v>
      </c>
      <c r="B2168" t="str">
        <f>"18:30:07.023"</f>
        <v>18:30:07.023</v>
      </c>
      <c r="C2168" t="str">
        <f>"18:30:06.723"</f>
        <v>18:30:06.723</v>
      </c>
      <c r="D2168" t="s">
        <v>846</v>
      </c>
      <c r="E2168">
        <v>30.61909</v>
      </c>
      <c r="F2168" t="s">
        <v>482</v>
      </c>
      <c r="G2168">
        <v>-89.875803000000005</v>
      </c>
      <c r="H2168">
        <v>1600</v>
      </c>
      <c r="I2168">
        <v>16</v>
      </c>
      <c r="J2168">
        <v>139</v>
      </c>
      <c r="K2168">
        <v>64</v>
      </c>
      <c r="L2168">
        <v>1200</v>
      </c>
      <c r="M2168" t="str">
        <f t="shared" si="107"/>
        <v xml:space="preserve">N35DC   </v>
      </c>
      <c r="N2168">
        <v>1</v>
      </c>
      <c r="O2168">
        <v>1700</v>
      </c>
    </row>
    <row r="2169" spans="1:15" x14ac:dyDescent="0.25">
      <c r="A2169" t="str">
        <f>"10/21/2020 18:29:59.077"</f>
        <v>10/21/2020 18:29:59.077</v>
      </c>
      <c r="B2169" t="str">
        <f>"18:30:07.023"</f>
        <v>18:30:07.023</v>
      </c>
      <c r="C2169" t="str">
        <f>"18:30:06.723"</f>
        <v>18:30:06.723</v>
      </c>
      <c r="D2169" t="s">
        <v>846</v>
      </c>
      <c r="E2169">
        <v>30.61909</v>
      </c>
      <c r="F2169" t="s">
        <v>482</v>
      </c>
      <c r="G2169">
        <v>-89.875803000000005</v>
      </c>
      <c r="H2169">
        <v>1600</v>
      </c>
      <c r="I2169">
        <v>16</v>
      </c>
      <c r="J2169">
        <v>139</v>
      </c>
      <c r="K2169">
        <v>64</v>
      </c>
      <c r="L2169">
        <v>1200</v>
      </c>
      <c r="M2169" t="str">
        <f t="shared" si="107"/>
        <v xml:space="preserve">N35DC   </v>
      </c>
      <c r="N2169">
        <v>1</v>
      </c>
      <c r="O2169">
        <v>1700</v>
      </c>
    </row>
    <row r="2170" spans="1:15" x14ac:dyDescent="0.25">
      <c r="A2170" t="str">
        <f>"10/21/2020 18:29:59.077"</f>
        <v>10/21/2020 18:29:59.077</v>
      </c>
      <c r="B2170" t="str">
        <f>"18:30:07.023"</f>
        <v>18:30:07.023</v>
      </c>
      <c r="C2170" t="str">
        <f>"18:30:06.723"</f>
        <v>18:30:06.723</v>
      </c>
      <c r="D2170" t="s">
        <v>846</v>
      </c>
      <c r="E2170">
        <v>30.61909</v>
      </c>
      <c r="F2170" t="s">
        <v>482</v>
      </c>
      <c r="G2170">
        <v>-89.875803000000005</v>
      </c>
      <c r="H2170">
        <v>1600</v>
      </c>
      <c r="I2170">
        <v>16</v>
      </c>
      <c r="J2170">
        <v>139</v>
      </c>
      <c r="K2170">
        <v>64</v>
      </c>
      <c r="L2170">
        <v>1200</v>
      </c>
      <c r="M2170" t="str">
        <f t="shared" si="107"/>
        <v xml:space="preserve">N35DC   </v>
      </c>
      <c r="N2170">
        <v>1</v>
      </c>
      <c r="O2170">
        <v>1700</v>
      </c>
    </row>
    <row r="2171" spans="1:15" x14ac:dyDescent="0.25">
      <c r="A2171" t="str">
        <f>"10/21/2020 18:29:59.077"</f>
        <v>10/21/2020 18:29:59.077</v>
      </c>
      <c r="B2171" t="str">
        <f>"18:30:07.023"</f>
        <v>18:30:07.023</v>
      </c>
      <c r="C2171" t="str">
        <f>"18:30:06.723"</f>
        <v>18:30:06.723</v>
      </c>
      <c r="D2171" t="s">
        <v>846</v>
      </c>
      <c r="E2171">
        <v>30.61909</v>
      </c>
      <c r="F2171" t="s">
        <v>482</v>
      </c>
      <c r="G2171">
        <v>-89.875803000000005</v>
      </c>
      <c r="H2171">
        <v>1600</v>
      </c>
      <c r="I2171">
        <v>16</v>
      </c>
      <c r="J2171">
        <v>139</v>
      </c>
      <c r="K2171">
        <v>64</v>
      </c>
      <c r="L2171">
        <v>1200</v>
      </c>
      <c r="M2171" t="str">
        <f t="shared" si="107"/>
        <v xml:space="preserve">N35DC   </v>
      </c>
      <c r="N2171">
        <v>1</v>
      </c>
      <c r="O2171">
        <v>1700</v>
      </c>
    </row>
    <row r="2172" spans="1:15" x14ac:dyDescent="0.25">
      <c r="A2172" t="str">
        <f>"10/21/2020 18:30:00.139"</f>
        <v>10/21/2020 18:30:00.139</v>
      </c>
      <c r="B2172" t="str">
        <f>"18:30:08.070"</f>
        <v>18:30:08.070</v>
      </c>
      <c r="C2172" t="str">
        <f>"18:30:07.670"</f>
        <v>18:30:07.670</v>
      </c>
      <c r="D2172" t="s">
        <v>847</v>
      </c>
      <c r="E2172">
        <v>30.619776000000002</v>
      </c>
      <c r="F2172" t="s">
        <v>848</v>
      </c>
      <c r="G2172">
        <v>-89.875696000000005</v>
      </c>
      <c r="H2172">
        <v>1600</v>
      </c>
      <c r="I2172">
        <v>16</v>
      </c>
      <c r="J2172">
        <v>139</v>
      </c>
      <c r="K2172">
        <v>64</v>
      </c>
      <c r="L2172">
        <v>1200</v>
      </c>
      <c r="M2172" t="str">
        <f t="shared" si="107"/>
        <v xml:space="preserve">N35DC   </v>
      </c>
      <c r="N2172">
        <v>1</v>
      </c>
      <c r="O2172">
        <v>1700</v>
      </c>
    </row>
    <row r="2173" spans="1:15" x14ac:dyDescent="0.25">
      <c r="A2173" t="str">
        <f>"10/21/2020 18:30:00.139"</f>
        <v>10/21/2020 18:30:00.139</v>
      </c>
      <c r="B2173" t="str">
        <f>"18:30:08.070"</f>
        <v>18:30:08.070</v>
      </c>
      <c r="C2173" t="str">
        <f>"18:30:07.670"</f>
        <v>18:30:07.670</v>
      </c>
      <c r="D2173" t="s">
        <v>847</v>
      </c>
      <c r="E2173">
        <v>30.619776000000002</v>
      </c>
      <c r="F2173" t="s">
        <v>848</v>
      </c>
      <c r="G2173">
        <v>-89.875696000000005</v>
      </c>
      <c r="H2173">
        <v>1600</v>
      </c>
      <c r="I2173">
        <v>16</v>
      </c>
      <c r="J2173">
        <v>139</v>
      </c>
      <c r="K2173">
        <v>64</v>
      </c>
      <c r="L2173">
        <v>1200</v>
      </c>
      <c r="M2173" t="str">
        <f t="shared" si="107"/>
        <v xml:space="preserve">N35DC   </v>
      </c>
      <c r="N2173">
        <v>1</v>
      </c>
      <c r="O2173">
        <v>1700</v>
      </c>
    </row>
    <row r="2174" spans="1:15" x14ac:dyDescent="0.25">
      <c r="A2174" t="str">
        <f>"10/21/2020 18:30:00.139"</f>
        <v>10/21/2020 18:30:00.139</v>
      </c>
      <c r="B2174" t="str">
        <f>"18:30:08.070"</f>
        <v>18:30:08.070</v>
      </c>
      <c r="C2174" t="str">
        <f>"18:30:07.670"</f>
        <v>18:30:07.670</v>
      </c>
      <c r="D2174" t="s">
        <v>847</v>
      </c>
      <c r="E2174">
        <v>30.619776000000002</v>
      </c>
      <c r="F2174" t="s">
        <v>848</v>
      </c>
      <c r="G2174">
        <v>-89.875696000000005</v>
      </c>
      <c r="H2174">
        <v>1600</v>
      </c>
      <c r="I2174">
        <v>16</v>
      </c>
      <c r="J2174">
        <v>139</v>
      </c>
      <c r="K2174">
        <v>64</v>
      </c>
      <c r="L2174">
        <v>1200</v>
      </c>
      <c r="M2174" t="str">
        <f t="shared" si="107"/>
        <v xml:space="preserve">N35DC   </v>
      </c>
      <c r="N2174">
        <v>1</v>
      </c>
      <c r="O2174">
        <v>1700</v>
      </c>
    </row>
    <row r="2175" spans="1:15" x14ac:dyDescent="0.25">
      <c r="A2175" t="str">
        <f>"10/21/2020 18:30:00.139"</f>
        <v>10/21/2020 18:30:00.139</v>
      </c>
      <c r="B2175" t="str">
        <f>"18:30:08.070"</f>
        <v>18:30:08.070</v>
      </c>
      <c r="C2175" t="str">
        <f>"18:30:07.670"</f>
        <v>18:30:07.670</v>
      </c>
      <c r="D2175" t="s">
        <v>847</v>
      </c>
      <c r="E2175">
        <v>30.619776000000002</v>
      </c>
      <c r="F2175" t="s">
        <v>848</v>
      </c>
      <c r="G2175">
        <v>-89.875696000000005</v>
      </c>
      <c r="H2175">
        <v>1600</v>
      </c>
      <c r="I2175">
        <v>16</v>
      </c>
      <c r="J2175">
        <v>139</v>
      </c>
      <c r="K2175">
        <v>64</v>
      </c>
      <c r="L2175">
        <v>1200</v>
      </c>
      <c r="M2175" t="str">
        <f t="shared" si="107"/>
        <v xml:space="preserve">N35DC   </v>
      </c>
      <c r="N2175">
        <v>1</v>
      </c>
      <c r="O2175">
        <v>1700</v>
      </c>
    </row>
    <row r="2176" spans="1:15" x14ac:dyDescent="0.25">
      <c r="A2176" t="str">
        <f>"10/21/2020 18:30:00.139"</f>
        <v>10/21/2020 18:30:00.139</v>
      </c>
      <c r="B2176" t="str">
        <f>"18:30:08.070"</f>
        <v>18:30:08.070</v>
      </c>
      <c r="C2176" t="str">
        <f>"18:30:07.670"</f>
        <v>18:30:07.670</v>
      </c>
      <c r="D2176" t="s">
        <v>847</v>
      </c>
      <c r="E2176">
        <v>30.619776000000002</v>
      </c>
      <c r="F2176" t="s">
        <v>848</v>
      </c>
      <c r="G2176">
        <v>-89.875696000000005</v>
      </c>
      <c r="H2176">
        <v>1600</v>
      </c>
      <c r="I2176">
        <v>16</v>
      </c>
      <c r="J2176">
        <v>139</v>
      </c>
      <c r="K2176">
        <v>64</v>
      </c>
      <c r="L2176">
        <v>1200</v>
      </c>
      <c r="M2176" t="str">
        <f t="shared" si="107"/>
        <v xml:space="preserve">N35DC   </v>
      </c>
      <c r="N2176">
        <v>1</v>
      </c>
      <c r="O2176">
        <v>1700</v>
      </c>
    </row>
    <row r="2177" spans="1:15" x14ac:dyDescent="0.25">
      <c r="A2177" t="str">
        <f>"10/21/2020 18:30:02.130"</f>
        <v>10/21/2020 18:30:02.130</v>
      </c>
      <c r="B2177" t="str">
        <f>"18:30:10.078"</f>
        <v>18:30:10.078</v>
      </c>
      <c r="C2177" t="str">
        <f>"18:30:09.578"</f>
        <v>18:30:09.578</v>
      </c>
      <c r="D2177" t="s">
        <v>849</v>
      </c>
      <c r="E2177">
        <v>30.621041999999999</v>
      </c>
      <c r="F2177" t="s">
        <v>496</v>
      </c>
      <c r="G2177">
        <v>-89.875587999999993</v>
      </c>
      <c r="H2177">
        <v>1600</v>
      </c>
      <c r="I2177">
        <v>17</v>
      </c>
      <c r="J2177">
        <v>138</v>
      </c>
      <c r="K2177">
        <v>0</v>
      </c>
      <c r="L2177">
        <v>1200</v>
      </c>
      <c r="M2177" t="str">
        <f t="shared" si="107"/>
        <v xml:space="preserve">N35DC   </v>
      </c>
      <c r="N2177">
        <v>1</v>
      </c>
      <c r="O2177">
        <v>1700</v>
      </c>
    </row>
    <row r="2178" spans="1:15" x14ac:dyDescent="0.25">
      <c r="A2178" t="str">
        <f>"10/21/2020 18:30:02.130"</f>
        <v>10/21/2020 18:30:02.130</v>
      </c>
      <c r="B2178" t="str">
        <f>"18:30:10.078"</f>
        <v>18:30:10.078</v>
      </c>
      <c r="C2178" t="str">
        <f>"18:30:09.578"</f>
        <v>18:30:09.578</v>
      </c>
      <c r="D2178" t="s">
        <v>849</v>
      </c>
      <c r="E2178">
        <v>30.621041999999999</v>
      </c>
      <c r="F2178" t="s">
        <v>496</v>
      </c>
      <c r="G2178">
        <v>-89.875587999999993</v>
      </c>
      <c r="H2178">
        <v>1600</v>
      </c>
      <c r="I2178">
        <v>17</v>
      </c>
      <c r="J2178">
        <v>138</v>
      </c>
      <c r="K2178">
        <v>0</v>
      </c>
      <c r="L2178">
        <v>1200</v>
      </c>
      <c r="M2178" t="str">
        <f t="shared" si="107"/>
        <v xml:space="preserve">N35DC   </v>
      </c>
      <c r="N2178">
        <v>1</v>
      </c>
      <c r="O2178">
        <v>1700</v>
      </c>
    </row>
    <row r="2179" spans="1:15" x14ac:dyDescent="0.25">
      <c r="A2179" t="str">
        <f>"10/21/2020 18:30:02.130"</f>
        <v>10/21/2020 18:30:02.130</v>
      </c>
      <c r="B2179" t="str">
        <f>"18:30:10.078"</f>
        <v>18:30:10.078</v>
      </c>
      <c r="C2179" t="str">
        <f>"18:30:09.578"</f>
        <v>18:30:09.578</v>
      </c>
      <c r="D2179" t="s">
        <v>849</v>
      </c>
      <c r="E2179">
        <v>30.621041999999999</v>
      </c>
      <c r="F2179" t="s">
        <v>496</v>
      </c>
      <c r="G2179">
        <v>-89.875587999999993</v>
      </c>
      <c r="H2179">
        <v>1600</v>
      </c>
      <c r="I2179">
        <v>17</v>
      </c>
      <c r="J2179">
        <v>138</v>
      </c>
      <c r="K2179">
        <v>0</v>
      </c>
      <c r="L2179">
        <v>1200</v>
      </c>
      <c r="M2179" t="str">
        <f t="shared" si="107"/>
        <v xml:space="preserve">N35DC   </v>
      </c>
      <c r="N2179">
        <v>1</v>
      </c>
      <c r="O2179">
        <v>1700</v>
      </c>
    </row>
    <row r="2180" spans="1:15" x14ac:dyDescent="0.25">
      <c r="A2180" t="str">
        <f>"10/21/2020 18:30:02.130"</f>
        <v>10/21/2020 18:30:02.130</v>
      </c>
      <c r="B2180" t="str">
        <f>"18:30:10.078"</f>
        <v>18:30:10.078</v>
      </c>
      <c r="C2180" t="str">
        <f>"18:30:09.578"</f>
        <v>18:30:09.578</v>
      </c>
      <c r="D2180" t="s">
        <v>849</v>
      </c>
      <c r="E2180">
        <v>30.621041999999999</v>
      </c>
      <c r="F2180" t="s">
        <v>496</v>
      </c>
      <c r="G2180">
        <v>-89.875587999999993</v>
      </c>
      <c r="H2180">
        <v>1600</v>
      </c>
      <c r="I2180">
        <v>17</v>
      </c>
      <c r="J2180">
        <v>138</v>
      </c>
      <c r="K2180">
        <v>0</v>
      </c>
      <c r="L2180">
        <v>1200</v>
      </c>
      <c r="M2180" t="str">
        <f t="shared" si="107"/>
        <v xml:space="preserve">N35DC   </v>
      </c>
      <c r="N2180">
        <v>1</v>
      </c>
      <c r="O2180">
        <v>1700</v>
      </c>
    </row>
    <row r="2181" spans="1:15" x14ac:dyDescent="0.25">
      <c r="A2181" t="str">
        <f>"10/21/2020 18:30:02.130"</f>
        <v>10/21/2020 18:30:02.130</v>
      </c>
      <c r="B2181" t="str">
        <f>"18:30:10.078"</f>
        <v>18:30:10.078</v>
      </c>
      <c r="C2181" t="str">
        <f>"18:30:09.578"</f>
        <v>18:30:09.578</v>
      </c>
      <c r="D2181" t="s">
        <v>849</v>
      </c>
      <c r="E2181">
        <v>30.621041999999999</v>
      </c>
      <c r="F2181" t="s">
        <v>496</v>
      </c>
      <c r="G2181">
        <v>-89.875587999999993</v>
      </c>
      <c r="H2181">
        <v>1600</v>
      </c>
      <c r="I2181">
        <v>17</v>
      </c>
      <c r="J2181">
        <v>138</v>
      </c>
      <c r="K2181">
        <v>0</v>
      </c>
      <c r="L2181">
        <v>1200</v>
      </c>
      <c r="M2181" t="str">
        <f t="shared" si="107"/>
        <v xml:space="preserve">N35DC   </v>
      </c>
      <c r="N2181">
        <v>1</v>
      </c>
      <c r="O2181">
        <v>1700</v>
      </c>
    </row>
    <row r="2182" spans="1:15" x14ac:dyDescent="0.25">
      <c r="A2182" t="str">
        <f>"10/21/2020 18:30:03.192"</f>
        <v>10/21/2020 18:30:03.192</v>
      </c>
      <c r="B2182" t="str">
        <f t="shared" ref="B2182:C2186" si="113">"18:30:11.102"</f>
        <v>18:30:11.102</v>
      </c>
      <c r="C2182" t="str">
        <f t="shared" si="113"/>
        <v>18:30:11.102</v>
      </c>
      <c r="D2182" t="s">
        <v>850</v>
      </c>
      <c r="E2182">
        <v>30.621686</v>
      </c>
      <c r="F2182" t="s">
        <v>851</v>
      </c>
      <c r="G2182">
        <v>-89.875460000000004</v>
      </c>
      <c r="H2182">
        <v>1600</v>
      </c>
      <c r="I2182">
        <v>16</v>
      </c>
      <c r="J2182">
        <v>138</v>
      </c>
      <c r="K2182">
        <v>192</v>
      </c>
      <c r="L2182">
        <v>1200</v>
      </c>
      <c r="M2182" t="str">
        <f t="shared" si="107"/>
        <v xml:space="preserve">N35DC   </v>
      </c>
      <c r="N2182">
        <v>1</v>
      </c>
      <c r="O2182">
        <v>1700</v>
      </c>
    </row>
    <row r="2183" spans="1:15" x14ac:dyDescent="0.25">
      <c r="A2183" t="str">
        <f>"10/21/2020 18:30:03.192"</f>
        <v>10/21/2020 18:30:03.192</v>
      </c>
      <c r="B2183" t="str">
        <f t="shared" si="113"/>
        <v>18:30:11.102</v>
      </c>
      <c r="C2183" t="str">
        <f t="shared" si="113"/>
        <v>18:30:11.102</v>
      </c>
      <c r="D2183" t="s">
        <v>850</v>
      </c>
      <c r="E2183">
        <v>30.621686</v>
      </c>
      <c r="F2183" t="s">
        <v>851</v>
      </c>
      <c r="G2183">
        <v>-89.875460000000004</v>
      </c>
      <c r="H2183">
        <v>1600</v>
      </c>
      <c r="I2183">
        <v>16</v>
      </c>
      <c r="J2183">
        <v>138</v>
      </c>
      <c r="K2183">
        <v>192</v>
      </c>
      <c r="L2183">
        <v>1200</v>
      </c>
      <c r="M2183" t="str">
        <f t="shared" ref="M2183:M2246" si="114">"N35DC   "</f>
        <v xml:space="preserve">N35DC   </v>
      </c>
      <c r="N2183">
        <v>1</v>
      </c>
      <c r="O2183">
        <v>1700</v>
      </c>
    </row>
    <row r="2184" spans="1:15" x14ac:dyDescent="0.25">
      <c r="A2184" t="str">
        <f>"10/21/2020 18:30:03.192"</f>
        <v>10/21/2020 18:30:03.192</v>
      </c>
      <c r="B2184" t="str">
        <f t="shared" si="113"/>
        <v>18:30:11.102</v>
      </c>
      <c r="C2184" t="str">
        <f t="shared" si="113"/>
        <v>18:30:11.102</v>
      </c>
      <c r="D2184" t="s">
        <v>850</v>
      </c>
      <c r="E2184">
        <v>30.621686</v>
      </c>
      <c r="F2184" t="s">
        <v>851</v>
      </c>
      <c r="G2184">
        <v>-89.875460000000004</v>
      </c>
      <c r="H2184">
        <v>1600</v>
      </c>
      <c r="I2184">
        <v>16</v>
      </c>
      <c r="J2184">
        <v>138</v>
      </c>
      <c r="K2184">
        <v>192</v>
      </c>
      <c r="L2184">
        <v>1200</v>
      </c>
      <c r="M2184" t="str">
        <f t="shared" si="114"/>
        <v xml:space="preserve">N35DC   </v>
      </c>
      <c r="N2184">
        <v>1</v>
      </c>
      <c r="O2184">
        <v>1700</v>
      </c>
    </row>
    <row r="2185" spans="1:15" x14ac:dyDescent="0.25">
      <c r="A2185" t="str">
        <f>"10/21/2020 18:30:03.192"</f>
        <v>10/21/2020 18:30:03.192</v>
      </c>
      <c r="B2185" t="str">
        <f t="shared" si="113"/>
        <v>18:30:11.102</v>
      </c>
      <c r="C2185" t="str">
        <f t="shared" si="113"/>
        <v>18:30:11.102</v>
      </c>
      <c r="D2185" t="s">
        <v>850</v>
      </c>
      <c r="E2185">
        <v>30.621686</v>
      </c>
      <c r="F2185" t="s">
        <v>851</v>
      </c>
      <c r="G2185">
        <v>-89.875460000000004</v>
      </c>
      <c r="H2185">
        <v>1600</v>
      </c>
      <c r="I2185">
        <v>16</v>
      </c>
      <c r="J2185">
        <v>138</v>
      </c>
      <c r="K2185">
        <v>192</v>
      </c>
      <c r="L2185">
        <v>1200</v>
      </c>
      <c r="M2185" t="str">
        <f t="shared" si="114"/>
        <v xml:space="preserve">N35DC   </v>
      </c>
      <c r="N2185">
        <v>1</v>
      </c>
      <c r="O2185">
        <v>1700</v>
      </c>
    </row>
    <row r="2186" spans="1:15" x14ac:dyDescent="0.25">
      <c r="A2186" t="str">
        <f>"10/21/2020 18:30:03.192"</f>
        <v>10/21/2020 18:30:03.192</v>
      </c>
      <c r="B2186" t="str">
        <f t="shared" si="113"/>
        <v>18:30:11.102</v>
      </c>
      <c r="C2186" t="str">
        <f t="shared" si="113"/>
        <v>18:30:11.102</v>
      </c>
      <c r="D2186" t="s">
        <v>850</v>
      </c>
      <c r="E2186">
        <v>30.621686</v>
      </c>
      <c r="F2186" t="s">
        <v>851</v>
      </c>
      <c r="G2186">
        <v>-89.875460000000004</v>
      </c>
      <c r="H2186">
        <v>1600</v>
      </c>
      <c r="I2186">
        <v>16</v>
      </c>
      <c r="J2186">
        <v>138</v>
      </c>
      <c r="K2186">
        <v>192</v>
      </c>
      <c r="L2186">
        <v>1200</v>
      </c>
      <c r="M2186" t="str">
        <f t="shared" si="114"/>
        <v xml:space="preserve">N35DC   </v>
      </c>
      <c r="N2186">
        <v>1</v>
      </c>
      <c r="O2186">
        <v>1700</v>
      </c>
    </row>
    <row r="2187" spans="1:15" x14ac:dyDescent="0.25">
      <c r="A2187" t="str">
        <f>"10/21/2020 18:30:04.223"</f>
        <v>10/21/2020 18:30:04.223</v>
      </c>
      <c r="B2187" t="str">
        <f>"18:30:12.148"</f>
        <v>18:30:12.148</v>
      </c>
      <c r="C2187" t="str">
        <f>"18:30:11.648"</f>
        <v>18:30:11.648</v>
      </c>
      <c r="D2187" t="s">
        <v>852</v>
      </c>
      <c r="E2187">
        <v>30.622373</v>
      </c>
      <c r="F2187" t="s">
        <v>853</v>
      </c>
      <c r="G2187">
        <v>-89.875373999999994</v>
      </c>
      <c r="H2187">
        <v>1600</v>
      </c>
      <c r="I2187">
        <v>16</v>
      </c>
      <c r="J2187">
        <v>138</v>
      </c>
      <c r="K2187">
        <v>192</v>
      </c>
      <c r="L2187">
        <v>1200</v>
      </c>
      <c r="M2187" t="str">
        <f t="shared" si="114"/>
        <v xml:space="preserve">N35DC   </v>
      </c>
      <c r="N2187">
        <v>1</v>
      </c>
      <c r="O2187">
        <v>1700</v>
      </c>
    </row>
    <row r="2188" spans="1:15" x14ac:dyDescent="0.25">
      <c r="A2188" t="str">
        <f>"10/21/2020 18:30:04.223"</f>
        <v>10/21/2020 18:30:04.223</v>
      </c>
      <c r="B2188" t="str">
        <f>"18:30:12.148"</f>
        <v>18:30:12.148</v>
      </c>
      <c r="C2188" t="str">
        <f>"18:30:11.648"</f>
        <v>18:30:11.648</v>
      </c>
      <c r="D2188" t="s">
        <v>852</v>
      </c>
      <c r="E2188">
        <v>30.622373</v>
      </c>
      <c r="F2188" t="s">
        <v>853</v>
      </c>
      <c r="G2188">
        <v>-89.875373999999994</v>
      </c>
      <c r="H2188">
        <v>1600</v>
      </c>
      <c r="I2188">
        <v>16</v>
      </c>
      <c r="J2188">
        <v>138</v>
      </c>
      <c r="K2188">
        <v>192</v>
      </c>
      <c r="L2188">
        <v>1200</v>
      </c>
      <c r="M2188" t="str">
        <f t="shared" si="114"/>
        <v xml:space="preserve">N35DC   </v>
      </c>
      <c r="N2188">
        <v>1</v>
      </c>
      <c r="O2188">
        <v>1700</v>
      </c>
    </row>
    <row r="2189" spans="1:15" x14ac:dyDescent="0.25">
      <c r="A2189" t="str">
        <f>"10/21/2020 18:30:04.223"</f>
        <v>10/21/2020 18:30:04.223</v>
      </c>
      <c r="B2189" t="str">
        <f>"18:30:12.148"</f>
        <v>18:30:12.148</v>
      </c>
      <c r="C2189" t="str">
        <f>"18:30:11.648"</f>
        <v>18:30:11.648</v>
      </c>
      <c r="D2189" t="s">
        <v>852</v>
      </c>
      <c r="E2189">
        <v>30.622373</v>
      </c>
      <c r="F2189" t="s">
        <v>853</v>
      </c>
      <c r="G2189">
        <v>-89.875373999999994</v>
      </c>
      <c r="H2189">
        <v>1600</v>
      </c>
      <c r="I2189">
        <v>16</v>
      </c>
      <c r="J2189">
        <v>138</v>
      </c>
      <c r="K2189">
        <v>192</v>
      </c>
      <c r="L2189">
        <v>1200</v>
      </c>
      <c r="M2189" t="str">
        <f t="shared" si="114"/>
        <v xml:space="preserve">N35DC   </v>
      </c>
      <c r="N2189">
        <v>1</v>
      </c>
      <c r="O2189">
        <v>1700</v>
      </c>
    </row>
    <row r="2190" spans="1:15" x14ac:dyDescent="0.25">
      <c r="A2190" t="str">
        <f>"10/21/2020 18:30:04.223"</f>
        <v>10/21/2020 18:30:04.223</v>
      </c>
      <c r="B2190" t="str">
        <f>"18:30:12.148"</f>
        <v>18:30:12.148</v>
      </c>
      <c r="C2190" t="str">
        <f>"18:30:11.648"</f>
        <v>18:30:11.648</v>
      </c>
      <c r="D2190" t="s">
        <v>852</v>
      </c>
      <c r="E2190">
        <v>30.622373</v>
      </c>
      <c r="F2190" t="s">
        <v>853</v>
      </c>
      <c r="G2190">
        <v>-89.875373999999994</v>
      </c>
      <c r="H2190">
        <v>1600</v>
      </c>
      <c r="I2190">
        <v>16</v>
      </c>
      <c r="J2190">
        <v>138</v>
      </c>
      <c r="K2190">
        <v>192</v>
      </c>
      <c r="L2190">
        <v>1200</v>
      </c>
      <c r="M2190" t="str">
        <f t="shared" si="114"/>
        <v xml:space="preserve">N35DC   </v>
      </c>
      <c r="N2190">
        <v>1</v>
      </c>
      <c r="O2190">
        <v>1700</v>
      </c>
    </row>
    <row r="2191" spans="1:15" x14ac:dyDescent="0.25">
      <c r="A2191" t="str">
        <f>"10/21/2020 18:30:04.223"</f>
        <v>10/21/2020 18:30:04.223</v>
      </c>
      <c r="B2191" t="str">
        <f>"18:30:12.148"</f>
        <v>18:30:12.148</v>
      </c>
      <c r="C2191" t="str">
        <f>"18:30:11.648"</f>
        <v>18:30:11.648</v>
      </c>
      <c r="D2191" t="s">
        <v>852</v>
      </c>
      <c r="E2191">
        <v>30.622373</v>
      </c>
      <c r="F2191" t="s">
        <v>853</v>
      </c>
      <c r="G2191">
        <v>-89.875373999999994</v>
      </c>
      <c r="H2191">
        <v>1600</v>
      </c>
      <c r="I2191">
        <v>16</v>
      </c>
      <c r="J2191">
        <v>138</v>
      </c>
      <c r="K2191">
        <v>192</v>
      </c>
      <c r="L2191">
        <v>1200</v>
      </c>
      <c r="M2191" t="str">
        <f t="shared" si="114"/>
        <v xml:space="preserve">N35DC   </v>
      </c>
      <c r="N2191">
        <v>1</v>
      </c>
      <c r="O2191">
        <v>1700</v>
      </c>
    </row>
    <row r="2192" spans="1:15" x14ac:dyDescent="0.25">
      <c r="A2192" t="str">
        <f>"10/21/2020 18:30:05.166"</f>
        <v>10/21/2020 18:30:05.166</v>
      </c>
      <c r="B2192" t="str">
        <f>"18:30:13.109"</f>
        <v>18:30:13.109</v>
      </c>
      <c r="C2192" t="str">
        <f>"18:30:12.709"</f>
        <v>18:30:12.709</v>
      </c>
      <c r="D2192" t="s">
        <v>854</v>
      </c>
      <c r="E2192">
        <v>30.622995</v>
      </c>
      <c r="F2192" t="s">
        <v>855</v>
      </c>
      <c r="G2192">
        <v>-89.875309000000001</v>
      </c>
      <c r="H2192">
        <v>1600</v>
      </c>
      <c r="I2192">
        <v>16</v>
      </c>
      <c r="J2192">
        <v>138</v>
      </c>
      <c r="K2192">
        <v>128</v>
      </c>
      <c r="L2192">
        <v>1200</v>
      </c>
      <c r="M2192" t="str">
        <f t="shared" si="114"/>
        <v xml:space="preserve">N35DC   </v>
      </c>
      <c r="N2192">
        <v>1</v>
      </c>
      <c r="O2192">
        <v>1700</v>
      </c>
    </row>
    <row r="2193" spans="1:15" x14ac:dyDescent="0.25">
      <c r="A2193" t="str">
        <f>"10/21/2020 18:30:05.166"</f>
        <v>10/21/2020 18:30:05.166</v>
      </c>
      <c r="B2193" t="str">
        <f>"18:30:13.109"</f>
        <v>18:30:13.109</v>
      </c>
      <c r="C2193" t="str">
        <f>"18:30:12.709"</f>
        <v>18:30:12.709</v>
      </c>
      <c r="D2193" t="s">
        <v>854</v>
      </c>
      <c r="E2193">
        <v>30.622995</v>
      </c>
      <c r="F2193" t="s">
        <v>855</v>
      </c>
      <c r="G2193">
        <v>-89.875309000000001</v>
      </c>
      <c r="H2193">
        <v>1600</v>
      </c>
      <c r="I2193">
        <v>16</v>
      </c>
      <c r="J2193">
        <v>138</v>
      </c>
      <c r="K2193">
        <v>128</v>
      </c>
      <c r="L2193">
        <v>1200</v>
      </c>
      <c r="M2193" t="str">
        <f t="shared" si="114"/>
        <v xml:space="preserve">N35DC   </v>
      </c>
      <c r="N2193">
        <v>1</v>
      </c>
      <c r="O2193">
        <v>1700</v>
      </c>
    </row>
    <row r="2194" spans="1:15" x14ac:dyDescent="0.25">
      <c r="A2194" t="str">
        <f>"10/21/2020 18:30:05.166"</f>
        <v>10/21/2020 18:30:05.166</v>
      </c>
      <c r="B2194" t="str">
        <f>"18:30:13.109"</f>
        <v>18:30:13.109</v>
      </c>
      <c r="C2194" t="str">
        <f>"18:30:12.709"</f>
        <v>18:30:12.709</v>
      </c>
      <c r="D2194" t="s">
        <v>854</v>
      </c>
      <c r="E2194">
        <v>30.622995</v>
      </c>
      <c r="F2194" t="s">
        <v>855</v>
      </c>
      <c r="G2194">
        <v>-89.875309000000001</v>
      </c>
      <c r="H2194">
        <v>1600</v>
      </c>
      <c r="I2194">
        <v>16</v>
      </c>
      <c r="J2194">
        <v>138</v>
      </c>
      <c r="K2194">
        <v>128</v>
      </c>
      <c r="L2194">
        <v>1200</v>
      </c>
      <c r="M2194" t="str">
        <f t="shared" si="114"/>
        <v xml:space="preserve">N35DC   </v>
      </c>
      <c r="N2194">
        <v>1</v>
      </c>
      <c r="O2194">
        <v>1700</v>
      </c>
    </row>
    <row r="2195" spans="1:15" x14ac:dyDescent="0.25">
      <c r="A2195" t="str">
        <f>"10/21/2020 18:30:05.166"</f>
        <v>10/21/2020 18:30:05.166</v>
      </c>
      <c r="B2195" t="str">
        <f>"18:30:13.109"</f>
        <v>18:30:13.109</v>
      </c>
      <c r="C2195" t="str">
        <f>"18:30:12.709"</f>
        <v>18:30:12.709</v>
      </c>
      <c r="D2195" t="s">
        <v>854</v>
      </c>
      <c r="E2195">
        <v>30.622995</v>
      </c>
      <c r="F2195" t="s">
        <v>855</v>
      </c>
      <c r="G2195">
        <v>-89.875309000000001</v>
      </c>
      <c r="H2195">
        <v>1600</v>
      </c>
      <c r="I2195">
        <v>16</v>
      </c>
      <c r="J2195">
        <v>138</v>
      </c>
      <c r="K2195">
        <v>128</v>
      </c>
      <c r="L2195">
        <v>1200</v>
      </c>
      <c r="M2195" t="str">
        <f t="shared" si="114"/>
        <v xml:space="preserve">N35DC   </v>
      </c>
      <c r="N2195">
        <v>1</v>
      </c>
      <c r="O2195">
        <v>1700</v>
      </c>
    </row>
    <row r="2196" spans="1:15" x14ac:dyDescent="0.25">
      <c r="A2196" t="str">
        <f>"10/21/2020 18:30:05.166"</f>
        <v>10/21/2020 18:30:05.166</v>
      </c>
      <c r="B2196" t="str">
        <f>"18:30:13.109"</f>
        <v>18:30:13.109</v>
      </c>
      <c r="C2196" t="str">
        <f>"18:30:12.709"</f>
        <v>18:30:12.709</v>
      </c>
      <c r="D2196" t="s">
        <v>854</v>
      </c>
      <c r="E2196">
        <v>30.622995</v>
      </c>
      <c r="F2196" t="s">
        <v>855</v>
      </c>
      <c r="G2196">
        <v>-89.875309000000001</v>
      </c>
      <c r="H2196">
        <v>1600</v>
      </c>
      <c r="I2196">
        <v>16</v>
      </c>
      <c r="J2196">
        <v>138</v>
      </c>
      <c r="K2196">
        <v>128</v>
      </c>
      <c r="L2196">
        <v>1200</v>
      </c>
      <c r="M2196" t="str">
        <f t="shared" si="114"/>
        <v xml:space="preserve">N35DC   </v>
      </c>
      <c r="N2196">
        <v>1</v>
      </c>
      <c r="O2196">
        <v>1700</v>
      </c>
    </row>
    <row r="2197" spans="1:15" x14ac:dyDescent="0.25">
      <c r="A2197" t="str">
        <f>"10/21/2020 18:30:08.178"</f>
        <v>10/21/2020 18:30:08.178</v>
      </c>
      <c r="B2197" t="str">
        <f>"18:30:16.125"</f>
        <v>18:30:16.125</v>
      </c>
      <c r="C2197" t="str">
        <f>"18:30:15.825"</f>
        <v>18:30:15.825</v>
      </c>
      <c r="D2197" t="s">
        <v>856</v>
      </c>
      <c r="E2197">
        <v>30.624948</v>
      </c>
      <c r="F2197" t="s">
        <v>857</v>
      </c>
      <c r="G2197">
        <v>-89.875051999999997</v>
      </c>
      <c r="H2197">
        <v>1600</v>
      </c>
      <c r="I2197">
        <v>15</v>
      </c>
      <c r="J2197">
        <v>138</v>
      </c>
      <c r="K2197">
        <v>0</v>
      </c>
      <c r="L2197">
        <v>1200</v>
      </c>
      <c r="M2197" t="str">
        <f t="shared" si="114"/>
        <v xml:space="preserve">N35DC   </v>
      </c>
      <c r="N2197">
        <v>1</v>
      </c>
      <c r="O2197">
        <v>1700</v>
      </c>
    </row>
    <row r="2198" spans="1:15" x14ac:dyDescent="0.25">
      <c r="A2198" t="str">
        <f>"10/21/2020 18:30:08.178"</f>
        <v>10/21/2020 18:30:08.178</v>
      </c>
      <c r="B2198" t="str">
        <f>"18:30:16.125"</f>
        <v>18:30:16.125</v>
      </c>
      <c r="C2198" t="str">
        <f>"18:30:15.825"</f>
        <v>18:30:15.825</v>
      </c>
      <c r="D2198" t="s">
        <v>856</v>
      </c>
      <c r="E2198">
        <v>30.624948</v>
      </c>
      <c r="F2198" t="s">
        <v>857</v>
      </c>
      <c r="G2198">
        <v>-89.875051999999997</v>
      </c>
      <c r="H2198">
        <v>1600</v>
      </c>
      <c r="I2198">
        <v>15</v>
      </c>
      <c r="J2198">
        <v>138</v>
      </c>
      <c r="K2198">
        <v>0</v>
      </c>
      <c r="L2198">
        <v>1200</v>
      </c>
      <c r="M2198" t="str">
        <f t="shared" si="114"/>
        <v xml:space="preserve">N35DC   </v>
      </c>
      <c r="N2198">
        <v>1</v>
      </c>
      <c r="O2198">
        <v>1700</v>
      </c>
    </row>
    <row r="2199" spans="1:15" x14ac:dyDescent="0.25">
      <c r="A2199" t="str">
        <f>"10/21/2020 18:30:08.178"</f>
        <v>10/21/2020 18:30:08.178</v>
      </c>
      <c r="B2199" t="str">
        <f>"18:30:16.125"</f>
        <v>18:30:16.125</v>
      </c>
      <c r="C2199" t="str">
        <f>"18:30:15.825"</f>
        <v>18:30:15.825</v>
      </c>
      <c r="D2199" t="s">
        <v>856</v>
      </c>
      <c r="E2199">
        <v>30.624948</v>
      </c>
      <c r="F2199" t="s">
        <v>857</v>
      </c>
      <c r="G2199">
        <v>-89.875051999999997</v>
      </c>
      <c r="H2199">
        <v>1600</v>
      </c>
      <c r="I2199">
        <v>15</v>
      </c>
      <c r="J2199">
        <v>138</v>
      </c>
      <c r="K2199">
        <v>0</v>
      </c>
      <c r="L2199">
        <v>1200</v>
      </c>
      <c r="M2199" t="str">
        <f t="shared" si="114"/>
        <v xml:space="preserve">N35DC   </v>
      </c>
      <c r="N2199">
        <v>1</v>
      </c>
      <c r="O2199">
        <v>1700</v>
      </c>
    </row>
    <row r="2200" spans="1:15" x14ac:dyDescent="0.25">
      <c r="A2200" t="str">
        <f>"10/21/2020 18:30:08.178"</f>
        <v>10/21/2020 18:30:08.178</v>
      </c>
      <c r="B2200" t="str">
        <f>"18:30:16.125"</f>
        <v>18:30:16.125</v>
      </c>
      <c r="C2200" t="str">
        <f>"18:30:15.825"</f>
        <v>18:30:15.825</v>
      </c>
      <c r="D2200" t="s">
        <v>856</v>
      </c>
      <c r="E2200">
        <v>30.624948</v>
      </c>
      <c r="F2200" t="s">
        <v>857</v>
      </c>
      <c r="G2200">
        <v>-89.875051999999997</v>
      </c>
      <c r="H2200">
        <v>1600</v>
      </c>
      <c r="I2200">
        <v>15</v>
      </c>
      <c r="J2200">
        <v>138</v>
      </c>
      <c r="K2200">
        <v>0</v>
      </c>
      <c r="L2200">
        <v>1200</v>
      </c>
      <c r="M2200" t="str">
        <f t="shared" si="114"/>
        <v xml:space="preserve">N35DC   </v>
      </c>
      <c r="N2200">
        <v>1</v>
      </c>
      <c r="O2200">
        <v>1700</v>
      </c>
    </row>
    <row r="2201" spans="1:15" x14ac:dyDescent="0.25">
      <c r="A2201" t="str">
        <f>"10/21/2020 18:30:08.178"</f>
        <v>10/21/2020 18:30:08.178</v>
      </c>
      <c r="B2201" t="str">
        <f>"18:30:16.125"</f>
        <v>18:30:16.125</v>
      </c>
      <c r="C2201" t="str">
        <f>"18:30:15.825"</f>
        <v>18:30:15.825</v>
      </c>
      <c r="D2201" t="s">
        <v>856</v>
      </c>
      <c r="E2201">
        <v>30.624948</v>
      </c>
      <c r="F2201" t="s">
        <v>857</v>
      </c>
      <c r="G2201">
        <v>-89.875051999999997</v>
      </c>
      <c r="H2201">
        <v>1600</v>
      </c>
      <c r="I2201">
        <v>15</v>
      </c>
      <c r="J2201">
        <v>138</v>
      </c>
      <c r="K2201">
        <v>0</v>
      </c>
      <c r="L2201">
        <v>1200</v>
      </c>
      <c r="M2201" t="str">
        <f t="shared" si="114"/>
        <v xml:space="preserve">N35DC   </v>
      </c>
      <c r="N2201">
        <v>1</v>
      </c>
      <c r="O2201">
        <v>1700</v>
      </c>
    </row>
    <row r="2202" spans="1:15" x14ac:dyDescent="0.25">
      <c r="A2202" t="str">
        <f>"10/21/2020 18:30:09.256"</f>
        <v>10/21/2020 18:30:09.256</v>
      </c>
      <c r="B2202" t="str">
        <f>"18:30:17.180"</f>
        <v>18:30:17.180</v>
      </c>
      <c r="C2202" t="str">
        <f>"18:30:17.080"</f>
        <v>18:30:17.080</v>
      </c>
      <c r="D2202" t="s">
        <v>858</v>
      </c>
      <c r="E2202">
        <v>30.625591</v>
      </c>
      <c r="F2202" t="s">
        <v>859</v>
      </c>
      <c r="G2202">
        <v>-89.874966000000001</v>
      </c>
      <c r="H2202">
        <v>1600</v>
      </c>
      <c r="I2202">
        <v>13</v>
      </c>
      <c r="J2202">
        <v>139</v>
      </c>
      <c r="K2202">
        <v>-128</v>
      </c>
      <c r="L2202">
        <v>1200</v>
      </c>
      <c r="M2202" t="str">
        <f t="shared" si="114"/>
        <v xml:space="preserve">N35DC   </v>
      </c>
      <c r="N2202">
        <v>1</v>
      </c>
      <c r="O2202">
        <v>1700</v>
      </c>
    </row>
    <row r="2203" spans="1:15" x14ac:dyDescent="0.25">
      <c r="A2203" t="str">
        <f>"10/21/2020 18:30:09.256"</f>
        <v>10/21/2020 18:30:09.256</v>
      </c>
      <c r="B2203" t="str">
        <f>"18:30:17.180"</f>
        <v>18:30:17.180</v>
      </c>
      <c r="C2203" t="str">
        <f>"18:30:17.080"</f>
        <v>18:30:17.080</v>
      </c>
      <c r="D2203" t="s">
        <v>858</v>
      </c>
      <c r="E2203">
        <v>30.625591</v>
      </c>
      <c r="F2203" t="s">
        <v>859</v>
      </c>
      <c r="G2203">
        <v>-89.874966000000001</v>
      </c>
      <c r="H2203">
        <v>1600</v>
      </c>
      <c r="I2203">
        <v>13</v>
      </c>
      <c r="J2203">
        <v>139</v>
      </c>
      <c r="K2203">
        <v>-128</v>
      </c>
      <c r="L2203">
        <v>1200</v>
      </c>
      <c r="M2203" t="str">
        <f t="shared" si="114"/>
        <v xml:space="preserve">N35DC   </v>
      </c>
      <c r="N2203">
        <v>1</v>
      </c>
      <c r="O2203">
        <v>1700</v>
      </c>
    </row>
    <row r="2204" spans="1:15" x14ac:dyDescent="0.25">
      <c r="A2204" t="str">
        <f>"10/21/2020 18:30:09.256"</f>
        <v>10/21/2020 18:30:09.256</v>
      </c>
      <c r="B2204" t="str">
        <f>"18:30:17.180"</f>
        <v>18:30:17.180</v>
      </c>
      <c r="C2204" t="str">
        <f>"18:30:17.080"</f>
        <v>18:30:17.080</v>
      </c>
      <c r="D2204" t="s">
        <v>858</v>
      </c>
      <c r="E2204">
        <v>30.625591</v>
      </c>
      <c r="F2204" t="s">
        <v>859</v>
      </c>
      <c r="G2204">
        <v>-89.874966000000001</v>
      </c>
      <c r="H2204">
        <v>1600</v>
      </c>
      <c r="I2204">
        <v>13</v>
      </c>
      <c r="J2204">
        <v>139</v>
      </c>
      <c r="K2204">
        <v>-128</v>
      </c>
      <c r="L2204">
        <v>1200</v>
      </c>
      <c r="M2204" t="str">
        <f t="shared" si="114"/>
        <v xml:space="preserve">N35DC   </v>
      </c>
      <c r="N2204">
        <v>1</v>
      </c>
      <c r="O2204">
        <v>1700</v>
      </c>
    </row>
    <row r="2205" spans="1:15" x14ac:dyDescent="0.25">
      <c r="A2205" t="str">
        <f>"10/21/2020 18:30:09.256"</f>
        <v>10/21/2020 18:30:09.256</v>
      </c>
      <c r="B2205" t="str">
        <f>"18:30:17.180"</f>
        <v>18:30:17.180</v>
      </c>
      <c r="C2205" t="str">
        <f>"18:30:17.080"</f>
        <v>18:30:17.080</v>
      </c>
      <c r="D2205" t="s">
        <v>858</v>
      </c>
      <c r="E2205">
        <v>30.625591</v>
      </c>
      <c r="F2205" t="s">
        <v>859</v>
      </c>
      <c r="G2205">
        <v>-89.874966000000001</v>
      </c>
      <c r="H2205">
        <v>1600</v>
      </c>
      <c r="I2205">
        <v>13</v>
      </c>
      <c r="J2205">
        <v>139</v>
      </c>
      <c r="K2205">
        <v>-128</v>
      </c>
      <c r="L2205">
        <v>1200</v>
      </c>
      <c r="M2205" t="str">
        <f t="shared" si="114"/>
        <v xml:space="preserve">N35DC   </v>
      </c>
      <c r="N2205">
        <v>1</v>
      </c>
      <c r="O2205">
        <v>1700</v>
      </c>
    </row>
    <row r="2206" spans="1:15" x14ac:dyDescent="0.25">
      <c r="A2206" t="str">
        <f>"10/21/2020 18:30:09.256"</f>
        <v>10/21/2020 18:30:09.256</v>
      </c>
      <c r="B2206" t="str">
        <f>"18:30:17.180"</f>
        <v>18:30:17.180</v>
      </c>
      <c r="C2206" t="str">
        <f>"18:30:17.080"</f>
        <v>18:30:17.080</v>
      </c>
      <c r="D2206" t="s">
        <v>858</v>
      </c>
      <c r="E2206">
        <v>30.625591</v>
      </c>
      <c r="F2206" t="s">
        <v>859</v>
      </c>
      <c r="G2206">
        <v>-89.874966000000001</v>
      </c>
      <c r="H2206">
        <v>1600</v>
      </c>
      <c r="I2206">
        <v>13</v>
      </c>
      <c r="J2206">
        <v>139</v>
      </c>
      <c r="K2206">
        <v>-128</v>
      </c>
      <c r="L2206">
        <v>1200</v>
      </c>
      <c r="M2206" t="str">
        <f t="shared" si="114"/>
        <v xml:space="preserve">N35DC   </v>
      </c>
      <c r="N2206">
        <v>1</v>
      </c>
      <c r="O2206">
        <v>1700</v>
      </c>
    </row>
    <row r="2207" spans="1:15" x14ac:dyDescent="0.25">
      <c r="A2207" t="str">
        <f>"10/21/2020 18:30:10.271"</f>
        <v>10/21/2020 18:30:10.271</v>
      </c>
      <c r="B2207" t="str">
        <f t="shared" ref="B2207:C2211" si="115">"18:30:18.195"</f>
        <v>18:30:18.195</v>
      </c>
      <c r="C2207" t="str">
        <f t="shared" si="115"/>
        <v>18:30:18.195</v>
      </c>
      <c r="D2207" t="s">
        <v>860</v>
      </c>
      <c r="E2207">
        <v>30.626256000000001</v>
      </c>
      <c r="F2207" t="s">
        <v>861</v>
      </c>
      <c r="G2207">
        <v>-89.874922999999995</v>
      </c>
      <c r="H2207">
        <v>1600</v>
      </c>
      <c r="I2207">
        <v>13</v>
      </c>
      <c r="J2207">
        <v>139</v>
      </c>
      <c r="K2207">
        <v>-128</v>
      </c>
      <c r="L2207">
        <v>1200</v>
      </c>
      <c r="M2207" t="str">
        <f t="shared" si="114"/>
        <v xml:space="preserve">N35DC   </v>
      </c>
      <c r="N2207">
        <v>1</v>
      </c>
      <c r="O2207">
        <v>1700</v>
      </c>
    </row>
    <row r="2208" spans="1:15" x14ac:dyDescent="0.25">
      <c r="A2208" t="str">
        <f>"10/21/2020 18:30:10.271"</f>
        <v>10/21/2020 18:30:10.271</v>
      </c>
      <c r="B2208" t="str">
        <f t="shared" si="115"/>
        <v>18:30:18.195</v>
      </c>
      <c r="C2208" t="str">
        <f t="shared" si="115"/>
        <v>18:30:18.195</v>
      </c>
      <c r="D2208" t="s">
        <v>860</v>
      </c>
      <c r="E2208">
        <v>30.626256000000001</v>
      </c>
      <c r="F2208" t="s">
        <v>861</v>
      </c>
      <c r="G2208">
        <v>-89.874922999999995</v>
      </c>
      <c r="H2208">
        <v>1600</v>
      </c>
      <c r="I2208">
        <v>13</v>
      </c>
      <c r="J2208">
        <v>139</v>
      </c>
      <c r="K2208">
        <v>-128</v>
      </c>
      <c r="L2208">
        <v>1200</v>
      </c>
      <c r="M2208" t="str">
        <f t="shared" si="114"/>
        <v xml:space="preserve">N35DC   </v>
      </c>
      <c r="N2208">
        <v>1</v>
      </c>
      <c r="O2208">
        <v>1700</v>
      </c>
    </row>
    <row r="2209" spans="1:15" x14ac:dyDescent="0.25">
      <c r="A2209" t="str">
        <f>"10/21/2020 18:30:10.271"</f>
        <v>10/21/2020 18:30:10.271</v>
      </c>
      <c r="B2209" t="str">
        <f t="shared" si="115"/>
        <v>18:30:18.195</v>
      </c>
      <c r="C2209" t="str">
        <f t="shared" si="115"/>
        <v>18:30:18.195</v>
      </c>
      <c r="D2209" t="s">
        <v>860</v>
      </c>
      <c r="E2209">
        <v>30.626256000000001</v>
      </c>
      <c r="F2209" t="s">
        <v>861</v>
      </c>
      <c r="G2209">
        <v>-89.874922999999995</v>
      </c>
      <c r="H2209">
        <v>1600</v>
      </c>
      <c r="I2209">
        <v>13</v>
      </c>
      <c r="J2209">
        <v>139</v>
      </c>
      <c r="K2209">
        <v>-128</v>
      </c>
      <c r="L2209">
        <v>1200</v>
      </c>
      <c r="M2209" t="str">
        <f t="shared" si="114"/>
        <v xml:space="preserve">N35DC   </v>
      </c>
      <c r="N2209">
        <v>1</v>
      </c>
      <c r="O2209">
        <v>1700</v>
      </c>
    </row>
    <row r="2210" spans="1:15" x14ac:dyDescent="0.25">
      <c r="A2210" t="str">
        <f>"10/21/2020 18:30:10.271"</f>
        <v>10/21/2020 18:30:10.271</v>
      </c>
      <c r="B2210" t="str">
        <f t="shared" si="115"/>
        <v>18:30:18.195</v>
      </c>
      <c r="C2210" t="str">
        <f t="shared" si="115"/>
        <v>18:30:18.195</v>
      </c>
      <c r="D2210" t="s">
        <v>860</v>
      </c>
      <c r="E2210">
        <v>30.626256000000001</v>
      </c>
      <c r="F2210" t="s">
        <v>861</v>
      </c>
      <c r="G2210">
        <v>-89.874922999999995</v>
      </c>
      <c r="H2210">
        <v>1600</v>
      </c>
      <c r="I2210">
        <v>13</v>
      </c>
      <c r="J2210">
        <v>139</v>
      </c>
      <c r="K2210">
        <v>-128</v>
      </c>
      <c r="L2210">
        <v>1200</v>
      </c>
      <c r="M2210" t="str">
        <f t="shared" si="114"/>
        <v xml:space="preserve">N35DC   </v>
      </c>
      <c r="N2210">
        <v>1</v>
      </c>
      <c r="O2210">
        <v>1700</v>
      </c>
    </row>
    <row r="2211" spans="1:15" x14ac:dyDescent="0.25">
      <c r="A2211" t="str">
        <f>"10/21/2020 18:30:10.271"</f>
        <v>10/21/2020 18:30:10.271</v>
      </c>
      <c r="B2211" t="str">
        <f t="shared" si="115"/>
        <v>18:30:18.195</v>
      </c>
      <c r="C2211" t="str">
        <f t="shared" si="115"/>
        <v>18:30:18.195</v>
      </c>
      <c r="D2211" t="s">
        <v>860</v>
      </c>
      <c r="E2211">
        <v>30.626256000000001</v>
      </c>
      <c r="F2211" t="s">
        <v>861</v>
      </c>
      <c r="G2211">
        <v>-89.874922999999995</v>
      </c>
      <c r="H2211">
        <v>1600</v>
      </c>
      <c r="I2211">
        <v>13</v>
      </c>
      <c r="J2211">
        <v>139</v>
      </c>
      <c r="K2211">
        <v>-128</v>
      </c>
      <c r="L2211">
        <v>1200</v>
      </c>
      <c r="M2211" t="str">
        <f t="shared" si="114"/>
        <v xml:space="preserve">N35DC   </v>
      </c>
      <c r="N2211">
        <v>1</v>
      </c>
      <c r="O2211">
        <v>1700</v>
      </c>
    </row>
    <row r="2212" spans="1:15" x14ac:dyDescent="0.25">
      <c r="A2212" t="str">
        <f t="shared" ref="A2212:A2217" si="116">"10/21/2020 18:30:13.033"</f>
        <v>10/21/2020 18:30:13.033</v>
      </c>
      <c r="B2212" t="str">
        <f t="shared" ref="B2212:B2217" si="117">"18:30:20.953"</f>
        <v>18:30:20.953</v>
      </c>
      <c r="C2212" t="str">
        <f t="shared" ref="C2212:C2217" si="118">"18:30:20.853"</f>
        <v>18:30:20.853</v>
      </c>
      <c r="D2212" t="s">
        <v>862</v>
      </c>
      <c r="E2212">
        <v>30.628059</v>
      </c>
      <c r="F2212" t="s">
        <v>863</v>
      </c>
      <c r="G2212">
        <v>-89.87473</v>
      </c>
      <c r="H2212">
        <v>1600</v>
      </c>
      <c r="I2212">
        <v>11</v>
      </c>
      <c r="J2212">
        <v>139</v>
      </c>
      <c r="K2212">
        <v>0</v>
      </c>
      <c r="L2212">
        <v>1200</v>
      </c>
      <c r="M2212" t="str">
        <f t="shared" si="114"/>
        <v xml:space="preserve">N35DC   </v>
      </c>
      <c r="N2212">
        <v>1</v>
      </c>
      <c r="O2212">
        <v>1700</v>
      </c>
    </row>
    <row r="2213" spans="1:15" x14ac:dyDescent="0.25">
      <c r="A2213" t="str">
        <f t="shared" si="116"/>
        <v>10/21/2020 18:30:13.033</v>
      </c>
      <c r="B2213" t="str">
        <f t="shared" si="117"/>
        <v>18:30:20.953</v>
      </c>
      <c r="C2213" t="str">
        <f t="shared" si="118"/>
        <v>18:30:20.853</v>
      </c>
      <c r="D2213" t="s">
        <v>862</v>
      </c>
      <c r="E2213">
        <v>30.628059</v>
      </c>
      <c r="F2213" t="s">
        <v>863</v>
      </c>
      <c r="G2213">
        <v>-89.87473</v>
      </c>
      <c r="H2213">
        <v>1600</v>
      </c>
      <c r="I2213">
        <v>11</v>
      </c>
      <c r="J2213">
        <v>139</v>
      </c>
      <c r="K2213">
        <v>0</v>
      </c>
      <c r="L2213">
        <v>1200</v>
      </c>
      <c r="M2213" t="str">
        <f t="shared" si="114"/>
        <v xml:space="preserve">N35DC   </v>
      </c>
      <c r="N2213">
        <v>1</v>
      </c>
      <c r="O2213">
        <v>1700</v>
      </c>
    </row>
    <row r="2214" spans="1:15" x14ac:dyDescent="0.25">
      <c r="A2214" t="str">
        <f t="shared" si="116"/>
        <v>10/21/2020 18:30:13.033</v>
      </c>
      <c r="B2214" t="str">
        <f t="shared" si="117"/>
        <v>18:30:20.953</v>
      </c>
      <c r="C2214" t="str">
        <f t="shared" si="118"/>
        <v>18:30:20.853</v>
      </c>
      <c r="D2214" t="s">
        <v>862</v>
      </c>
      <c r="E2214">
        <v>30.628059</v>
      </c>
      <c r="F2214" t="s">
        <v>863</v>
      </c>
      <c r="G2214">
        <v>-89.87473</v>
      </c>
      <c r="H2214">
        <v>1600</v>
      </c>
      <c r="I2214">
        <v>11</v>
      </c>
      <c r="J2214">
        <v>139</v>
      </c>
      <c r="K2214">
        <v>0</v>
      </c>
      <c r="L2214">
        <v>1200</v>
      </c>
      <c r="M2214" t="str">
        <f t="shared" si="114"/>
        <v xml:space="preserve">N35DC   </v>
      </c>
      <c r="N2214">
        <v>1</v>
      </c>
      <c r="O2214">
        <v>1700</v>
      </c>
    </row>
    <row r="2215" spans="1:15" x14ac:dyDescent="0.25">
      <c r="A2215" t="str">
        <f t="shared" si="116"/>
        <v>10/21/2020 18:30:13.033</v>
      </c>
      <c r="B2215" t="str">
        <f t="shared" si="117"/>
        <v>18:30:20.953</v>
      </c>
      <c r="C2215" t="str">
        <f t="shared" si="118"/>
        <v>18:30:20.853</v>
      </c>
      <c r="D2215" t="s">
        <v>862</v>
      </c>
      <c r="E2215">
        <v>30.628059</v>
      </c>
      <c r="F2215" t="s">
        <v>863</v>
      </c>
      <c r="G2215">
        <v>-89.87473</v>
      </c>
      <c r="H2215">
        <v>1600</v>
      </c>
      <c r="I2215">
        <v>11</v>
      </c>
      <c r="J2215">
        <v>139</v>
      </c>
      <c r="K2215">
        <v>0</v>
      </c>
      <c r="L2215">
        <v>1200</v>
      </c>
      <c r="M2215" t="str">
        <f t="shared" si="114"/>
        <v xml:space="preserve">N35DC   </v>
      </c>
      <c r="N2215">
        <v>1</v>
      </c>
      <c r="O2215">
        <v>1700</v>
      </c>
    </row>
    <row r="2216" spans="1:15" x14ac:dyDescent="0.25">
      <c r="A2216" t="str">
        <f t="shared" si="116"/>
        <v>10/21/2020 18:30:13.033</v>
      </c>
      <c r="B2216" t="str">
        <f t="shared" si="117"/>
        <v>18:30:20.953</v>
      </c>
      <c r="C2216" t="str">
        <f t="shared" si="118"/>
        <v>18:30:20.853</v>
      </c>
      <c r="D2216" t="s">
        <v>862</v>
      </c>
      <c r="E2216">
        <v>30.628059</v>
      </c>
      <c r="F2216" t="s">
        <v>863</v>
      </c>
      <c r="G2216">
        <v>-89.87473</v>
      </c>
      <c r="H2216">
        <v>1600</v>
      </c>
      <c r="I2216">
        <v>11</v>
      </c>
      <c r="J2216">
        <v>139</v>
      </c>
      <c r="K2216">
        <v>0</v>
      </c>
      <c r="L2216">
        <v>1200</v>
      </c>
      <c r="M2216" t="str">
        <f t="shared" si="114"/>
        <v xml:space="preserve">N35DC   </v>
      </c>
      <c r="N2216">
        <v>1</v>
      </c>
      <c r="O2216">
        <v>1700</v>
      </c>
    </row>
    <row r="2217" spans="1:15" x14ac:dyDescent="0.25">
      <c r="A2217" t="str">
        <f t="shared" si="116"/>
        <v>10/21/2020 18:30:13.033</v>
      </c>
      <c r="B2217" t="str">
        <f t="shared" si="117"/>
        <v>18:30:20.953</v>
      </c>
      <c r="C2217" t="str">
        <f t="shared" si="118"/>
        <v>18:30:20.853</v>
      </c>
      <c r="D2217" t="s">
        <v>862</v>
      </c>
      <c r="E2217">
        <v>30.628059</v>
      </c>
      <c r="F2217" t="s">
        <v>863</v>
      </c>
      <c r="G2217">
        <v>-89.87473</v>
      </c>
      <c r="H2217">
        <v>1600</v>
      </c>
      <c r="I2217">
        <v>11</v>
      </c>
      <c r="J2217">
        <v>139</v>
      </c>
      <c r="K2217">
        <v>0</v>
      </c>
      <c r="L2217">
        <v>1200</v>
      </c>
      <c r="M2217" t="str">
        <f t="shared" si="114"/>
        <v xml:space="preserve">N35DC   </v>
      </c>
      <c r="N2217">
        <v>1</v>
      </c>
      <c r="O2217">
        <v>1700</v>
      </c>
    </row>
    <row r="2218" spans="1:15" x14ac:dyDescent="0.25">
      <c r="A2218" t="str">
        <f t="shared" ref="A2218:A2223" si="119">"10/21/2020 18:30:14.199"</f>
        <v>10/21/2020 18:30:14.199</v>
      </c>
      <c r="B2218" t="str">
        <f t="shared" ref="B2218:B2223" si="120">"18:30:22.125"</f>
        <v>18:30:22.125</v>
      </c>
      <c r="C2218" t="str">
        <f t="shared" ref="C2218:C2223" si="121">"18:30:21.725"</f>
        <v>18:30:21.725</v>
      </c>
      <c r="D2218" t="s">
        <v>864</v>
      </c>
      <c r="E2218">
        <v>30.628788</v>
      </c>
      <c r="F2218" t="s">
        <v>865</v>
      </c>
      <c r="G2218">
        <v>-89.874686999999994</v>
      </c>
      <c r="H2218">
        <v>1600</v>
      </c>
      <c r="I2218">
        <v>12</v>
      </c>
      <c r="J2218">
        <v>138</v>
      </c>
      <c r="K2218">
        <v>0</v>
      </c>
      <c r="L2218">
        <v>1200</v>
      </c>
      <c r="M2218" t="str">
        <f t="shared" si="114"/>
        <v xml:space="preserve">N35DC   </v>
      </c>
      <c r="N2218">
        <v>1</v>
      </c>
      <c r="O2218">
        <v>1700</v>
      </c>
    </row>
    <row r="2219" spans="1:15" x14ac:dyDescent="0.25">
      <c r="A2219" t="str">
        <f t="shared" si="119"/>
        <v>10/21/2020 18:30:14.199</v>
      </c>
      <c r="B2219" t="str">
        <f t="shared" si="120"/>
        <v>18:30:22.125</v>
      </c>
      <c r="C2219" t="str">
        <f t="shared" si="121"/>
        <v>18:30:21.725</v>
      </c>
      <c r="D2219" t="s">
        <v>864</v>
      </c>
      <c r="E2219">
        <v>30.628788</v>
      </c>
      <c r="F2219" t="s">
        <v>865</v>
      </c>
      <c r="G2219">
        <v>-89.874686999999994</v>
      </c>
      <c r="H2219">
        <v>1600</v>
      </c>
      <c r="I2219">
        <v>12</v>
      </c>
      <c r="J2219">
        <v>138</v>
      </c>
      <c r="K2219">
        <v>0</v>
      </c>
      <c r="L2219">
        <v>1200</v>
      </c>
      <c r="M2219" t="str">
        <f t="shared" si="114"/>
        <v xml:space="preserve">N35DC   </v>
      </c>
      <c r="N2219">
        <v>1</v>
      </c>
      <c r="O2219">
        <v>1700</v>
      </c>
    </row>
    <row r="2220" spans="1:15" x14ac:dyDescent="0.25">
      <c r="A2220" t="str">
        <f t="shared" si="119"/>
        <v>10/21/2020 18:30:14.199</v>
      </c>
      <c r="B2220" t="str">
        <f t="shared" si="120"/>
        <v>18:30:22.125</v>
      </c>
      <c r="C2220" t="str">
        <f t="shared" si="121"/>
        <v>18:30:21.725</v>
      </c>
      <c r="D2220" t="s">
        <v>864</v>
      </c>
      <c r="E2220">
        <v>30.628788</v>
      </c>
      <c r="F2220" t="s">
        <v>865</v>
      </c>
      <c r="G2220">
        <v>-89.874686999999994</v>
      </c>
      <c r="H2220">
        <v>1600</v>
      </c>
      <c r="I2220">
        <v>12</v>
      </c>
      <c r="J2220">
        <v>138</v>
      </c>
      <c r="K2220">
        <v>0</v>
      </c>
      <c r="L2220">
        <v>1200</v>
      </c>
      <c r="M2220" t="str">
        <f t="shared" si="114"/>
        <v xml:space="preserve">N35DC   </v>
      </c>
      <c r="N2220">
        <v>1</v>
      </c>
      <c r="O2220">
        <v>1700</v>
      </c>
    </row>
    <row r="2221" spans="1:15" x14ac:dyDescent="0.25">
      <c r="A2221" t="str">
        <f t="shared" si="119"/>
        <v>10/21/2020 18:30:14.199</v>
      </c>
      <c r="B2221" t="str">
        <f t="shared" si="120"/>
        <v>18:30:22.125</v>
      </c>
      <c r="C2221" t="str">
        <f t="shared" si="121"/>
        <v>18:30:21.725</v>
      </c>
      <c r="D2221" t="s">
        <v>864</v>
      </c>
      <c r="E2221">
        <v>30.628788</v>
      </c>
      <c r="F2221" t="s">
        <v>865</v>
      </c>
      <c r="G2221">
        <v>-89.874686999999994</v>
      </c>
      <c r="H2221">
        <v>1600</v>
      </c>
      <c r="I2221">
        <v>12</v>
      </c>
      <c r="J2221">
        <v>138</v>
      </c>
      <c r="K2221">
        <v>0</v>
      </c>
      <c r="L2221">
        <v>1200</v>
      </c>
      <c r="M2221" t="str">
        <f t="shared" si="114"/>
        <v xml:space="preserve">N35DC   </v>
      </c>
      <c r="N2221">
        <v>1</v>
      </c>
      <c r="O2221">
        <v>1700</v>
      </c>
    </row>
    <row r="2222" spans="1:15" x14ac:dyDescent="0.25">
      <c r="A2222" t="str">
        <f t="shared" si="119"/>
        <v>10/21/2020 18:30:14.199</v>
      </c>
      <c r="B2222" t="str">
        <f t="shared" si="120"/>
        <v>18:30:22.125</v>
      </c>
      <c r="C2222" t="str">
        <f t="shared" si="121"/>
        <v>18:30:21.725</v>
      </c>
      <c r="D2222" t="s">
        <v>864</v>
      </c>
      <c r="E2222">
        <v>30.628788</v>
      </c>
      <c r="F2222" t="s">
        <v>865</v>
      </c>
      <c r="G2222">
        <v>-89.874686999999994</v>
      </c>
      <c r="H2222">
        <v>1600</v>
      </c>
      <c r="I2222">
        <v>12</v>
      </c>
      <c r="J2222">
        <v>138</v>
      </c>
      <c r="K2222">
        <v>0</v>
      </c>
      <c r="L2222">
        <v>1200</v>
      </c>
      <c r="M2222" t="str">
        <f t="shared" si="114"/>
        <v xml:space="preserve">N35DC   </v>
      </c>
      <c r="N2222">
        <v>1</v>
      </c>
      <c r="O2222">
        <v>1700</v>
      </c>
    </row>
    <row r="2223" spans="1:15" x14ac:dyDescent="0.25">
      <c r="A2223" t="str">
        <f t="shared" si="119"/>
        <v>10/21/2020 18:30:14.199</v>
      </c>
      <c r="B2223" t="str">
        <f t="shared" si="120"/>
        <v>18:30:22.125</v>
      </c>
      <c r="C2223" t="str">
        <f t="shared" si="121"/>
        <v>18:30:21.725</v>
      </c>
      <c r="D2223" t="s">
        <v>864</v>
      </c>
      <c r="E2223">
        <v>30.628788</v>
      </c>
      <c r="F2223" t="s">
        <v>865</v>
      </c>
      <c r="G2223">
        <v>-89.874686999999994</v>
      </c>
      <c r="H2223">
        <v>1600</v>
      </c>
      <c r="I2223">
        <v>12</v>
      </c>
      <c r="J2223">
        <v>138</v>
      </c>
      <c r="K2223">
        <v>0</v>
      </c>
      <c r="L2223">
        <v>1200</v>
      </c>
      <c r="M2223" t="str">
        <f t="shared" si="114"/>
        <v xml:space="preserve">N35DC   </v>
      </c>
      <c r="N2223">
        <v>1</v>
      </c>
      <c r="O2223">
        <v>1700</v>
      </c>
    </row>
    <row r="2224" spans="1:15" x14ac:dyDescent="0.25">
      <c r="A2224" t="str">
        <f t="shared" ref="A2224:A2229" si="122">"10/21/2020 18:30:15.339"</f>
        <v>10/21/2020 18:30:15.339</v>
      </c>
      <c r="B2224" t="str">
        <f t="shared" ref="B2224:B2229" si="123">"18:30:23.266"</f>
        <v>18:30:23.266</v>
      </c>
      <c r="C2224" t="str">
        <f t="shared" ref="C2224:C2229" si="124">"18:30:22.866"</f>
        <v>18:30:22.866</v>
      </c>
      <c r="D2224" t="s">
        <v>866</v>
      </c>
      <c r="E2224">
        <v>30.629518000000001</v>
      </c>
      <c r="F2224" t="s">
        <v>867</v>
      </c>
      <c r="G2224">
        <v>-89.874579999999995</v>
      </c>
      <c r="H2224">
        <v>1600</v>
      </c>
      <c r="I2224">
        <v>12</v>
      </c>
      <c r="J2224">
        <v>138</v>
      </c>
      <c r="K2224">
        <v>-64</v>
      </c>
      <c r="L2224">
        <v>1200</v>
      </c>
      <c r="M2224" t="str">
        <f t="shared" si="114"/>
        <v xml:space="preserve">N35DC   </v>
      </c>
      <c r="N2224">
        <v>1</v>
      </c>
      <c r="O2224">
        <v>1700</v>
      </c>
    </row>
    <row r="2225" spans="1:15" x14ac:dyDescent="0.25">
      <c r="A2225" t="str">
        <f t="shared" si="122"/>
        <v>10/21/2020 18:30:15.339</v>
      </c>
      <c r="B2225" t="str">
        <f t="shared" si="123"/>
        <v>18:30:23.266</v>
      </c>
      <c r="C2225" t="str">
        <f t="shared" si="124"/>
        <v>18:30:22.866</v>
      </c>
      <c r="D2225" t="s">
        <v>866</v>
      </c>
      <c r="E2225">
        <v>30.629518000000001</v>
      </c>
      <c r="F2225" t="s">
        <v>867</v>
      </c>
      <c r="G2225">
        <v>-89.874579999999995</v>
      </c>
      <c r="H2225">
        <v>1600</v>
      </c>
      <c r="I2225">
        <v>12</v>
      </c>
      <c r="J2225">
        <v>138</v>
      </c>
      <c r="K2225">
        <v>-64</v>
      </c>
      <c r="L2225">
        <v>1200</v>
      </c>
      <c r="M2225" t="str">
        <f t="shared" si="114"/>
        <v xml:space="preserve">N35DC   </v>
      </c>
      <c r="N2225">
        <v>1</v>
      </c>
      <c r="O2225">
        <v>1700</v>
      </c>
    </row>
    <row r="2226" spans="1:15" x14ac:dyDescent="0.25">
      <c r="A2226" t="str">
        <f t="shared" si="122"/>
        <v>10/21/2020 18:30:15.339</v>
      </c>
      <c r="B2226" t="str">
        <f t="shared" si="123"/>
        <v>18:30:23.266</v>
      </c>
      <c r="C2226" t="str">
        <f t="shared" si="124"/>
        <v>18:30:22.866</v>
      </c>
      <c r="D2226" t="s">
        <v>866</v>
      </c>
      <c r="E2226">
        <v>30.629518000000001</v>
      </c>
      <c r="F2226" t="s">
        <v>867</v>
      </c>
      <c r="G2226">
        <v>-89.874579999999995</v>
      </c>
      <c r="H2226">
        <v>1600</v>
      </c>
      <c r="I2226">
        <v>12</v>
      </c>
      <c r="J2226">
        <v>138</v>
      </c>
      <c r="K2226">
        <v>-64</v>
      </c>
      <c r="L2226">
        <v>1200</v>
      </c>
      <c r="M2226" t="str">
        <f t="shared" si="114"/>
        <v xml:space="preserve">N35DC   </v>
      </c>
      <c r="N2226">
        <v>1</v>
      </c>
      <c r="O2226">
        <v>1700</v>
      </c>
    </row>
    <row r="2227" spans="1:15" x14ac:dyDescent="0.25">
      <c r="A2227" t="str">
        <f t="shared" si="122"/>
        <v>10/21/2020 18:30:15.339</v>
      </c>
      <c r="B2227" t="str">
        <f t="shared" si="123"/>
        <v>18:30:23.266</v>
      </c>
      <c r="C2227" t="str">
        <f t="shared" si="124"/>
        <v>18:30:22.866</v>
      </c>
      <c r="D2227" t="s">
        <v>866</v>
      </c>
      <c r="E2227">
        <v>30.629518000000001</v>
      </c>
      <c r="F2227" t="s">
        <v>867</v>
      </c>
      <c r="G2227">
        <v>-89.874579999999995</v>
      </c>
      <c r="H2227">
        <v>1600</v>
      </c>
      <c r="I2227">
        <v>12</v>
      </c>
      <c r="J2227">
        <v>138</v>
      </c>
      <c r="K2227">
        <v>-64</v>
      </c>
      <c r="L2227">
        <v>1200</v>
      </c>
      <c r="M2227" t="str">
        <f t="shared" si="114"/>
        <v xml:space="preserve">N35DC   </v>
      </c>
      <c r="N2227">
        <v>1</v>
      </c>
      <c r="O2227">
        <v>1700</v>
      </c>
    </row>
    <row r="2228" spans="1:15" x14ac:dyDescent="0.25">
      <c r="A2228" t="str">
        <f t="shared" si="122"/>
        <v>10/21/2020 18:30:15.339</v>
      </c>
      <c r="B2228" t="str">
        <f t="shared" si="123"/>
        <v>18:30:23.266</v>
      </c>
      <c r="C2228" t="str">
        <f t="shared" si="124"/>
        <v>18:30:22.866</v>
      </c>
      <c r="D2228" t="s">
        <v>866</v>
      </c>
      <c r="E2228">
        <v>30.629518000000001</v>
      </c>
      <c r="F2228" t="s">
        <v>867</v>
      </c>
      <c r="G2228">
        <v>-89.874579999999995</v>
      </c>
      <c r="H2228">
        <v>1600</v>
      </c>
      <c r="I2228">
        <v>12</v>
      </c>
      <c r="J2228">
        <v>138</v>
      </c>
      <c r="K2228">
        <v>-64</v>
      </c>
      <c r="L2228">
        <v>1200</v>
      </c>
      <c r="M2228" t="str">
        <f t="shared" si="114"/>
        <v xml:space="preserve">N35DC   </v>
      </c>
      <c r="N2228">
        <v>1</v>
      </c>
      <c r="O2228">
        <v>1700</v>
      </c>
    </row>
    <row r="2229" spans="1:15" x14ac:dyDescent="0.25">
      <c r="A2229" t="str">
        <f t="shared" si="122"/>
        <v>10/21/2020 18:30:15.339</v>
      </c>
      <c r="B2229" t="str">
        <f t="shared" si="123"/>
        <v>18:30:23.266</v>
      </c>
      <c r="C2229" t="str">
        <f t="shared" si="124"/>
        <v>18:30:22.866</v>
      </c>
      <c r="D2229" t="s">
        <v>866</v>
      </c>
      <c r="E2229">
        <v>30.629518000000001</v>
      </c>
      <c r="F2229" t="s">
        <v>867</v>
      </c>
      <c r="G2229">
        <v>-89.874579999999995</v>
      </c>
      <c r="H2229">
        <v>1600</v>
      </c>
      <c r="I2229">
        <v>12</v>
      </c>
      <c r="J2229">
        <v>138</v>
      </c>
      <c r="K2229">
        <v>-64</v>
      </c>
      <c r="L2229">
        <v>1200</v>
      </c>
      <c r="M2229" t="str">
        <f t="shared" si="114"/>
        <v xml:space="preserve">N35DC   </v>
      </c>
      <c r="N2229">
        <v>1</v>
      </c>
      <c r="O2229">
        <v>1700</v>
      </c>
    </row>
    <row r="2230" spans="1:15" x14ac:dyDescent="0.25">
      <c r="A2230" t="str">
        <f t="shared" ref="A2230:A2235" si="125">"10/21/2020 18:30:17.379"</f>
        <v>10/21/2020 18:30:17.379</v>
      </c>
      <c r="B2230" t="str">
        <f t="shared" ref="B2230:C2234" si="126">"18:30:25.320"</f>
        <v>18:30:25.320</v>
      </c>
      <c r="C2230" t="str">
        <f t="shared" si="126"/>
        <v>18:30:25.320</v>
      </c>
      <c r="D2230" t="s">
        <v>868</v>
      </c>
      <c r="E2230">
        <v>30.630804999999999</v>
      </c>
      <c r="F2230" t="s">
        <v>478</v>
      </c>
      <c r="G2230">
        <v>-89.874472999999995</v>
      </c>
      <c r="H2230">
        <v>1600</v>
      </c>
      <c r="I2230">
        <v>14</v>
      </c>
      <c r="J2230">
        <v>137</v>
      </c>
      <c r="K2230">
        <v>-192</v>
      </c>
      <c r="L2230">
        <v>1200</v>
      </c>
      <c r="M2230" t="str">
        <f t="shared" si="114"/>
        <v xml:space="preserve">N35DC   </v>
      </c>
      <c r="N2230">
        <v>1</v>
      </c>
      <c r="O2230">
        <v>1700</v>
      </c>
    </row>
    <row r="2231" spans="1:15" x14ac:dyDescent="0.25">
      <c r="A2231" t="str">
        <f t="shared" si="125"/>
        <v>10/21/2020 18:30:17.379</v>
      </c>
      <c r="B2231" t="str">
        <f t="shared" si="126"/>
        <v>18:30:25.320</v>
      </c>
      <c r="C2231" t="str">
        <f t="shared" si="126"/>
        <v>18:30:25.320</v>
      </c>
      <c r="D2231" t="s">
        <v>868</v>
      </c>
      <c r="E2231">
        <v>30.630804999999999</v>
      </c>
      <c r="F2231" t="s">
        <v>478</v>
      </c>
      <c r="G2231">
        <v>-89.874472999999995</v>
      </c>
      <c r="H2231">
        <v>1600</v>
      </c>
      <c r="I2231">
        <v>14</v>
      </c>
      <c r="J2231">
        <v>137</v>
      </c>
      <c r="K2231">
        <v>-192</v>
      </c>
      <c r="L2231">
        <v>1200</v>
      </c>
      <c r="M2231" t="str">
        <f t="shared" si="114"/>
        <v xml:space="preserve">N35DC   </v>
      </c>
      <c r="N2231">
        <v>1</v>
      </c>
      <c r="O2231">
        <v>1700</v>
      </c>
    </row>
    <row r="2232" spans="1:15" x14ac:dyDescent="0.25">
      <c r="A2232" t="str">
        <f t="shared" si="125"/>
        <v>10/21/2020 18:30:17.379</v>
      </c>
      <c r="B2232" t="str">
        <f t="shared" si="126"/>
        <v>18:30:25.320</v>
      </c>
      <c r="C2232" t="str">
        <f t="shared" si="126"/>
        <v>18:30:25.320</v>
      </c>
      <c r="D2232" t="s">
        <v>868</v>
      </c>
      <c r="E2232">
        <v>30.630804999999999</v>
      </c>
      <c r="F2232" t="s">
        <v>478</v>
      </c>
      <c r="G2232">
        <v>-89.874472999999995</v>
      </c>
      <c r="H2232">
        <v>1600</v>
      </c>
      <c r="I2232">
        <v>14</v>
      </c>
      <c r="J2232">
        <v>137</v>
      </c>
      <c r="K2232">
        <v>-192</v>
      </c>
      <c r="L2232">
        <v>1200</v>
      </c>
      <c r="M2232" t="str">
        <f t="shared" si="114"/>
        <v xml:space="preserve">N35DC   </v>
      </c>
      <c r="N2232">
        <v>1</v>
      </c>
      <c r="O2232">
        <v>1700</v>
      </c>
    </row>
    <row r="2233" spans="1:15" x14ac:dyDescent="0.25">
      <c r="A2233" t="str">
        <f t="shared" si="125"/>
        <v>10/21/2020 18:30:17.379</v>
      </c>
      <c r="B2233" t="str">
        <f t="shared" si="126"/>
        <v>18:30:25.320</v>
      </c>
      <c r="C2233" t="str">
        <f t="shared" si="126"/>
        <v>18:30:25.320</v>
      </c>
      <c r="D2233" t="s">
        <v>868</v>
      </c>
      <c r="E2233">
        <v>30.630804999999999</v>
      </c>
      <c r="F2233" t="s">
        <v>478</v>
      </c>
      <c r="G2233">
        <v>-89.874472999999995</v>
      </c>
      <c r="H2233">
        <v>1600</v>
      </c>
      <c r="I2233">
        <v>14</v>
      </c>
      <c r="J2233">
        <v>137</v>
      </c>
      <c r="K2233">
        <v>-192</v>
      </c>
      <c r="L2233">
        <v>1200</v>
      </c>
      <c r="M2233" t="str">
        <f t="shared" si="114"/>
        <v xml:space="preserve">N35DC   </v>
      </c>
      <c r="N2233">
        <v>1</v>
      </c>
      <c r="O2233">
        <v>1700</v>
      </c>
    </row>
    <row r="2234" spans="1:15" x14ac:dyDescent="0.25">
      <c r="A2234" t="str">
        <f t="shared" si="125"/>
        <v>10/21/2020 18:30:17.379</v>
      </c>
      <c r="B2234" t="str">
        <f t="shared" si="126"/>
        <v>18:30:25.320</v>
      </c>
      <c r="C2234" t="str">
        <f t="shared" si="126"/>
        <v>18:30:25.320</v>
      </c>
      <c r="D2234" t="s">
        <v>868</v>
      </c>
      <c r="E2234">
        <v>30.630804999999999</v>
      </c>
      <c r="F2234" t="s">
        <v>478</v>
      </c>
      <c r="G2234">
        <v>-89.874472999999995</v>
      </c>
      <c r="H2234">
        <v>1600</v>
      </c>
      <c r="I2234">
        <v>14</v>
      </c>
      <c r="J2234">
        <v>137</v>
      </c>
      <c r="K2234">
        <v>-192</v>
      </c>
      <c r="L2234">
        <v>1200</v>
      </c>
      <c r="M2234" t="str">
        <f t="shared" si="114"/>
        <v xml:space="preserve">N35DC   </v>
      </c>
      <c r="N2234">
        <v>1</v>
      </c>
      <c r="O2234">
        <v>1700</v>
      </c>
    </row>
    <row r="2235" spans="1:15" x14ac:dyDescent="0.25">
      <c r="A2235" t="str">
        <f t="shared" si="125"/>
        <v>10/21/2020 18:30:17.379</v>
      </c>
      <c r="B2235" t="str">
        <f>"18:30:25.320"</f>
        <v>18:30:25.320</v>
      </c>
      <c r="C2235" t="str">
        <f>"18:30:24.820"</f>
        <v>18:30:24.820</v>
      </c>
      <c r="D2235" t="s">
        <v>868</v>
      </c>
      <c r="E2235">
        <v>30.630804999999999</v>
      </c>
      <c r="F2235" t="s">
        <v>478</v>
      </c>
      <c r="G2235">
        <v>-89.874472999999995</v>
      </c>
      <c r="H2235">
        <v>1600</v>
      </c>
      <c r="I2235">
        <v>13</v>
      </c>
      <c r="J2235">
        <v>137</v>
      </c>
      <c r="K2235">
        <v>-64</v>
      </c>
      <c r="L2235">
        <v>1200</v>
      </c>
      <c r="M2235" t="str">
        <f t="shared" si="114"/>
        <v xml:space="preserve">N35DC   </v>
      </c>
      <c r="N2235">
        <v>1</v>
      </c>
      <c r="O2235">
        <v>1700</v>
      </c>
    </row>
    <row r="2236" spans="1:15" x14ac:dyDescent="0.25">
      <c r="A2236" t="str">
        <f>"10/21/2020 18:30:18.248"</f>
        <v>10/21/2020 18:30:18.248</v>
      </c>
      <c r="B2236" t="str">
        <f>"18:30:26.203"</f>
        <v>18:30:26.203</v>
      </c>
      <c r="C2236" t="str">
        <f>"18:30:25.803"</f>
        <v>18:30:25.803</v>
      </c>
      <c r="D2236" t="s">
        <v>869</v>
      </c>
      <c r="E2236">
        <v>30.631363</v>
      </c>
      <c r="F2236" t="s">
        <v>870</v>
      </c>
      <c r="G2236">
        <v>-89.874364999999997</v>
      </c>
      <c r="H2236">
        <v>1600</v>
      </c>
      <c r="I2236">
        <v>15</v>
      </c>
      <c r="J2236">
        <v>137</v>
      </c>
      <c r="K2236">
        <v>-256</v>
      </c>
      <c r="L2236">
        <v>1200</v>
      </c>
      <c r="M2236" t="str">
        <f t="shared" si="114"/>
        <v xml:space="preserve">N35DC   </v>
      </c>
      <c r="N2236">
        <v>1</v>
      </c>
      <c r="O2236">
        <v>1700</v>
      </c>
    </row>
    <row r="2237" spans="1:15" x14ac:dyDescent="0.25">
      <c r="A2237" t="str">
        <f>"10/21/2020 18:30:18.248"</f>
        <v>10/21/2020 18:30:18.248</v>
      </c>
      <c r="B2237" t="str">
        <f>"18:30:26.203"</f>
        <v>18:30:26.203</v>
      </c>
      <c r="C2237" t="str">
        <f>"18:30:25.803"</f>
        <v>18:30:25.803</v>
      </c>
      <c r="D2237" t="s">
        <v>869</v>
      </c>
      <c r="E2237">
        <v>30.631363</v>
      </c>
      <c r="F2237" t="s">
        <v>870</v>
      </c>
      <c r="G2237">
        <v>-89.874364999999997</v>
      </c>
      <c r="H2237">
        <v>1600</v>
      </c>
      <c r="I2237">
        <v>15</v>
      </c>
      <c r="J2237">
        <v>137</v>
      </c>
      <c r="K2237">
        <v>-256</v>
      </c>
      <c r="L2237">
        <v>1200</v>
      </c>
      <c r="M2237" t="str">
        <f t="shared" si="114"/>
        <v xml:space="preserve">N35DC   </v>
      </c>
      <c r="N2237">
        <v>1</v>
      </c>
      <c r="O2237">
        <v>1700</v>
      </c>
    </row>
    <row r="2238" spans="1:15" x14ac:dyDescent="0.25">
      <c r="A2238" t="str">
        <f>"10/21/2020 18:30:18.248"</f>
        <v>10/21/2020 18:30:18.248</v>
      </c>
      <c r="B2238" t="str">
        <f>"18:30:26.203"</f>
        <v>18:30:26.203</v>
      </c>
      <c r="C2238" t="str">
        <f>"18:30:25.803"</f>
        <v>18:30:25.803</v>
      </c>
      <c r="D2238" t="s">
        <v>869</v>
      </c>
      <c r="E2238">
        <v>30.631363</v>
      </c>
      <c r="F2238" t="s">
        <v>870</v>
      </c>
      <c r="G2238">
        <v>-89.874364999999997</v>
      </c>
      <c r="H2238">
        <v>1600</v>
      </c>
      <c r="I2238">
        <v>15</v>
      </c>
      <c r="J2238">
        <v>137</v>
      </c>
      <c r="K2238">
        <v>-256</v>
      </c>
      <c r="L2238">
        <v>1200</v>
      </c>
      <c r="M2238" t="str">
        <f t="shared" si="114"/>
        <v xml:space="preserve">N35DC   </v>
      </c>
      <c r="N2238">
        <v>1</v>
      </c>
      <c r="O2238">
        <v>1700</v>
      </c>
    </row>
    <row r="2239" spans="1:15" x14ac:dyDescent="0.25">
      <c r="A2239" t="str">
        <f>"10/21/2020 18:30:18.248"</f>
        <v>10/21/2020 18:30:18.248</v>
      </c>
      <c r="B2239" t="str">
        <f>"18:30:26.203"</f>
        <v>18:30:26.203</v>
      </c>
      <c r="C2239" t="str">
        <f>"18:30:25.803"</f>
        <v>18:30:25.803</v>
      </c>
      <c r="D2239" t="s">
        <v>869</v>
      </c>
      <c r="E2239">
        <v>30.631363</v>
      </c>
      <c r="F2239" t="s">
        <v>870</v>
      </c>
      <c r="G2239">
        <v>-89.874364999999997</v>
      </c>
      <c r="H2239">
        <v>1600</v>
      </c>
      <c r="I2239">
        <v>15</v>
      </c>
      <c r="J2239">
        <v>137</v>
      </c>
      <c r="K2239">
        <v>-256</v>
      </c>
      <c r="L2239">
        <v>1200</v>
      </c>
      <c r="M2239" t="str">
        <f t="shared" si="114"/>
        <v xml:space="preserve">N35DC   </v>
      </c>
      <c r="N2239">
        <v>1</v>
      </c>
      <c r="O2239">
        <v>1700</v>
      </c>
    </row>
    <row r="2240" spans="1:15" x14ac:dyDescent="0.25">
      <c r="A2240" t="str">
        <f>"10/21/2020 18:30:18.248"</f>
        <v>10/21/2020 18:30:18.248</v>
      </c>
      <c r="B2240" t="str">
        <f>"18:30:26.203"</f>
        <v>18:30:26.203</v>
      </c>
      <c r="C2240" t="str">
        <f>"18:30:25.803"</f>
        <v>18:30:25.803</v>
      </c>
      <c r="D2240" t="s">
        <v>869</v>
      </c>
      <c r="E2240">
        <v>30.631363</v>
      </c>
      <c r="F2240" t="s">
        <v>870</v>
      </c>
      <c r="G2240">
        <v>-89.874364999999997</v>
      </c>
      <c r="H2240">
        <v>1600</v>
      </c>
      <c r="I2240">
        <v>15</v>
      </c>
      <c r="J2240">
        <v>137</v>
      </c>
      <c r="K2240">
        <v>-256</v>
      </c>
      <c r="L2240">
        <v>1200</v>
      </c>
      <c r="M2240" t="str">
        <f t="shared" si="114"/>
        <v xml:space="preserve">N35DC   </v>
      </c>
      <c r="N2240">
        <v>1</v>
      </c>
      <c r="O2240">
        <v>1700</v>
      </c>
    </row>
    <row r="2241" spans="1:15" x14ac:dyDescent="0.25">
      <c r="A2241" t="str">
        <f>"10/21/2020 18:30:18.835"</f>
        <v>10/21/2020 18:30:18.835</v>
      </c>
      <c r="B2241" t="str">
        <f>"18:30:26.742"</f>
        <v>18:30:26.742</v>
      </c>
      <c r="C2241" t="str">
        <f>"18:30:26.342"</f>
        <v>18:30:26.342</v>
      </c>
      <c r="D2241" t="s">
        <v>871</v>
      </c>
      <c r="E2241">
        <v>30.63175</v>
      </c>
      <c r="F2241" t="s">
        <v>872</v>
      </c>
      <c r="G2241">
        <v>-89.874322000000006</v>
      </c>
      <c r="H2241">
        <v>1600</v>
      </c>
      <c r="I2241">
        <v>15</v>
      </c>
      <c r="J2241">
        <v>136</v>
      </c>
      <c r="K2241">
        <v>-256</v>
      </c>
      <c r="L2241">
        <v>1200</v>
      </c>
      <c r="M2241" t="str">
        <f t="shared" si="114"/>
        <v xml:space="preserve">N35DC   </v>
      </c>
      <c r="N2241">
        <v>1</v>
      </c>
      <c r="O2241">
        <v>1700</v>
      </c>
    </row>
    <row r="2242" spans="1:15" x14ac:dyDescent="0.25">
      <c r="A2242" t="str">
        <f t="shared" ref="A2242:A2247" si="127">"10/21/2020 18:30:21.255"</f>
        <v>10/21/2020 18:30:21.255</v>
      </c>
      <c r="B2242" t="str">
        <f t="shared" ref="B2242:B2247" si="128">"18:30:29.203"</f>
        <v>18:30:29.203</v>
      </c>
      <c r="C2242" t="str">
        <f t="shared" ref="C2242:C2247" si="129">"18:30:28.803"</f>
        <v>18:30:28.803</v>
      </c>
      <c r="D2242" t="s">
        <v>873</v>
      </c>
      <c r="E2242">
        <v>30.633272999999999</v>
      </c>
      <c r="F2242" t="s">
        <v>874</v>
      </c>
      <c r="G2242">
        <v>-89.874086000000005</v>
      </c>
      <c r="H2242">
        <v>1600</v>
      </c>
      <c r="I2242">
        <v>19</v>
      </c>
      <c r="J2242">
        <v>135</v>
      </c>
      <c r="K2242">
        <v>-64</v>
      </c>
      <c r="L2242">
        <v>1200</v>
      </c>
      <c r="M2242" t="str">
        <f t="shared" si="114"/>
        <v xml:space="preserve">N35DC   </v>
      </c>
      <c r="N2242">
        <v>1</v>
      </c>
      <c r="O2242">
        <v>1675</v>
      </c>
    </row>
    <row r="2243" spans="1:15" x14ac:dyDescent="0.25">
      <c r="A2243" t="str">
        <f t="shared" si="127"/>
        <v>10/21/2020 18:30:21.255</v>
      </c>
      <c r="B2243" t="str">
        <f t="shared" si="128"/>
        <v>18:30:29.203</v>
      </c>
      <c r="C2243" t="str">
        <f t="shared" si="129"/>
        <v>18:30:28.803</v>
      </c>
      <c r="D2243" t="s">
        <v>873</v>
      </c>
      <c r="E2243">
        <v>30.633272999999999</v>
      </c>
      <c r="F2243" t="s">
        <v>874</v>
      </c>
      <c r="G2243">
        <v>-89.874086000000005</v>
      </c>
      <c r="H2243">
        <v>1600</v>
      </c>
      <c r="I2243">
        <v>19</v>
      </c>
      <c r="J2243">
        <v>135</v>
      </c>
      <c r="K2243">
        <v>-64</v>
      </c>
      <c r="L2243">
        <v>1200</v>
      </c>
      <c r="M2243" t="str">
        <f t="shared" si="114"/>
        <v xml:space="preserve">N35DC   </v>
      </c>
      <c r="N2243">
        <v>1</v>
      </c>
      <c r="O2243">
        <v>1675</v>
      </c>
    </row>
    <row r="2244" spans="1:15" x14ac:dyDescent="0.25">
      <c r="A2244" t="str">
        <f t="shared" si="127"/>
        <v>10/21/2020 18:30:21.255</v>
      </c>
      <c r="B2244" t="str">
        <f t="shared" si="128"/>
        <v>18:30:29.203</v>
      </c>
      <c r="C2244" t="str">
        <f t="shared" si="129"/>
        <v>18:30:28.803</v>
      </c>
      <c r="D2244" t="s">
        <v>873</v>
      </c>
      <c r="E2244">
        <v>30.633272999999999</v>
      </c>
      <c r="F2244" t="s">
        <v>874</v>
      </c>
      <c r="G2244">
        <v>-89.874086000000005</v>
      </c>
      <c r="H2244">
        <v>1600</v>
      </c>
      <c r="I2244">
        <v>19</v>
      </c>
      <c r="J2244">
        <v>135</v>
      </c>
      <c r="K2244">
        <v>-64</v>
      </c>
      <c r="L2244">
        <v>1200</v>
      </c>
      <c r="M2244" t="str">
        <f t="shared" si="114"/>
        <v xml:space="preserve">N35DC   </v>
      </c>
      <c r="N2244">
        <v>1</v>
      </c>
      <c r="O2244">
        <v>1675</v>
      </c>
    </row>
    <row r="2245" spans="1:15" x14ac:dyDescent="0.25">
      <c r="A2245" t="str">
        <f t="shared" si="127"/>
        <v>10/21/2020 18:30:21.255</v>
      </c>
      <c r="B2245" t="str">
        <f t="shared" si="128"/>
        <v>18:30:29.203</v>
      </c>
      <c r="C2245" t="str">
        <f t="shared" si="129"/>
        <v>18:30:28.803</v>
      </c>
      <c r="D2245" t="s">
        <v>873</v>
      </c>
      <c r="E2245">
        <v>30.633272999999999</v>
      </c>
      <c r="F2245" t="s">
        <v>874</v>
      </c>
      <c r="G2245">
        <v>-89.874086000000005</v>
      </c>
      <c r="H2245">
        <v>1600</v>
      </c>
      <c r="I2245">
        <v>19</v>
      </c>
      <c r="J2245">
        <v>135</v>
      </c>
      <c r="K2245">
        <v>-64</v>
      </c>
      <c r="L2245">
        <v>1200</v>
      </c>
      <c r="M2245" t="str">
        <f t="shared" si="114"/>
        <v xml:space="preserve">N35DC   </v>
      </c>
      <c r="N2245">
        <v>1</v>
      </c>
      <c r="O2245">
        <v>1675</v>
      </c>
    </row>
    <row r="2246" spans="1:15" x14ac:dyDescent="0.25">
      <c r="A2246" t="str">
        <f t="shared" si="127"/>
        <v>10/21/2020 18:30:21.255</v>
      </c>
      <c r="B2246" t="str">
        <f t="shared" si="128"/>
        <v>18:30:29.203</v>
      </c>
      <c r="C2246" t="str">
        <f t="shared" si="129"/>
        <v>18:30:28.803</v>
      </c>
      <c r="D2246" t="s">
        <v>873</v>
      </c>
      <c r="E2246">
        <v>30.633272999999999</v>
      </c>
      <c r="F2246" t="s">
        <v>874</v>
      </c>
      <c r="G2246">
        <v>-89.874086000000005</v>
      </c>
      <c r="H2246">
        <v>1600</v>
      </c>
      <c r="I2246">
        <v>19</v>
      </c>
      <c r="J2246">
        <v>135</v>
      </c>
      <c r="K2246">
        <v>-64</v>
      </c>
      <c r="L2246">
        <v>1200</v>
      </c>
      <c r="M2246" t="str">
        <f t="shared" si="114"/>
        <v xml:space="preserve">N35DC   </v>
      </c>
      <c r="N2246">
        <v>1</v>
      </c>
      <c r="O2246">
        <v>1675</v>
      </c>
    </row>
    <row r="2247" spans="1:15" x14ac:dyDescent="0.25">
      <c r="A2247" t="str">
        <f t="shared" si="127"/>
        <v>10/21/2020 18:30:21.255</v>
      </c>
      <c r="B2247" t="str">
        <f t="shared" si="128"/>
        <v>18:30:29.203</v>
      </c>
      <c r="C2247" t="str">
        <f t="shared" si="129"/>
        <v>18:30:28.803</v>
      </c>
      <c r="D2247" t="s">
        <v>873</v>
      </c>
      <c r="E2247">
        <v>30.633272999999999</v>
      </c>
      <c r="F2247" t="s">
        <v>874</v>
      </c>
      <c r="G2247">
        <v>-89.874086000000005</v>
      </c>
      <c r="H2247">
        <v>1600</v>
      </c>
      <c r="I2247">
        <v>19</v>
      </c>
      <c r="J2247">
        <v>135</v>
      </c>
      <c r="K2247">
        <v>-64</v>
      </c>
      <c r="L2247">
        <v>1200</v>
      </c>
      <c r="M2247" t="str">
        <f t="shared" ref="M2247:M2310" si="130">"N35DC   "</f>
        <v xml:space="preserve">N35DC   </v>
      </c>
      <c r="N2247">
        <v>1</v>
      </c>
      <c r="O2247">
        <v>1675</v>
      </c>
    </row>
    <row r="2248" spans="1:15" x14ac:dyDescent="0.25">
      <c r="A2248" t="str">
        <f t="shared" ref="A2248:A2253" si="131">"10/21/2020 18:30:22.243"</f>
        <v>10/21/2020 18:30:22.243</v>
      </c>
      <c r="B2248" t="str">
        <f t="shared" ref="B2248:B2253" si="132">"18:30:30.180"</f>
        <v>18:30:30.180</v>
      </c>
      <c r="C2248" t="str">
        <f t="shared" ref="C2248:C2253" si="133">"18:30:29.880"</f>
        <v>18:30:29.880</v>
      </c>
      <c r="D2248" t="s">
        <v>875</v>
      </c>
      <c r="E2248">
        <v>30.633873999999999</v>
      </c>
      <c r="F2248" t="s">
        <v>876</v>
      </c>
      <c r="G2248">
        <v>-89.873979000000006</v>
      </c>
      <c r="H2248">
        <v>1600</v>
      </c>
      <c r="I2248">
        <v>20</v>
      </c>
      <c r="J2248">
        <v>134</v>
      </c>
      <c r="K2248">
        <v>-64</v>
      </c>
      <c r="L2248">
        <v>1200</v>
      </c>
      <c r="M2248" t="str">
        <f t="shared" si="130"/>
        <v xml:space="preserve">N35DC   </v>
      </c>
      <c r="N2248">
        <v>1</v>
      </c>
      <c r="O2248">
        <v>1675</v>
      </c>
    </row>
    <row r="2249" spans="1:15" x14ac:dyDescent="0.25">
      <c r="A2249" t="str">
        <f t="shared" si="131"/>
        <v>10/21/2020 18:30:22.243</v>
      </c>
      <c r="B2249" t="str">
        <f t="shared" si="132"/>
        <v>18:30:30.180</v>
      </c>
      <c r="C2249" t="str">
        <f t="shared" si="133"/>
        <v>18:30:29.880</v>
      </c>
      <c r="D2249" t="s">
        <v>875</v>
      </c>
      <c r="E2249">
        <v>30.633873999999999</v>
      </c>
      <c r="F2249" t="s">
        <v>876</v>
      </c>
      <c r="G2249">
        <v>-89.873979000000006</v>
      </c>
      <c r="H2249">
        <v>1600</v>
      </c>
      <c r="I2249">
        <v>20</v>
      </c>
      <c r="J2249">
        <v>134</v>
      </c>
      <c r="K2249">
        <v>-64</v>
      </c>
      <c r="L2249">
        <v>1200</v>
      </c>
      <c r="M2249" t="str">
        <f t="shared" si="130"/>
        <v xml:space="preserve">N35DC   </v>
      </c>
      <c r="N2249">
        <v>1</v>
      </c>
      <c r="O2249">
        <v>1675</v>
      </c>
    </row>
    <row r="2250" spans="1:15" x14ac:dyDescent="0.25">
      <c r="A2250" t="str">
        <f t="shared" si="131"/>
        <v>10/21/2020 18:30:22.243</v>
      </c>
      <c r="B2250" t="str">
        <f t="shared" si="132"/>
        <v>18:30:30.180</v>
      </c>
      <c r="C2250" t="str">
        <f t="shared" si="133"/>
        <v>18:30:29.880</v>
      </c>
      <c r="D2250" t="s">
        <v>875</v>
      </c>
      <c r="E2250">
        <v>30.633873999999999</v>
      </c>
      <c r="F2250" t="s">
        <v>876</v>
      </c>
      <c r="G2250">
        <v>-89.873979000000006</v>
      </c>
      <c r="H2250">
        <v>1600</v>
      </c>
      <c r="I2250">
        <v>20</v>
      </c>
      <c r="J2250">
        <v>134</v>
      </c>
      <c r="K2250">
        <v>-64</v>
      </c>
      <c r="L2250">
        <v>1200</v>
      </c>
      <c r="M2250" t="str">
        <f t="shared" si="130"/>
        <v xml:space="preserve">N35DC   </v>
      </c>
      <c r="N2250">
        <v>1</v>
      </c>
      <c r="O2250">
        <v>1675</v>
      </c>
    </row>
    <row r="2251" spans="1:15" x14ac:dyDescent="0.25">
      <c r="A2251" t="str">
        <f t="shared" si="131"/>
        <v>10/21/2020 18:30:22.243</v>
      </c>
      <c r="B2251" t="str">
        <f t="shared" si="132"/>
        <v>18:30:30.180</v>
      </c>
      <c r="C2251" t="str">
        <f t="shared" si="133"/>
        <v>18:30:29.880</v>
      </c>
      <c r="D2251" t="s">
        <v>875</v>
      </c>
      <c r="E2251">
        <v>30.633873999999999</v>
      </c>
      <c r="F2251" t="s">
        <v>876</v>
      </c>
      <c r="G2251">
        <v>-89.873979000000006</v>
      </c>
      <c r="H2251">
        <v>1600</v>
      </c>
      <c r="I2251">
        <v>20</v>
      </c>
      <c r="J2251">
        <v>134</v>
      </c>
      <c r="K2251">
        <v>-64</v>
      </c>
      <c r="L2251">
        <v>1200</v>
      </c>
      <c r="M2251" t="str">
        <f t="shared" si="130"/>
        <v xml:space="preserve">N35DC   </v>
      </c>
      <c r="N2251">
        <v>1</v>
      </c>
      <c r="O2251">
        <v>1675</v>
      </c>
    </row>
    <row r="2252" spans="1:15" x14ac:dyDescent="0.25">
      <c r="A2252" t="str">
        <f t="shared" si="131"/>
        <v>10/21/2020 18:30:22.243</v>
      </c>
      <c r="B2252" t="str">
        <f t="shared" si="132"/>
        <v>18:30:30.180</v>
      </c>
      <c r="C2252" t="str">
        <f t="shared" si="133"/>
        <v>18:30:29.880</v>
      </c>
      <c r="D2252" t="s">
        <v>875</v>
      </c>
      <c r="E2252">
        <v>30.633873999999999</v>
      </c>
      <c r="F2252" t="s">
        <v>876</v>
      </c>
      <c r="G2252">
        <v>-89.873979000000006</v>
      </c>
      <c r="H2252">
        <v>1600</v>
      </c>
      <c r="I2252">
        <v>20</v>
      </c>
      <c r="J2252">
        <v>134</v>
      </c>
      <c r="K2252">
        <v>-64</v>
      </c>
      <c r="L2252">
        <v>1200</v>
      </c>
      <c r="M2252" t="str">
        <f t="shared" si="130"/>
        <v xml:space="preserve">N35DC   </v>
      </c>
      <c r="N2252">
        <v>1</v>
      </c>
      <c r="O2252">
        <v>1675</v>
      </c>
    </row>
    <row r="2253" spans="1:15" x14ac:dyDescent="0.25">
      <c r="A2253" t="str">
        <f t="shared" si="131"/>
        <v>10/21/2020 18:30:22.243</v>
      </c>
      <c r="B2253" t="str">
        <f t="shared" si="132"/>
        <v>18:30:30.180</v>
      </c>
      <c r="C2253" t="str">
        <f t="shared" si="133"/>
        <v>18:30:29.880</v>
      </c>
      <c r="D2253" t="s">
        <v>875</v>
      </c>
      <c r="E2253">
        <v>30.633873999999999</v>
      </c>
      <c r="F2253" t="s">
        <v>876</v>
      </c>
      <c r="G2253">
        <v>-89.873979000000006</v>
      </c>
      <c r="H2253">
        <v>1600</v>
      </c>
      <c r="I2253">
        <v>20</v>
      </c>
      <c r="J2253">
        <v>134</v>
      </c>
      <c r="K2253">
        <v>-64</v>
      </c>
      <c r="L2253">
        <v>1200</v>
      </c>
      <c r="M2253" t="str">
        <f t="shared" si="130"/>
        <v xml:space="preserve">N35DC   </v>
      </c>
      <c r="N2253">
        <v>1</v>
      </c>
      <c r="O2253">
        <v>1675</v>
      </c>
    </row>
    <row r="2254" spans="1:15" x14ac:dyDescent="0.25">
      <c r="A2254" t="str">
        <f>"10/21/2020 18:30:24.671"</f>
        <v>10/21/2020 18:30:24.671</v>
      </c>
      <c r="B2254" t="str">
        <f>"18:30:32.578"</f>
        <v>18:30:32.578</v>
      </c>
      <c r="C2254" t="str">
        <f>"18:30:32.278"</f>
        <v>18:30:32.278</v>
      </c>
      <c r="D2254" t="s">
        <v>877</v>
      </c>
      <c r="E2254">
        <v>30.635376000000001</v>
      </c>
      <c r="F2254" t="s">
        <v>476</v>
      </c>
      <c r="G2254">
        <v>-89.873656999999994</v>
      </c>
      <c r="H2254">
        <v>1600</v>
      </c>
      <c r="I2254">
        <v>23</v>
      </c>
      <c r="J2254">
        <v>132</v>
      </c>
      <c r="K2254">
        <v>0</v>
      </c>
      <c r="L2254">
        <v>1200</v>
      </c>
      <c r="M2254" t="str">
        <f t="shared" si="130"/>
        <v xml:space="preserve">N35DC   </v>
      </c>
      <c r="N2254">
        <v>1</v>
      </c>
      <c r="O2254">
        <v>1675</v>
      </c>
    </row>
    <row r="2255" spans="1:15" x14ac:dyDescent="0.25">
      <c r="A2255" t="str">
        <f>"10/21/2020 18:30:25.201"</f>
        <v>10/21/2020 18:30:25.201</v>
      </c>
      <c r="B2255" t="str">
        <f>"18:30:33.117"</f>
        <v>18:30:33.117</v>
      </c>
      <c r="C2255" t="str">
        <f>"18:30:32.717"</f>
        <v>18:30:32.717</v>
      </c>
      <c r="D2255" t="s">
        <v>878</v>
      </c>
      <c r="E2255">
        <v>30.635698000000001</v>
      </c>
      <c r="F2255" t="s">
        <v>879</v>
      </c>
      <c r="G2255">
        <v>-89.873593</v>
      </c>
      <c r="H2255">
        <v>1600</v>
      </c>
      <c r="I2255">
        <v>24</v>
      </c>
      <c r="J2255">
        <v>132</v>
      </c>
      <c r="K2255">
        <v>64</v>
      </c>
      <c r="L2255">
        <v>1200</v>
      </c>
      <c r="M2255" t="str">
        <f t="shared" si="130"/>
        <v xml:space="preserve">N35DC   </v>
      </c>
      <c r="N2255">
        <v>1</v>
      </c>
      <c r="O2255">
        <v>1675</v>
      </c>
    </row>
    <row r="2256" spans="1:15" x14ac:dyDescent="0.25">
      <c r="A2256" t="str">
        <f>"10/21/2020 18:30:25.201"</f>
        <v>10/21/2020 18:30:25.201</v>
      </c>
      <c r="B2256" t="str">
        <f>"18:30:33.117"</f>
        <v>18:30:33.117</v>
      </c>
      <c r="C2256" t="str">
        <f>"18:30:32.717"</f>
        <v>18:30:32.717</v>
      </c>
      <c r="D2256" t="s">
        <v>878</v>
      </c>
      <c r="E2256">
        <v>30.635698000000001</v>
      </c>
      <c r="F2256" t="s">
        <v>879</v>
      </c>
      <c r="G2256">
        <v>-89.873593</v>
      </c>
      <c r="H2256">
        <v>1600</v>
      </c>
      <c r="I2256">
        <v>24</v>
      </c>
      <c r="J2256">
        <v>132</v>
      </c>
      <c r="K2256">
        <v>64</v>
      </c>
      <c r="L2256">
        <v>1200</v>
      </c>
      <c r="M2256" t="str">
        <f t="shared" si="130"/>
        <v xml:space="preserve">N35DC   </v>
      </c>
      <c r="N2256">
        <v>1</v>
      </c>
      <c r="O2256">
        <v>1675</v>
      </c>
    </row>
    <row r="2257" spans="1:15" x14ac:dyDescent="0.25">
      <c r="A2257" t="str">
        <f>"10/21/2020 18:30:25.201"</f>
        <v>10/21/2020 18:30:25.201</v>
      </c>
      <c r="B2257" t="str">
        <f>"18:30:33.117"</f>
        <v>18:30:33.117</v>
      </c>
      <c r="C2257" t="str">
        <f>"18:30:32.717"</f>
        <v>18:30:32.717</v>
      </c>
      <c r="D2257" t="s">
        <v>878</v>
      </c>
      <c r="E2257">
        <v>30.635698000000001</v>
      </c>
      <c r="F2257" t="s">
        <v>879</v>
      </c>
      <c r="G2257">
        <v>-89.873593</v>
      </c>
      <c r="H2257">
        <v>1600</v>
      </c>
      <c r="I2257">
        <v>24</v>
      </c>
      <c r="J2257">
        <v>132</v>
      </c>
      <c r="K2257">
        <v>64</v>
      </c>
      <c r="L2257">
        <v>1200</v>
      </c>
      <c r="M2257" t="str">
        <f t="shared" si="130"/>
        <v xml:space="preserve">N35DC   </v>
      </c>
      <c r="N2257">
        <v>1</v>
      </c>
      <c r="O2257">
        <v>1675</v>
      </c>
    </row>
    <row r="2258" spans="1:15" x14ac:dyDescent="0.25">
      <c r="A2258" t="str">
        <f>"10/21/2020 18:30:25.201"</f>
        <v>10/21/2020 18:30:25.201</v>
      </c>
      <c r="B2258" t="str">
        <f>"18:30:33.117"</f>
        <v>18:30:33.117</v>
      </c>
      <c r="C2258" t="str">
        <f>"18:30:32.717"</f>
        <v>18:30:32.717</v>
      </c>
      <c r="D2258" t="s">
        <v>878</v>
      </c>
      <c r="E2258">
        <v>30.635698000000001</v>
      </c>
      <c r="F2258" t="s">
        <v>879</v>
      </c>
      <c r="G2258">
        <v>-89.873593</v>
      </c>
      <c r="H2258">
        <v>1600</v>
      </c>
      <c r="I2258">
        <v>24</v>
      </c>
      <c r="J2258">
        <v>132</v>
      </c>
      <c r="K2258">
        <v>64</v>
      </c>
      <c r="L2258">
        <v>1200</v>
      </c>
      <c r="M2258" t="str">
        <f t="shared" si="130"/>
        <v xml:space="preserve">N35DC   </v>
      </c>
      <c r="N2258">
        <v>1</v>
      </c>
      <c r="O2258">
        <v>1675</v>
      </c>
    </row>
    <row r="2259" spans="1:15" x14ac:dyDescent="0.25">
      <c r="A2259" t="str">
        <f>"10/21/2020 18:30:25.201"</f>
        <v>10/21/2020 18:30:25.201</v>
      </c>
      <c r="B2259" t="str">
        <f>"18:30:33.117"</f>
        <v>18:30:33.117</v>
      </c>
      <c r="C2259" t="str">
        <f>"18:30:32.717"</f>
        <v>18:30:32.717</v>
      </c>
      <c r="D2259" t="s">
        <v>878</v>
      </c>
      <c r="E2259">
        <v>30.635698000000001</v>
      </c>
      <c r="F2259" t="s">
        <v>879</v>
      </c>
      <c r="G2259">
        <v>-89.873593</v>
      </c>
      <c r="H2259">
        <v>1600</v>
      </c>
      <c r="I2259">
        <v>24</v>
      </c>
      <c r="J2259">
        <v>132</v>
      </c>
      <c r="K2259">
        <v>64</v>
      </c>
      <c r="L2259">
        <v>1200</v>
      </c>
      <c r="M2259" t="str">
        <f t="shared" si="130"/>
        <v xml:space="preserve">N35DC   </v>
      </c>
      <c r="N2259">
        <v>1</v>
      </c>
      <c r="O2259">
        <v>1675</v>
      </c>
    </row>
    <row r="2260" spans="1:15" x14ac:dyDescent="0.25">
      <c r="A2260" t="str">
        <f t="shared" ref="A2260:A2265" si="134">"10/21/2020 18:30:28.292"</f>
        <v>10/21/2020 18:30:28.292</v>
      </c>
      <c r="B2260" t="str">
        <f t="shared" ref="B2260:B2265" si="135">"18:30:36.227"</f>
        <v>18:30:36.227</v>
      </c>
      <c r="C2260" t="str">
        <f t="shared" ref="C2260:C2265" si="136">"18:30:35.827"</f>
        <v>18:30:35.827</v>
      </c>
      <c r="D2260" t="s">
        <v>880</v>
      </c>
      <c r="E2260">
        <v>30.637564999999999</v>
      </c>
      <c r="F2260" t="s">
        <v>881</v>
      </c>
      <c r="G2260">
        <v>-89.873164000000003</v>
      </c>
      <c r="H2260">
        <v>1600</v>
      </c>
      <c r="I2260">
        <v>28</v>
      </c>
      <c r="J2260">
        <v>130</v>
      </c>
      <c r="K2260">
        <v>64</v>
      </c>
      <c r="L2260">
        <v>1200</v>
      </c>
      <c r="M2260" t="str">
        <f t="shared" si="130"/>
        <v xml:space="preserve">N35DC   </v>
      </c>
      <c r="N2260">
        <v>1</v>
      </c>
      <c r="O2260">
        <v>1675</v>
      </c>
    </row>
    <row r="2261" spans="1:15" x14ac:dyDescent="0.25">
      <c r="A2261" t="str">
        <f t="shared" si="134"/>
        <v>10/21/2020 18:30:28.292</v>
      </c>
      <c r="B2261" t="str">
        <f t="shared" si="135"/>
        <v>18:30:36.227</v>
      </c>
      <c r="C2261" t="str">
        <f t="shared" si="136"/>
        <v>18:30:35.827</v>
      </c>
      <c r="D2261" t="s">
        <v>880</v>
      </c>
      <c r="E2261">
        <v>30.637564999999999</v>
      </c>
      <c r="F2261" t="s">
        <v>881</v>
      </c>
      <c r="G2261">
        <v>-89.873164000000003</v>
      </c>
      <c r="H2261">
        <v>1600</v>
      </c>
      <c r="I2261">
        <v>28</v>
      </c>
      <c r="J2261">
        <v>130</v>
      </c>
      <c r="K2261">
        <v>64</v>
      </c>
      <c r="L2261">
        <v>1200</v>
      </c>
      <c r="M2261" t="str">
        <f t="shared" si="130"/>
        <v xml:space="preserve">N35DC   </v>
      </c>
      <c r="N2261">
        <v>1</v>
      </c>
      <c r="O2261">
        <v>1675</v>
      </c>
    </row>
    <row r="2262" spans="1:15" x14ac:dyDescent="0.25">
      <c r="A2262" t="str">
        <f t="shared" si="134"/>
        <v>10/21/2020 18:30:28.292</v>
      </c>
      <c r="B2262" t="str">
        <f t="shared" si="135"/>
        <v>18:30:36.227</v>
      </c>
      <c r="C2262" t="str">
        <f t="shared" si="136"/>
        <v>18:30:35.827</v>
      </c>
      <c r="D2262" t="s">
        <v>880</v>
      </c>
      <c r="E2262">
        <v>30.637564999999999</v>
      </c>
      <c r="F2262" t="s">
        <v>881</v>
      </c>
      <c r="G2262">
        <v>-89.873164000000003</v>
      </c>
      <c r="H2262">
        <v>1600</v>
      </c>
      <c r="I2262">
        <v>28</v>
      </c>
      <c r="J2262">
        <v>130</v>
      </c>
      <c r="K2262">
        <v>64</v>
      </c>
      <c r="L2262">
        <v>1200</v>
      </c>
      <c r="M2262" t="str">
        <f t="shared" si="130"/>
        <v xml:space="preserve">N35DC   </v>
      </c>
      <c r="N2262">
        <v>1</v>
      </c>
      <c r="O2262">
        <v>1675</v>
      </c>
    </row>
    <row r="2263" spans="1:15" x14ac:dyDescent="0.25">
      <c r="A2263" t="str">
        <f t="shared" si="134"/>
        <v>10/21/2020 18:30:28.292</v>
      </c>
      <c r="B2263" t="str">
        <f t="shared" si="135"/>
        <v>18:30:36.227</v>
      </c>
      <c r="C2263" t="str">
        <f t="shared" si="136"/>
        <v>18:30:35.827</v>
      </c>
      <c r="D2263" t="s">
        <v>880</v>
      </c>
      <c r="E2263">
        <v>30.637564999999999</v>
      </c>
      <c r="F2263" t="s">
        <v>881</v>
      </c>
      <c r="G2263">
        <v>-89.873164000000003</v>
      </c>
      <c r="H2263">
        <v>1600</v>
      </c>
      <c r="I2263">
        <v>28</v>
      </c>
      <c r="J2263">
        <v>130</v>
      </c>
      <c r="K2263">
        <v>64</v>
      </c>
      <c r="L2263">
        <v>1200</v>
      </c>
      <c r="M2263" t="str">
        <f t="shared" si="130"/>
        <v xml:space="preserve">N35DC   </v>
      </c>
      <c r="N2263">
        <v>1</v>
      </c>
      <c r="O2263">
        <v>1675</v>
      </c>
    </row>
    <row r="2264" spans="1:15" x14ac:dyDescent="0.25">
      <c r="A2264" t="str">
        <f t="shared" si="134"/>
        <v>10/21/2020 18:30:28.292</v>
      </c>
      <c r="B2264" t="str">
        <f t="shared" si="135"/>
        <v>18:30:36.227</v>
      </c>
      <c r="C2264" t="str">
        <f t="shared" si="136"/>
        <v>18:30:35.827</v>
      </c>
      <c r="D2264" t="s">
        <v>880</v>
      </c>
      <c r="E2264">
        <v>30.637564999999999</v>
      </c>
      <c r="F2264" t="s">
        <v>881</v>
      </c>
      <c r="G2264">
        <v>-89.873164000000003</v>
      </c>
      <c r="H2264">
        <v>1600</v>
      </c>
      <c r="I2264">
        <v>28</v>
      </c>
      <c r="J2264">
        <v>130</v>
      </c>
      <c r="K2264">
        <v>64</v>
      </c>
      <c r="L2264">
        <v>1200</v>
      </c>
      <c r="M2264" t="str">
        <f t="shared" si="130"/>
        <v xml:space="preserve">N35DC   </v>
      </c>
      <c r="N2264">
        <v>1</v>
      </c>
      <c r="O2264">
        <v>1675</v>
      </c>
    </row>
    <row r="2265" spans="1:15" x14ac:dyDescent="0.25">
      <c r="A2265" t="str">
        <f t="shared" si="134"/>
        <v>10/21/2020 18:30:28.292</v>
      </c>
      <c r="B2265" t="str">
        <f t="shared" si="135"/>
        <v>18:30:36.227</v>
      </c>
      <c r="C2265" t="str">
        <f t="shared" si="136"/>
        <v>18:30:35.827</v>
      </c>
      <c r="D2265" t="s">
        <v>880</v>
      </c>
      <c r="E2265">
        <v>30.637564999999999</v>
      </c>
      <c r="F2265" t="s">
        <v>881</v>
      </c>
      <c r="G2265">
        <v>-89.873164000000003</v>
      </c>
      <c r="H2265">
        <v>1600</v>
      </c>
      <c r="I2265">
        <v>28</v>
      </c>
      <c r="J2265">
        <v>130</v>
      </c>
      <c r="K2265">
        <v>64</v>
      </c>
      <c r="L2265">
        <v>1200</v>
      </c>
      <c r="M2265" t="str">
        <f t="shared" si="130"/>
        <v xml:space="preserve">N35DC   </v>
      </c>
      <c r="N2265">
        <v>1</v>
      </c>
      <c r="O2265">
        <v>1675</v>
      </c>
    </row>
    <row r="2266" spans="1:15" x14ac:dyDescent="0.25">
      <c r="A2266" t="str">
        <f t="shared" ref="A2266:A2271" si="137">"10/21/2020 18:30:29.405"</f>
        <v>10/21/2020 18:30:29.405</v>
      </c>
      <c r="B2266" t="str">
        <f t="shared" ref="B2266:C2271" si="138">"18:30:37.352"</f>
        <v>18:30:37.352</v>
      </c>
      <c r="C2266" t="str">
        <f t="shared" si="138"/>
        <v>18:30:37.352</v>
      </c>
      <c r="D2266" t="s">
        <v>882</v>
      </c>
      <c r="E2266">
        <v>30.638207999999999</v>
      </c>
      <c r="F2266" t="s">
        <v>883</v>
      </c>
      <c r="G2266">
        <v>-89.872949000000006</v>
      </c>
      <c r="H2266">
        <v>1600</v>
      </c>
      <c r="I2266">
        <v>29</v>
      </c>
      <c r="J2266">
        <v>129</v>
      </c>
      <c r="K2266">
        <v>128</v>
      </c>
      <c r="L2266">
        <v>1200</v>
      </c>
      <c r="M2266" t="str">
        <f t="shared" si="130"/>
        <v xml:space="preserve">N35DC   </v>
      </c>
      <c r="N2266">
        <v>1</v>
      </c>
      <c r="O2266">
        <v>1700</v>
      </c>
    </row>
    <row r="2267" spans="1:15" x14ac:dyDescent="0.25">
      <c r="A2267" t="str">
        <f t="shared" si="137"/>
        <v>10/21/2020 18:30:29.405</v>
      </c>
      <c r="B2267" t="str">
        <f t="shared" si="138"/>
        <v>18:30:37.352</v>
      </c>
      <c r="C2267" t="str">
        <f t="shared" si="138"/>
        <v>18:30:37.352</v>
      </c>
      <c r="D2267" t="s">
        <v>882</v>
      </c>
      <c r="E2267">
        <v>30.638207999999999</v>
      </c>
      <c r="F2267" t="s">
        <v>883</v>
      </c>
      <c r="G2267">
        <v>-89.872949000000006</v>
      </c>
      <c r="H2267">
        <v>1600</v>
      </c>
      <c r="I2267">
        <v>29</v>
      </c>
      <c r="J2267">
        <v>129</v>
      </c>
      <c r="K2267">
        <v>128</v>
      </c>
      <c r="L2267">
        <v>1200</v>
      </c>
      <c r="M2267" t="str">
        <f t="shared" si="130"/>
        <v xml:space="preserve">N35DC   </v>
      </c>
      <c r="N2267">
        <v>1</v>
      </c>
      <c r="O2267">
        <v>1700</v>
      </c>
    </row>
    <row r="2268" spans="1:15" x14ac:dyDescent="0.25">
      <c r="A2268" t="str">
        <f t="shared" si="137"/>
        <v>10/21/2020 18:30:29.405</v>
      </c>
      <c r="B2268" t="str">
        <f t="shared" si="138"/>
        <v>18:30:37.352</v>
      </c>
      <c r="C2268" t="str">
        <f t="shared" si="138"/>
        <v>18:30:37.352</v>
      </c>
      <c r="D2268" t="s">
        <v>882</v>
      </c>
      <c r="E2268">
        <v>30.638207999999999</v>
      </c>
      <c r="F2268" t="s">
        <v>883</v>
      </c>
      <c r="G2268">
        <v>-89.872949000000006</v>
      </c>
      <c r="H2268">
        <v>1600</v>
      </c>
      <c r="I2268">
        <v>29</v>
      </c>
      <c r="J2268">
        <v>129</v>
      </c>
      <c r="K2268">
        <v>128</v>
      </c>
      <c r="L2268">
        <v>1200</v>
      </c>
      <c r="M2268" t="str">
        <f t="shared" si="130"/>
        <v xml:space="preserve">N35DC   </v>
      </c>
      <c r="N2268">
        <v>1</v>
      </c>
      <c r="O2268">
        <v>1700</v>
      </c>
    </row>
    <row r="2269" spans="1:15" x14ac:dyDescent="0.25">
      <c r="A2269" t="str">
        <f t="shared" si="137"/>
        <v>10/21/2020 18:30:29.405</v>
      </c>
      <c r="B2269" t="str">
        <f t="shared" si="138"/>
        <v>18:30:37.352</v>
      </c>
      <c r="C2269" t="str">
        <f t="shared" si="138"/>
        <v>18:30:37.352</v>
      </c>
      <c r="D2269" t="s">
        <v>882</v>
      </c>
      <c r="E2269">
        <v>30.638207999999999</v>
      </c>
      <c r="F2269" t="s">
        <v>883</v>
      </c>
      <c r="G2269">
        <v>-89.872949000000006</v>
      </c>
      <c r="H2269">
        <v>1600</v>
      </c>
      <c r="I2269">
        <v>29</v>
      </c>
      <c r="J2269">
        <v>129</v>
      </c>
      <c r="K2269">
        <v>128</v>
      </c>
      <c r="L2269">
        <v>1200</v>
      </c>
      <c r="M2269" t="str">
        <f t="shared" si="130"/>
        <v xml:space="preserve">N35DC   </v>
      </c>
      <c r="N2269">
        <v>1</v>
      </c>
      <c r="O2269">
        <v>1700</v>
      </c>
    </row>
    <row r="2270" spans="1:15" x14ac:dyDescent="0.25">
      <c r="A2270" t="str">
        <f t="shared" si="137"/>
        <v>10/21/2020 18:30:29.405</v>
      </c>
      <c r="B2270" t="str">
        <f t="shared" si="138"/>
        <v>18:30:37.352</v>
      </c>
      <c r="C2270" t="str">
        <f t="shared" si="138"/>
        <v>18:30:37.352</v>
      </c>
      <c r="D2270" t="s">
        <v>882</v>
      </c>
      <c r="E2270">
        <v>30.638207999999999</v>
      </c>
      <c r="F2270" t="s">
        <v>883</v>
      </c>
      <c r="G2270">
        <v>-89.872949000000006</v>
      </c>
      <c r="H2270">
        <v>1600</v>
      </c>
      <c r="I2270">
        <v>29</v>
      </c>
      <c r="J2270">
        <v>129</v>
      </c>
      <c r="K2270">
        <v>128</v>
      </c>
      <c r="L2270">
        <v>1200</v>
      </c>
      <c r="M2270" t="str">
        <f t="shared" si="130"/>
        <v xml:space="preserve">N35DC   </v>
      </c>
      <c r="N2270">
        <v>1</v>
      </c>
      <c r="O2270">
        <v>1700</v>
      </c>
    </row>
    <row r="2271" spans="1:15" x14ac:dyDescent="0.25">
      <c r="A2271" t="str">
        <f t="shared" si="137"/>
        <v>10/21/2020 18:30:29.405</v>
      </c>
      <c r="B2271" t="str">
        <f t="shared" si="138"/>
        <v>18:30:37.352</v>
      </c>
      <c r="C2271" t="str">
        <f t="shared" si="138"/>
        <v>18:30:37.352</v>
      </c>
      <c r="D2271" t="s">
        <v>882</v>
      </c>
      <c r="E2271">
        <v>30.638207999999999</v>
      </c>
      <c r="F2271" t="s">
        <v>883</v>
      </c>
      <c r="G2271">
        <v>-89.872949000000006</v>
      </c>
      <c r="H2271">
        <v>1600</v>
      </c>
      <c r="I2271">
        <v>29</v>
      </c>
      <c r="J2271">
        <v>129</v>
      </c>
      <c r="K2271">
        <v>128</v>
      </c>
      <c r="L2271">
        <v>1200</v>
      </c>
      <c r="M2271" t="str">
        <f t="shared" si="130"/>
        <v xml:space="preserve">N35DC   </v>
      </c>
      <c r="N2271">
        <v>1</v>
      </c>
      <c r="O2271">
        <v>1700</v>
      </c>
    </row>
    <row r="2272" spans="1:15" x14ac:dyDescent="0.25">
      <c r="A2272" t="str">
        <f>"10/21/2020 18:30:31.329"</f>
        <v>10/21/2020 18:30:31.329</v>
      </c>
      <c r="B2272" t="str">
        <f>"18:30:39.242"</f>
        <v>18:30:39.242</v>
      </c>
      <c r="C2272" t="str">
        <f>"18:30:39.042"</f>
        <v>18:30:39.042</v>
      </c>
      <c r="D2272" t="s">
        <v>884</v>
      </c>
      <c r="E2272">
        <v>30.639367</v>
      </c>
      <c r="F2272" t="s">
        <v>885</v>
      </c>
      <c r="G2272">
        <v>-89.872692000000001</v>
      </c>
      <c r="H2272">
        <v>1600</v>
      </c>
      <c r="I2272">
        <v>30</v>
      </c>
      <c r="J2272">
        <v>128</v>
      </c>
      <c r="K2272">
        <v>64</v>
      </c>
      <c r="L2272">
        <v>1200</v>
      </c>
      <c r="M2272" t="str">
        <f t="shared" si="130"/>
        <v xml:space="preserve">N35DC   </v>
      </c>
      <c r="N2272">
        <v>1</v>
      </c>
      <c r="O2272">
        <v>1700</v>
      </c>
    </row>
    <row r="2273" spans="1:15" x14ac:dyDescent="0.25">
      <c r="A2273" t="str">
        <f>"10/21/2020 18:30:31.329"</f>
        <v>10/21/2020 18:30:31.329</v>
      </c>
      <c r="B2273" t="str">
        <f>"18:30:39.242"</f>
        <v>18:30:39.242</v>
      </c>
      <c r="C2273" t="str">
        <f>"18:30:39.042"</f>
        <v>18:30:39.042</v>
      </c>
      <c r="D2273" t="s">
        <v>884</v>
      </c>
      <c r="E2273">
        <v>30.639367</v>
      </c>
      <c r="F2273" t="s">
        <v>885</v>
      </c>
      <c r="G2273">
        <v>-89.872692000000001</v>
      </c>
      <c r="H2273">
        <v>1600</v>
      </c>
      <c r="I2273">
        <v>30</v>
      </c>
      <c r="J2273">
        <v>128</v>
      </c>
      <c r="K2273">
        <v>64</v>
      </c>
      <c r="L2273">
        <v>1200</v>
      </c>
      <c r="M2273" t="str">
        <f t="shared" si="130"/>
        <v xml:space="preserve">N35DC   </v>
      </c>
      <c r="N2273">
        <v>1</v>
      </c>
      <c r="O2273">
        <v>1700</v>
      </c>
    </row>
    <row r="2274" spans="1:15" x14ac:dyDescent="0.25">
      <c r="A2274" t="str">
        <f>"10/21/2020 18:30:31.329"</f>
        <v>10/21/2020 18:30:31.329</v>
      </c>
      <c r="B2274" t="str">
        <f>"18:30:39.242"</f>
        <v>18:30:39.242</v>
      </c>
      <c r="C2274" t="str">
        <f>"18:30:39.042"</f>
        <v>18:30:39.042</v>
      </c>
      <c r="D2274" t="s">
        <v>884</v>
      </c>
      <c r="E2274">
        <v>30.639367</v>
      </c>
      <c r="F2274" t="s">
        <v>885</v>
      </c>
      <c r="G2274">
        <v>-89.872692000000001</v>
      </c>
      <c r="H2274">
        <v>1600</v>
      </c>
      <c r="I2274">
        <v>30</v>
      </c>
      <c r="J2274">
        <v>128</v>
      </c>
      <c r="K2274">
        <v>64</v>
      </c>
      <c r="L2274">
        <v>1200</v>
      </c>
      <c r="M2274" t="str">
        <f t="shared" si="130"/>
        <v xml:space="preserve">N35DC   </v>
      </c>
      <c r="N2274">
        <v>1</v>
      </c>
      <c r="O2274">
        <v>1700</v>
      </c>
    </row>
    <row r="2275" spans="1:15" x14ac:dyDescent="0.25">
      <c r="A2275" t="str">
        <f>"10/21/2020 18:30:31.329"</f>
        <v>10/21/2020 18:30:31.329</v>
      </c>
      <c r="B2275" t="str">
        <f>"18:30:39.242"</f>
        <v>18:30:39.242</v>
      </c>
      <c r="C2275" t="str">
        <f>"18:30:39.042"</f>
        <v>18:30:39.042</v>
      </c>
      <c r="D2275" t="s">
        <v>884</v>
      </c>
      <c r="E2275">
        <v>30.639367</v>
      </c>
      <c r="F2275" t="s">
        <v>885</v>
      </c>
      <c r="G2275">
        <v>-89.872692000000001</v>
      </c>
      <c r="H2275">
        <v>1600</v>
      </c>
      <c r="I2275">
        <v>30</v>
      </c>
      <c r="J2275">
        <v>128</v>
      </c>
      <c r="K2275">
        <v>64</v>
      </c>
      <c r="L2275">
        <v>1200</v>
      </c>
      <c r="M2275" t="str">
        <f t="shared" si="130"/>
        <v xml:space="preserve">N35DC   </v>
      </c>
      <c r="N2275">
        <v>1</v>
      </c>
      <c r="O2275">
        <v>1700</v>
      </c>
    </row>
    <row r="2276" spans="1:15" x14ac:dyDescent="0.25">
      <c r="A2276" t="str">
        <f>"10/21/2020 18:30:31.329"</f>
        <v>10/21/2020 18:30:31.329</v>
      </c>
      <c r="B2276" t="str">
        <f>"18:30:39.242"</f>
        <v>18:30:39.242</v>
      </c>
      <c r="C2276" t="str">
        <f>"18:30:39.042"</f>
        <v>18:30:39.042</v>
      </c>
      <c r="D2276" t="s">
        <v>884</v>
      </c>
      <c r="E2276">
        <v>30.639367</v>
      </c>
      <c r="F2276" t="s">
        <v>885</v>
      </c>
      <c r="G2276">
        <v>-89.872692000000001</v>
      </c>
      <c r="H2276">
        <v>1600</v>
      </c>
      <c r="I2276">
        <v>30</v>
      </c>
      <c r="J2276">
        <v>128</v>
      </c>
      <c r="K2276">
        <v>64</v>
      </c>
      <c r="L2276">
        <v>1200</v>
      </c>
      <c r="M2276" t="str">
        <f t="shared" si="130"/>
        <v xml:space="preserve">N35DC   </v>
      </c>
      <c r="N2276">
        <v>1</v>
      </c>
      <c r="O2276">
        <v>1700</v>
      </c>
    </row>
    <row r="2277" spans="1:15" x14ac:dyDescent="0.25">
      <c r="A2277" t="str">
        <f>"10/21/2020 18:30:31.868"</f>
        <v>10/21/2020 18:30:31.868</v>
      </c>
      <c r="B2277" t="str">
        <f>"18:30:39.766"</f>
        <v>18:30:39.766</v>
      </c>
      <c r="C2277" t="str">
        <f>"18:30:39.466"</f>
        <v>18:30:39.466</v>
      </c>
      <c r="D2277" t="s">
        <v>886</v>
      </c>
      <c r="E2277">
        <v>30.639689000000001</v>
      </c>
      <c r="F2277" t="s">
        <v>887</v>
      </c>
      <c r="G2277">
        <v>-89.872626999999994</v>
      </c>
      <c r="H2277">
        <v>1600</v>
      </c>
      <c r="I2277">
        <v>29</v>
      </c>
      <c r="J2277">
        <v>128</v>
      </c>
      <c r="K2277">
        <v>128</v>
      </c>
      <c r="L2277">
        <v>1200</v>
      </c>
      <c r="M2277" t="str">
        <f t="shared" si="130"/>
        <v xml:space="preserve">N35DC   </v>
      </c>
      <c r="N2277">
        <v>1</v>
      </c>
      <c r="O2277">
        <v>1700</v>
      </c>
    </row>
    <row r="2278" spans="1:15" x14ac:dyDescent="0.25">
      <c r="A2278" t="str">
        <f>"10/21/2020 18:30:32.239"</f>
        <v>10/21/2020 18:30:32.239</v>
      </c>
      <c r="B2278" t="str">
        <f>"18:30:40.172"</f>
        <v>18:30:40.172</v>
      </c>
      <c r="C2278" t="str">
        <f>"18:30:39.972"</f>
        <v>18:30:39.972</v>
      </c>
      <c r="D2278" t="s">
        <v>888</v>
      </c>
      <c r="E2278">
        <v>30.639904000000001</v>
      </c>
      <c r="F2278" t="s">
        <v>889</v>
      </c>
      <c r="G2278">
        <v>-89.872584000000003</v>
      </c>
      <c r="H2278">
        <v>1600</v>
      </c>
      <c r="I2278">
        <v>30</v>
      </c>
      <c r="J2278">
        <v>127</v>
      </c>
      <c r="K2278">
        <v>128</v>
      </c>
      <c r="L2278">
        <v>1200</v>
      </c>
      <c r="M2278" t="str">
        <f t="shared" si="130"/>
        <v xml:space="preserve">N35DC   </v>
      </c>
      <c r="N2278">
        <v>1</v>
      </c>
      <c r="O2278">
        <v>1700</v>
      </c>
    </row>
    <row r="2279" spans="1:15" x14ac:dyDescent="0.25">
      <c r="A2279" t="str">
        <f>"10/21/2020 18:30:32.239"</f>
        <v>10/21/2020 18:30:32.239</v>
      </c>
      <c r="B2279" t="str">
        <f>"18:30:40.172"</f>
        <v>18:30:40.172</v>
      </c>
      <c r="C2279" t="str">
        <f>"18:30:39.972"</f>
        <v>18:30:39.972</v>
      </c>
      <c r="D2279" t="s">
        <v>888</v>
      </c>
      <c r="E2279">
        <v>30.639904000000001</v>
      </c>
      <c r="F2279" t="s">
        <v>889</v>
      </c>
      <c r="G2279">
        <v>-89.872584000000003</v>
      </c>
      <c r="H2279">
        <v>1600</v>
      </c>
      <c r="I2279">
        <v>30</v>
      </c>
      <c r="J2279">
        <v>127</v>
      </c>
      <c r="K2279">
        <v>128</v>
      </c>
      <c r="L2279">
        <v>1200</v>
      </c>
      <c r="M2279" t="str">
        <f t="shared" si="130"/>
        <v xml:space="preserve">N35DC   </v>
      </c>
      <c r="N2279">
        <v>1</v>
      </c>
      <c r="O2279">
        <v>1700</v>
      </c>
    </row>
    <row r="2280" spans="1:15" x14ac:dyDescent="0.25">
      <c r="A2280" t="str">
        <f>"10/21/2020 18:30:32.239"</f>
        <v>10/21/2020 18:30:32.239</v>
      </c>
      <c r="B2280" t="str">
        <f>"18:30:40.172"</f>
        <v>18:30:40.172</v>
      </c>
      <c r="C2280" t="str">
        <f>"18:30:39.972"</f>
        <v>18:30:39.972</v>
      </c>
      <c r="D2280" t="s">
        <v>888</v>
      </c>
      <c r="E2280">
        <v>30.639904000000001</v>
      </c>
      <c r="F2280" t="s">
        <v>889</v>
      </c>
      <c r="G2280">
        <v>-89.872584000000003</v>
      </c>
      <c r="H2280">
        <v>1600</v>
      </c>
      <c r="I2280">
        <v>30</v>
      </c>
      <c r="J2280">
        <v>127</v>
      </c>
      <c r="K2280">
        <v>128</v>
      </c>
      <c r="L2280">
        <v>1200</v>
      </c>
      <c r="M2280" t="str">
        <f t="shared" si="130"/>
        <v xml:space="preserve">N35DC   </v>
      </c>
      <c r="N2280">
        <v>1</v>
      </c>
      <c r="O2280">
        <v>1700</v>
      </c>
    </row>
    <row r="2281" spans="1:15" x14ac:dyDescent="0.25">
      <c r="A2281" t="str">
        <f>"10/21/2020 18:30:32.239"</f>
        <v>10/21/2020 18:30:32.239</v>
      </c>
      <c r="B2281" t="str">
        <f>"18:30:40.172"</f>
        <v>18:30:40.172</v>
      </c>
      <c r="C2281" t="str">
        <f>"18:30:39.972"</f>
        <v>18:30:39.972</v>
      </c>
      <c r="D2281" t="s">
        <v>888</v>
      </c>
      <c r="E2281">
        <v>30.639904000000001</v>
      </c>
      <c r="F2281" t="s">
        <v>889</v>
      </c>
      <c r="G2281">
        <v>-89.872584000000003</v>
      </c>
      <c r="H2281">
        <v>1600</v>
      </c>
      <c r="I2281">
        <v>30</v>
      </c>
      <c r="J2281">
        <v>127</v>
      </c>
      <c r="K2281">
        <v>128</v>
      </c>
      <c r="L2281">
        <v>1200</v>
      </c>
      <c r="M2281" t="str">
        <f t="shared" si="130"/>
        <v xml:space="preserve">N35DC   </v>
      </c>
      <c r="N2281">
        <v>1</v>
      </c>
      <c r="O2281">
        <v>1700</v>
      </c>
    </row>
    <row r="2282" spans="1:15" x14ac:dyDescent="0.25">
      <c r="A2282" t="str">
        <f>"10/21/2020 18:30:32.239"</f>
        <v>10/21/2020 18:30:32.239</v>
      </c>
      <c r="B2282" t="str">
        <f>"18:30:40.172"</f>
        <v>18:30:40.172</v>
      </c>
      <c r="C2282" t="str">
        <f>"18:30:39.972"</f>
        <v>18:30:39.972</v>
      </c>
      <c r="D2282" t="s">
        <v>888</v>
      </c>
      <c r="E2282">
        <v>30.639904000000001</v>
      </c>
      <c r="F2282" t="s">
        <v>889</v>
      </c>
      <c r="G2282">
        <v>-89.872584000000003</v>
      </c>
      <c r="H2282">
        <v>1600</v>
      </c>
      <c r="I2282">
        <v>30</v>
      </c>
      <c r="J2282">
        <v>127</v>
      </c>
      <c r="K2282">
        <v>128</v>
      </c>
      <c r="L2282">
        <v>1200</v>
      </c>
      <c r="M2282" t="str">
        <f t="shared" si="130"/>
        <v xml:space="preserve">N35DC   </v>
      </c>
      <c r="N2282">
        <v>1</v>
      </c>
      <c r="O2282">
        <v>1700</v>
      </c>
    </row>
    <row r="2283" spans="1:15" x14ac:dyDescent="0.25">
      <c r="A2283" t="str">
        <f>"10/21/2020 18:30:32.775"</f>
        <v>10/21/2020 18:30:32.775</v>
      </c>
      <c r="B2283" t="str">
        <f>"18:30:40.727"</f>
        <v>18:30:40.727</v>
      </c>
      <c r="C2283" t="str">
        <f>"18:30:40.527"</f>
        <v>18:30:40.527</v>
      </c>
      <c r="D2283" t="s">
        <v>890</v>
      </c>
      <c r="E2283">
        <v>30.640225000000001</v>
      </c>
      <c r="F2283" t="s">
        <v>891</v>
      </c>
      <c r="G2283">
        <v>-89.872456</v>
      </c>
      <c r="H2283">
        <v>1600</v>
      </c>
      <c r="I2283">
        <v>30</v>
      </c>
      <c r="J2283">
        <v>127</v>
      </c>
      <c r="K2283">
        <v>192</v>
      </c>
      <c r="L2283">
        <v>1200</v>
      </c>
      <c r="M2283" t="str">
        <f t="shared" si="130"/>
        <v xml:space="preserve">N35DC   </v>
      </c>
      <c r="N2283">
        <v>1</v>
      </c>
      <c r="O2283">
        <v>1700</v>
      </c>
    </row>
    <row r="2284" spans="1:15" x14ac:dyDescent="0.25">
      <c r="A2284" t="str">
        <f>"10/21/2020 18:30:33.369"</f>
        <v>10/21/2020 18:30:33.369</v>
      </c>
      <c r="B2284" t="str">
        <f>"18:30:41.297"</f>
        <v>18:30:41.297</v>
      </c>
      <c r="C2284" t="str">
        <f>"18:30:41.097"</f>
        <v>18:30:41.097</v>
      </c>
      <c r="D2284" t="s">
        <v>892</v>
      </c>
      <c r="E2284">
        <v>30.640547000000002</v>
      </c>
      <c r="F2284" t="s">
        <v>893</v>
      </c>
      <c r="G2284">
        <v>-89.872370000000004</v>
      </c>
      <c r="H2284">
        <v>1600</v>
      </c>
      <c r="I2284">
        <v>30</v>
      </c>
      <c r="J2284">
        <v>126</v>
      </c>
      <c r="K2284">
        <v>192</v>
      </c>
      <c r="L2284">
        <v>1200</v>
      </c>
      <c r="M2284" t="str">
        <f t="shared" si="130"/>
        <v xml:space="preserve">N35DC   </v>
      </c>
      <c r="N2284">
        <v>1</v>
      </c>
      <c r="O2284">
        <v>1700</v>
      </c>
    </row>
    <row r="2285" spans="1:15" x14ac:dyDescent="0.25">
      <c r="A2285" t="str">
        <f>"10/21/2020 18:30:33.369"</f>
        <v>10/21/2020 18:30:33.369</v>
      </c>
      <c r="B2285" t="str">
        <f>"18:30:41.297"</f>
        <v>18:30:41.297</v>
      </c>
      <c r="C2285" t="str">
        <f>"18:30:41.097"</f>
        <v>18:30:41.097</v>
      </c>
      <c r="D2285" t="s">
        <v>892</v>
      </c>
      <c r="E2285">
        <v>30.640547000000002</v>
      </c>
      <c r="F2285" t="s">
        <v>893</v>
      </c>
      <c r="G2285">
        <v>-89.872370000000004</v>
      </c>
      <c r="H2285">
        <v>1600</v>
      </c>
      <c r="I2285">
        <v>30</v>
      </c>
      <c r="J2285">
        <v>126</v>
      </c>
      <c r="K2285">
        <v>192</v>
      </c>
      <c r="L2285">
        <v>1200</v>
      </c>
      <c r="M2285" t="str">
        <f t="shared" si="130"/>
        <v xml:space="preserve">N35DC   </v>
      </c>
      <c r="N2285">
        <v>1</v>
      </c>
      <c r="O2285">
        <v>1700</v>
      </c>
    </row>
    <row r="2286" spans="1:15" x14ac:dyDescent="0.25">
      <c r="A2286" t="str">
        <f>"10/21/2020 18:30:33.369"</f>
        <v>10/21/2020 18:30:33.369</v>
      </c>
      <c r="B2286" t="str">
        <f>"18:30:41.297"</f>
        <v>18:30:41.297</v>
      </c>
      <c r="C2286" t="str">
        <f>"18:30:41.097"</f>
        <v>18:30:41.097</v>
      </c>
      <c r="D2286" t="s">
        <v>892</v>
      </c>
      <c r="E2286">
        <v>30.640547000000002</v>
      </c>
      <c r="F2286" t="s">
        <v>893</v>
      </c>
      <c r="G2286">
        <v>-89.872370000000004</v>
      </c>
      <c r="H2286">
        <v>1600</v>
      </c>
      <c r="I2286">
        <v>30</v>
      </c>
      <c r="J2286">
        <v>126</v>
      </c>
      <c r="K2286">
        <v>192</v>
      </c>
      <c r="L2286">
        <v>1200</v>
      </c>
      <c r="M2286" t="str">
        <f t="shared" si="130"/>
        <v xml:space="preserve">N35DC   </v>
      </c>
      <c r="N2286">
        <v>1</v>
      </c>
      <c r="O2286">
        <v>1700</v>
      </c>
    </row>
    <row r="2287" spans="1:15" x14ac:dyDescent="0.25">
      <c r="A2287" t="str">
        <f>"10/21/2020 18:30:33.369"</f>
        <v>10/21/2020 18:30:33.369</v>
      </c>
      <c r="B2287" t="str">
        <f>"18:30:41.297"</f>
        <v>18:30:41.297</v>
      </c>
      <c r="C2287" t="str">
        <f>"18:30:41.097"</f>
        <v>18:30:41.097</v>
      </c>
      <c r="D2287" t="s">
        <v>892</v>
      </c>
      <c r="E2287">
        <v>30.640547000000002</v>
      </c>
      <c r="F2287" t="s">
        <v>893</v>
      </c>
      <c r="G2287">
        <v>-89.872370000000004</v>
      </c>
      <c r="H2287">
        <v>1600</v>
      </c>
      <c r="I2287">
        <v>30</v>
      </c>
      <c r="J2287">
        <v>126</v>
      </c>
      <c r="K2287">
        <v>192</v>
      </c>
      <c r="L2287">
        <v>1200</v>
      </c>
      <c r="M2287" t="str">
        <f t="shared" si="130"/>
        <v xml:space="preserve">N35DC   </v>
      </c>
      <c r="N2287">
        <v>1</v>
      </c>
      <c r="O2287">
        <v>1700</v>
      </c>
    </row>
    <row r="2288" spans="1:15" x14ac:dyDescent="0.25">
      <c r="A2288" t="str">
        <f>"10/21/2020 18:30:33.369"</f>
        <v>10/21/2020 18:30:33.369</v>
      </c>
      <c r="B2288" t="str">
        <f>"18:30:41.297"</f>
        <v>18:30:41.297</v>
      </c>
      <c r="C2288" t="str">
        <f>"18:30:41.097"</f>
        <v>18:30:41.097</v>
      </c>
      <c r="D2288" t="s">
        <v>892</v>
      </c>
      <c r="E2288">
        <v>30.640547000000002</v>
      </c>
      <c r="F2288" t="s">
        <v>893</v>
      </c>
      <c r="G2288">
        <v>-89.872370000000004</v>
      </c>
      <c r="H2288">
        <v>1600</v>
      </c>
      <c r="I2288">
        <v>30</v>
      </c>
      <c r="J2288">
        <v>126</v>
      </c>
      <c r="K2288">
        <v>192</v>
      </c>
      <c r="L2288">
        <v>1200</v>
      </c>
      <c r="M2288" t="str">
        <f t="shared" si="130"/>
        <v xml:space="preserve">N35DC   </v>
      </c>
      <c r="N2288">
        <v>1</v>
      </c>
      <c r="O2288">
        <v>1700</v>
      </c>
    </row>
    <row r="2289" spans="1:15" x14ac:dyDescent="0.25">
      <c r="A2289" t="str">
        <f>"10/21/2020 18:30:33.883"</f>
        <v>10/21/2020 18:30:33.883</v>
      </c>
      <c r="B2289" t="str">
        <f>"18:30:41.805"</f>
        <v>18:30:41.805</v>
      </c>
      <c r="C2289" t="str">
        <f>"18:30:41.505"</f>
        <v>18:30:41.505</v>
      </c>
      <c r="D2289" t="s">
        <v>894</v>
      </c>
      <c r="E2289">
        <v>30.640868999999999</v>
      </c>
      <c r="F2289" t="s">
        <v>703</v>
      </c>
      <c r="G2289">
        <v>-89.872283999999993</v>
      </c>
      <c r="H2289">
        <v>1600</v>
      </c>
      <c r="I2289">
        <v>31</v>
      </c>
      <c r="J2289">
        <v>126</v>
      </c>
      <c r="K2289">
        <v>192</v>
      </c>
      <c r="L2289">
        <v>1200</v>
      </c>
      <c r="M2289" t="str">
        <f t="shared" si="130"/>
        <v xml:space="preserve">N35DC   </v>
      </c>
      <c r="N2289">
        <v>1</v>
      </c>
      <c r="O2289">
        <v>1700</v>
      </c>
    </row>
    <row r="2290" spans="1:15" x14ac:dyDescent="0.25">
      <c r="A2290" t="str">
        <f>"10/21/2020 18:30:37.005"</f>
        <v>10/21/2020 18:30:37.005</v>
      </c>
      <c r="B2290" t="str">
        <f>"18:30:44.953"</f>
        <v>18:30:44.953</v>
      </c>
      <c r="C2290" t="str">
        <f>"18:30:44.853"</f>
        <v>18:30:44.853</v>
      </c>
      <c r="D2290" t="s">
        <v>895</v>
      </c>
      <c r="E2290">
        <v>30.642693000000001</v>
      </c>
      <c r="F2290" t="s">
        <v>896</v>
      </c>
      <c r="G2290">
        <v>-89.871725999999995</v>
      </c>
      <c r="H2290">
        <v>1600</v>
      </c>
      <c r="I2290">
        <v>34</v>
      </c>
      <c r="J2290">
        <v>124</v>
      </c>
      <c r="K2290">
        <v>-128</v>
      </c>
      <c r="L2290">
        <v>1200</v>
      </c>
      <c r="M2290" t="str">
        <f t="shared" si="130"/>
        <v xml:space="preserve">N35DC   </v>
      </c>
      <c r="N2290">
        <v>1</v>
      </c>
      <c r="O2290">
        <v>1700</v>
      </c>
    </row>
    <row r="2291" spans="1:15" x14ac:dyDescent="0.25">
      <c r="A2291" t="str">
        <f>"10/21/2020 18:30:37.506"</f>
        <v>10/21/2020 18:30:37.506</v>
      </c>
      <c r="B2291" t="str">
        <f>"18:30:45.445"</f>
        <v>18:30:45.445</v>
      </c>
      <c r="C2291" t="str">
        <f>"18:30:45.245"</f>
        <v>18:30:45.245</v>
      </c>
      <c r="D2291" t="s">
        <v>897</v>
      </c>
      <c r="E2291">
        <v>30.642972</v>
      </c>
      <c r="F2291" t="s">
        <v>472</v>
      </c>
      <c r="G2291">
        <v>-89.871618999999995</v>
      </c>
      <c r="H2291">
        <v>1600</v>
      </c>
      <c r="I2291">
        <v>34</v>
      </c>
      <c r="J2291">
        <v>124</v>
      </c>
      <c r="K2291">
        <v>-128</v>
      </c>
      <c r="L2291">
        <v>1200</v>
      </c>
      <c r="M2291" t="str">
        <f t="shared" si="130"/>
        <v xml:space="preserve">N35DC   </v>
      </c>
      <c r="N2291">
        <v>1</v>
      </c>
      <c r="O2291">
        <v>1700</v>
      </c>
    </row>
    <row r="2292" spans="1:15" x14ac:dyDescent="0.25">
      <c r="A2292" t="str">
        <f>"10/21/2020 18:30:37.506"</f>
        <v>10/21/2020 18:30:37.506</v>
      </c>
      <c r="B2292" t="str">
        <f>"18:30:45.445"</f>
        <v>18:30:45.445</v>
      </c>
      <c r="C2292" t="str">
        <f>"18:30:45.245"</f>
        <v>18:30:45.245</v>
      </c>
      <c r="D2292" t="s">
        <v>897</v>
      </c>
      <c r="E2292">
        <v>30.642972</v>
      </c>
      <c r="F2292" t="s">
        <v>472</v>
      </c>
      <c r="G2292">
        <v>-89.871618999999995</v>
      </c>
      <c r="H2292">
        <v>1600</v>
      </c>
      <c r="I2292">
        <v>34</v>
      </c>
      <c r="J2292">
        <v>124</v>
      </c>
      <c r="K2292">
        <v>-128</v>
      </c>
      <c r="L2292">
        <v>1200</v>
      </c>
      <c r="M2292" t="str">
        <f t="shared" si="130"/>
        <v xml:space="preserve">N35DC   </v>
      </c>
      <c r="N2292">
        <v>1</v>
      </c>
      <c r="O2292">
        <v>1700</v>
      </c>
    </row>
    <row r="2293" spans="1:15" x14ac:dyDescent="0.25">
      <c r="A2293" t="str">
        <f>"10/21/2020 18:30:37.506"</f>
        <v>10/21/2020 18:30:37.506</v>
      </c>
      <c r="B2293" t="str">
        <f>"18:30:45.445"</f>
        <v>18:30:45.445</v>
      </c>
      <c r="C2293" t="str">
        <f>"18:30:45.245"</f>
        <v>18:30:45.245</v>
      </c>
      <c r="D2293" t="s">
        <v>897</v>
      </c>
      <c r="E2293">
        <v>30.642972</v>
      </c>
      <c r="F2293" t="s">
        <v>472</v>
      </c>
      <c r="G2293">
        <v>-89.871618999999995</v>
      </c>
      <c r="H2293">
        <v>1600</v>
      </c>
      <c r="I2293">
        <v>34</v>
      </c>
      <c r="J2293">
        <v>124</v>
      </c>
      <c r="K2293">
        <v>-128</v>
      </c>
      <c r="L2293">
        <v>1200</v>
      </c>
      <c r="M2293" t="str">
        <f t="shared" si="130"/>
        <v xml:space="preserve">N35DC   </v>
      </c>
      <c r="N2293">
        <v>1</v>
      </c>
      <c r="O2293">
        <v>1700</v>
      </c>
    </row>
    <row r="2294" spans="1:15" x14ac:dyDescent="0.25">
      <c r="A2294" t="str">
        <f>"10/21/2020 18:30:37.506"</f>
        <v>10/21/2020 18:30:37.506</v>
      </c>
      <c r="B2294" t="str">
        <f>"18:30:45.445"</f>
        <v>18:30:45.445</v>
      </c>
      <c r="C2294" t="str">
        <f>"18:30:45.245"</f>
        <v>18:30:45.245</v>
      </c>
      <c r="D2294" t="s">
        <v>897</v>
      </c>
      <c r="E2294">
        <v>30.642972</v>
      </c>
      <c r="F2294" t="s">
        <v>472</v>
      </c>
      <c r="G2294">
        <v>-89.871618999999995</v>
      </c>
      <c r="H2294">
        <v>1600</v>
      </c>
      <c r="I2294">
        <v>34</v>
      </c>
      <c r="J2294">
        <v>124</v>
      </c>
      <c r="K2294">
        <v>-128</v>
      </c>
      <c r="L2294">
        <v>1200</v>
      </c>
      <c r="M2294" t="str">
        <f t="shared" si="130"/>
        <v xml:space="preserve">N35DC   </v>
      </c>
      <c r="N2294">
        <v>1</v>
      </c>
      <c r="O2294">
        <v>1700</v>
      </c>
    </row>
    <row r="2295" spans="1:15" x14ac:dyDescent="0.25">
      <c r="A2295" t="str">
        <f>"10/21/2020 18:30:37.506"</f>
        <v>10/21/2020 18:30:37.506</v>
      </c>
      <c r="B2295" t="str">
        <f>"18:30:45.445"</f>
        <v>18:30:45.445</v>
      </c>
      <c r="C2295" t="str">
        <f>"18:30:45.245"</f>
        <v>18:30:45.245</v>
      </c>
      <c r="D2295" t="s">
        <v>897</v>
      </c>
      <c r="E2295">
        <v>30.642972</v>
      </c>
      <c r="F2295" t="s">
        <v>472</v>
      </c>
      <c r="G2295">
        <v>-89.871618999999995</v>
      </c>
      <c r="H2295">
        <v>1600</v>
      </c>
      <c r="I2295">
        <v>34</v>
      </c>
      <c r="J2295">
        <v>124</v>
      </c>
      <c r="K2295">
        <v>-128</v>
      </c>
      <c r="L2295">
        <v>1200</v>
      </c>
      <c r="M2295" t="str">
        <f t="shared" si="130"/>
        <v xml:space="preserve">N35DC   </v>
      </c>
      <c r="N2295">
        <v>1</v>
      </c>
      <c r="O2295">
        <v>1700</v>
      </c>
    </row>
    <row r="2296" spans="1:15" x14ac:dyDescent="0.25">
      <c r="A2296" t="str">
        <f>"10/21/2020 18:30:38.022"</f>
        <v>10/21/2020 18:30:38.022</v>
      </c>
      <c r="B2296" t="str">
        <f>"18:30:45.930"</f>
        <v>18:30:45.930</v>
      </c>
      <c r="C2296" t="str">
        <f>"18:30:45.230"</f>
        <v>18:30:45.230</v>
      </c>
      <c r="D2296" t="s">
        <v>898</v>
      </c>
      <c r="E2296">
        <v>30.643250999999999</v>
      </c>
      <c r="F2296" t="s">
        <v>899</v>
      </c>
      <c r="G2296">
        <v>-89.871510999999998</v>
      </c>
      <c r="H2296">
        <v>1600</v>
      </c>
      <c r="I2296">
        <v>34</v>
      </c>
      <c r="J2296">
        <v>124</v>
      </c>
      <c r="K2296">
        <v>-128</v>
      </c>
      <c r="L2296">
        <v>1200</v>
      </c>
      <c r="M2296" t="str">
        <f t="shared" si="130"/>
        <v xml:space="preserve">N35DC   </v>
      </c>
      <c r="N2296">
        <v>1</v>
      </c>
      <c r="O2296">
        <v>1700</v>
      </c>
    </row>
    <row r="2297" spans="1:15" x14ac:dyDescent="0.25">
      <c r="A2297" t="str">
        <f>"10/21/2020 18:30:38.415"</f>
        <v>10/21/2020 18:30:38.415</v>
      </c>
      <c r="B2297" t="str">
        <f>"18:30:46.359"</f>
        <v>18:30:46.359</v>
      </c>
      <c r="C2297" t="str">
        <f>"18:30:46.259"</f>
        <v>18:30:46.259</v>
      </c>
      <c r="D2297" t="s">
        <v>900</v>
      </c>
      <c r="E2297">
        <v>30.643466</v>
      </c>
      <c r="F2297" t="s">
        <v>901</v>
      </c>
      <c r="G2297">
        <v>-89.871469000000005</v>
      </c>
      <c r="H2297">
        <v>1600</v>
      </c>
      <c r="I2297">
        <v>35</v>
      </c>
      <c r="J2297">
        <v>124</v>
      </c>
      <c r="K2297">
        <v>0</v>
      </c>
      <c r="L2297">
        <v>1200</v>
      </c>
      <c r="M2297" t="str">
        <f t="shared" si="130"/>
        <v xml:space="preserve">N35DC   </v>
      </c>
      <c r="N2297">
        <v>1</v>
      </c>
      <c r="O2297">
        <v>1700</v>
      </c>
    </row>
    <row r="2298" spans="1:15" x14ac:dyDescent="0.25">
      <c r="A2298" t="str">
        <f>"10/21/2020 18:30:38.415"</f>
        <v>10/21/2020 18:30:38.415</v>
      </c>
      <c r="B2298" t="str">
        <f>"18:30:46.359"</f>
        <v>18:30:46.359</v>
      </c>
      <c r="C2298" t="str">
        <f>"18:30:46.259"</f>
        <v>18:30:46.259</v>
      </c>
      <c r="D2298" t="s">
        <v>900</v>
      </c>
      <c r="E2298">
        <v>30.643466</v>
      </c>
      <c r="F2298" t="s">
        <v>901</v>
      </c>
      <c r="G2298">
        <v>-89.871469000000005</v>
      </c>
      <c r="H2298">
        <v>1600</v>
      </c>
      <c r="I2298">
        <v>35</v>
      </c>
      <c r="J2298">
        <v>124</v>
      </c>
      <c r="K2298">
        <v>0</v>
      </c>
      <c r="L2298">
        <v>1200</v>
      </c>
      <c r="M2298" t="str">
        <f t="shared" si="130"/>
        <v xml:space="preserve">N35DC   </v>
      </c>
      <c r="N2298">
        <v>1</v>
      </c>
      <c r="O2298">
        <v>1700</v>
      </c>
    </row>
    <row r="2299" spans="1:15" x14ac:dyDescent="0.25">
      <c r="A2299" t="str">
        <f>"10/21/2020 18:30:38.415"</f>
        <v>10/21/2020 18:30:38.415</v>
      </c>
      <c r="B2299" t="str">
        <f>"18:30:46.359"</f>
        <v>18:30:46.359</v>
      </c>
      <c r="C2299" t="str">
        <f>"18:30:46.259"</f>
        <v>18:30:46.259</v>
      </c>
      <c r="D2299" t="s">
        <v>900</v>
      </c>
      <c r="E2299">
        <v>30.643466</v>
      </c>
      <c r="F2299" t="s">
        <v>901</v>
      </c>
      <c r="G2299">
        <v>-89.871469000000005</v>
      </c>
      <c r="H2299">
        <v>1600</v>
      </c>
      <c r="I2299">
        <v>35</v>
      </c>
      <c r="J2299">
        <v>124</v>
      </c>
      <c r="K2299">
        <v>0</v>
      </c>
      <c r="L2299">
        <v>1200</v>
      </c>
      <c r="M2299" t="str">
        <f t="shared" si="130"/>
        <v xml:space="preserve">N35DC   </v>
      </c>
      <c r="N2299">
        <v>1</v>
      </c>
      <c r="O2299">
        <v>1700</v>
      </c>
    </row>
    <row r="2300" spans="1:15" x14ac:dyDescent="0.25">
      <c r="A2300" t="str">
        <f>"10/21/2020 18:30:38.415"</f>
        <v>10/21/2020 18:30:38.415</v>
      </c>
      <c r="B2300" t="str">
        <f>"18:30:46.359"</f>
        <v>18:30:46.359</v>
      </c>
      <c r="C2300" t="str">
        <f>"18:30:46.259"</f>
        <v>18:30:46.259</v>
      </c>
      <c r="D2300" t="s">
        <v>900</v>
      </c>
      <c r="E2300">
        <v>30.643466</v>
      </c>
      <c r="F2300" t="s">
        <v>901</v>
      </c>
      <c r="G2300">
        <v>-89.871469000000005</v>
      </c>
      <c r="H2300">
        <v>1600</v>
      </c>
      <c r="I2300">
        <v>35</v>
      </c>
      <c r="J2300">
        <v>124</v>
      </c>
      <c r="K2300">
        <v>0</v>
      </c>
      <c r="L2300">
        <v>1200</v>
      </c>
      <c r="M2300" t="str">
        <f t="shared" si="130"/>
        <v xml:space="preserve">N35DC   </v>
      </c>
      <c r="N2300">
        <v>1</v>
      </c>
      <c r="O2300">
        <v>1700</v>
      </c>
    </row>
    <row r="2301" spans="1:15" x14ac:dyDescent="0.25">
      <c r="A2301" t="str">
        <f>"10/21/2020 18:30:38.415"</f>
        <v>10/21/2020 18:30:38.415</v>
      </c>
      <c r="B2301" t="str">
        <f>"18:30:46.359"</f>
        <v>18:30:46.359</v>
      </c>
      <c r="C2301" t="str">
        <f>"18:30:46.259"</f>
        <v>18:30:46.259</v>
      </c>
      <c r="D2301" t="s">
        <v>900</v>
      </c>
      <c r="E2301">
        <v>30.643466</v>
      </c>
      <c r="F2301" t="s">
        <v>901</v>
      </c>
      <c r="G2301">
        <v>-89.871469000000005</v>
      </c>
      <c r="H2301">
        <v>1600</v>
      </c>
      <c r="I2301">
        <v>35</v>
      </c>
      <c r="J2301">
        <v>124</v>
      </c>
      <c r="K2301">
        <v>0</v>
      </c>
      <c r="L2301">
        <v>1200</v>
      </c>
      <c r="M2301" t="str">
        <f t="shared" si="130"/>
        <v xml:space="preserve">N35DC   </v>
      </c>
      <c r="N2301">
        <v>1</v>
      </c>
      <c r="O2301">
        <v>1700</v>
      </c>
    </row>
    <row r="2302" spans="1:15" x14ac:dyDescent="0.25">
      <c r="A2302" t="str">
        <f>"10/21/2020 18:30:40.582"</f>
        <v>10/21/2020 18:30:40.582</v>
      </c>
      <c r="B2302" t="str">
        <f>"18:30:48.508"</f>
        <v>18:30:48.508</v>
      </c>
      <c r="C2302" t="str">
        <f>"18:30:48.408"</f>
        <v>18:30:48.408</v>
      </c>
      <c r="D2302" t="s">
        <v>902</v>
      </c>
      <c r="E2302">
        <v>30.64471</v>
      </c>
      <c r="F2302" t="s">
        <v>903</v>
      </c>
      <c r="G2302">
        <v>-89.871082000000001</v>
      </c>
      <c r="H2302">
        <v>1600</v>
      </c>
      <c r="I2302">
        <v>34</v>
      </c>
      <c r="J2302">
        <v>123</v>
      </c>
      <c r="K2302">
        <v>0</v>
      </c>
      <c r="L2302">
        <v>1200</v>
      </c>
      <c r="M2302" t="str">
        <f t="shared" si="130"/>
        <v xml:space="preserve">N35DC   </v>
      </c>
      <c r="N2302">
        <v>1</v>
      </c>
      <c r="O2302">
        <v>1700</v>
      </c>
    </row>
    <row r="2303" spans="1:15" x14ac:dyDescent="0.25">
      <c r="A2303" t="str">
        <f>"10/21/2020 18:30:40.582"</f>
        <v>10/21/2020 18:30:40.582</v>
      </c>
      <c r="B2303" t="str">
        <f>"18:30:48.508"</f>
        <v>18:30:48.508</v>
      </c>
      <c r="C2303" t="str">
        <f>"18:30:48.408"</f>
        <v>18:30:48.408</v>
      </c>
      <c r="D2303" t="s">
        <v>902</v>
      </c>
      <c r="E2303">
        <v>30.64471</v>
      </c>
      <c r="F2303" t="s">
        <v>903</v>
      </c>
      <c r="G2303">
        <v>-89.871082000000001</v>
      </c>
      <c r="H2303">
        <v>1600</v>
      </c>
      <c r="I2303">
        <v>34</v>
      </c>
      <c r="J2303">
        <v>123</v>
      </c>
      <c r="K2303">
        <v>0</v>
      </c>
      <c r="L2303">
        <v>1200</v>
      </c>
      <c r="M2303" t="str">
        <f t="shared" si="130"/>
        <v xml:space="preserve">N35DC   </v>
      </c>
      <c r="N2303">
        <v>1</v>
      </c>
      <c r="O2303">
        <v>1700</v>
      </c>
    </row>
    <row r="2304" spans="1:15" x14ac:dyDescent="0.25">
      <c r="A2304" t="str">
        <f>"10/21/2020 18:30:40.582"</f>
        <v>10/21/2020 18:30:40.582</v>
      </c>
      <c r="B2304" t="str">
        <f>"18:30:48.508"</f>
        <v>18:30:48.508</v>
      </c>
      <c r="C2304" t="str">
        <f>"18:30:48.408"</f>
        <v>18:30:48.408</v>
      </c>
      <c r="D2304" t="s">
        <v>902</v>
      </c>
      <c r="E2304">
        <v>30.64471</v>
      </c>
      <c r="F2304" t="s">
        <v>903</v>
      </c>
      <c r="G2304">
        <v>-89.871082000000001</v>
      </c>
      <c r="H2304">
        <v>1600</v>
      </c>
      <c r="I2304">
        <v>34</v>
      </c>
      <c r="J2304">
        <v>123</v>
      </c>
      <c r="K2304">
        <v>0</v>
      </c>
      <c r="L2304">
        <v>1200</v>
      </c>
      <c r="M2304" t="str">
        <f t="shared" si="130"/>
        <v xml:space="preserve">N35DC   </v>
      </c>
      <c r="N2304">
        <v>1</v>
      </c>
      <c r="O2304">
        <v>1700</v>
      </c>
    </row>
    <row r="2305" spans="1:15" x14ac:dyDescent="0.25">
      <c r="A2305" t="str">
        <f>"10/21/2020 18:30:40.582"</f>
        <v>10/21/2020 18:30:40.582</v>
      </c>
      <c r="B2305" t="str">
        <f>"18:30:48.508"</f>
        <v>18:30:48.508</v>
      </c>
      <c r="C2305" t="str">
        <f>"18:30:48.408"</f>
        <v>18:30:48.408</v>
      </c>
      <c r="D2305" t="s">
        <v>902</v>
      </c>
      <c r="E2305">
        <v>30.64471</v>
      </c>
      <c r="F2305" t="s">
        <v>903</v>
      </c>
      <c r="G2305">
        <v>-89.871082000000001</v>
      </c>
      <c r="H2305">
        <v>1600</v>
      </c>
      <c r="I2305">
        <v>34</v>
      </c>
      <c r="J2305">
        <v>123</v>
      </c>
      <c r="K2305">
        <v>0</v>
      </c>
      <c r="L2305">
        <v>1200</v>
      </c>
      <c r="M2305" t="str">
        <f t="shared" si="130"/>
        <v xml:space="preserve">N35DC   </v>
      </c>
      <c r="N2305">
        <v>1</v>
      </c>
      <c r="O2305">
        <v>1700</v>
      </c>
    </row>
    <row r="2306" spans="1:15" x14ac:dyDescent="0.25">
      <c r="A2306" t="str">
        <f>"10/21/2020 18:30:40.582"</f>
        <v>10/21/2020 18:30:40.582</v>
      </c>
      <c r="B2306" t="str">
        <f>"18:30:48.508"</f>
        <v>18:30:48.508</v>
      </c>
      <c r="C2306" t="str">
        <f>"18:30:48.408"</f>
        <v>18:30:48.408</v>
      </c>
      <c r="D2306" t="s">
        <v>902</v>
      </c>
      <c r="E2306">
        <v>30.64471</v>
      </c>
      <c r="F2306" t="s">
        <v>903</v>
      </c>
      <c r="G2306">
        <v>-89.871082000000001</v>
      </c>
      <c r="H2306">
        <v>1600</v>
      </c>
      <c r="I2306">
        <v>34</v>
      </c>
      <c r="J2306">
        <v>123</v>
      </c>
      <c r="K2306">
        <v>0</v>
      </c>
      <c r="L2306">
        <v>1200</v>
      </c>
      <c r="M2306" t="str">
        <f t="shared" si="130"/>
        <v xml:space="preserve">N35DC   </v>
      </c>
      <c r="N2306">
        <v>1</v>
      </c>
      <c r="O2306">
        <v>1700</v>
      </c>
    </row>
    <row r="2307" spans="1:15" x14ac:dyDescent="0.25">
      <c r="A2307" t="str">
        <f>"10/21/2020 18:30:41.038"</f>
        <v>10/21/2020 18:30:41.038</v>
      </c>
      <c r="B2307" t="str">
        <f>"18:30:48.930"</f>
        <v>18:30:48.930</v>
      </c>
      <c r="C2307" t="str">
        <f>"18:30:48.830"</f>
        <v>18:30:48.830</v>
      </c>
      <c r="D2307" t="s">
        <v>904</v>
      </c>
      <c r="E2307">
        <v>30.644988999999999</v>
      </c>
      <c r="F2307" t="s">
        <v>905</v>
      </c>
      <c r="G2307">
        <v>-89.870975000000001</v>
      </c>
      <c r="H2307">
        <v>1600</v>
      </c>
      <c r="I2307">
        <v>33</v>
      </c>
      <c r="J2307">
        <v>123</v>
      </c>
      <c r="K2307">
        <v>64</v>
      </c>
      <c r="L2307">
        <v>1200</v>
      </c>
      <c r="M2307" t="str">
        <f t="shared" si="130"/>
        <v xml:space="preserve">N35DC   </v>
      </c>
      <c r="N2307">
        <v>1</v>
      </c>
      <c r="O2307">
        <v>1700</v>
      </c>
    </row>
    <row r="2308" spans="1:15" x14ac:dyDescent="0.25">
      <c r="A2308" t="str">
        <f t="shared" ref="A2308:A2313" si="139">"10/21/2020 18:30:45.397"</f>
        <v>10/21/2020 18:30:45.397</v>
      </c>
      <c r="B2308" t="str">
        <f t="shared" ref="B2308:B2313" si="140">"18:30:53.336"</f>
        <v>18:30:53.336</v>
      </c>
      <c r="C2308" t="str">
        <f t="shared" ref="C2308:C2313" si="141">"18:30:53.136"</f>
        <v>18:30:53.136</v>
      </c>
      <c r="D2308" t="s">
        <v>906</v>
      </c>
      <c r="E2308">
        <v>30.647500000000001</v>
      </c>
      <c r="F2308" t="s">
        <v>907</v>
      </c>
      <c r="G2308">
        <v>-89.870310000000003</v>
      </c>
      <c r="H2308">
        <v>1600</v>
      </c>
      <c r="I2308">
        <v>26</v>
      </c>
      <c r="J2308">
        <v>124</v>
      </c>
      <c r="K2308">
        <v>-128</v>
      </c>
      <c r="L2308">
        <v>1200</v>
      </c>
      <c r="M2308" t="str">
        <f t="shared" si="130"/>
        <v xml:space="preserve">N35DC   </v>
      </c>
      <c r="N2308">
        <v>1</v>
      </c>
      <c r="O2308">
        <v>1700</v>
      </c>
    </row>
    <row r="2309" spans="1:15" x14ac:dyDescent="0.25">
      <c r="A2309" t="str">
        <f t="shared" si="139"/>
        <v>10/21/2020 18:30:45.397</v>
      </c>
      <c r="B2309" t="str">
        <f t="shared" si="140"/>
        <v>18:30:53.336</v>
      </c>
      <c r="C2309" t="str">
        <f t="shared" si="141"/>
        <v>18:30:53.136</v>
      </c>
      <c r="D2309" t="s">
        <v>906</v>
      </c>
      <c r="E2309">
        <v>30.647500000000001</v>
      </c>
      <c r="F2309" t="s">
        <v>907</v>
      </c>
      <c r="G2309">
        <v>-89.870310000000003</v>
      </c>
      <c r="H2309">
        <v>1600</v>
      </c>
      <c r="I2309">
        <v>26</v>
      </c>
      <c r="J2309">
        <v>124</v>
      </c>
      <c r="K2309">
        <v>-128</v>
      </c>
      <c r="L2309">
        <v>1200</v>
      </c>
      <c r="M2309" t="str">
        <f t="shared" si="130"/>
        <v xml:space="preserve">N35DC   </v>
      </c>
      <c r="N2309">
        <v>1</v>
      </c>
      <c r="O2309">
        <v>1700</v>
      </c>
    </row>
    <row r="2310" spans="1:15" x14ac:dyDescent="0.25">
      <c r="A2310" t="str">
        <f t="shared" si="139"/>
        <v>10/21/2020 18:30:45.397</v>
      </c>
      <c r="B2310" t="str">
        <f t="shared" si="140"/>
        <v>18:30:53.336</v>
      </c>
      <c r="C2310" t="str">
        <f t="shared" si="141"/>
        <v>18:30:53.136</v>
      </c>
      <c r="D2310" t="s">
        <v>906</v>
      </c>
      <c r="E2310">
        <v>30.647500000000001</v>
      </c>
      <c r="F2310" t="s">
        <v>907</v>
      </c>
      <c r="G2310">
        <v>-89.870310000000003</v>
      </c>
      <c r="H2310">
        <v>1600</v>
      </c>
      <c r="I2310">
        <v>26</v>
      </c>
      <c r="J2310">
        <v>124</v>
      </c>
      <c r="K2310">
        <v>-128</v>
      </c>
      <c r="L2310">
        <v>1200</v>
      </c>
      <c r="M2310" t="str">
        <f t="shared" si="130"/>
        <v xml:space="preserve">N35DC   </v>
      </c>
      <c r="N2310">
        <v>1</v>
      </c>
      <c r="O2310">
        <v>1700</v>
      </c>
    </row>
    <row r="2311" spans="1:15" x14ac:dyDescent="0.25">
      <c r="A2311" t="str">
        <f t="shared" si="139"/>
        <v>10/21/2020 18:30:45.397</v>
      </c>
      <c r="B2311" t="str">
        <f t="shared" si="140"/>
        <v>18:30:53.336</v>
      </c>
      <c r="C2311" t="str">
        <f t="shared" si="141"/>
        <v>18:30:53.136</v>
      </c>
      <c r="D2311" t="s">
        <v>906</v>
      </c>
      <c r="E2311">
        <v>30.647500000000001</v>
      </c>
      <c r="F2311" t="s">
        <v>907</v>
      </c>
      <c r="G2311">
        <v>-89.870310000000003</v>
      </c>
      <c r="H2311">
        <v>1600</v>
      </c>
      <c r="I2311">
        <v>26</v>
      </c>
      <c r="J2311">
        <v>124</v>
      </c>
      <c r="K2311">
        <v>-128</v>
      </c>
      <c r="L2311">
        <v>1200</v>
      </c>
      <c r="M2311" t="str">
        <f t="shared" ref="M2311:M2374" si="142">"N35DC   "</f>
        <v xml:space="preserve">N35DC   </v>
      </c>
      <c r="N2311">
        <v>1</v>
      </c>
      <c r="O2311">
        <v>1700</v>
      </c>
    </row>
    <row r="2312" spans="1:15" x14ac:dyDescent="0.25">
      <c r="A2312" t="str">
        <f t="shared" si="139"/>
        <v>10/21/2020 18:30:45.397</v>
      </c>
      <c r="B2312" t="str">
        <f t="shared" si="140"/>
        <v>18:30:53.336</v>
      </c>
      <c r="C2312" t="str">
        <f t="shared" si="141"/>
        <v>18:30:53.136</v>
      </c>
      <c r="D2312" t="s">
        <v>906</v>
      </c>
      <c r="E2312">
        <v>30.647500000000001</v>
      </c>
      <c r="F2312" t="s">
        <v>907</v>
      </c>
      <c r="G2312">
        <v>-89.870310000000003</v>
      </c>
      <c r="H2312">
        <v>1600</v>
      </c>
      <c r="I2312">
        <v>26</v>
      </c>
      <c r="J2312">
        <v>124</v>
      </c>
      <c r="K2312">
        <v>-128</v>
      </c>
      <c r="L2312">
        <v>1200</v>
      </c>
      <c r="M2312" t="str">
        <f t="shared" si="142"/>
        <v xml:space="preserve">N35DC   </v>
      </c>
      <c r="N2312">
        <v>1</v>
      </c>
      <c r="O2312">
        <v>1700</v>
      </c>
    </row>
    <row r="2313" spans="1:15" x14ac:dyDescent="0.25">
      <c r="A2313" t="str">
        <f t="shared" si="139"/>
        <v>10/21/2020 18:30:45.397</v>
      </c>
      <c r="B2313" t="str">
        <f t="shared" si="140"/>
        <v>18:30:53.336</v>
      </c>
      <c r="C2313" t="str">
        <f t="shared" si="141"/>
        <v>18:30:53.136</v>
      </c>
      <c r="D2313" t="s">
        <v>906</v>
      </c>
      <c r="E2313">
        <v>30.647500000000001</v>
      </c>
      <c r="F2313" t="s">
        <v>907</v>
      </c>
      <c r="G2313">
        <v>-89.870310000000003</v>
      </c>
      <c r="H2313">
        <v>1600</v>
      </c>
      <c r="I2313">
        <v>26</v>
      </c>
      <c r="J2313">
        <v>124</v>
      </c>
      <c r="K2313">
        <v>-128</v>
      </c>
      <c r="L2313">
        <v>1200</v>
      </c>
      <c r="M2313" t="str">
        <f t="shared" si="142"/>
        <v xml:space="preserve">N35DC   </v>
      </c>
      <c r="N2313">
        <v>1</v>
      </c>
      <c r="O2313">
        <v>1700</v>
      </c>
    </row>
    <row r="2314" spans="1:15" x14ac:dyDescent="0.25">
      <c r="A2314" t="str">
        <f t="shared" ref="A2314:A2319" si="143">"10/21/2020 18:30:46.399"</f>
        <v>10/21/2020 18:30:46.399</v>
      </c>
      <c r="B2314" t="str">
        <f t="shared" ref="B2314:B2319" si="144">"18:30:54.312"</f>
        <v>18:30:54.312</v>
      </c>
      <c r="C2314" t="str">
        <f t="shared" ref="C2314:C2319" si="145">"18:30:54.212"</f>
        <v>18:30:54.212</v>
      </c>
      <c r="D2314" t="s">
        <v>908</v>
      </c>
      <c r="E2314">
        <v>30.648078999999999</v>
      </c>
      <c r="F2314" t="s">
        <v>909</v>
      </c>
      <c r="G2314">
        <v>-89.870203000000004</v>
      </c>
      <c r="H2314">
        <v>1600</v>
      </c>
      <c r="I2314">
        <v>23</v>
      </c>
      <c r="J2314">
        <v>125</v>
      </c>
      <c r="K2314">
        <v>-128</v>
      </c>
      <c r="L2314">
        <v>1200</v>
      </c>
      <c r="M2314" t="str">
        <f t="shared" si="142"/>
        <v xml:space="preserve">N35DC   </v>
      </c>
      <c r="N2314">
        <v>1</v>
      </c>
      <c r="O2314">
        <v>1700</v>
      </c>
    </row>
    <row r="2315" spans="1:15" x14ac:dyDescent="0.25">
      <c r="A2315" t="str">
        <f t="shared" si="143"/>
        <v>10/21/2020 18:30:46.399</v>
      </c>
      <c r="B2315" t="str">
        <f t="shared" si="144"/>
        <v>18:30:54.312</v>
      </c>
      <c r="C2315" t="str">
        <f t="shared" si="145"/>
        <v>18:30:54.212</v>
      </c>
      <c r="D2315" t="s">
        <v>908</v>
      </c>
      <c r="E2315">
        <v>30.648078999999999</v>
      </c>
      <c r="F2315" t="s">
        <v>909</v>
      </c>
      <c r="G2315">
        <v>-89.870203000000004</v>
      </c>
      <c r="H2315">
        <v>1600</v>
      </c>
      <c r="I2315">
        <v>23</v>
      </c>
      <c r="J2315">
        <v>125</v>
      </c>
      <c r="K2315">
        <v>-128</v>
      </c>
      <c r="L2315">
        <v>1200</v>
      </c>
      <c r="M2315" t="str">
        <f t="shared" si="142"/>
        <v xml:space="preserve">N35DC   </v>
      </c>
      <c r="N2315">
        <v>1</v>
      </c>
      <c r="O2315">
        <v>1700</v>
      </c>
    </row>
    <row r="2316" spans="1:15" x14ac:dyDescent="0.25">
      <c r="A2316" t="str">
        <f t="shared" si="143"/>
        <v>10/21/2020 18:30:46.399</v>
      </c>
      <c r="B2316" t="str">
        <f t="shared" si="144"/>
        <v>18:30:54.312</v>
      </c>
      <c r="C2316" t="str">
        <f t="shared" si="145"/>
        <v>18:30:54.212</v>
      </c>
      <c r="D2316" t="s">
        <v>908</v>
      </c>
      <c r="E2316">
        <v>30.648078999999999</v>
      </c>
      <c r="F2316" t="s">
        <v>909</v>
      </c>
      <c r="G2316">
        <v>-89.870203000000004</v>
      </c>
      <c r="H2316">
        <v>1600</v>
      </c>
      <c r="I2316">
        <v>23</v>
      </c>
      <c r="J2316">
        <v>125</v>
      </c>
      <c r="K2316">
        <v>-128</v>
      </c>
      <c r="L2316">
        <v>1200</v>
      </c>
      <c r="M2316" t="str">
        <f t="shared" si="142"/>
        <v xml:space="preserve">N35DC   </v>
      </c>
      <c r="N2316">
        <v>1</v>
      </c>
      <c r="O2316">
        <v>1700</v>
      </c>
    </row>
    <row r="2317" spans="1:15" x14ac:dyDescent="0.25">
      <c r="A2317" t="str">
        <f t="shared" si="143"/>
        <v>10/21/2020 18:30:46.399</v>
      </c>
      <c r="B2317" t="str">
        <f t="shared" si="144"/>
        <v>18:30:54.312</v>
      </c>
      <c r="C2317" t="str">
        <f t="shared" si="145"/>
        <v>18:30:54.212</v>
      </c>
      <c r="D2317" t="s">
        <v>908</v>
      </c>
      <c r="E2317">
        <v>30.648078999999999</v>
      </c>
      <c r="F2317" t="s">
        <v>909</v>
      </c>
      <c r="G2317">
        <v>-89.870203000000004</v>
      </c>
      <c r="H2317">
        <v>1600</v>
      </c>
      <c r="I2317">
        <v>23</v>
      </c>
      <c r="J2317">
        <v>125</v>
      </c>
      <c r="K2317">
        <v>-128</v>
      </c>
      <c r="L2317">
        <v>1200</v>
      </c>
      <c r="M2317" t="str">
        <f t="shared" si="142"/>
        <v xml:space="preserve">N35DC   </v>
      </c>
      <c r="N2317">
        <v>1</v>
      </c>
      <c r="O2317">
        <v>1700</v>
      </c>
    </row>
    <row r="2318" spans="1:15" x14ac:dyDescent="0.25">
      <c r="A2318" t="str">
        <f t="shared" si="143"/>
        <v>10/21/2020 18:30:46.399</v>
      </c>
      <c r="B2318" t="str">
        <f t="shared" si="144"/>
        <v>18:30:54.312</v>
      </c>
      <c r="C2318" t="str">
        <f t="shared" si="145"/>
        <v>18:30:54.212</v>
      </c>
      <c r="D2318" t="s">
        <v>908</v>
      </c>
      <c r="E2318">
        <v>30.648078999999999</v>
      </c>
      <c r="F2318" t="s">
        <v>909</v>
      </c>
      <c r="G2318">
        <v>-89.870203000000004</v>
      </c>
      <c r="H2318">
        <v>1600</v>
      </c>
      <c r="I2318">
        <v>23</v>
      </c>
      <c r="J2318">
        <v>125</v>
      </c>
      <c r="K2318">
        <v>-128</v>
      </c>
      <c r="L2318">
        <v>1200</v>
      </c>
      <c r="M2318" t="str">
        <f t="shared" si="142"/>
        <v xml:space="preserve">N35DC   </v>
      </c>
      <c r="N2318">
        <v>1</v>
      </c>
      <c r="O2318">
        <v>1700</v>
      </c>
    </row>
    <row r="2319" spans="1:15" x14ac:dyDescent="0.25">
      <c r="A2319" t="str">
        <f t="shared" si="143"/>
        <v>10/21/2020 18:30:46.399</v>
      </c>
      <c r="B2319" t="str">
        <f t="shared" si="144"/>
        <v>18:30:54.312</v>
      </c>
      <c r="C2319" t="str">
        <f t="shared" si="145"/>
        <v>18:30:54.212</v>
      </c>
      <c r="D2319" t="s">
        <v>908</v>
      </c>
      <c r="E2319">
        <v>30.648078999999999</v>
      </c>
      <c r="F2319" t="s">
        <v>909</v>
      </c>
      <c r="G2319">
        <v>-89.870203000000004</v>
      </c>
      <c r="H2319">
        <v>1600</v>
      </c>
      <c r="I2319">
        <v>23</v>
      </c>
      <c r="J2319">
        <v>125</v>
      </c>
      <c r="K2319">
        <v>-128</v>
      </c>
      <c r="L2319">
        <v>1200</v>
      </c>
      <c r="M2319" t="str">
        <f t="shared" si="142"/>
        <v xml:space="preserve">N35DC   </v>
      </c>
      <c r="N2319">
        <v>1</v>
      </c>
      <c r="O2319">
        <v>1700</v>
      </c>
    </row>
    <row r="2320" spans="1:15" x14ac:dyDescent="0.25">
      <c r="A2320" t="str">
        <f>"10/21/2020 18:30:49.423"</f>
        <v>10/21/2020 18:30:49.423</v>
      </c>
      <c r="B2320" t="str">
        <f>"18:30:57.328"</f>
        <v>18:30:57.328</v>
      </c>
      <c r="C2320" t="str">
        <f>"18:30:56.928"</f>
        <v>18:30:56.928</v>
      </c>
      <c r="D2320" t="s">
        <v>910</v>
      </c>
      <c r="E2320">
        <v>30.649837999999999</v>
      </c>
      <c r="F2320" t="s">
        <v>911</v>
      </c>
      <c r="G2320">
        <v>-89.869881000000007</v>
      </c>
      <c r="H2320">
        <v>1600</v>
      </c>
      <c r="I2320">
        <v>18</v>
      </c>
      <c r="J2320">
        <v>125</v>
      </c>
      <c r="K2320">
        <v>0</v>
      </c>
      <c r="L2320">
        <v>1200</v>
      </c>
      <c r="M2320" t="str">
        <f t="shared" si="142"/>
        <v xml:space="preserve">N35DC   </v>
      </c>
      <c r="N2320">
        <v>1</v>
      </c>
      <c r="O2320">
        <v>1700</v>
      </c>
    </row>
    <row r="2321" spans="1:15" x14ac:dyDescent="0.25">
      <c r="A2321" t="str">
        <f>"10/21/2020 18:30:49.423"</f>
        <v>10/21/2020 18:30:49.423</v>
      </c>
      <c r="B2321" t="str">
        <f>"18:30:57.328"</f>
        <v>18:30:57.328</v>
      </c>
      <c r="C2321" t="str">
        <f>"18:30:56.928"</f>
        <v>18:30:56.928</v>
      </c>
      <c r="D2321" t="s">
        <v>910</v>
      </c>
      <c r="E2321">
        <v>30.649837999999999</v>
      </c>
      <c r="F2321" t="s">
        <v>911</v>
      </c>
      <c r="G2321">
        <v>-89.869881000000007</v>
      </c>
      <c r="H2321">
        <v>1600</v>
      </c>
      <c r="I2321">
        <v>18</v>
      </c>
      <c r="J2321">
        <v>125</v>
      </c>
      <c r="K2321">
        <v>0</v>
      </c>
      <c r="L2321">
        <v>1200</v>
      </c>
      <c r="M2321" t="str">
        <f t="shared" si="142"/>
        <v xml:space="preserve">N35DC   </v>
      </c>
      <c r="N2321">
        <v>1</v>
      </c>
      <c r="O2321">
        <v>1700</v>
      </c>
    </row>
    <row r="2322" spans="1:15" x14ac:dyDescent="0.25">
      <c r="A2322" t="str">
        <f>"10/21/2020 18:30:49.423"</f>
        <v>10/21/2020 18:30:49.423</v>
      </c>
      <c r="B2322" t="str">
        <f>"18:30:57.328"</f>
        <v>18:30:57.328</v>
      </c>
      <c r="C2322" t="str">
        <f>"18:30:56.928"</f>
        <v>18:30:56.928</v>
      </c>
      <c r="D2322" t="s">
        <v>910</v>
      </c>
      <c r="E2322">
        <v>30.649837999999999</v>
      </c>
      <c r="F2322" t="s">
        <v>911</v>
      </c>
      <c r="G2322">
        <v>-89.869881000000007</v>
      </c>
      <c r="H2322">
        <v>1600</v>
      </c>
      <c r="I2322">
        <v>18</v>
      </c>
      <c r="J2322">
        <v>125</v>
      </c>
      <c r="K2322">
        <v>0</v>
      </c>
      <c r="L2322">
        <v>1200</v>
      </c>
      <c r="M2322" t="str">
        <f t="shared" si="142"/>
        <v xml:space="preserve">N35DC   </v>
      </c>
      <c r="N2322">
        <v>1</v>
      </c>
      <c r="O2322">
        <v>1700</v>
      </c>
    </row>
    <row r="2323" spans="1:15" x14ac:dyDescent="0.25">
      <c r="A2323" t="str">
        <f>"10/21/2020 18:30:49.423"</f>
        <v>10/21/2020 18:30:49.423</v>
      </c>
      <c r="B2323" t="str">
        <f>"18:30:57.328"</f>
        <v>18:30:57.328</v>
      </c>
      <c r="C2323" t="str">
        <f>"18:30:56.928"</f>
        <v>18:30:56.928</v>
      </c>
      <c r="D2323" t="s">
        <v>910</v>
      </c>
      <c r="E2323">
        <v>30.649837999999999</v>
      </c>
      <c r="F2323" t="s">
        <v>911</v>
      </c>
      <c r="G2323">
        <v>-89.869881000000007</v>
      </c>
      <c r="H2323">
        <v>1600</v>
      </c>
      <c r="I2323">
        <v>18</v>
      </c>
      <c r="J2323">
        <v>125</v>
      </c>
      <c r="K2323">
        <v>0</v>
      </c>
      <c r="L2323">
        <v>1200</v>
      </c>
      <c r="M2323" t="str">
        <f t="shared" si="142"/>
        <v xml:space="preserve">N35DC   </v>
      </c>
      <c r="N2323">
        <v>1</v>
      </c>
      <c r="O2323">
        <v>1700</v>
      </c>
    </row>
    <row r="2324" spans="1:15" x14ac:dyDescent="0.25">
      <c r="A2324" t="str">
        <f>"10/21/2020 18:30:49.423"</f>
        <v>10/21/2020 18:30:49.423</v>
      </c>
      <c r="B2324" t="str">
        <f>"18:30:57.328"</f>
        <v>18:30:57.328</v>
      </c>
      <c r="C2324" t="str">
        <f>"18:30:56.928"</f>
        <v>18:30:56.928</v>
      </c>
      <c r="D2324" t="s">
        <v>910</v>
      </c>
      <c r="E2324">
        <v>30.649837999999999</v>
      </c>
      <c r="F2324" t="s">
        <v>911</v>
      </c>
      <c r="G2324">
        <v>-89.869881000000007</v>
      </c>
      <c r="H2324">
        <v>1600</v>
      </c>
      <c r="I2324">
        <v>18</v>
      </c>
      <c r="J2324">
        <v>125</v>
      </c>
      <c r="K2324">
        <v>0</v>
      </c>
      <c r="L2324">
        <v>1200</v>
      </c>
      <c r="M2324" t="str">
        <f t="shared" si="142"/>
        <v xml:space="preserve">N35DC   </v>
      </c>
      <c r="N2324">
        <v>1</v>
      </c>
      <c r="O2324">
        <v>1700</v>
      </c>
    </row>
    <row r="2325" spans="1:15" x14ac:dyDescent="0.25">
      <c r="A2325" t="str">
        <f>"10/21/2020 18:30:49.903"</f>
        <v>10/21/2020 18:30:49.903</v>
      </c>
      <c r="B2325" t="str">
        <f>"18:30:57.852"</f>
        <v>18:30:57.852</v>
      </c>
      <c r="C2325" t="str">
        <f>"18:30:56.852"</f>
        <v>18:30:56.852</v>
      </c>
      <c r="D2325" t="s">
        <v>912</v>
      </c>
      <c r="E2325">
        <v>30.650138999999999</v>
      </c>
      <c r="F2325" t="s">
        <v>913</v>
      </c>
      <c r="G2325">
        <v>-89.869816</v>
      </c>
      <c r="H2325">
        <v>1600</v>
      </c>
      <c r="I2325">
        <v>18</v>
      </c>
      <c r="J2325">
        <v>125</v>
      </c>
      <c r="K2325">
        <v>0</v>
      </c>
      <c r="L2325">
        <v>1200</v>
      </c>
      <c r="M2325" t="str">
        <f t="shared" si="142"/>
        <v xml:space="preserve">N35DC   </v>
      </c>
      <c r="N2325">
        <v>1</v>
      </c>
      <c r="O2325">
        <v>1700</v>
      </c>
    </row>
    <row r="2326" spans="1:15" x14ac:dyDescent="0.25">
      <c r="A2326" t="str">
        <f>"10/21/2020 18:30:50.485"</f>
        <v>10/21/2020 18:30:50.485</v>
      </c>
      <c r="B2326" t="str">
        <f>"18:30:58.422"</f>
        <v>18:30:58.422</v>
      </c>
      <c r="C2326" t="str">
        <f>"18:30:58.022"</f>
        <v>18:30:58.022</v>
      </c>
      <c r="D2326" t="s">
        <v>914</v>
      </c>
      <c r="E2326">
        <v>30.650438999999999</v>
      </c>
      <c r="F2326" t="s">
        <v>915</v>
      </c>
      <c r="G2326">
        <v>-89.869730000000004</v>
      </c>
      <c r="H2326">
        <v>1600</v>
      </c>
      <c r="I2326">
        <v>16</v>
      </c>
      <c r="J2326">
        <v>125</v>
      </c>
      <c r="K2326">
        <v>-64</v>
      </c>
      <c r="L2326">
        <v>1200</v>
      </c>
      <c r="M2326" t="str">
        <f t="shared" si="142"/>
        <v xml:space="preserve">N35DC   </v>
      </c>
      <c r="N2326">
        <v>1</v>
      </c>
      <c r="O2326">
        <v>1700</v>
      </c>
    </row>
    <row r="2327" spans="1:15" x14ac:dyDescent="0.25">
      <c r="A2327" t="str">
        <f>"10/21/2020 18:30:50.485"</f>
        <v>10/21/2020 18:30:50.485</v>
      </c>
      <c r="B2327" t="str">
        <f>"18:30:58.422"</f>
        <v>18:30:58.422</v>
      </c>
      <c r="C2327" t="str">
        <f>"18:30:58.022"</f>
        <v>18:30:58.022</v>
      </c>
      <c r="D2327" t="s">
        <v>914</v>
      </c>
      <c r="E2327">
        <v>30.650438999999999</v>
      </c>
      <c r="F2327" t="s">
        <v>915</v>
      </c>
      <c r="G2327">
        <v>-89.869730000000004</v>
      </c>
      <c r="H2327">
        <v>1600</v>
      </c>
      <c r="I2327">
        <v>16</v>
      </c>
      <c r="J2327">
        <v>125</v>
      </c>
      <c r="K2327">
        <v>-64</v>
      </c>
      <c r="L2327">
        <v>1200</v>
      </c>
      <c r="M2327" t="str">
        <f t="shared" si="142"/>
        <v xml:space="preserve">N35DC   </v>
      </c>
      <c r="N2327">
        <v>1</v>
      </c>
      <c r="O2327">
        <v>1700</v>
      </c>
    </row>
    <row r="2328" spans="1:15" x14ac:dyDescent="0.25">
      <c r="A2328" t="str">
        <f>"10/21/2020 18:30:50.485"</f>
        <v>10/21/2020 18:30:50.485</v>
      </c>
      <c r="B2328" t="str">
        <f>"18:30:58.422"</f>
        <v>18:30:58.422</v>
      </c>
      <c r="C2328" t="str">
        <f>"18:30:58.022"</f>
        <v>18:30:58.022</v>
      </c>
      <c r="D2328" t="s">
        <v>914</v>
      </c>
      <c r="E2328">
        <v>30.650438999999999</v>
      </c>
      <c r="F2328" t="s">
        <v>915</v>
      </c>
      <c r="G2328">
        <v>-89.869730000000004</v>
      </c>
      <c r="H2328">
        <v>1600</v>
      </c>
      <c r="I2328">
        <v>16</v>
      </c>
      <c r="J2328">
        <v>125</v>
      </c>
      <c r="K2328">
        <v>-64</v>
      </c>
      <c r="L2328">
        <v>1200</v>
      </c>
      <c r="M2328" t="str">
        <f t="shared" si="142"/>
        <v xml:space="preserve">N35DC   </v>
      </c>
      <c r="N2328">
        <v>1</v>
      </c>
      <c r="O2328">
        <v>1700</v>
      </c>
    </row>
    <row r="2329" spans="1:15" x14ac:dyDescent="0.25">
      <c r="A2329" t="str">
        <f>"10/21/2020 18:30:50.485"</f>
        <v>10/21/2020 18:30:50.485</v>
      </c>
      <c r="B2329" t="str">
        <f>"18:30:58.422"</f>
        <v>18:30:58.422</v>
      </c>
      <c r="C2329" t="str">
        <f>"18:30:58.022"</f>
        <v>18:30:58.022</v>
      </c>
      <c r="D2329" t="s">
        <v>914</v>
      </c>
      <c r="E2329">
        <v>30.650438999999999</v>
      </c>
      <c r="F2329" t="s">
        <v>915</v>
      </c>
      <c r="G2329">
        <v>-89.869730000000004</v>
      </c>
      <c r="H2329">
        <v>1600</v>
      </c>
      <c r="I2329">
        <v>16</v>
      </c>
      <c r="J2329">
        <v>125</v>
      </c>
      <c r="K2329">
        <v>-64</v>
      </c>
      <c r="L2329">
        <v>1200</v>
      </c>
      <c r="M2329" t="str">
        <f t="shared" si="142"/>
        <v xml:space="preserve">N35DC   </v>
      </c>
      <c r="N2329">
        <v>1</v>
      </c>
      <c r="O2329">
        <v>1700</v>
      </c>
    </row>
    <row r="2330" spans="1:15" x14ac:dyDescent="0.25">
      <c r="A2330" t="str">
        <f>"10/21/2020 18:30:50.485"</f>
        <v>10/21/2020 18:30:50.485</v>
      </c>
      <c r="B2330" t="str">
        <f>"18:30:58.422"</f>
        <v>18:30:58.422</v>
      </c>
      <c r="C2330" t="str">
        <f>"18:30:58.022"</f>
        <v>18:30:58.022</v>
      </c>
      <c r="D2330" t="s">
        <v>914</v>
      </c>
      <c r="E2330">
        <v>30.650438999999999</v>
      </c>
      <c r="F2330" t="s">
        <v>915</v>
      </c>
      <c r="G2330">
        <v>-89.869730000000004</v>
      </c>
      <c r="H2330">
        <v>1600</v>
      </c>
      <c r="I2330">
        <v>16</v>
      </c>
      <c r="J2330">
        <v>125</v>
      </c>
      <c r="K2330">
        <v>-64</v>
      </c>
      <c r="L2330">
        <v>1200</v>
      </c>
      <c r="M2330" t="str">
        <f t="shared" si="142"/>
        <v xml:space="preserve">N35DC   </v>
      </c>
      <c r="N2330">
        <v>1</v>
      </c>
      <c r="O2330">
        <v>1700</v>
      </c>
    </row>
    <row r="2331" spans="1:15" x14ac:dyDescent="0.25">
      <c r="A2331" t="str">
        <f>"10/21/2020 18:30:51.015"</f>
        <v>10/21/2020 18:30:51.015</v>
      </c>
      <c r="B2331" t="str">
        <f>"18:30:58.898"</f>
        <v>18:30:58.898</v>
      </c>
      <c r="C2331" t="str">
        <f>"18:30:58.498"</f>
        <v>18:30:58.498</v>
      </c>
      <c r="D2331" t="s">
        <v>916</v>
      </c>
      <c r="E2331">
        <v>30.650718000000001</v>
      </c>
      <c r="F2331" t="s">
        <v>915</v>
      </c>
      <c r="G2331">
        <v>-89.869730000000004</v>
      </c>
      <c r="H2331">
        <v>1600</v>
      </c>
      <c r="I2331">
        <v>15</v>
      </c>
      <c r="J2331">
        <v>126</v>
      </c>
      <c r="K2331">
        <v>0</v>
      </c>
      <c r="L2331">
        <v>1200</v>
      </c>
      <c r="M2331" t="str">
        <f t="shared" si="142"/>
        <v xml:space="preserve">N35DC   </v>
      </c>
      <c r="N2331">
        <v>1</v>
      </c>
      <c r="O2331">
        <v>1700</v>
      </c>
    </row>
    <row r="2332" spans="1:15" x14ac:dyDescent="0.25">
      <c r="A2332" t="str">
        <f t="shared" ref="A2332:A2337" si="146">"10/21/2020 18:30:54.330"</f>
        <v>10/21/2020 18:30:54.330</v>
      </c>
      <c r="B2332" t="str">
        <f t="shared" ref="B2332:B2337" si="147">"18:31:02.250"</f>
        <v>18:31:02.250</v>
      </c>
      <c r="C2332" t="str">
        <f t="shared" ref="C2332:C2337" si="148">"18:31:02.150"</f>
        <v>18:31:02.150</v>
      </c>
      <c r="D2332" t="s">
        <v>917</v>
      </c>
      <c r="E2332">
        <v>30.652691999999998</v>
      </c>
      <c r="F2332" t="s">
        <v>918</v>
      </c>
      <c r="G2332">
        <v>-89.869536999999994</v>
      </c>
      <c r="H2332">
        <v>1600</v>
      </c>
      <c r="I2332">
        <v>5</v>
      </c>
      <c r="J2332">
        <v>127</v>
      </c>
      <c r="K2332">
        <v>-128</v>
      </c>
      <c r="L2332">
        <v>1200</v>
      </c>
      <c r="M2332" t="str">
        <f t="shared" si="142"/>
        <v xml:space="preserve">N35DC   </v>
      </c>
      <c r="N2332">
        <v>1</v>
      </c>
      <c r="O2332">
        <v>1675</v>
      </c>
    </row>
    <row r="2333" spans="1:15" x14ac:dyDescent="0.25">
      <c r="A2333" t="str">
        <f t="shared" si="146"/>
        <v>10/21/2020 18:30:54.330</v>
      </c>
      <c r="B2333" t="str">
        <f t="shared" si="147"/>
        <v>18:31:02.250</v>
      </c>
      <c r="C2333" t="str">
        <f t="shared" si="148"/>
        <v>18:31:02.150</v>
      </c>
      <c r="D2333" t="s">
        <v>917</v>
      </c>
      <c r="E2333">
        <v>30.652691999999998</v>
      </c>
      <c r="F2333" t="s">
        <v>918</v>
      </c>
      <c r="G2333">
        <v>-89.869536999999994</v>
      </c>
      <c r="H2333">
        <v>1600</v>
      </c>
      <c r="I2333">
        <v>5</v>
      </c>
      <c r="J2333">
        <v>127</v>
      </c>
      <c r="K2333">
        <v>-128</v>
      </c>
      <c r="L2333">
        <v>1200</v>
      </c>
      <c r="M2333" t="str">
        <f t="shared" si="142"/>
        <v xml:space="preserve">N35DC   </v>
      </c>
      <c r="N2333">
        <v>1</v>
      </c>
      <c r="O2333">
        <v>1675</v>
      </c>
    </row>
    <row r="2334" spans="1:15" x14ac:dyDescent="0.25">
      <c r="A2334" t="str">
        <f t="shared" si="146"/>
        <v>10/21/2020 18:30:54.330</v>
      </c>
      <c r="B2334" t="str">
        <f t="shared" si="147"/>
        <v>18:31:02.250</v>
      </c>
      <c r="C2334" t="str">
        <f t="shared" si="148"/>
        <v>18:31:02.150</v>
      </c>
      <c r="D2334" t="s">
        <v>917</v>
      </c>
      <c r="E2334">
        <v>30.652691999999998</v>
      </c>
      <c r="F2334" t="s">
        <v>918</v>
      </c>
      <c r="G2334">
        <v>-89.869536999999994</v>
      </c>
      <c r="H2334">
        <v>1600</v>
      </c>
      <c r="I2334">
        <v>5</v>
      </c>
      <c r="J2334">
        <v>127</v>
      </c>
      <c r="K2334">
        <v>-128</v>
      </c>
      <c r="L2334">
        <v>1200</v>
      </c>
      <c r="M2334" t="str">
        <f t="shared" si="142"/>
        <v xml:space="preserve">N35DC   </v>
      </c>
      <c r="N2334">
        <v>1</v>
      </c>
      <c r="O2334">
        <v>1675</v>
      </c>
    </row>
    <row r="2335" spans="1:15" x14ac:dyDescent="0.25">
      <c r="A2335" t="str">
        <f t="shared" si="146"/>
        <v>10/21/2020 18:30:54.330</v>
      </c>
      <c r="B2335" t="str">
        <f t="shared" si="147"/>
        <v>18:31:02.250</v>
      </c>
      <c r="C2335" t="str">
        <f t="shared" si="148"/>
        <v>18:31:02.150</v>
      </c>
      <c r="D2335" t="s">
        <v>917</v>
      </c>
      <c r="E2335">
        <v>30.652691999999998</v>
      </c>
      <c r="F2335" t="s">
        <v>918</v>
      </c>
      <c r="G2335">
        <v>-89.869536999999994</v>
      </c>
      <c r="H2335">
        <v>1600</v>
      </c>
      <c r="I2335">
        <v>5</v>
      </c>
      <c r="J2335">
        <v>127</v>
      </c>
      <c r="K2335">
        <v>-128</v>
      </c>
      <c r="L2335">
        <v>1200</v>
      </c>
      <c r="M2335" t="str">
        <f t="shared" si="142"/>
        <v xml:space="preserve">N35DC   </v>
      </c>
      <c r="N2335">
        <v>1</v>
      </c>
      <c r="O2335">
        <v>1675</v>
      </c>
    </row>
    <row r="2336" spans="1:15" x14ac:dyDescent="0.25">
      <c r="A2336" t="str">
        <f t="shared" si="146"/>
        <v>10/21/2020 18:30:54.330</v>
      </c>
      <c r="B2336" t="str">
        <f t="shared" si="147"/>
        <v>18:31:02.250</v>
      </c>
      <c r="C2336" t="str">
        <f t="shared" si="148"/>
        <v>18:31:02.150</v>
      </c>
      <c r="D2336" t="s">
        <v>917</v>
      </c>
      <c r="E2336">
        <v>30.652691999999998</v>
      </c>
      <c r="F2336" t="s">
        <v>918</v>
      </c>
      <c r="G2336">
        <v>-89.869536999999994</v>
      </c>
      <c r="H2336">
        <v>1600</v>
      </c>
      <c r="I2336">
        <v>5</v>
      </c>
      <c r="J2336">
        <v>127</v>
      </c>
      <c r="K2336">
        <v>-128</v>
      </c>
      <c r="L2336">
        <v>1200</v>
      </c>
      <c r="M2336" t="str">
        <f t="shared" si="142"/>
        <v xml:space="preserve">N35DC   </v>
      </c>
      <c r="N2336">
        <v>1</v>
      </c>
      <c r="O2336">
        <v>1675</v>
      </c>
    </row>
    <row r="2337" spans="1:15" x14ac:dyDescent="0.25">
      <c r="A2337" t="str">
        <f t="shared" si="146"/>
        <v>10/21/2020 18:30:54.330</v>
      </c>
      <c r="B2337" t="str">
        <f t="shared" si="147"/>
        <v>18:31:02.250</v>
      </c>
      <c r="C2337" t="str">
        <f t="shared" si="148"/>
        <v>18:31:02.150</v>
      </c>
      <c r="D2337" t="s">
        <v>917</v>
      </c>
      <c r="E2337">
        <v>30.652691999999998</v>
      </c>
      <c r="F2337" t="s">
        <v>918</v>
      </c>
      <c r="G2337">
        <v>-89.869536999999994</v>
      </c>
      <c r="H2337">
        <v>1600</v>
      </c>
      <c r="I2337">
        <v>5</v>
      </c>
      <c r="J2337">
        <v>127</v>
      </c>
      <c r="K2337">
        <v>-128</v>
      </c>
      <c r="L2337">
        <v>1200</v>
      </c>
      <c r="M2337" t="str">
        <f t="shared" si="142"/>
        <v xml:space="preserve">N35DC   </v>
      </c>
      <c r="N2337">
        <v>1</v>
      </c>
      <c r="O2337">
        <v>1675</v>
      </c>
    </row>
    <row r="2338" spans="1:15" x14ac:dyDescent="0.25">
      <c r="A2338" t="str">
        <f t="shared" ref="A2338:A2343" si="149">"10/21/2020 18:30:55.390"</f>
        <v>10/21/2020 18:30:55.390</v>
      </c>
      <c r="B2338" t="str">
        <f t="shared" ref="B2338:B2343" si="150">"18:31:03.344"</f>
        <v>18:31:03.344</v>
      </c>
      <c r="C2338" t="str">
        <f t="shared" ref="C2338:C2343" si="151">"18:31:03.144"</f>
        <v>18:31:03.144</v>
      </c>
      <c r="D2338" t="s">
        <v>919</v>
      </c>
      <c r="E2338">
        <v>30.653358000000001</v>
      </c>
      <c r="F2338" t="s">
        <v>468</v>
      </c>
      <c r="G2338">
        <v>-89.869558999999995</v>
      </c>
      <c r="H2338">
        <v>1600</v>
      </c>
      <c r="I2338">
        <v>3</v>
      </c>
      <c r="J2338">
        <v>128</v>
      </c>
      <c r="K2338">
        <v>-64</v>
      </c>
      <c r="L2338">
        <v>1200</v>
      </c>
      <c r="M2338" t="str">
        <f t="shared" si="142"/>
        <v xml:space="preserve">N35DC   </v>
      </c>
      <c r="N2338">
        <v>1</v>
      </c>
      <c r="O2338">
        <v>1675</v>
      </c>
    </row>
    <row r="2339" spans="1:15" x14ac:dyDescent="0.25">
      <c r="A2339" t="str">
        <f t="shared" si="149"/>
        <v>10/21/2020 18:30:55.390</v>
      </c>
      <c r="B2339" t="str">
        <f t="shared" si="150"/>
        <v>18:31:03.344</v>
      </c>
      <c r="C2339" t="str">
        <f t="shared" si="151"/>
        <v>18:31:03.144</v>
      </c>
      <c r="D2339" t="s">
        <v>919</v>
      </c>
      <c r="E2339">
        <v>30.653358000000001</v>
      </c>
      <c r="F2339" t="s">
        <v>468</v>
      </c>
      <c r="G2339">
        <v>-89.869558999999995</v>
      </c>
      <c r="H2339">
        <v>1600</v>
      </c>
      <c r="I2339">
        <v>3</v>
      </c>
      <c r="J2339">
        <v>128</v>
      </c>
      <c r="K2339">
        <v>-64</v>
      </c>
      <c r="L2339">
        <v>1200</v>
      </c>
      <c r="M2339" t="str">
        <f t="shared" si="142"/>
        <v xml:space="preserve">N35DC   </v>
      </c>
      <c r="N2339">
        <v>1</v>
      </c>
      <c r="O2339">
        <v>1675</v>
      </c>
    </row>
    <row r="2340" spans="1:15" x14ac:dyDescent="0.25">
      <c r="A2340" t="str">
        <f t="shared" si="149"/>
        <v>10/21/2020 18:30:55.390</v>
      </c>
      <c r="B2340" t="str">
        <f t="shared" si="150"/>
        <v>18:31:03.344</v>
      </c>
      <c r="C2340" t="str">
        <f t="shared" si="151"/>
        <v>18:31:03.144</v>
      </c>
      <c r="D2340" t="s">
        <v>919</v>
      </c>
      <c r="E2340">
        <v>30.653358000000001</v>
      </c>
      <c r="F2340" t="s">
        <v>468</v>
      </c>
      <c r="G2340">
        <v>-89.869558999999995</v>
      </c>
      <c r="H2340">
        <v>1600</v>
      </c>
      <c r="I2340">
        <v>3</v>
      </c>
      <c r="J2340">
        <v>128</v>
      </c>
      <c r="K2340">
        <v>-64</v>
      </c>
      <c r="L2340">
        <v>1200</v>
      </c>
      <c r="M2340" t="str">
        <f t="shared" si="142"/>
        <v xml:space="preserve">N35DC   </v>
      </c>
      <c r="N2340">
        <v>1</v>
      </c>
      <c r="O2340">
        <v>1675</v>
      </c>
    </row>
    <row r="2341" spans="1:15" x14ac:dyDescent="0.25">
      <c r="A2341" t="str">
        <f t="shared" si="149"/>
        <v>10/21/2020 18:30:55.390</v>
      </c>
      <c r="B2341" t="str">
        <f t="shared" si="150"/>
        <v>18:31:03.344</v>
      </c>
      <c r="C2341" t="str">
        <f t="shared" si="151"/>
        <v>18:31:03.144</v>
      </c>
      <c r="D2341" t="s">
        <v>919</v>
      </c>
      <c r="E2341">
        <v>30.653358000000001</v>
      </c>
      <c r="F2341" t="s">
        <v>468</v>
      </c>
      <c r="G2341">
        <v>-89.869558999999995</v>
      </c>
      <c r="H2341">
        <v>1600</v>
      </c>
      <c r="I2341">
        <v>3</v>
      </c>
      <c r="J2341">
        <v>128</v>
      </c>
      <c r="K2341">
        <v>-64</v>
      </c>
      <c r="L2341">
        <v>1200</v>
      </c>
      <c r="M2341" t="str">
        <f t="shared" si="142"/>
        <v xml:space="preserve">N35DC   </v>
      </c>
      <c r="N2341">
        <v>1</v>
      </c>
      <c r="O2341">
        <v>1675</v>
      </c>
    </row>
    <row r="2342" spans="1:15" x14ac:dyDescent="0.25">
      <c r="A2342" t="str">
        <f t="shared" si="149"/>
        <v>10/21/2020 18:30:55.390</v>
      </c>
      <c r="B2342" t="str">
        <f t="shared" si="150"/>
        <v>18:31:03.344</v>
      </c>
      <c r="C2342" t="str">
        <f t="shared" si="151"/>
        <v>18:31:03.144</v>
      </c>
      <c r="D2342" t="s">
        <v>919</v>
      </c>
      <c r="E2342">
        <v>30.653358000000001</v>
      </c>
      <c r="F2342" t="s">
        <v>468</v>
      </c>
      <c r="G2342">
        <v>-89.869558999999995</v>
      </c>
      <c r="H2342">
        <v>1600</v>
      </c>
      <c r="I2342">
        <v>3</v>
      </c>
      <c r="J2342">
        <v>128</v>
      </c>
      <c r="K2342">
        <v>-64</v>
      </c>
      <c r="L2342">
        <v>1200</v>
      </c>
      <c r="M2342" t="str">
        <f t="shared" si="142"/>
        <v xml:space="preserve">N35DC   </v>
      </c>
      <c r="N2342">
        <v>1</v>
      </c>
      <c r="O2342">
        <v>1675</v>
      </c>
    </row>
    <row r="2343" spans="1:15" x14ac:dyDescent="0.25">
      <c r="A2343" t="str">
        <f t="shared" si="149"/>
        <v>10/21/2020 18:30:55.390</v>
      </c>
      <c r="B2343" t="str">
        <f t="shared" si="150"/>
        <v>18:31:03.344</v>
      </c>
      <c r="C2343" t="str">
        <f t="shared" si="151"/>
        <v>18:31:03.144</v>
      </c>
      <c r="D2343" t="s">
        <v>919</v>
      </c>
      <c r="E2343">
        <v>30.653358000000001</v>
      </c>
      <c r="F2343" t="s">
        <v>468</v>
      </c>
      <c r="G2343">
        <v>-89.869558999999995</v>
      </c>
      <c r="H2343">
        <v>1600</v>
      </c>
      <c r="I2343">
        <v>3</v>
      </c>
      <c r="J2343">
        <v>128</v>
      </c>
      <c r="K2343">
        <v>-64</v>
      </c>
      <c r="L2343">
        <v>1200</v>
      </c>
      <c r="M2343" t="str">
        <f t="shared" si="142"/>
        <v xml:space="preserve">N35DC   </v>
      </c>
      <c r="N2343">
        <v>1</v>
      </c>
      <c r="O2343">
        <v>1675</v>
      </c>
    </row>
    <row r="2344" spans="1:15" x14ac:dyDescent="0.25">
      <c r="A2344" t="str">
        <f>"10/21/2020 18:30:58.063"</f>
        <v>10/21/2020 18:30:58.063</v>
      </c>
      <c r="B2344" t="str">
        <f>"18:31:05.937"</f>
        <v>18:31:05.937</v>
      </c>
      <c r="C2344" t="str">
        <f>"18:31:05.637"</f>
        <v>18:31:05.637</v>
      </c>
      <c r="D2344" t="s">
        <v>920</v>
      </c>
      <c r="E2344">
        <v>30.654881</v>
      </c>
      <c r="F2344" t="s">
        <v>918</v>
      </c>
      <c r="G2344">
        <v>-89.869536999999994</v>
      </c>
      <c r="H2344">
        <v>1600</v>
      </c>
      <c r="I2344">
        <v>1</v>
      </c>
      <c r="J2344">
        <v>128</v>
      </c>
      <c r="K2344">
        <v>-64</v>
      </c>
      <c r="L2344">
        <v>1200</v>
      </c>
      <c r="M2344" t="str">
        <f t="shared" si="142"/>
        <v xml:space="preserve">N35DC   </v>
      </c>
      <c r="N2344">
        <v>1</v>
      </c>
      <c r="O2344">
        <v>1675</v>
      </c>
    </row>
    <row r="2345" spans="1:15" x14ac:dyDescent="0.25">
      <c r="A2345" t="str">
        <f>"10/21/2020 18:30:58.425"</f>
        <v>10/21/2020 18:30:58.425</v>
      </c>
      <c r="B2345" t="str">
        <f>"18:31:06.375"</f>
        <v>18:31:06.375</v>
      </c>
      <c r="C2345" t="str">
        <f>"18:31:06.075"</f>
        <v>18:31:06.075</v>
      </c>
      <c r="D2345" t="s">
        <v>921</v>
      </c>
      <c r="E2345">
        <v>30.655159999999999</v>
      </c>
      <c r="F2345" t="s">
        <v>918</v>
      </c>
      <c r="G2345">
        <v>-89.869536999999994</v>
      </c>
      <c r="H2345">
        <v>1600</v>
      </c>
      <c r="I2345">
        <v>-1</v>
      </c>
      <c r="J2345">
        <v>128</v>
      </c>
      <c r="K2345">
        <v>-64</v>
      </c>
      <c r="L2345">
        <v>1200</v>
      </c>
      <c r="M2345" t="str">
        <f t="shared" si="142"/>
        <v xml:space="preserve">N35DC   </v>
      </c>
      <c r="N2345">
        <v>1</v>
      </c>
      <c r="O2345">
        <v>1675</v>
      </c>
    </row>
    <row r="2346" spans="1:15" x14ac:dyDescent="0.25">
      <c r="A2346" t="str">
        <f>"10/21/2020 18:30:58.425"</f>
        <v>10/21/2020 18:30:58.425</v>
      </c>
      <c r="B2346" t="str">
        <f>"18:31:06.375"</f>
        <v>18:31:06.375</v>
      </c>
      <c r="C2346" t="str">
        <f>"18:31:06.075"</f>
        <v>18:31:06.075</v>
      </c>
      <c r="D2346" t="s">
        <v>921</v>
      </c>
      <c r="E2346">
        <v>30.655159999999999</v>
      </c>
      <c r="F2346" t="s">
        <v>918</v>
      </c>
      <c r="G2346">
        <v>-89.869536999999994</v>
      </c>
      <c r="H2346">
        <v>1600</v>
      </c>
      <c r="I2346">
        <v>-1</v>
      </c>
      <c r="J2346">
        <v>128</v>
      </c>
      <c r="K2346">
        <v>-64</v>
      </c>
      <c r="L2346">
        <v>1200</v>
      </c>
      <c r="M2346" t="str">
        <f t="shared" si="142"/>
        <v xml:space="preserve">N35DC   </v>
      </c>
      <c r="N2346">
        <v>1</v>
      </c>
      <c r="O2346">
        <v>1675</v>
      </c>
    </row>
    <row r="2347" spans="1:15" x14ac:dyDescent="0.25">
      <c r="A2347" t="str">
        <f>"10/21/2020 18:30:58.425"</f>
        <v>10/21/2020 18:30:58.425</v>
      </c>
      <c r="B2347" t="str">
        <f>"18:31:06.375"</f>
        <v>18:31:06.375</v>
      </c>
      <c r="C2347" t="str">
        <f>"18:31:06.075"</f>
        <v>18:31:06.075</v>
      </c>
      <c r="D2347" t="s">
        <v>921</v>
      </c>
      <c r="E2347">
        <v>30.655159999999999</v>
      </c>
      <c r="F2347" t="s">
        <v>918</v>
      </c>
      <c r="G2347">
        <v>-89.869536999999994</v>
      </c>
      <c r="H2347">
        <v>1600</v>
      </c>
      <c r="I2347">
        <v>-1</v>
      </c>
      <c r="J2347">
        <v>128</v>
      </c>
      <c r="K2347">
        <v>-64</v>
      </c>
      <c r="L2347">
        <v>1200</v>
      </c>
      <c r="M2347" t="str">
        <f t="shared" si="142"/>
        <v xml:space="preserve">N35DC   </v>
      </c>
      <c r="N2347">
        <v>1</v>
      </c>
      <c r="O2347">
        <v>1675</v>
      </c>
    </row>
    <row r="2348" spans="1:15" x14ac:dyDescent="0.25">
      <c r="A2348" t="str">
        <f>"10/21/2020 18:30:58.425"</f>
        <v>10/21/2020 18:30:58.425</v>
      </c>
      <c r="B2348" t="str">
        <f>"18:31:06.375"</f>
        <v>18:31:06.375</v>
      </c>
      <c r="C2348" t="str">
        <f>"18:31:06.075"</f>
        <v>18:31:06.075</v>
      </c>
      <c r="D2348" t="s">
        <v>921</v>
      </c>
      <c r="E2348">
        <v>30.655159999999999</v>
      </c>
      <c r="F2348" t="s">
        <v>918</v>
      </c>
      <c r="G2348">
        <v>-89.869536999999994</v>
      </c>
      <c r="H2348">
        <v>1600</v>
      </c>
      <c r="I2348">
        <v>-1</v>
      </c>
      <c r="J2348">
        <v>128</v>
      </c>
      <c r="K2348">
        <v>-64</v>
      </c>
      <c r="L2348">
        <v>1200</v>
      </c>
      <c r="M2348" t="str">
        <f t="shared" si="142"/>
        <v xml:space="preserve">N35DC   </v>
      </c>
      <c r="N2348">
        <v>1</v>
      </c>
      <c r="O2348">
        <v>1675</v>
      </c>
    </row>
    <row r="2349" spans="1:15" x14ac:dyDescent="0.25">
      <c r="A2349" t="str">
        <f>"10/21/2020 18:30:58.425"</f>
        <v>10/21/2020 18:30:58.425</v>
      </c>
      <c r="B2349" t="str">
        <f>"18:31:06.375"</f>
        <v>18:31:06.375</v>
      </c>
      <c r="C2349" t="str">
        <f>"18:31:06.075"</f>
        <v>18:31:06.075</v>
      </c>
      <c r="D2349" t="s">
        <v>921</v>
      </c>
      <c r="E2349">
        <v>30.655159999999999</v>
      </c>
      <c r="F2349" t="s">
        <v>918</v>
      </c>
      <c r="G2349">
        <v>-89.869536999999994</v>
      </c>
      <c r="H2349">
        <v>1600</v>
      </c>
      <c r="I2349">
        <v>-1</v>
      </c>
      <c r="J2349">
        <v>128</v>
      </c>
      <c r="K2349">
        <v>-64</v>
      </c>
      <c r="L2349">
        <v>1200</v>
      </c>
      <c r="M2349" t="str">
        <f t="shared" si="142"/>
        <v xml:space="preserve">N35DC   </v>
      </c>
      <c r="N2349">
        <v>1</v>
      </c>
      <c r="O2349">
        <v>1675</v>
      </c>
    </row>
    <row r="2350" spans="1:15" x14ac:dyDescent="0.25">
      <c r="A2350" t="str">
        <f t="shared" ref="A2350:A2355" si="152">"10/21/2020 18:30:59.386"</f>
        <v>10/21/2020 18:30:59.386</v>
      </c>
      <c r="B2350" t="str">
        <f t="shared" ref="B2350:B2355" si="153">"18:31:07.312"</f>
        <v>18:31:07.312</v>
      </c>
      <c r="C2350" t="str">
        <f t="shared" ref="C2350:C2355" si="154">"18:31:06.913"</f>
        <v>18:31:06.913</v>
      </c>
      <c r="D2350" t="s">
        <v>922</v>
      </c>
      <c r="E2350">
        <v>30.655695999999999</v>
      </c>
      <c r="F2350" t="s">
        <v>468</v>
      </c>
      <c r="G2350">
        <v>-89.869558999999995</v>
      </c>
      <c r="H2350">
        <v>1600</v>
      </c>
      <c r="I2350">
        <v>-1</v>
      </c>
      <c r="J2350">
        <v>128</v>
      </c>
      <c r="K2350">
        <v>64</v>
      </c>
      <c r="L2350">
        <v>1200</v>
      </c>
      <c r="M2350" t="str">
        <f t="shared" si="142"/>
        <v xml:space="preserve">N35DC   </v>
      </c>
      <c r="N2350">
        <v>1</v>
      </c>
      <c r="O2350">
        <v>1675</v>
      </c>
    </row>
    <row r="2351" spans="1:15" x14ac:dyDescent="0.25">
      <c r="A2351" t="str">
        <f t="shared" si="152"/>
        <v>10/21/2020 18:30:59.386</v>
      </c>
      <c r="B2351" t="str">
        <f t="shared" si="153"/>
        <v>18:31:07.312</v>
      </c>
      <c r="C2351" t="str">
        <f t="shared" si="154"/>
        <v>18:31:06.913</v>
      </c>
      <c r="D2351" t="s">
        <v>922</v>
      </c>
      <c r="E2351">
        <v>30.655695999999999</v>
      </c>
      <c r="F2351" t="s">
        <v>468</v>
      </c>
      <c r="G2351">
        <v>-89.869558999999995</v>
      </c>
      <c r="H2351">
        <v>1600</v>
      </c>
      <c r="I2351">
        <v>-1</v>
      </c>
      <c r="J2351">
        <v>128</v>
      </c>
      <c r="K2351">
        <v>64</v>
      </c>
      <c r="L2351">
        <v>1200</v>
      </c>
      <c r="M2351" t="str">
        <f t="shared" si="142"/>
        <v xml:space="preserve">N35DC   </v>
      </c>
      <c r="N2351">
        <v>1</v>
      </c>
      <c r="O2351">
        <v>1675</v>
      </c>
    </row>
    <row r="2352" spans="1:15" x14ac:dyDescent="0.25">
      <c r="A2352" t="str">
        <f t="shared" si="152"/>
        <v>10/21/2020 18:30:59.386</v>
      </c>
      <c r="B2352" t="str">
        <f t="shared" si="153"/>
        <v>18:31:07.312</v>
      </c>
      <c r="C2352" t="str">
        <f t="shared" si="154"/>
        <v>18:31:06.913</v>
      </c>
      <c r="D2352" t="s">
        <v>922</v>
      </c>
      <c r="E2352">
        <v>30.655695999999999</v>
      </c>
      <c r="F2352" t="s">
        <v>468</v>
      </c>
      <c r="G2352">
        <v>-89.869558999999995</v>
      </c>
      <c r="H2352">
        <v>1600</v>
      </c>
      <c r="I2352">
        <v>-1</v>
      </c>
      <c r="J2352">
        <v>128</v>
      </c>
      <c r="K2352">
        <v>64</v>
      </c>
      <c r="L2352">
        <v>1200</v>
      </c>
      <c r="M2352" t="str">
        <f t="shared" si="142"/>
        <v xml:space="preserve">N35DC   </v>
      </c>
      <c r="N2352">
        <v>1</v>
      </c>
      <c r="O2352">
        <v>1675</v>
      </c>
    </row>
    <row r="2353" spans="1:15" x14ac:dyDescent="0.25">
      <c r="A2353" t="str">
        <f t="shared" si="152"/>
        <v>10/21/2020 18:30:59.386</v>
      </c>
      <c r="B2353" t="str">
        <f t="shared" si="153"/>
        <v>18:31:07.312</v>
      </c>
      <c r="C2353" t="str">
        <f t="shared" si="154"/>
        <v>18:31:06.913</v>
      </c>
      <c r="D2353" t="s">
        <v>922</v>
      </c>
      <c r="E2353">
        <v>30.655695999999999</v>
      </c>
      <c r="F2353" t="s">
        <v>468</v>
      </c>
      <c r="G2353">
        <v>-89.869558999999995</v>
      </c>
      <c r="H2353">
        <v>1600</v>
      </c>
      <c r="I2353">
        <v>-1</v>
      </c>
      <c r="J2353">
        <v>128</v>
      </c>
      <c r="K2353">
        <v>64</v>
      </c>
      <c r="L2353">
        <v>1200</v>
      </c>
      <c r="M2353" t="str">
        <f t="shared" si="142"/>
        <v xml:space="preserve">N35DC   </v>
      </c>
      <c r="N2353">
        <v>1</v>
      </c>
      <c r="O2353">
        <v>1675</v>
      </c>
    </row>
    <row r="2354" spans="1:15" x14ac:dyDescent="0.25">
      <c r="A2354" t="str">
        <f t="shared" si="152"/>
        <v>10/21/2020 18:30:59.386</v>
      </c>
      <c r="B2354" t="str">
        <f t="shared" si="153"/>
        <v>18:31:07.312</v>
      </c>
      <c r="C2354" t="str">
        <f t="shared" si="154"/>
        <v>18:31:06.913</v>
      </c>
      <c r="D2354" t="s">
        <v>922</v>
      </c>
      <c r="E2354">
        <v>30.655695999999999</v>
      </c>
      <c r="F2354" t="s">
        <v>468</v>
      </c>
      <c r="G2354">
        <v>-89.869558999999995</v>
      </c>
      <c r="H2354">
        <v>1600</v>
      </c>
      <c r="I2354">
        <v>-1</v>
      </c>
      <c r="J2354">
        <v>128</v>
      </c>
      <c r="K2354">
        <v>64</v>
      </c>
      <c r="L2354">
        <v>1200</v>
      </c>
      <c r="M2354" t="str">
        <f t="shared" si="142"/>
        <v xml:space="preserve">N35DC   </v>
      </c>
      <c r="N2354">
        <v>1</v>
      </c>
      <c r="O2354">
        <v>1675</v>
      </c>
    </row>
    <row r="2355" spans="1:15" x14ac:dyDescent="0.25">
      <c r="A2355" t="str">
        <f t="shared" si="152"/>
        <v>10/21/2020 18:30:59.386</v>
      </c>
      <c r="B2355" t="str">
        <f t="shared" si="153"/>
        <v>18:31:07.312</v>
      </c>
      <c r="C2355" t="str">
        <f t="shared" si="154"/>
        <v>18:31:06.913</v>
      </c>
      <c r="D2355" t="s">
        <v>922</v>
      </c>
      <c r="E2355">
        <v>30.655695999999999</v>
      </c>
      <c r="F2355" t="s">
        <v>468</v>
      </c>
      <c r="G2355">
        <v>-89.869558999999995</v>
      </c>
      <c r="H2355">
        <v>1600</v>
      </c>
      <c r="I2355">
        <v>-1</v>
      </c>
      <c r="J2355">
        <v>128</v>
      </c>
      <c r="K2355">
        <v>64</v>
      </c>
      <c r="L2355">
        <v>1200</v>
      </c>
      <c r="M2355" t="str">
        <f t="shared" si="142"/>
        <v xml:space="preserve">N35DC   </v>
      </c>
      <c r="N2355">
        <v>1</v>
      </c>
      <c r="O2355">
        <v>1675</v>
      </c>
    </row>
    <row r="2356" spans="1:15" x14ac:dyDescent="0.25">
      <c r="A2356" t="str">
        <f>"10/21/2020 18:31:02.898"</f>
        <v>10/21/2020 18:31:02.898</v>
      </c>
      <c r="B2356" t="str">
        <f>"18:31:10.828"</f>
        <v>18:31:10.828</v>
      </c>
      <c r="C2356" t="str">
        <f>"18:31:10.628"</f>
        <v>18:31:10.628</v>
      </c>
      <c r="D2356" t="s">
        <v>923</v>
      </c>
      <c r="E2356">
        <v>30.657755999999999</v>
      </c>
      <c r="F2356" t="s">
        <v>924</v>
      </c>
      <c r="G2356">
        <v>-89.869623000000004</v>
      </c>
      <c r="H2356">
        <v>1600</v>
      </c>
      <c r="I2356">
        <v>-3</v>
      </c>
      <c r="J2356">
        <v>126</v>
      </c>
      <c r="K2356">
        <v>448</v>
      </c>
      <c r="L2356">
        <v>1200</v>
      </c>
      <c r="M2356" t="str">
        <f t="shared" si="142"/>
        <v xml:space="preserve">N35DC   </v>
      </c>
      <c r="N2356">
        <v>1</v>
      </c>
      <c r="O2356">
        <v>1700</v>
      </c>
    </row>
    <row r="2357" spans="1:15" x14ac:dyDescent="0.25">
      <c r="A2357" t="str">
        <f>"10/21/2020 18:31:03.445"</f>
        <v>10/21/2020 18:31:03.445</v>
      </c>
      <c r="B2357" t="str">
        <f>"18:31:11.398"</f>
        <v>18:31:11.398</v>
      </c>
      <c r="C2357" t="str">
        <f>"18:31:11.098"</f>
        <v>18:31:11.098</v>
      </c>
      <c r="D2357" t="s">
        <v>925</v>
      </c>
      <c r="E2357">
        <v>30.658100000000001</v>
      </c>
      <c r="F2357" t="s">
        <v>926</v>
      </c>
      <c r="G2357">
        <v>-89.869645000000006</v>
      </c>
      <c r="H2357">
        <v>1600</v>
      </c>
      <c r="I2357">
        <v>-3</v>
      </c>
      <c r="J2357">
        <v>126</v>
      </c>
      <c r="K2357">
        <v>384</v>
      </c>
      <c r="L2357">
        <v>1200</v>
      </c>
      <c r="M2357" t="str">
        <f t="shared" si="142"/>
        <v xml:space="preserve">N35DC   </v>
      </c>
      <c r="N2357">
        <v>1</v>
      </c>
      <c r="O2357">
        <v>1700</v>
      </c>
    </row>
    <row r="2358" spans="1:15" x14ac:dyDescent="0.25">
      <c r="A2358" t="str">
        <f>"10/21/2020 18:31:03.445"</f>
        <v>10/21/2020 18:31:03.445</v>
      </c>
      <c r="B2358" t="str">
        <f>"18:31:11.398"</f>
        <v>18:31:11.398</v>
      </c>
      <c r="C2358" t="str">
        <f>"18:31:11.098"</f>
        <v>18:31:11.098</v>
      </c>
      <c r="D2358" t="s">
        <v>925</v>
      </c>
      <c r="E2358">
        <v>30.658100000000001</v>
      </c>
      <c r="F2358" t="s">
        <v>926</v>
      </c>
      <c r="G2358">
        <v>-89.869645000000006</v>
      </c>
      <c r="H2358">
        <v>1600</v>
      </c>
      <c r="I2358">
        <v>-3</v>
      </c>
      <c r="J2358">
        <v>126</v>
      </c>
      <c r="K2358">
        <v>384</v>
      </c>
      <c r="L2358">
        <v>1200</v>
      </c>
      <c r="M2358" t="str">
        <f t="shared" si="142"/>
        <v xml:space="preserve">N35DC   </v>
      </c>
      <c r="N2358">
        <v>1</v>
      </c>
      <c r="O2358">
        <v>1700</v>
      </c>
    </row>
    <row r="2359" spans="1:15" x14ac:dyDescent="0.25">
      <c r="A2359" t="str">
        <f>"10/21/2020 18:31:03.445"</f>
        <v>10/21/2020 18:31:03.445</v>
      </c>
      <c r="B2359" t="str">
        <f>"18:31:11.398"</f>
        <v>18:31:11.398</v>
      </c>
      <c r="C2359" t="str">
        <f>"18:31:11.098"</f>
        <v>18:31:11.098</v>
      </c>
      <c r="D2359" t="s">
        <v>925</v>
      </c>
      <c r="E2359">
        <v>30.658100000000001</v>
      </c>
      <c r="F2359" t="s">
        <v>926</v>
      </c>
      <c r="G2359">
        <v>-89.869645000000006</v>
      </c>
      <c r="H2359">
        <v>1600</v>
      </c>
      <c r="I2359">
        <v>-3</v>
      </c>
      <c r="J2359">
        <v>126</v>
      </c>
      <c r="K2359">
        <v>384</v>
      </c>
      <c r="L2359">
        <v>1200</v>
      </c>
      <c r="M2359" t="str">
        <f t="shared" si="142"/>
        <v xml:space="preserve">N35DC   </v>
      </c>
      <c r="N2359">
        <v>1</v>
      </c>
      <c r="O2359">
        <v>1700</v>
      </c>
    </row>
    <row r="2360" spans="1:15" x14ac:dyDescent="0.25">
      <c r="A2360" t="str">
        <f>"10/21/2020 18:31:03.445"</f>
        <v>10/21/2020 18:31:03.445</v>
      </c>
      <c r="B2360" t="str">
        <f>"18:31:11.398"</f>
        <v>18:31:11.398</v>
      </c>
      <c r="C2360" t="str">
        <f>"18:31:11.098"</f>
        <v>18:31:11.098</v>
      </c>
      <c r="D2360" t="s">
        <v>925</v>
      </c>
      <c r="E2360">
        <v>30.658100000000001</v>
      </c>
      <c r="F2360" t="s">
        <v>926</v>
      </c>
      <c r="G2360">
        <v>-89.869645000000006</v>
      </c>
      <c r="H2360">
        <v>1600</v>
      </c>
      <c r="I2360">
        <v>-3</v>
      </c>
      <c r="J2360">
        <v>126</v>
      </c>
      <c r="K2360">
        <v>384</v>
      </c>
      <c r="L2360">
        <v>1200</v>
      </c>
      <c r="M2360" t="str">
        <f t="shared" si="142"/>
        <v xml:space="preserve">N35DC   </v>
      </c>
      <c r="N2360">
        <v>1</v>
      </c>
      <c r="O2360">
        <v>1700</v>
      </c>
    </row>
    <row r="2361" spans="1:15" x14ac:dyDescent="0.25">
      <c r="A2361" t="str">
        <f>"10/21/2020 18:31:03.445"</f>
        <v>10/21/2020 18:31:03.445</v>
      </c>
      <c r="B2361" t="str">
        <f>"18:31:11.398"</f>
        <v>18:31:11.398</v>
      </c>
      <c r="C2361" t="str">
        <f>"18:31:11.098"</f>
        <v>18:31:11.098</v>
      </c>
      <c r="D2361" t="s">
        <v>925</v>
      </c>
      <c r="E2361">
        <v>30.658100000000001</v>
      </c>
      <c r="F2361" t="s">
        <v>926</v>
      </c>
      <c r="G2361">
        <v>-89.869645000000006</v>
      </c>
      <c r="H2361">
        <v>1600</v>
      </c>
      <c r="I2361">
        <v>-3</v>
      </c>
      <c r="J2361">
        <v>126</v>
      </c>
      <c r="K2361">
        <v>384</v>
      </c>
      <c r="L2361">
        <v>1200</v>
      </c>
      <c r="M2361" t="str">
        <f t="shared" si="142"/>
        <v xml:space="preserve">N35DC   </v>
      </c>
      <c r="N2361">
        <v>1</v>
      </c>
      <c r="O2361">
        <v>1700</v>
      </c>
    </row>
    <row r="2362" spans="1:15" x14ac:dyDescent="0.25">
      <c r="A2362" t="str">
        <f>"10/21/2020 18:31:04.011"</f>
        <v>10/21/2020 18:31:04.011</v>
      </c>
      <c r="B2362" t="str">
        <f>"18:31:11.922"</f>
        <v>18:31:11.922</v>
      </c>
      <c r="C2362" t="str">
        <f>"18:31:11.722"</f>
        <v>18:31:11.722</v>
      </c>
      <c r="D2362" t="s">
        <v>927</v>
      </c>
      <c r="E2362">
        <v>30.658422000000002</v>
      </c>
      <c r="F2362" t="s">
        <v>926</v>
      </c>
      <c r="G2362">
        <v>-89.869645000000006</v>
      </c>
      <c r="H2362">
        <v>1600</v>
      </c>
      <c r="I2362">
        <v>-3</v>
      </c>
      <c r="J2362">
        <v>126</v>
      </c>
      <c r="K2362">
        <v>256</v>
      </c>
      <c r="L2362">
        <v>1200</v>
      </c>
      <c r="M2362" t="str">
        <f t="shared" si="142"/>
        <v xml:space="preserve">N35DC   </v>
      </c>
      <c r="N2362">
        <v>1</v>
      </c>
      <c r="O2362">
        <v>1700</v>
      </c>
    </row>
    <row r="2363" spans="1:15" x14ac:dyDescent="0.25">
      <c r="A2363" t="str">
        <f>"10/21/2020 18:31:04.388"</f>
        <v>10/21/2020 18:31:04.388</v>
      </c>
      <c r="B2363" t="str">
        <f>"18:31:12.328"</f>
        <v>18:31:12.328</v>
      </c>
      <c r="C2363" t="str">
        <f>"18:31:12.128"</f>
        <v>18:31:12.128</v>
      </c>
      <c r="D2363" t="s">
        <v>928</v>
      </c>
      <c r="E2363">
        <v>30.658657999999999</v>
      </c>
      <c r="F2363" t="s">
        <v>926</v>
      </c>
      <c r="G2363">
        <v>-89.869645000000006</v>
      </c>
      <c r="H2363">
        <v>1600</v>
      </c>
      <c r="I2363">
        <v>-3</v>
      </c>
      <c r="J2363">
        <v>125</v>
      </c>
      <c r="K2363">
        <v>192</v>
      </c>
      <c r="L2363">
        <v>1200</v>
      </c>
      <c r="M2363" t="str">
        <f t="shared" si="142"/>
        <v xml:space="preserve">N35DC   </v>
      </c>
      <c r="N2363">
        <v>1</v>
      </c>
      <c r="O2363">
        <v>1700</v>
      </c>
    </row>
    <row r="2364" spans="1:15" x14ac:dyDescent="0.25">
      <c r="A2364" t="str">
        <f>"10/21/2020 18:31:04.388"</f>
        <v>10/21/2020 18:31:04.388</v>
      </c>
      <c r="B2364" t="str">
        <f>"18:31:12.328"</f>
        <v>18:31:12.328</v>
      </c>
      <c r="C2364" t="str">
        <f>"18:31:12.128"</f>
        <v>18:31:12.128</v>
      </c>
      <c r="D2364" t="s">
        <v>928</v>
      </c>
      <c r="E2364">
        <v>30.658657999999999</v>
      </c>
      <c r="F2364" t="s">
        <v>926</v>
      </c>
      <c r="G2364">
        <v>-89.869645000000006</v>
      </c>
      <c r="H2364">
        <v>1600</v>
      </c>
      <c r="I2364">
        <v>-3</v>
      </c>
      <c r="J2364">
        <v>125</v>
      </c>
      <c r="K2364">
        <v>192</v>
      </c>
      <c r="L2364">
        <v>1200</v>
      </c>
      <c r="M2364" t="str">
        <f t="shared" si="142"/>
        <v xml:space="preserve">N35DC   </v>
      </c>
      <c r="N2364">
        <v>1</v>
      </c>
      <c r="O2364">
        <v>1700</v>
      </c>
    </row>
    <row r="2365" spans="1:15" x14ac:dyDescent="0.25">
      <c r="A2365" t="str">
        <f>"10/21/2020 18:31:04.388"</f>
        <v>10/21/2020 18:31:04.388</v>
      </c>
      <c r="B2365" t="str">
        <f>"18:31:12.328"</f>
        <v>18:31:12.328</v>
      </c>
      <c r="C2365" t="str">
        <f>"18:31:12.128"</f>
        <v>18:31:12.128</v>
      </c>
      <c r="D2365" t="s">
        <v>928</v>
      </c>
      <c r="E2365">
        <v>30.658657999999999</v>
      </c>
      <c r="F2365" t="s">
        <v>926</v>
      </c>
      <c r="G2365">
        <v>-89.869645000000006</v>
      </c>
      <c r="H2365">
        <v>1600</v>
      </c>
      <c r="I2365">
        <v>-3</v>
      </c>
      <c r="J2365">
        <v>125</v>
      </c>
      <c r="K2365">
        <v>192</v>
      </c>
      <c r="L2365">
        <v>1200</v>
      </c>
      <c r="M2365" t="str">
        <f t="shared" si="142"/>
        <v xml:space="preserve">N35DC   </v>
      </c>
      <c r="N2365">
        <v>1</v>
      </c>
      <c r="O2365">
        <v>1700</v>
      </c>
    </row>
    <row r="2366" spans="1:15" x14ac:dyDescent="0.25">
      <c r="A2366" t="str">
        <f>"10/21/2020 18:31:04.388"</f>
        <v>10/21/2020 18:31:04.388</v>
      </c>
      <c r="B2366" t="str">
        <f>"18:31:12.328"</f>
        <v>18:31:12.328</v>
      </c>
      <c r="C2366" t="str">
        <f>"18:31:12.128"</f>
        <v>18:31:12.128</v>
      </c>
      <c r="D2366" t="s">
        <v>928</v>
      </c>
      <c r="E2366">
        <v>30.658657999999999</v>
      </c>
      <c r="F2366" t="s">
        <v>926</v>
      </c>
      <c r="G2366">
        <v>-89.869645000000006</v>
      </c>
      <c r="H2366">
        <v>1600</v>
      </c>
      <c r="I2366">
        <v>-3</v>
      </c>
      <c r="J2366">
        <v>125</v>
      </c>
      <c r="K2366">
        <v>192</v>
      </c>
      <c r="L2366">
        <v>1200</v>
      </c>
      <c r="M2366" t="str">
        <f t="shared" si="142"/>
        <v xml:space="preserve">N35DC   </v>
      </c>
      <c r="N2366">
        <v>1</v>
      </c>
      <c r="O2366">
        <v>1700</v>
      </c>
    </row>
    <row r="2367" spans="1:15" x14ac:dyDescent="0.25">
      <c r="A2367" t="str">
        <f>"10/21/2020 18:31:04.388"</f>
        <v>10/21/2020 18:31:04.388</v>
      </c>
      <c r="B2367" t="str">
        <f>"18:31:12.328"</f>
        <v>18:31:12.328</v>
      </c>
      <c r="C2367" t="str">
        <f>"18:31:12.128"</f>
        <v>18:31:12.128</v>
      </c>
      <c r="D2367" t="s">
        <v>928</v>
      </c>
      <c r="E2367">
        <v>30.658657999999999</v>
      </c>
      <c r="F2367" t="s">
        <v>926</v>
      </c>
      <c r="G2367">
        <v>-89.869645000000006</v>
      </c>
      <c r="H2367">
        <v>1600</v>
      </c>
      <c r="I2367">
        <v>-3</v>
      </c>
      <c r="J2367">
        <v>125</v>
      </c>
      <c r="K2367">
        <v>192</v>
      </c>
      <c r="L2367">
        <v>1200</v>
      </c>
      <c r="M2367" t="str">
        <f t="shared" si="142"/>
        <v xml:space="preserve">N35DC   </v>
      </c>
      <c r="N2367">
        <v>1</v>
      </c>
      <c r="O2367">
        <v>1700</v>
      </c>
    </row>
    <row r="2368" spans="1:15" x14ac:dyDescent="0.25">
      <c r="A2368" t="str">
        <f>"10/21/2020 18:31:06.770"</f>
        <v>10/21/2020 18:31:06.770</v>
      </c>
      <c r="B2368" t="str">
        <f>"18:31:14.695"</f>
        <v>18:31:14.695</v>
      </c>
      <c r="C2368" t="str">
        <f>"18:31:14.595"</f>
        <v>18:31:14.595</v>
      </c>
      <c r="D2368" t="s">
        <v>929</v>
      </c>
      <c r="E2368">
        <v>30.660008999999999</v>
      </c>
      <c r="F2368" t="s">
        <v>930</v>
      </c>
      <c r="G2368">
        <v>-89.869709</v>
      </c>
      <c r="H2368">
        <v>1600</v>
      </c>
      <c r="I2368">
        <v>-4</v>
      </c>
      <c r="J2368">
        <v>125</v>
      </c>
      <c r="K2368">
        <v>192</v>
      </c>
      <c r="L2368">
        <v>1200</v>
      </c>
      <c r="M2368" t="str">
        <f t="shared" si="142"/>
        <v xml:space="preserve">N35DC   </v>
      </c>
      <c r="N2368">
        <v>1</v>
      </c>
      <c r="O2368">
        <v>1725</v>
      </c>
    </row>
    <row r="2369" spans="1:15" x14ac:dyDescent="0.25">
      <c r="A2369" t="str">
        <f>"10/21/2020 18:31:07.335"</f>
        <v>10/21/2020 18:31:07.335</v>
      </c>
      <c r="B2369" t="str">
        <f>"18:31:15.266"</f>
        <v>18:31:15.266</v>
      </c>
      <c r="C2369" t="str">
        <f>"18:31:15.066"</f>
        <v>18:31:15.066</v>
      </c>
      <c r="D2369" t="s">
        <v>931</v>
      </c>
      <c r="E2369">
        <v>30.660330999999999</v>
      </c>
      <c r="F2369" t="s">
        <v>932</v>
      </c>
      <c r="G2369">
        <v>-89.869665999999995</v>
      </c>
      <c r="H2369">
        <v>1600</v>
      </c>
      <c r="I2369">
        <v>-5</v>
      </c>
      <c r="J2369">
        <v>125</v>
      </c>
      <c r="K2369">
        <v>192</v>
      </c>
      <c r="L2369">
        <v>1200</v>
      </c>
      <c r="M2369" t="str">
        <f t="shared" si="142"/>
        <v xml:space="preserve">N35DC   </v>
      </c>
      <c r="N2369">
        <v>1</v>
      </c>
      <c r="O2369">
        <v>1725</v>
      </c>
    </row>
    <row r="2370" spans="1:15" x14ac:dyDescent="0.25">
      <c r="A2370" t="str">
        <f>"10/21/2020 18:31:07.335"</f>
        <v>10/21/2020 18:31:07.335</v>
      </c>
      <c r="B2370" t="str">
        <f>"18:31:15.266"</f>
        <v>18:31:15.266</v>
      </c>
      <c r="C2370" t="str">
        <f>"18:31:15.066"</f>
        <v>18:31:15.066</v>
      </c>
      <c r="D2370" t="s">
        <v>931</v>
      </c>
      <c r="E2370">
        <v>30.660330999999999</v>
      </c>
      <c r="F2370" t="s">
        <v>932</v>
      </c>
      <c r="G2370">
        <v>-89.869665999999995</v>
      </c>
      <c r="H2370">
        <v>1600</v>
      </c>
      <c r="I2370">
        <v>-5</v>
      </c>
      <c r="J2370">
        <v>125</v>
      </c>
      <c r="K2370">
        <v>192</v>
      </c>
      <c r="L2370">
        <v>1200</v>
      </c>
      <c r="M2370" t="str">
        <f t="shared" si="142"/>
        <v xml:space="preserve">N35DC   </v>
      </c>
      <c r="N2370">
        <v>1</v>
      </c>
      <c r="O2370">
        <v>1725</v>
      </c>
    </row>
    <row r="2371" spans="1:15" x14ac:dyDescent="0.25">
      <c r="A2371" t="str">
        <f>"10/21/2020 18:31:07.335"</f>
        <v>10/21/2020 18:31:07.335</v>
      </c>
      <c r="B2371" t="str">
        <f>"18:31:15.266"</f>
        <v>18:31:15.266</v>
      </c>
      <c r="C2371" t="str">
        <f>"18:31:15.066"</f>
        <v>18:31:15.066</v>
      </c>
      <c r="D2371" t="s">
        <v>931</v>
      </c>
      <c r="E2371">
        <v>30.660330999999999</v>
      </c>
      <c r="F2371" t="s">
        <v>932</v>
      </c>
      <c r="G2371">
        <v>-89.869665999999995</v>
      </c>
      <c r="H2371">
        <v>1600</v>
      </c>
      <c r="I2371">
        <v>-5</v>
      </c>
      <c r="J2371">
        <v>125</v>
      </c>
      <c r="K2371">
        <v>192</v>
      </c>
      <c r="L2371">
        <v>1200</v>
      </c>
      <c r="M2371" t="str">
        <f t="shared" si="142"/>
        <v xml:space="preserve">N35DC   </v>
      </c>
      <c r="N2371">
        <v>1</v>
      </c>
      <c r="O2371">
        <v>1725</v>
      </c>
    </row>
    <row r="2372" spans="1:15" x14ac:dyDescent="0.25">
      <c r="A2372" t="str">
        <f>"10/21/2020 18:31:07.335"</f>
        <v>10/21/2020 18:31:07.335</v>
      </c>
      <c r="B2372" t="str">
        <f>"18:31:15.266"</f>
        <v>18:31:15.266</v>
      </c>
      <c r="C2372" t="str">
        <f>"18:31:15.066"</f>
        <v>18:31:15.066</v>
      </c>
      <c r="D2372" t="s">
        <v>931</v>
      </c>
      <c r="E2372">
        <v>30.660330999999999</v>
      </c>
      <c r="F2372" t="s">
        <v>932</v>
      </c>
      <c r="G2372">
        <v>-89.869665999999995</v>
      </c>
      <c r="H2372">
        <v>1600</v>
      </c>
      <c r="I2372">
        <v>-5</v>
      </c>
      <c r="J2372">
        <v>125</v>
      </c>
      <c r="K2372">
        <v>192</v>
      </c>
      <c r="L2372">
        <v>1200</v>
      </c>
      <c r="M2372" t="str">
        <f t="shared" si="142"/>
        <v xml:space="preserve">N35DC   </v>
      </c>
      <c r="N2372">
        <v>1</v>
      </c>
      <c r="O2372">
        <v>1725</v>
      </c>
    </row>
    <row r="2373" spans="1:15" x14ac:dyDescent="0.25">
      <c r="A2373" t="str">
        <f>"10/21/2020 18:31:07.335"</f>
        <v>10/21/2020 18:31:07.335</v>
      </c>
      <c r="B2373" t="str">
        <f>"18:31:15.266"</f>
        <v>18:31:15.266</v>
      </c>
      <c r="C2373" t="str">
        <f>"18:31:15.066"</f>
        <v>18:31:15.066</v>
      </c>
      <c r="D2373" t="s">
        <v>931</v>
      </c>
      <c r="E2373">
        <v>30.660330999999999</v>
      </c>
      <c r="F2373" t="s">
        <v>932</v>
      </c>
      <c r="G2373">
        <v>-89.869665999999995</v>
      </c>
      <c r="H2373">
        <v>1600</v>
      </c>
      <c r="I2373">
        <v>-5</v>
      </c>
      <c r="J2373">
        <v>125</v>
      </c>
      <c r="K2373">
        <v>192</v>
      </c>
      <c r="L2373">
        <v>1200</v>
      </c>
      <c r="M2373" t="str">
        <f t="shared" si="142"/>
        <v xml:space="preserve">N35DC   </v>
      </c>
      <c r="N2373">
        <v>1</v>
      </c>
      <c r="O2373">
        <v>1725</v>
      </c>
    </row>
    <row r="2374" spans="1:15" x14ac:dyDescent="0.25">
      <c r="A2374" t="str">
        <f>"10/21/2020 18:31:07.927"</f>
        <v>10/21/2020 18:31:07.927</v>
      </c>
      <c r="B2374" t="str">
        <f>"18:31:15.852"</f>
        <v>18:31:15.852</v>
      </c>
      <c r="C2374" t="str">
        <f>"18:31:15.652"</f>
        <v>18:31:15.652</v>
      </c>
      <c r="D2374" t="s">
        <v>933</v>
      </c>
      <c r="E2374">
        <v>30.660696000000002</v>
      </c>
      <c r="F2374" t="s">
        <v>930</v>
      </c>
      <c r="G2374">
        <v>-89.869709</v>
      </c>
      <c r="H2374">
        <v>1600</v>
      </c>
      <c r="I2374">
        <v>-5</v>
      </c>
      <c r="J2374">
        <v>125</v>
      </c>
      <c r="K2374">
        <v>128</v>
      </c>
      <c r="L2374">
        <v>1200</v>
      </c>
      <c r="M2374" t="str">
        <f t="shared" si="142"/>
        <v xml:space="preserve">N35DC   </v>
      </c>
      <c r="N2374">
        <v>1</v>
      </c>
      <c r="O2374">
        <v>1725</v>
      </c>
    </row>
    <row r="2375" spans="1:15" x14ac:dyDescent="0.25">
      <c r="A2375" t="str">
        <f>"10/21/2020 18:31:08.427"</f>
        <v>10/21/2020 18:31:08.427</v>
      </c>
      <c r="B2375" t="str">
        <f>"18:31:16.375"</f>
        <v>18:31:16.375</v>
      </c>
      <c r="C2375" t="str">
        <f>"18:31:16.175"</f>
        <v>18:31:16.175</v>
      </c>
      <c r="D2375" t="s">
        <v>934</v>
      </c>
      <c r="E2375">
        <v>30.661017999999999</v>
      </c>
      <c r="F2375" t="s">
        <v>915</v>
      </c>
      <c r="G2375">
        <v>-89.869730000000004</v>
      </c>
      <c r="H2375">
        <v>1600</v>
      </c>
      <c r="I2375">
        <v>-5</v>
      </c>
      <c r="J2375">
        <v>126</v>
      </c>
      <c r="K2375">
        <v>128</v>
      </c>
      <c r="L2375">
        <v>1200</v>
      </c>
      <c r="M2375" t="str">
        <f t="shared" ref="M2375:M2438" si="155">"N35DC   "</f>
        <v xml:space="preserve">N35DC   </v>
      </c>
      <c r="N2375">
        <v>1</v>
      </c>
      <c r="O2375">
        <v>1725</v>
      </c>
    </row>
    <row r="2376" spans="1:15" x14ac:dyDescent="0.25">
      <c r="A2376" t="str">
        <f>"10/21/2020 18:31:08.427"</f>
        <v>10/21/2020 18:31:08.427</v>
      </c>
      <c r="B2376" t="str">
        <f>"18:31:16.375"</f>
        <v>18:31:16.375</v>
      </c>
      <c r="C2376" t="str">
        <f>"18:31:16.175"</f>
        <v>18:31:16.175</v>
      </c>
      <c r="D2376" t="s">
        <v>934</v>
      </c>
      <c r="E2376">
        <v>30.661017999999999</v>
      </c>
      <c r="F2376" t="s">
        <v>915</v>
      </c>
      <c r="G2376">
        <v>-89.869730000000004</v>
      </c>
      <c r="H2376">
        <v>1600</v>
      </c>
      <c r="I2376">
        <v>-5</v>
      </c>
      <c r="J2376">
        <v>126</v>
      </c>
      <c r="K2376">
        <v>128</v>
      </c>
      <c r="L2376">
        <v>1200</v>
      </c>
      <c r="M2376" t="str">
        <f t="shared" si="155"/>
        <v xml:space="preserve">N35DC   </v>
      </c>
      <c r="N2376">
        <v>1</v>
      </c>
      <c r="O2376">
        <v>1725</v>
      </c>
    </row>
    <row r="2377" spans="1:15" x14ac:dyDescent="0.25">
      <c r="A2377" t="str">
        <f>"10/21/2020 18:31:08.427"</f>
        <v>10/21/2020 18:31:08.427</v>
      </c>
      <c r="B2377" t="str">
        <f>"18:31:16.375"</f>
        <v>18:31:16.375</v>
      </c>
      <c r="C2377" t="str">
        <f>"18:31:16.175"</f>
        <v>18:31:16.175</v>
      </c>
      <c r="D2377" t="s">
        <v>934</v>
      </c>
      <c r="E2377">
        <v>30.661017999999999</v>
      </c>
      <c r="F2377" t="s">
        <v>915</v>
      </c>
      <c r="G2377">
        <v>-89.869730000000004</v>
      </c>
      <c r="H2377">
        <v>1600</v>
      </c>
      <c r="I2377">
        <v>-5</v>
      </c>
      <c r="J2377">
        <v>126</v>
      </c>
      <c r="K2377">
        <v>128</v>
      </c>
      <c r="L2377">
        <v>1200</v>
      </c>
      <c r="M2377" t="str">
        <f t="shared" si="155"/>
        <v xml:space="preserve">N35DC   </v>
      </c>
      <c r="N2377">
        <v>1</v>
      </c>
      <c r="O2377">
        <v>1725</v>
      </c>
    </row>
    <row r="2378" spans="1:15" x14ac:dyDescent="0.25">
      <c r="A2378" t="str">
        <f>"10/21/2020 18:31:08.427"</f>
        <v>10/21/2020 18:31:08.427</v>
      </c>
      <c r="B2378" t="str">
        <f>"18:31:16.375"</f>
        <v>18:31:16.375</v>
      </c>
      <c r="C2378" t="str">
        <f>"18:31:16.175"</f>
        <v>18:31:16.175</v>
      </c>
      <c r="D2378" t="s">
        <v>934</v>
      </c>
      <c r="E2378">
        <v>30.661017999999999</v>
      </c>
      <c r="F2378" t="s">
        <v>915</v>
      </c>
      <c r="G2378">
        <v>-89.869730000000004</v>
      </c>
      <c r="H2378">
        <v>1600</v>
      </c>
      <c r="I2378">
        <v>-5</v>
      </c>
      <c r="J2378">
        <v>126</v>
      </c>
      <c r="K2378">
        <v>128</v>
      </c>
      <c r="L2378">
        <v>1200</v>
      </c>
      <c r="M2378" t="str">
        <f t="shared" si="155"/>
        <v xml:space="preserve">N35DC   </v>
      </c>
      <c r="N2378">
        <v>1</v>
      </c>
      <c r="O2378">
        <v>1725</v>
      </c>
    </row>
    <row r="2379" spans="1:15" x14ac:dyDescent="0.25">
      <c r="A2379" t="str">
        <f>"10/21/2020 18:31:08.427"</f>
        <v>10/21/2020 18:31:08.427</v>
      </c>
      <c r="B2379" t="str">
        <f>"18:31:16.375"</f>
        <v>18:31:16.375</v>
      </c>
      <c r="C2379" t="str">
        <f>"18:31:16.175"</f>
        <v>18:31:16.175</v>
      </c>
      <c r="D2379" t="s">
        <v>934</v>
      </c>
      <c r="E2379">
        <v>30.661017999999999</v>
      </c>
      <c r="F2379" t="s">
        <v>915</v>
      </c>
      <c r="G2379">
        <v>-89.869730000000004</v>
      </c>
      <c r="H2379">
        <v>1600</v>
      </c>
      <c r="I2379">
        <v>-5</v>
      </c>
      <c r="J2379">
        <v>126</v>
      </c>
      <c r="K2379">
        <v>128</v>
      </c>
      <c r="L2379">
        <v>1200</v>
      </c>
      <c r="M2379" t="str">
        <f t="shared" si="155"/>
        <v xml:space="preserve">N35DC   </v>
      </c>
      <c r="N2379">
        <v>1</v>
      </c>
      <c r="O2379">
        <v>1725</v>
      </c>
    </row>
    <row r="2380" spans="1:15" x14ac:dyDescent="0.25">
      <c r="A2380" t="str">
        <f>"10/21/2020 18:31:10.448"</f>
        <v>10/21/2020 18:31:10.448</v>
      </c>
      <c r="B2380" t="str">
        <f>"18:31:18.398"</f>
        <v>18:31:18.398</v>
      </c>
      <c r="C2380" t="str">
        <f>"18:31:18.098"</f>
        <v>18:31:18.098</v>
      </c>
      <c r="D2380" t="s">
        <v>935</v>
      </c>
      <c r="E2380">
        <v>30.662154999999998</v>
      </c>
      <c r="F2380" t="s">
        <v>936</v>
      </c>
      <c r="G2380">
        <v>-89.869772999999995</v>
      </c>
      <c r="H2380">
        <v>1600</v>
      </c>
      <c r="I2380">
        <v>-6</v>
      </c>
      <c r="J2380">
        <v>126</v>
      </c>
      <c r="K2380">
        <v>-128</v>
      </c>
      <c r="L2380">
        <v>1200</v>
      </c>
      <c r="M2380" t="str">
        <f t="shared" si="155"/>
        <v xml:space="preserve">N35DC   </v>
      </c>
      <c r="N2380">
        <v>1</v>
      </c>
      <c r="O2380">
        <v>1700</v>
      </c>
    </row>
    <row r="2381" spans="1:15" x14ac:dyDescent="0.25">
      <c r="A2381" t="str">
        <f>"10/21/2020 18:31:10.448"</f>
        <v>10/21/2020 18:31:10.448</v>
      </c>
      <c r="B2381" t="str">
        <f>"18:31:18.398"</f>
        <v>18:31:18.398</v>
      </c>
      <c r="C2381" t="str">
        <f>"18:31:18.098"</f>
        <v>18:31:18.098</v>
      </c>
      <c r="D2381" t="s">
        <v>935</v>
      </c>
      <c r="E2381">
        <v>30.662154999999998</v>
      </c>
      <c r="F2381" t="s">
        <v>936</v>
      </c>
      <c r="G2381">
        <v>-89.869772999999995</v>
      </c>
      <c r="H2381">
        <v>1600</v>
      </c>
      <c r="I2381">
        <v>-6</v>
      </c>
      <c r="J2381">
        <v>126</v>
      </c>
      <c r="K2381">
        <v>-128</v>
      </c>
      <c r="L2381">
        <v>1200</v>
      </c>
      <c r="M2381" t="str">
        <f t="shared" si="155"/>
        <v xml:space="preserve">N35DC   </v>
      </c>
      <c r="N2381">
        <v>1</v>
      </c>
      <c r="O2381">
        <v>1700</v>
      </c>
    </row>
    <row r="2382" spans="1:15" x14ac:dyDescent="0.25">
      <c r="A2382" t="str">
        <f>"10/21/2020 18:31:10.448"</f>
        <v>10/21/2020 18:31:10.448</v>
      </c>
      <c r="B2382" t="str">
        <f>"18:31:18.398"</f>
        <v>18:31:18.398</v>
      </c>
      <c r="C2382" t="str">
        <f>"18:31:18.098"</f>
        <v>18:31:18.098</v>
      </c>
      <c r="D2382" t="s">
        <v>935</v>
      </c>
      <c r="E2382">
        <v>30.662154999999998</v>
      </c>
      <c r="F2382" t="s">
        <v>936</v>
      </c>
      <c r="G2382">
        <v>-89.869772999999995</v>
      </c>
      <c r="H2382">
        <v>1600</v>
      </c>
      <c r="I2382">
        <v>-6</v>
      </c>
      <c r="J2382">
        <v>126</v>
      </c>
      <c r="K2382">
        <v>-128</v>
      </c>
      <c r="L2382">
        <v>1200</v>
      </c>
      <c r="M2382" t="str">
        <f t="shared" si="155"/>
        <v xml:space="preserve">N35DC   </v>
      </c>
      <c r="N2382">
        <v>1</v>
      </c>
      <c r="O2382">
        <v>1700</v>
      </c>
    </row>
    <row r="2383" spans="1:15" x14ac:dyDescent="0.25">
      <c r="A2383" t="str">
        <f>"10/21/2020 18:31:10.448"</f>
        <v>10/21/2020 18:31:10.448</v>
      </c>
      <c r="B2383" t="str">
        <f>"18:31:18.398"</f>
        <v>18:31:18.398</v>
      </c>
      <c r="C2383" t="str">
        <f>"18:31:18.098"</f>
        <v>18:31:18.098</v>
      </c>
      <c r="D2383" t="s">
        <v>935</v>
      </c>
      <c r="E2383">
        <v>30.662154999999998</v>
      </c>
      <c r="F2383" t="s">
        <v>936</v>
      </c>
      <c r="G2383">
        <v>-89.869772999999995</v>
      </c>
      <c r="H2383">
        <v>1600</v>
      </c>
      <c r="I2383">
        <v>-6</v>
      </c>
      <c r="J2383">
        <v>126</v>
      </c>
      <c r="K2383">
        <v>-128</v>
      </c>
      <c r="L2383">
        <v>1200</v>
      </c>
      <c r="M2383" t="str">
        <f t="shared" si="155"/>
        <v xml:space="preserve">N35DC   </v>
      </c>
      <c r="N2383">
        <v>1</v>
      </c>
      <c r="O2383">
        <v>1700</v>
      </c>
    </row>
    <row r="2384" spans="1:15" x14ac:dyDescent="0.25">
      <c r="A2384" t="str">
        <f>"10/21/2020 18:31:10.448"</f>
        <v>10/21/2020 18:31:10.448</v>
      </c>
      <c r="B2384" t="str">
        <f>"18:31:18.398"</f>
        <v>18:31:18.398</v>
      </c>
      <c r="C2384" t="str">
        <f>"18:31:18.098"</f>
        <v>18:31:18.098</v>
      </c>
      <c r="D2384" t="s">
        <v>935</v>
      </c>
      <c r="E2384">
        <v>30.662154999999998</v>
      </c>
      <c r="F2384" t="s">
        <v>936</v>
      </c>
      <c r="G2384">
        <v>-89.869772999999995</v>
      </c>
      <c r="H2384">
        <v>1600</v>
      </c>
      <c r="I2384">
        <v>-6</v>
      </c>
      <c r="J2384">
        <v>126</v>
      </c>
      <c r="K2384">
        <v>-128</v>
      </c>
      <c r="L2384">
        <v>1200</v>
      </c>
      <c r="M2384" t="str">
        <f t="shared" si="155"/>
        <v xml:space="preserve">N35DC   </v>
      </c>
      <c r="N2384">
        <v>1</v>
      </c>
      <c r="O2384">
        <v>1700</v>
      </c>
    </row>
    <row r="2385" spans="1:15" x14ac:dyDescent="0.25">
      <c r="A2385" t="str">
        <f>"10/21/2020 18:31:11.057"</f>
        <v>10/21/2020 18:31:11.057</v>
      </c>
      <c r="B2385" t="str">
        <f>"18:31:18.953"</f>
        <v>18:31:18.953</v>
      </c>
      <c r="C2385" t="str">
        <f>"18:31:18.653"</f>
        <v>18:31:18.653</v>
      </c>
      <c r="D2385" t="s">
        <v>937</v>
      </c>
      <c r="E2385">
        <v>30.662476999999999</v>
      </c>
      <c r="F2385" t="s">
        <v>938</v>
      </c>
      <c r="G2385">
        <v>-89.869838000000001</v>
      </c>
      <c r="H2385">
        <v>1600</v>
      </c>
      <c r="I2385">
        <v>-6</v>
      </c>
      <c r="J2385">
        <v>126</v>
      </c>
      <c r="K2385">
        <v>-192</v>
      </c>
      <c r="L2385">
        <v>1200</v>
      </c>
      <c r="M2385" t="str">
        <f t="shared" si="155"/>
        <v xml:space="preserve">N35DC   </v>
      </c>
      <c r="N2385">
        <v>1</v>
      </c>
      <c r="O2385">
        <v>1700</v>
      </c>
    </row>
    <row r="2386" spans="1:15" x14ac:dyDescent="0.25">
      <c r="A2386" t="str">
        <f>"10/21/2020 18:31:11.548"</f>
        <v>10/21/2020 18:31:11.548</v>
      </c>
      <c r="B2386" t="str">
        <f>"18:31:19.477"</f>
        <v>18:31:19.477</v>
      </c>
      <c r="C2386" t="str">
        <f>"18:31:19.077"</f>
        <v>18:31:19.077</v>
      </c>
      <c r="D2386" t="s">
        <v>939</v>
      </c>
      <c r="E2386">
        <v>30.662799</v>
      </c>
      <c r="F2386" t="s">
        <v>913</v>
      </c>
      <c r="G2386">
        <v>-89.869816</v>
      </c>
      <c r="H2386">
        <v>1600</v>
      </c>
      <c r="I2386">
        <v>-6</v>
      </c>
      <c r="J2386">
        <v>126</v>
      </c>
      <c r="K2386">
        <v>-256</v>
      </c>
      <c r="L2386">
        <v>1200</v>
      </c>
      <c r="M2386" t="str">
        <f t="shared" si="155"/>
        <v xml:space="preserve">N35DC   </v>
      </c>
      <c r="N2386">
        <v>1</v>
      </c>
      <c r="O2386">
        <v>1700</v>
      </c>
    </row>
    <row r="2387" spans="1:15" x14ac:dyDescent="0.25">
      <c r="A2387" t="str">
        <f>"10/21/2020 18:31:11.548"</f>
        <v>10/21/2020 18:31:11.548</v>
      </c>
      <c r="B2387" t="str">
        <f>"18:31:19.477"</f>
        <v>18:31:19.477</v>
      </c>
      <c r="C2387" t="str">
        <f>"18:31:19.077"</f>
        <v>18:31:19.077</v>
      </c>
      <c r="D2387" t="s">
        <v>939</v>
      </c>
      <c r="E2387">
        <v>30.662799</v>
      </c>
      <c r="F2387" t="s">
        <v>913</v>
      </c>
      <c r="G2387">
        <v>-89.869816</v>
      </c>
      <c r="H2387">
        <v>1600</v>
      </c>
      <c r="I2387">
        <v>-6</v>
      </c>
      <c r="J2387">
        <v>126</v>
      </c>
      <c r="K2387">
        <v>-256</v>
      </c>
      <c r="L2387">
        <v>1200</v>
      </c>
      <c r="M2387" t="str">
        <f t="shared" si="155"/>
        <v xml:space="preserve">N35DC   </v>
      </c>
      <c r="N2387">
        <v>1</v>
      </c>
      <c r="O2387">
        <v>1700</v>
      </c>
    </row>
    <row r="2388" spans="1:15" x14ac:dyDescent="0.25">
      <c r="A2388" t="str">
        <f>"10/21/2020 18:31:11.548"</f>
        <v>10/21/2020 18:31:11.548</v>
      </c>
      <c r="B2388" t="str">
        <f>"18:31:19.477"</f>
        <v>18:31:19.477</v>
      </c>
      <c r="C2388" t="str">
        <f>"18:31:19.077"</f>
        <v>18:31:19.077</v>
      </c>
      <c r="D2388" t="s">
        <v>939</v>
      </c>
      <c r="E2388">
        <v>30.662799</v>
      </c>
      <c r="F2388" t="s">
        <v>913</v>
      </c>
      <c r="G2388">
        <v>-89.869816</v>
      </c>
      <c r="H2388">
        <v>1600</v>
      </c>
      <c r="I2388">
        <v>-6</v>
      </c>
      <c r="J2388">
        <v>126</v>
      </c>
      <c r="K2388">
        <v>-256</v>
      </c>
      <c r="L2388">
        <v>1200</v>
      </c>
      <c r="M2388" t="str">
        <f t="shared" si="155"/>
        <v xml:space="preserve">N35DC   </v>
      </c>
      <c r="N2388">
        <v>1</v>
      </c>
      <c r="O2388">
        <v>1700</v>
      </c>
    </row>
    <row r="2389" spans="1:15" x14ac:dyDescent="0.25">
      <c r="A2389" t="str">
        <f>"10/21/2020 18:31:11.548"</f>
        <v>10/21/2020 18:31:11.548</v>
      </c>
      <c r="B2389" t="str">
        <f>"18:31:19.477"</f>
        <v>18:31:19.477</v>
      </c>
      <c r="C2389" t="str">
        <f>"18:31:19.077"</f>
        <v>18:31:19.077</v>
      </c>
      <c r="D2389" t="s">
        <v>939</v>
      </c>
      <c r="E2389">
        <v>30.662799</v>
      </c>
      <c r="F2389" t="s">
        <v>913</v>
      </c>
      <c r="G2389">
        <v>-89.869816</v>
      </c>
      <c r="H2389">
        <v>1600</v>
      </c>
      <c r="I2389">
        <v>-6</v>
      </c>
      <c r="J2389">
        <v>126</v>
      </c>
      <c r="K2389">
        <v>-256</v>
      </c>
      <c r="L2389">
        <v>1200</v>
      </c>
      <c r="M2389" t="str">
        <f t="shared" si="155"/>
        <v xml:space="preserve">N35DC   </v>
      </c>
      <c r="N2389">
        <v>1</v>
      </c>
      <c r="O2389">
        <v>1700</v>
      </c>
    </row>
    <row r="2390" spans="1:15" x14ac:dyDescent="0.25">
      <c r="A2390" t="str">
        <f>"10/21/2020 18:31:11.548"</f>
        <v>10/21/2020 18:31:11.548</v>
      </c>
      <c r="B2390" t="str">
        <f>"18:31:19.477"</f>
        <v>18:31:19.477</v>
      </c>
      <c r="C2390" t="str">
        <f>"18:31:19.077"</f>
        <v>18:31:19.077</v>
      </c>
      <c r="D2390" t="s">
        <v>939</v>
      </c>
      <c r="E2390">
        <v>30.662799</v>
      </c>
      <c r="F2390" t="s">
        <v>913</v>
      </c>
      <c r="G2390">
        <v>-89.869816</v>
      </c>
      <c r="H2390">
        <v>1600</v>
      </c>
      <c r="I2390">
        <v>-6</v>
      </c>
      <c r="J2390">
        <v>126</v>
      </c>
      <c r="K2390">
        <v>-256</v>
      </c>
      <c r="L2390">
        <v>1200</v>
      </c>
      <c r="M2390" t="str">
        <f t="shared" si="155"/>
        <v xml:space="preserve">N35DC   </v>
      </c>
      <c r="N2390">
        <v>1</v>
      </c>
      <c r="O2390">
        <v>1700</v>
      </c>
    </row>
    <row r="2391" spans="1:15" x14ac:dyDescent="0.25">
      <c r="A2391" t="str">
        <f>"10/21/2020 18:31:14.461"</f>
        <v>10/21/2020 18:31:14.461</v>
      </c>
      <c r="B2391" t="str">
        <f>"18:31:22.391"</f>
        <v>18:31:22.391</v>
      </c>
      <c r="C2391" t="str">
        <f>"18:31:21.991"</f>
        <v>18:31:21.991</v>
      </c>
      <c r="D2391" t="s">
        <v>940</v>
      </c>
      <c r="E2391">
        <v>30.664536999999999</v>
      </c>
      <c r="F2391" t="s">
        <v>941</v>
      </c>
      <c r="G2391">
        <v>-89.869945000000001</v>
      </c>
      <c r="H2391">
        <v>1600</v>
      </c>
      <c r="I2391">
        <v>-8</v>
      </c>
      <c r="J2391">
        <v>126</v>
      </c>
      <c r="K2391">
        <v>-320</v>
      </c>
      <c r="L2391">
        <v>1200</v>
      </c>
      <c r="M2391" t="str">
        <f t="shared" si="155"/>
        <v xml:space="preserve">N35DC   </v>
      </c>
      <c r="N2391">
        <v>1</v>
      </c>
      <c r="O2391">
        <v>1700</v>
      </c>
    </row>
    <row r="2392" spans="1:15" x14ac:dyDescent="0.25">
      <c r="A2392" t="str">
        <f>"10/21/2020 18:31:14.461"</f>
        <v>10/21/2020 18:31:14.461</v>
      </c>
      <c r="B2392" t="str">
        <f>"18:31:22.391"</f>
        <v>18:31:22.391</v>
      </c>
      <c r="C2392" t="str">
        <f>"18:31:21.991"</f>
        <v>18:31:21.991</v>
      </c>
      <c r="D2392" t="s">
        <v>940</v>
      </c>
      <c r="E2392">
        <v>30.664536999999999</v>
      </c>
      <c r="F2392" t="s">
        <v>941</v>
      </c>
      <c r="G2392">
        <v>-89.869945000000001</v>
      </c>
      <c r="H2392">
        <v>1600</v>
      </c>
      <c r="I2392">
        <v>-8</v>
      </c>
      <c r="J2392">
        <v>126</v>
      </c>
      <c r="K2392">
        <v>-320</v>
      </c>
      <c r="L2392">
        <v>1200</v>
      </c>
      <c r="M2392" t="str">
        <f t="shared" si="155"/>
        <v xml:space="preserve">N35DC   </v>
      </c>
      <c r="N2392">
        <v>1</v>
      </c>
      <c r="O2392">
        <v>1700</v>
      </c>
    </row>
    <row r="2393" spans="1:15" x14ac:dyDescent="0.25">
      <c r="A2393" t="str">
        <f>"10/21/2020 18:31:14.461"</f>
        <v>10/21/2020 18:31:14.461</v>
      </c>
      <c r="B2393" t="str">
        <f>"18:31:22.391"</f>
        <v>18:31:22.391</v>
      </c>
      <c r="C2393" t="str">
        <f>"18:31:21.991"</f>
        <v>18:31:21.991</v>
      </c>
      <c r="D2393" t="s">
        <v>940</v>
      </c>
      <c r="E2393">
        <v>30.664536999999999</v>
      </c>
      <c r="F2393" t="s">
        <v>941</v>
      </c>
      <c r="G2393">
        <v>-89.869945000000001</v>
      </c>
      <c r="H2393">
        <v>1600</v>
      </c>
      <c r="I2393">
        <v>-8</v>
      </c>
      <c r="J2393">
        <v>126</v>
      </c>
      <c r="K2393">
        <v>-320</v>
      </c>
      <c r="L2393">
        <v>1200</v>
      </c>
      <c r="M2393" t="str">
        <f t="shared" si="155"/>
        <v xml:space="preserve">N35DC   </v>
      </c>
      <c r="N2393">
        <v>1</v>
      </c>
      <c r="O2393">
        <v>1700</v>
      </c>
    </row>
    <row r="2394" spans="1:15" x14ac:dyDescent="0.25">
      <c r="A2394" t="str">
        <f>"10/21/2020 18:31:14.461"</f>
        <v>10/21/2020 18:31:14.461</v>
      </c>
      <c r="B2394" t="str">
        <f>"18:31:22.391"</f>
        <v>18:31:22.391</v>
      </c>
      <c r="C2394" t="str">
        <f>"18:31:21.991"</f>
        <v>18:31:21.991</v>
      </c>
      <c r="D2394" t="s">
        <v>940</v>
      </c>
      <c r="E2394">
        <v>30.664536999999999</v>
      </c>
      <c r="F2394" t="s">
        <v>941</v>
      </c>
      <c r="G2394">
        <v>-89.869945000000001</v>
      </c>
      <c r="H2394">
        <v>1600</v>
      </c>
      <c r="I2394">
        <v>-8</v>
      </c>
      <c r="J2394">
        <v>126</v>
      </c>
      <c r="K2394">
        <v>-320</v>
      </c>
      <c r="L2394">
        <v>1200</v>
      </c>
      <c r="M2394" t="str">
        <f t="shared" si="155"/>
        <v xml:space="preserve">N35DC   </v>
      </c>
      <c r="N2394">
        <v>1</v>
      </c>
      <c r="O2394">
        <v>1700</v>
      </c>
    </row>
    <row r="2395" spans="1:15" x14ac:dyDescent="0.25">
      <c r="A2395" t="str">
        <f>"10/21/2020 18:31:14.461"</f>
        <v>10/21/2020 18:31:14.461</v>
      </c>
      <c r="B2395" t="str">
        <f>"18:31:22.391"</f>
        <v>18:31:22.391</v>
      </c>
      <c r="C2395" t="str">
        <f>"18:31:21.991"</f>
        <v>18:31:21.991</v>
      </c>
      <c r="D2395" t="s">
        <v>940</v>
      </c>
      <c r="E2395">
        <v>30.664536999999999</v>
      </c>
      <c r="F2395" t="s">
        <v>941</v>
      </c>
      <c r="G2395">
        <v>-89.869945000000001</v>
      </c>
      <c r="H2395">
        <v>1600</v>
      </c>
      <c r="I2395">
        <v>-8</v>
      </c>
      <c r="J2395">
        <v>126</v>
      </c>
      <c r="K2395">
        <v>-320</v>
      </c>
      <c r="L2395">
        <v>1200</v>
      </c>
      <c r="M2395" t="str">
        <f t="shared" si="155"/>
        <v xml:space="preserve">N35DC   </v>
      </c>
      <c r="N2395">
        <v>1</v>
      </c>
      <c r="O2395">
        <v>1700</v>
      </c>
    </row>
    <row r="2396" spans="1:15" x14ac:dyDescent="0.25">
      <c r="A2396" t="str">
        <f t="shared" ref="A2396:A2401" si="156">"10/21/2020 18:31:15.495"</f>
        <v>10/21/2020 18:31:15.495</v>
      </c>
      <c r="B2396" t="str">
        <f t="shared" ref="B2396:B2401" si="157">"18:31:23.422"</f>
        <v>18:31:23.422</v>
      </c>
      <c r="C2396" t="str">
        <f t="shared" ref="C2396:C2401" si="158">"18:31:23.122"</f>
        <v>18:31:23.122</v>
      </c>
      <c r="D2396" t="s">
        <v>942</v>
      </c>
      <c r="E2396">
        <v>30.665116000000001</v>
      </c>
      <c r="F2396" t="s">
        <v>943</v>
      </c>
      <c r="G2396">
        <v>-89.869967000000003</v>
      </c>
      <c r="H2396">
        <v>1600</v>
      </c>
      <c r="I2396">
        <v>-9</v>
      </c>
      <c r="J2396">
        <v>126</v>
      </c>
      <c r="K2396">
        <v>-128</v>
      </c>
      <c r="L2396">
        <v>1200</v>
      </c>
      <c r="M2396" t="str">
        <f t="shared" si="155"/>
        <v xml:space="preserve">N35DC   </v>
      </c>
      <c r="N2396">
        <v>1</v>
      </c>
      <c r="O2396">
        <v>1700</v>
      </c>
    </row>
    <row r="2397" spans="1:15" x14ac:dyDescent="0.25">
      <c r="A2397" t="str">
        <f t="shared" si="156"/>
        <v>10/21/2020 18:31:15.495</v>
      </c>
      <c r="B2397" t="str">
        <f t="shared" si="157"/>
        <v>18:31:23.422</v>
      </c>
      <c r="C2397" t="str">
        <f t="shared" si="158"/>
        <v>18:31:23.122</v>
      </c>
      <c r="D2397" t="s">
        <v>942</v>
      </c>
      <c r="E2397">
        <v>30.665116000000001</v>
      </c>
      <c r="F2397" t="s">
        <v>943</v>
      </c>
      <c r="G2397">
        <v>-89.869967000000003</v>
      </c>
      <c r="H2397">
        <v>1600</v>
      </c>
      <c r="I2397">
        <v>-9</v>
      </c>
      <c r="J2397">
        <v>126</v>
      </c>
      <c r="K2397">
        <v>-128</v>
      </c>
      <c r="L2397">
        <v>1200</v>
      </c>
      <c r="M2397" t="str">
        <f t="shared" si="155"/>
        <v xml:space="preserve">N35DC   </v>
      </c>
      <c r="N2397">
        <v>1</v>
      </c>
      <c r="O2397">
        <v>1700</v>
      </c>
    </row>
    <row r="2398" spans="1:15" x14ac:dyDescent="0.25">
      <c r="A2398" t="str">
        <f t="shared" si="156"/>
        <v>10/21/2020 18:31:15.495</v>
      </c>
      <c r="B2398" t="str">
        <f t="shared" si="157"/>
        <v>18:31:23.422</v>
      </c>
      <c r="C2398" t="str">
        <f t="shared" si="158"/>
        <v>18:31:23.122</v>
      </c>
      <c r="D2398" t="s">
        <v>942</v>
      </c>
      <c r="E2398">
        <v>30.665116000000001</v>
      </c>
      <c r="F2398" t="s">
        <v>943</v>
      </c>
      <c r="G2398">
        <v>-89.869967000000003</v>
      </c>
      <c r="H2398">
        <v>1600</v>
      </c>
      <c r="I2398">
        <v>-9</v>
      </c>
      <c r="J2398">
        <v>126</v>
      </c>
      <c r="K2398">
        <v>-128</v>
      </c>
      <c r="L2398">
        <v>1200</v>
      </c>
      <c r="M2398" t="str">
        <f t="shared" si="155"/>
        <v xml:space="preserve">N35DC   </v>
      </c>
      <c r="N2398">
        <v>1</v>
      </c>
      <c r="O2398">
        <v>1700</v>
      </c>
    </row>
    <row r="2399" spans="1:15" x14ac:dyDescent="0.25">
      <c r="A2399" t="str">
        <f t="shared" si="156"/>
        <v>10/21/2020 18:31:15.495</v>
      </c>
      <c r="B2399" t="str">
        <f t="shared" si="157"/>
        <v>18:31:23.422</v>
      </c>
      <c r="C2399" t="str">
        <f t="shared" si="158"/>
        <v>18:31:23.122</v>
      </c>
      <c r="D2399" t="s">
        <v>942</v>
      </c>
      <c r="E2399">
        <v>30.665116000000001</v>
      </c>
      <c r="F2399" t="s">
        <v>943</v>
      </c>
      <c r="G2399">
        <v>-89.869967000000003</v>
      </c>
      <c r="H2399">
        <v>1600</v>
      </c>
      <c r="I2399">
        <v>-9</v>
      </c>
      <c r="J2399">
        <v>126</v>
      </c>
      <c r="K2399">
        <v>-128</v>
      </c>
      <c r="L2399">
        <v>1200</v>
      </c>
      <c r="M2399" t="str">
        <f t="shared" si="155"/>
        <v xml:space="preserve">N35DC   </v>
      </c>
      <c r="N2399">
        <v>1</v>
      </c>
      <c r="O2399">
        <v>1700</v>
      </c>
    </row>
    <row r="2400" spans="1:15" x14ac:dyDescent="0.25">
      <c r="A2400" t="str">
        <f t="shared" si="156"/>
        <v>10/21/2020 18:31:15.495</v>
      </c>
      <c r="B2400" t="str">
        <f t="shared" si="157"/>
        <v>18:31:23.422</v>
      </c>
      <c r="C2400" t="str">
        <f t="shared" si="158"/>
        <v>18:31:23.122</v>
      </c>
      <c r="D2400" t="s">
        <v>942</v>
      </c>
      <c r="E2400">
        <v>30.665116000000001</v>
      </c>
      <c r="F2400" t="s">
        <v>943</v>
      </c>
      <c r="G2400">
        <v>-89.869967000000003</v>
      </c>
      <c r="H2400">
        <v>1600</v>
      </c>
      <c r="I2400">
        <v>-9</v>
      </c>
      <c r="J2400">
        <v>126</v>
      </c>
      <c r="K2400">
        <v>-128</v>
      </c>
      <c r="L2400">
        <v>1200</v>
      </c>
      <c r="M2400" t="str">
        <f t="shared" si="155"/>
        <v xml:space="preserve">N35DC   </v>
      </c>
      <c r="N2400">
        <v>1</v>
      </c>
      <c r="O2400">
        <v>1700</v>
      </c>
    </row>
    <row r="2401" spans="1:15" x14ac:dyDescent="0.25">
      <c r="A2401" t="str">
        <f t="shared" si="156"/>
        <v>10/21/2020 18:31:15.495</v>
      </c>
      <c r="B2401" t="str">
        <f t="shared" si="157"/>
        <v>18:31:23.422</v>
      </c>
      <c r="C2401" t="str">
        <f t="shared" si="158"/>
        <v>18:31:23.122</v>
      </c>
      <c r="D2401" t="s">
        <v>942</v>
      </c>
      <c r="E2401">
        <v>30.665116000000001</v>
      </c>
      <c r="F2401" t="s">
        <v>943</v>
      </c>
      <c r="G2401">
        <v>-89.869967000000003</v>
      </c>
      <c r="H2401">
        <v>1600</v>
      </c>
      <c r="I2401">
        <v>-9</v>
      </c>
      <c r="J2401">
        <v>126</v>
      </c>
      <c r="K2401">
        <v>-128</v>
      </c>
      <c r="L2401">
        <v>1200</v>
      </c>
      <c r="M2401" t="str">
        <f t="shared" si="155"/>
        <v xml:space="preserve">N35DC   </v>
      </c>
      <c r="N2401">
        <v>1</v>
      </c>
      <c r="O2401">
        <v>1700</v>
      </c>
    </row>
    <row r="2402" spans="1:15" x14ac:dyDescent="0.25">
      <c r="A2402" t="str">
        <f>"10/21/2020 18:31:18.049"</f>
        <v>10/21/2020 18:31:18.049</v>
      </c>
      <c r="B2402" t="str">
        <f>"18:31:25.992"</f>
        <v>18:31:25.992</v>
      </c>
      <c r="C2402" t="str">
        <f>"18:31:25.592"</f>
        <v>18:31:25.592</v>
      </c>
      <c r="D2402" t="s">
        <v>944</v>
      </c>
      <c r="E2402">
        <v>30.666596999999999</v>
      </c>
      <c r="F2402" t="s">
        <v>945</v>
      </c>
      <c r="G2402">
        <v>-89.870095000000006</v>
      </c>
      <c r="H2402">
        <v>1600</v>
      </c>
      <c r="I2402">
        <v>-10</v>
      </c>
      <c r="J2402">
        <v>126</v>
      </c>
      <c r="K2402">
        <v>-192</v>
      </c>
      <c r="L2402">
        <v>1200</v>
      </c>
      <c r="M2402" t="str">
        <f t="shared" si="155"/>
        <v xml:space="preserve">N35DC   </v>
      </c>
      <c r="N2402">
        <v>1</v>
      </c>
      <c r="O2402">
        <v>1675</v>
      </c>
    </row>
    <row r="2403" spans="1:15" x14ac:dyDescent="0.25">
      <c r="A2403" t="str">
        <f>"10/21/2020 18:31:18.469"</f>
        <v>10/21/2020 18:31:18.469</v>
      </c>
      <c r="B2403" t="str">
        <f>"18:31:26.406"</f>
        <v>18:31:26.406</v>
      </c>
      <c r="C2403" t="str">
        <f>"18:31:26.106"</f>
        <v>18:31:26.106</v>
      </c>
      <c r="D2403" t="s">
        <v>946</v>
      </c>
      <c r="E2403">
        <v>30.666875999999998</v>
      </c>
      <c r="F2403" t="s">
        <v>947</v>
      </c>
      <c r="G2403">
        <v>-89.870159999999998</v>
      </c>
      <c r="H2403">
        <v>1600</v>
      </c>
      <c r="I2403">
        <v>-10</v>
      </c>
      <c r="J2403">
        <v>126</v>
      </c>
      <c r="K2403">
        <v>-128</v>
      </c>
      <c r="L2403">
        <v>1200</v>
      </c>
      <c r="M2403" t="str">
        <f t="shared" si="155"/>
        <v xml:space="preserve">N35DC   </v>
      </c>
      <c r="N2403">
        <v>1</v>
      </c>
      <c r="O2403">
        <v>1675</v>
      </c>
    </row>
    <row r="2404" spans="1:15" x14ac:dyDescent="0.25">
      <c r="A2404" t="str">
        <f>"10/21/2020 18:31:18.469"</f>
        <v>10/21/2020 18:31:18.469</v>
      </c>
      <c r="B2404" t="str">
        <f>"18:31:26.406"</f>
        <v>18:31:26.406</v>
      </c>
      <c r="C2404" t="str">
        <f>"18:31:26.106"</f>
        <v>18:31:26.106</v>
      </c>
      <c r="D2404" t="s">
        <v>946</v>
      </c>
      <c r="E2404">
        <v>30.666875999999998</v>
      </c>
      <c r="F2404" t="s">
        <v>947</v>
      </c>
      <c r="G2404">
        <v>-89.870159999999998</v>
      </c>
      <c r="H2404">
        <v>1600</v>
      </c>
      <c r="I2404">
        <v>-10</v>
      </c>
      <c r="J2404">
        <v>126</v>
      </c>
      <c r="K2404">
        <v>-128</v>
      </c>
      <c r="L2404">
        <v>1200</v>
      </c>
      <c r="M2404" t="str">
        <f t="shared" si="155"/>
        <v xml:space="preserve">N35DC   </v>
      </c>
      <c r="N2404">
        <v>1</v>
      </c>
      <c r="O2404">
        <v>1675</v>
      </c>
    </row>
    <row r="2405" spans="1:15" x14ac:dyDescent="0.25">
      <c r="A2405" t="str">
        <f>"10/21/2020 18:31:18.469"</f>
        <v>10/21/2020 18:31:18.469</v>
      </c>
      <c r="B2405" t="str">
        <f>"18:31:26.406"</f>
        <v>18:31:26.406</v>
      </c>
      <c r="C2405" t="str">
        <f>"18:31:26.106"</f>
        <v>18:31:26.106</v>
      </c>
      <c r="D2405" t="s">
        <v>946</v>
      </c>
      <c r="E2405">
        <v>30.666875999999998</v>
      </c>
      <c r="F2405" t="s">
        <v>947</v>
      </c>
      <c r="G2405">
        <v>-89.870159999999998</v>
      </c>
      <c r="H2405">
        <v>1600</v>
      </c>
      <c r="I2405">
        <v>-10</v>
      </c>
      <c r="J2405">
        <v>126</v>
      </c>
      <c r="K2405">
        <v>-128</v>
      </c>
      <c r="L2405">
        <v>1200</v>
      </c>
      <c r="M2405" t="str">
        <f t="shared" si="155"/>
        <v xml:space="preserve">N35DC   </v>
      </c>
      <c r="N2405">
        <v>1</v>
      </c>
      <c r="O2405">
        <v>1675</v>
      </c>
    </row>
    <row r="2406" spans="1:15" x14ac:dyDescent="0.25">
      <c r="A2406" t="str">
        <f>"10/21/2020 18:31:18.469"</f>
        <v>10/21/2020 18:31:18.469</v>
      </c>
      <c r="B2406" t="str">
        <f>"18:31:26.406"</f>
        <v>18:31:26.406</v>
      </c>
      <c r="C2406" t="str">
        <f>"18:31:26.106"</f>
        <v>18:31:26.106</v>
      </c>
      <c r="D2406" t="s">
        <v>946</v>
      </c>
      <c r="E2406">
        <v>30.666875999999998</v>
      </c>
      <c r="F2406" t="s">
        <v>947</v>
      </c>
      <c r="G2406">
        <v>-89.870159999999998</v>
      </c>
      <c r="H2406">
        <v>1600</v>
      </c>
      <c r="I2406">
        <v>-10</v>
      </c>
      <c r="J2406">
        <v>126</v>
      </c>
      <c r="K2406">
        <v>-128</v>
      </c>
      <c r="L2406">
        <v>1200</v>
      </c>
      <c r="M2406" t="str">
        <f t="shared" si="155"/>
        <v xml:space="preserve">N35DC   </v>
      </c>
      <c r="N2406">
        <v>1</v>
      </c>
      <c r="O2406">
        <v>1675</v>
      </c>
    </row>
    <row r="2407" spans="1:15" x14ac:dyDescent="0.25">
      <c r="A2407" t="str">
        <f>"10/21/2020 18:31:18.469"</f>
        <v>10/21/2020 18:31:18.469</v>
      </c>
      <c r="B2407" t="str">
        <f>"18:31:26.406"</f>
        <v>18:31:26.406</v>
      </c>
      <c r="C2407" t="str">
        <f>"18:31:26.106"</f>
        <v>18:31:26.106</v>
      </c>
      <c r="D2407" t="s">
        <v>946</v>
      </c>
      <c r="E2407">
        <v>30.666875999999998</v>
      </c>
      <c r="F2407" t="s">
        <v>947</v>
      </c>
      <c r="G2407">
        <v>-89.870159999999998</v>
      </c>
      <c r="H2407">
        <v>1600</v>
      </c>
      <c r="I2407">
        <v>-10</v>
      </c>
      <c r="J2407">
        <v>126</v>
      </c>
      <c r="K2407">
        <v>-128</v>
      </c>
      <c r="L2407">
        <v>1200</v>
      </c>
      <c r="M2407" t="str">
        <f t="shared" si="155"/>
        <v xml:space="preserve">N35DC   </v>
      </c>
      <c r="N2407">
        <v>1</v>
      </c>
      <c r="O2407">
        <v>1675</v>
      </c>
    </row>
    <row r="2408" spans="1:15" x14ac:dyDescent="0.25">
      <c r="A2408" t="str">
        <f t="shared" ref="A2408:A2413" si="159">"10/21/2020 18:31:19.438"</f>
        <v>10/21/2020 18:31:19.438</v>
      </c>
      <c r="B2408" t="str">
        <f t="shared" ref="B2408:B2413" si="160">"18:31:27.383"</f>
        <v>18:31:27.383</v>
      </c>
      <c r="C2408" t="str">
        <f t="shared" ref="C2408:C2413" si="161">"18:31:26.983"</f>
        <v>18:31:26.983</v>
      </c>
      <c r="D2408" t="s">
        <v>948</v>
      </c>
      <c r="E2408">
        <v>30.667455</v>
      </c>
      <c r="F2408" t="s">
        <v>909</v>
      </c>
      <c r="G2408">
        <v>-89.870203000000004</v>
      </c>
      <c r="H2408">
        <v>1600</v>
      </c>
      <c r="I2408">
        <v>-11</v>
      </c>
      <c r="J2408">
        <v>126</v>
      </c>
      <c r="K2408">
        <v>-64</v>
      </c>
      <c r="L2408">
        <v>1200</v>
      </c>
      <c r="M2408" t="str">
        <f t="shared" si="155"/>
        <v xml:space="preserve">N35DC   </v>
      </c>
      <c r="N2408">
        <v>1</v>
      </c>
      <c r="O2408">
        <v>1675</v>
      </c>
    </row>
    <row r="2409" spans="1:15" x14ac:dyDescent="0.25">
      <c r="A2409" t="str">
        <f t="shared" si="159"/>
        <v>10/21/2020 18:31:19.438</v>
      </c>
      <c r="B2409" t="str">
        <f t="shared" si="160"/>
        <v>18:31:27.383</v>
      </c>
      <c r="C2409" t="str">
        <f t="shared" si="161"/>
        <v>18:31:26.983</v>
      </c>
      <c r="D2409" t="s">
        <v>948</v>
      </c>
      <c r="E2409">
        <v>30.667455</v>
      </c>
      <c r="F2409" t="s">
        <v>909</v>
      </c>
      <c r="G2409">
        <v>-89.870203000000004</v>
      </c>
      <c r="H2409">
        <v>1600</v>
      </c>
      <c r="I2409">
        <v>-11</v>
      </c>
      <c r="J2409">
        <v>126</v>
      </c>
      <c r="K2409">
        <v>-64</v>
      </c>
      <c r="L2409">
        <v>1200</v>
      </c>
      <c r="M2409" t="str">
        <f t="shared" si="155"/>
        <v xml:space="preserve">N35DC   </v>
      </c>
      <c r="N2409">
        <v>1</v>
      </c>
      <c r="O2409">
        <v>1675</v>
      </c>
    </row>
    <row r="2410" spans="1:15" x14ac:dyDescent="0.25">
      <c r="A2410" t="str">
        <f t="shared" si="159"/>
        <v>10/21/2020 18:31:19.438</v>
      </c>
      <c r="B2410" t="str">
        <f t="shared" si="160"/>
        <v>18:31:27.383</v>
      </c>
      <c r="C2410" t="str">
        <f t="shared" si="161"/>
        <v>18:31:26.983</v>
      </c>
      <c r="D2410" t="s">
        <v>948</v>
      </c>
      <c r="E2410">
        <v>30.667455</v>
      </c>
      <c r="F2410" t="s">
        <v>909</v>
      </c>
      <c r="G2410">
        <v>-89.870203000000004</v>
      </c>
      <c r="H2410">
        <v>1600</v>
      </c>
      <c r="I2410">
        <v>-11</v>
      </c>
      <c r="J2410">
        <v>126</v>
      </c>
      <c r="K2410">
        <v>-64</v>
      </c>
      <c r="L2410">
        <v>1200</v>
      </c>
      <c r="M2410" t="str">
        <f t="shared" si="155"/>
        <v xml:space="preserve">N35DC   </v>
      </c>
      <c r="N2410">
        <v>1</v>
      </c>
      <c r="O2410">
        <v>1675</v>
      </c>
    </row>
    <row r="2411" spans="1:15" x14ac:dyDescent="0.25">
      <c r="A2411" t="str">
        <f t="shared" si="159"/>
        <v>10/21/2020 18:31:19.438</v>
      </c>
      <c r="B2411" t="str">
        <f t="shared" si="160"/>
        <v>18:31:27.383</v>
      </c>
      <c r="C2411" t="str">
        <f t="shared" si="161"/>
        <v>18:31:26.983</v>
      </c>
      <c r="D2411" t="s">
        <v>948</v>
      </c>
      <c r="E2411">
        <v>30.667455</v>
      </c>
      <c r="F2411" t="s">
        <v>909</v>
      </c>
      <c r="G2411">
        <v>-89.870203000000004</v>
      </c>
      <c r="H2411">
        <v>1600</v>
      </c>
      <c r="I2411">
        <v>-11</v>
      </c>
      <c r="J2411">
        <v>126</v>
      </c>
      <c r="K2411">
        <v>-64</v>
      </c>
      <c r="L2411">
        <v>1200</v>
      </c>
      <c r="M2411" t="str">
        <f t="shared" si="155"/>
        <v xml:space="preserve">N35DC   </v>
      </c>
      <c r="N2411">
        <v>1</v>
      </c>
      <c r="O2411">
        <v>1675</v>
      </c>
    </row>
    <row r="2412" spans="1:15" x14ac:dyDescent="0.25">
      <c r="A2412" t="str">
        <f t="shared" si="159"/>
        <v>10/21/2020 18:31:19.438</v>
      </c>
      <c r="B2412" t="str">
        <f t="shared" si="160"/>
        <v>18:31:27.383</v>
      </c>
      <c r="C2412" t="str">
        <f t="shared" si="161"/>
        <v>18:31:26.983</v>
      </c>
      <c r="D2412" t="s">
        <v>948</v>
      </c>
      <c r="E2412">
        <v>30.667455</v>
      </c>
      <c r="F2412" t="s">
        <v>909</v>
      </c>
      <c r="G2412">
        <v>-89.870203000000004</v>
      </c>
      <c r="H2412">
        <v>1600</v>
      </c>
      <c r="I2412">
        <v>-11</v>
      </c>
      <c r="J2412">
        <v>126</v>
      </c>
      <c r="K2412">
        <v>-64</v>
      </c>
      <c r="L2412">
        <v>1200</v>
      </c>
      <c r="M2412" t="str">
        <f t="shared" si="155"/>
        <v xml:space="preserve">N35DC   </v>
      </c>
      <c r="N2412">
        <v>1</v>
      </c>
      <c r="O2412">
        <v>1675</v>
      </c>
    </row>
    <row r="2413" spans="1:15" x14ac:dyDescent="0.25">
      <c r="A2413" t="str">
        <f t="shared" si="159"/>
        <v>10/21/2020 18:31:19.438</v>
      </c>
      <c r="B2413" t="str">
        <f t="shared" si="160"/>
        <v>18:31:27.383</v>
      </c>
      <c r="C2413" t="str">
        <f t="shared" si="161"/>
        <v>18:31:26.983</v>
      </c>
      <c r="D2413" t="s">
        <v>948</v>
      </c>
      <c r="E2413">
        <v>30.667455</v>
      </c>
      <c r="F2413" t="s">
        <v>909</v>
      </c>
      <c r="G2413">
        <v>-89.870203000000004</v>
      </c>
      <c r="H2413">
        <v>1600</v>
      </c>
      <c r="I2413">
        <v>-11</v>
      </c>
      <c r="J2413">
        <v>126</v>
      </c>
      <c r="K2413">
        <v>-64</v>
      </c>
      <c r="L2413">
        <v>1200</v>
      </c>
      <c r="M2413" t="str">
        <f t="shared" si="155"/>
        <v xml:space="preserve">N35DC   </v>
      </c>
      <c r="N2413">
        <v>1</v>
      </c>
      <c r="O2413">
        <v>1675</v>
      </c>
    </row>
    <row r="2414" spans="1:15" x14ac:dyDescent="0.25">
      <c r="A2414" t="str">
        <f>"10/21/2020 18:31:22.025"</f>
        <v>10/21/2020 18:31:22.025</v>
      </c>
      <c r="B2414" t="str">
        <f>"18:31:29.937"</f>
        <v>18:31:29.937</v>
      </c>
      <c r="C2414" t="str">
        <f>"18:31:29.637"</f>
        <v>18:31:29.637</v>
      </c>
      <c r="D2414" t="s">
        <v>949</v>
      </c>
      <c r="E2414">
        <v>30.668893000000001</v>
      </c>
      <c r="F2414" t="s">
        <v>950</v>
      </c>
      <c r="G2414">
        <v>-89.870352999999994</v>
      </c>
      <c r="H2414">
        <v>1600</v>
      </c>
      <c r="I2414">
        <v>-12</v>
      </c>
      <c r="J2414">
        <v>124</v>
      </c>
      <c r="K2414">
        <v>192</v>
      </c>
      <c r="L2414">
        <v>1200</v>
      </c>
      <c r="M2414" t="str">
        <f t="shared" si="155"/>
        <v xml:space="preserve">N35DC   </v>
      </c>
      <c r="N2414">
        <v>1</v>
      </c>
      <c r="O2414">
        <v>1675</v>
      </c>
    </row>
    <row r="2415" spans="1:15" x14ac:dyDescent="0.25">
      <c r="A2415" t="str">
        <f>"10/21/2020 18:31:22.467"</f>
        <v>10/21/2020 18:31:22.467</v>
      </c>
      <c r="B2415" t="str">
        <f>"18:31:30.398"</f>
        <v>18:31:30.398</v>
      </c>
      <c r="C2415" t="str">
        <f>"18:31:30.098"</f>
        <v>18:31:30.098</v>
      </c>
      <c r="D2415" t="s">
        <v>951</v>
      </c>
      <c r="E2415">
        <v>30.669149999999998</v>
      </c>
      <c r="F2415" t="s">
        <v>952</v>
      </c>
      <c r="G2415">
        <v>-89.870373999999998</v>
      </c>
      <c r="H2415">
        <v>1600</v>
      </c>
      <c r="I2415">
        <v>-12</v>
      </c>
      <c r="J2415">
        <v>124</v>
      </c>
      <c r="K2415">
        <v>256</v>
      </c>
      <c r="L2415">
        <v>1200</v>
      </c>
      <c r="M2415" t="str">
        <f t="shared" si="155"/>
        <v xml:space="preserve">N35DC   </v>
      </c>
      <c r="N2415">
        <v>1</v>
      </c>
      <c r="O2415">
        <v>1675</v>
      </c>
    </row>
    <row r="2416" spans="1:15" x14ac:dyDescent="0.25">
      <c r="A2416" t="str">
        <f>"10/21/2020 18:31:22.467"</f>
        <v>10/21/2020 18:31:22.467</v>
      </c>
      <c r="B2416" t="str">
        <f>"18:31:30.398"</f>
        <v>18:31:30.398</v>
      </c>
      <c r="C2416" t="str">
        <f>"18:31:30.098"</f>
        <v>18:31:30.098</v>
      </c>
      <c r="D2416" t="s">
        <v>951</v>
      </c>
      <c r="E2416">
        <v>30.669149999999998</v>
      </c>
      <c r="F2416" t="s">
        <v>952</v>
      </c>
      <c r="G2416">
        <v>-89.870373999999998</v>
      </c>
      <c r="H2416">
        <v>1600</v>
      </c>
      <c r="I2416">
        <v>-12</v>
      </c>
      <c r="J2416">
        <v>124</v>
      </c>
      <c r="K2416">
        <v>256</v>
      </c>
      <c r="L2416">
        <v>1200</v>
      </c>
      <c r="M2416" t="str">
        <f t="shared" si="155"/>
        <v xml:space="preserve">N35DC   </v>
      </c>
      <c r="N2416">
        <v>1</v>
      </c>
      <c r="O2416">
        <v>1675</v>
      </c>
    </row>
    <row r="2417" spans="1:15" x14ac:dyDescent="0.25">
      <c r="A2417" t="str">
        <f>"10/21/2020 18:31:22.467"</f>
        <v>10/21/2020 18:31:22.467</v>
      </c>
      <c r="B2417" t="str">
        <f>"18:31:30.398"</f>
        <v>18:31:30.398</v>
      </c>
      <c r="C2417" t="str">
        <f>"18:31:30.098"</f>
        <v>18:31:30.098</v>
      </c>
      <c r="D2417" t="s">
        <v>951</v>
      </c>
      <c r="E2417">
        <v>30.669149999999998</v>
      </c>
      <c r="F2417" t="s">
        <v>952</v>
      </c>
      <c r="G2417">
        <v>-89.870373999999998</v>
      </c>
      <c r="H2417">
        <v>1600</v>
      </c>
      <c r="I2417">
        <v>-12</v>
      </c>
      <c r="J2417">
        <v>124</v>
      </c>
      <c r="K2417">
        <v>256</v>
      </c>
      <c r="L2417">
        <v>1200</v>
      </c>
      <c r="M2417" t="str">
        <f t="shared" si="155"/>
        <v xml:space="preserve">N35DC   </v>
      </c>
      <c r="N2417">
        <v>1</v>
      </c>
      <c r="O2417">
        <v>1675</v>
      </c>
    </row>
    <row r="2418" spans="1:15" x14ac:dyDescent="0.25">
      <c r="A2418" t="str">
        <f>"10/21/2020 18:31:22.467"</f>
        <v>10/21/2020 18:31:22.467</v>
      </c>
      <c r="B2418" t="str">
        <f>"18:31:30.398"</f>
        <v>18:31:30.398</v>
      </c>
      <c r="C2418" t="str">
        <f>"18:31:30.098"</f>
        <v>18:31:30.098</v>
      </c>
      <c r="D2418" t="s">
        <v>951</v>
      </c>
      <c r="E2418">
        <v>30.669149999999998</v>
      </c>
      <c r="F2418" t="s">
        <v>952</v>
      </c>
      <c r="G2418">
        <v>-89.870373999999998</v>
      </c>
      <c r="H2418">
        <v>1600</v>
      </c>
      <c r="I2418">
        <v>-12</v>
      </c>
      <c r="J2418">
        <v>124</v>
      </c>
      <c r="K2418">
        <v>256</v>
      </c>
      <c r="L2418">
        <v>1200</v>
      </c>
      <c r="M2418" t="str">
        <f t="shared" si="155"/>
        <v xml:space="preserve">N35DC   </v>
      </c>
      <c r="N2418">
        <v>1</v>
      </c>
      <c r="O2418">
        <v>1675</v>
      </c>
    </row>
    <row r="2419" spans="1:15" x14ac:dyDescent="0.25">
      <c r="A2419" t="str">
        <f>"10/21/2020 18:31:22.467"</f>
        <v>10/21/2020 18:31:22.467</v>
      </c>
      <c r="B2419" t="str">
        <f>"18:31:30.398"</f>
        <v>18:31:30.398</v>
      </c>
      <c r="C2419" t="str">
        <f>"18:31:30.098"</f>
        <v>18:31:30.098</v>
      </c>
      <c r="D2419" t="s">
        <v>951</v>
      </c>
      <c r="E2419">
        <v>30.669149999999998</v>
      </c>
      <c r="F2419" t="s">
        <v>952</v>
      </c>
      <c r="G2419">
        <v>-89.870373999999998</v>
      </c>
      <c r="H2419">
        <v>1600</v>
      </c>
      <c r="I2419">
        <v>-12</v>
      </c>
      <c r="J2419">
        <v>124</v>
      </c>
      <c r="K2419">
        <v>256</v>
      </c>
      <c r="L2419">
        <v>1200</v>
      </c>
      <c r="M2419" t="str">
        <f t="shared" si="155"/>
        <v xml:space="preserve">N35DC   </v>
      </c>
      <c r="N2419">
        <v>1</v>
      </c>
      <c r="O2419">
        <v>1675</v>
      </c>
    </row>
    <row r="2420" spans="1:15" x14ac:dyDescent="0.25">
      <c r="A2420" t="str">
        <f>"10/21/2020 18:31:23.038"</f>
        <v>10/21/2020 18:31:23.038</v>
      </c>
      <c r="B2420" t="str">
        <f>"18:31:30.922"</f>
        <v>18:31:30.922</v>
      </c>
      <c r="C2420" t="str">
        <f>"18:31:30.722"</f>
        <v>18:31:30.722</v>
      </c>
      <c r="D2420" t="s">
        <v>953</v>
      </c>
      <c r="E2420">
        <v>30.669471999999999</v>
      </c>
      <c r="F2420" t="s">
        <v>954</v>
      </c>
      <c r="G2420">
        <v>-89.870417000000003</v>
      </c>
      <c r="H2420">
        <v>1600</v>
      </c>
      <c r="I2420">
        <v>-11</v>
      </c>
      <c r="J2420">
        <v>124</v>
      </c>
      <c r="K2420">
        <v>320</v>
      </c>
      <c r="L2420">
        <v>1200</v>
      </c>
      <c r="M2420" t="str">
        <f t="shared" si="155"/>
        <v xml:space="preserve">N35DC   </v>
      </c>
      <c r="N2420">
        <v>1</v>
      </c>
      <c r="O2420">
        <v>1700</v>
      </c>
    </row>
    <row r="2421" spans="1:15" x14ac:dyDescent="0.25">
      <c r="A2421" t="str">
        <f t="shared" ref="A2421:A2426" si="162">"10/21/2020 18:31:25.620"</f>
        <v>10/21/2020 18:31:25.620</v>
      </c>
      <c r="B2421" t="str">
        <f t="shared" ref="B2421:B2426" si="163">"18:31:33.562"</f>
        <v>18:31:33.562</v>
      </c>
      <c r="C2421" t="str">
        <f t="shared" ref="C2421:C2426" si="164">"18:31:33.163"</f>
        <v>18:31:33.163</v>
      </c>
      <c r="D2421" t="s">
        <v>955</v>
      </c>
      <c r="E2421">
        <v>30.670995999999999</v>
      </c>
      <c r="F2421" t="s">
        <v>956</v>
      </c>
      <c r="G2421">
        <v>-89.870524000000003</v>
      </c>
      <c r="H2421">
        <v>1600</v>
      </c>
      <c r="I2421">
        <v>-10</v>
      </c>
      <c r="J2421">
        <v>123</v>
      </c>
      <c r="K2421">
        <v>0</v>
      </c>
      <c r="L2421">
        <v>1200</v>
      </c>
      <c r="M2421" t="str">
        <f t="shared" si="155"/>
        <v xml:space="preserve">N35DC   </v>
      </c>
      <c r="N2421">
        <v>1</v>
      </c>
      <c r="O2421">
        <v>1700</v>
      </c>
    </row>
    <row r="2422" spans="1:15" x14ac:dyDescent="0.25">
      <c r="A2422" t="str">
        <f t="shared" si="162"/>
        <v>10/21/2020 18:31:25.620</v>
      </c>
      <c r="B2422" t="str">
        <f t="shared" si="163"/>
        <v>18:31:33.562</v>
      </c>
      <c r="C2422" t="str">
        <f t="shared" si="164"/>
        <v>18:31:33.163</v>
      </c>
      <c r="D2422" t="s">
        <v>955</v>
      </c>
      <c r="E2422">
        <v>30.670995999999999</v>
      </c>
      <c r="F2422" t="s">
        <v>956</v>
      </c>
      <c r="G2422">
        <v>-89.870524000000003</v>
      </c>
      <c r="H2422">
        <v>1600</v>
      </c>
      <c r="I2422">
        <v>-10</v>
      </c>
      <c r="J2422">
        <v>123</v>
      </c>
      <c r="K2422">
        <v>0</v>
      </c>
      <c r="L2422">
        <v>1200</v>
      </c>
      <c r="M2422" t="str">
        <f t="shared" si="155"/>
        <v xml:space="preserve">N35DC   </v>
      </c>
      <c r="N2422">
        <v>1</v>
      </c>
      <c r="O2422">
        <v>1700</v>
      </c>
    </row>
    <row r="2423" spans="1:15" x14ac:dyDescent="0.25">
      <c r="A2423" t="str">
        <f t="shared" si="162"/>
        <v>10/21/2020 18:31:25.620</v>
      </c>
      <c r="B2423" t="str">
        <f t="shared" si="163"/>
        <v>18:31:33.562</v>
      </c>
      <c r="C2423" t="str">
        <f t="shared" si="164"/>
        <v>18:31:33.163</v>
      </c>
      <c r="D2423" t="s">
        <v>955</v>
      </c>
      <c r="E2423">
        <v>30.670995999999999</v>
      </c>
      <c r="F2423" t="s">
        <v>956</v>
      </c>
      <c r="G2423">
        <v>-89.870524000000003</v>
      </c>
      <c r="H2423">
        <v>1600</v>
      </c>
      <c r="I2423">
        <v>-10</v>
      </c>
      <c r="J2423">
        <v>123</v>
      </c>
      <c r="K2423">
        <v>0</v>
      </c>
      <c r="L2423">
        <v>1200</v>
      </c>
      <c r="M2423" t="str">
        <f t="shared" si="155"/>
        <v xml:space="preserve">N35DC   </v>
      </c>
      <c r="N2423">
        <v>1</v>
      </c>
      <c r="O2423">
        <v>1700</v>
      </c>
    </row>
    <row r="2424" spans="1:15" x14ac:dyDescent="0.25">
      <c r="A2424" t="str">
        <f t="shared" si="162"/>
        <v>10/21/2020 18:31:25.620</v>
      </c>
      <c r="B2424" t="str">
        <f t="shared" si="163"/>
        <v>18:31:33.562</v>
      </c>
      <c r="C2424" t="str">
        <f t="shared" si="164"/>
        <v>18:31:33.163</v>
      </c>
      <c r="D2424" t="s">
        <v>955</v>
      </c>
      <c r="E2424">
        <v>30.670995999999999</v>
      </c>
      <c r="F2424" t="s">
        <v>956</v>
      </c>
      <c r="G2424">
        <v>-89.870524000000003</v>
      </c>
      <c r="H2424">
        <v>1600</v>
      </c>
      <c r="I2424">
        <v>-10</v>
      </c>
      <c r="J2424">
        <v>123</v>
      </c>
      <c r="K2424">
        <v>0</v>
      </c>
      <c r="L2424">
        <v>1200</v>
      </c>
      <c r="M2424" t="str">
        <f t="shared" si="155"/>
        <v xml:space="preserve">N35DC   </v>
      </c>
      <c r="N2424">
        <v>1</v>
      </c>
      <c r="O2424">
        <v>1700</v>
      </c>
    </row>
    <row r="2425" spans="1:15" x14ac:dyDescent="0.25">
      <c r="A2425" t="str">
        <f t="shared" si="162"/>
        <v>10/21/2020 18:31:25.620</v>
      </c>
      <c r="B2425" t="str">
        <f t="shared" si="163"/>
        <v>18:31:33.562</v>
      </c>
      <c r="C2425" t="str">
        <f t="shared" si="164"/>
        <v>18:31:33.163</v>
      </c>
      <c r="D2425" t="s">
        <v>955</v>
      </c>
      <c r="E2425">
        <v>30.670995999999999</v>
      </c>
      <c r="F2425" t="s">
        <v>956</v>
      </c>
      <c r="G2425">
        <v>-89.870524000000003</v>
      </c>
      <c r="H2425">
        <v>1600</v>
      </c>
      <c r="I2425">
        <v>-10</v>
      </c>
      <c r="J2425">
        <v>123</v>
      </c>
      <c r="K2425">
        <v>0</v>
      </c>
      <c r="L2425">
        <v>1200</v>
      </c>
      <c r="M2425" t="str">
        <f t="shared" si="155"/>
        <v xml:space="preserve">N35DC   </v>
      </c>
      <c r="N2425">
        <v>1</v>
      </c>
      <c r="O2425">
        <v>1700</v>
      </c>
    </row>
    <row r="2426" spans="1:15" x14ac:dyDescent="0.25">
      <c r="A2426" t="str">
        <f t="shared" si="162"/>
        <v>10/21/2020 18:31:25.620</v>
      </c>
      <c r="B2426" t="str">
        <f t="shared" si="163"/>
        <v>18:31:33.562</v>
      </c>
      <c r="C2426" t="str">
        <f t="shared" si="164"/>
        <v>18:31:33.163</v>
      </c>
      <c r="D2426" t="s">
        <v>955</v>
      </c>
      <c r="E2426">
        <v>30.670995999999999</v>
      </c>
      <c r="F2426" t="s">
        <v>956</v>
      </c>
      <c r="G2426">
        <v>-89.870524000000003</v>
      </c>
      <c r="H2426">
        <v>1600</v>
      </c>
      <c r="I2426">
        <v>-10</v>
      </c>
      <c r="J2426">
        <v>123</v>
      </c>
      <c r="K2426">
        <v>0</v>
      </c>
      <c r="L2426">
        <v>1200</v>
      </c>
      <c r="M2426" t="str">
        <f t="shared" si="155"/>
        <v xml:space="preserve">N35DC   </v>
      </c>
      <c r="N2426">
        <v>1</v>
      </c>
      <c r="O2426">
        <v>1700</v>
      </c>
    </row>
    <row r="2427" spans="1:15" x14ac:dyDescent="0.25">
      <c r="A2427" t="str">
        <f>"10/21/2020 18:31:28.261"</f>
        <v>10/21/2020 18:31:28.261</v>
      </c>
      <c r="B2427" t="str">
        <f>"18:31:36.172"</f>
        <v>18:31:36.172</v>
      </c>
      <c r="C2427" t="str">
        <f>"18:31:36.072"</f>
        <v>18:31:36.072</v>
      </c>
      <c r="D2427" t="s">
        <v>957</v>
      </c>
      <c r="E2427">
        <v>30.672498000000001</v>
      </c>
      <c r="F2427" t="s">
        <v>958</v>
      </c>
      <c r="G2427">
        <v>-89.870632000000001</v>
      </c>
      <c r="H2427">
        <v>1600</v>
      </c>
      <c r="I2427">
        <v>-8</v>
      </c>
      <c r="J2427">
        <v>123</v>
      </c>
      <c r="K2427">
        <v>256</v>
      </c>
      <c r="L2427">
        <v>1200</v>
      </c>
      <c r="M2427" t="str">
        <f t="shared" si="155"/>
        <v xml:space="preserve">N35DC   </v>
      </c>
      <c r="N2427">
        <v>1</v>
      </c>
      <c r="O2427">
        <v>1700</v>
      </c>
    </row>
    <row r="2428" spans="1:15" x14ac:dyDescent="0.25">
      <c r="A2428" t="str">
        <f>"10/21/2020 18:31:28.783"</f>
        <v>10/21/2020 18:31:28.783</v>
      </c>
      <c r="B2428" t="str">
        <f>"18:31:36.727"</f>
        <v>18:31:36.727</v>
      </c>
      <c r="C2428" t="str">
        <f>"18:31:36.627"</f>
        <v>18:31:36.627</v>
      </c>
      <c r="D2428" t="s">
        <v>959</v>
      </c>
      <c r="E2428">
        <v>30.672798</v>
      </c>
      <c r="F2428" t="s">
        <v>960</v>
      </c>
      <c r="G2428">
        <v>-89.870695999999995</v>
      </c>
      <c r="H2428">
        <v>1600</v>
      </c>
      <c r="I2428">
        <v>-8</v>
      </c>
      <c r="J2428">
        <v>123</v>
      </c>
      <c r="K2428">
        <v>0</v>
      </c>
      <c r="L2428">
        <v>1200</v>
      </c>
      <c r="M2428" t="str">
        <f t="shared" si="155"/>
        <v xml:space="preserve">N35DC   </v>
      </c>
      <c r="N2428">
        <v>1</v>
      </c>
      <c r="O2428">
        <v>1700</v>
      </c>
    </row>
    <row r="2429" spans="1:15" x14ac:dyDescent="0.25">
      <c r="A2429" t="str">
        <f>"10/21/2020 18:31:28.783"</f>
        <v>10/21/2020 18:31:28.783</v>
      </c>
      <c r="B2429" t="str">
        <f>"18:31:36.727"</f>
        <v>18:31:36.727</v>
      </c>
      <c r="C2429" t="str">
        <f>"18:31:36.627"</f>
        <v>18:31:36.627</v>
      </c>
      <c r="D2429" t="s">
        <v>959</v>
      </c>
      <c r="E2429">
        <v>30.672798</v>
      </c>
      <c r="F2429" t="s">
        <v>960</v>
      </c>
      <c r="G2429">
        <v>-89.870695999999995</v>
      </c>
      <c r="H2429">
        <v>1600</v>
      </c>
      <c r="I2429">
        <v>-8</v>
      </c>
      <c r="J2429">
        <v>123</v>
      </c>
      <c r="K2429">
        <v>0</v>
      </c>
      <c r="L2429">
        <v>1200</v>
      </c>
      <c r="M2429" t="str">
        <f t="shared" si="155"/>
        <v xml:space="preserve">N35DC   </v>
      </c>
      <c r="N2429">
        <v>1</v>
      </c>
      <c r="O2429">
        <v>1700</v>
      </c>
    </row>
    <row r="2430" spans="1:15" x14ac:dyDescent="0.25">
      <c r="A2430" t="str">
        <f>"10/21/2020 18:31:28.783"</f>
        <v>10/21/2020 18:31:28.783</v>
      </c>
      <c r="B2430" t="str">
        <f>"18:31:36.727"</f>
        <v>18:31:36.727</v>
      </c>
      <c r="C2430" t="str">
        <f>"18:31:36.627"</f>
        <v>18:31:36.627</v>
      </c>
      <c r="D2430" t="s">
        <v>959</v>
      </c>
      <c r="E2430">
        <v>30.672798</v>
      </c>
      <c r="F2430" t="s">
        <v>960</v>
      </c>
      <c r="G2430">
        <v>-89.870695999999995</v>
      </c>
      <c r="H2430">
        <v>1600</v>
      </c>
      <c r="I2430">
        <v>-8</v>
      </c>
      <c r="J2430">
        <v>123</v>
      </c>
      <c r="K2430">
        <v>0</v>
      </c>
      <c r="L2430">
        <v>1200</v>
      </c>
      <c r="M2430" t="str">
        <f t="shared" si="155"/>
        <v xml:space="preserve">N35DC   </v>
      </c>
      <c r="N2430">
        <v>1</v>
      </c>
      <c r="O2430">
        <v>1700</v>
      </c>
    </row>
    <row r="2431" spans="1:15" x14ac:dyDescent="0.25">
      <c r="A2431" t="str">
        <f>"10/21/2020 18:31:28.783"</f>
        <v>10/21/2020 18:31:28.783</v>
      </c>
      <c r="B2431" t="str">
        <f>"18:31:36.727"</f>
        <v>18:31:36.727</v>
      </c>
      <c r="C2431" t="str">
        <f>"18:31:36.627"</f>
        <v>18:31:36.627</v>
      </c>
      <c r="D2431" t="s">
        <v>959</v>
      </c>
      <c r="E2431">
        <v>30.672798</v>
      </c>
      <c r="F2431" t="s">
        <v>960</v>
      </c>
      <c r="G2431">
        <v>-89.870695999999995</v>
      </c>
      <c r="H2431">
        <v>1600</v>
      </c>
      <c r="I2431">
        <v>-8</v>
      </c>
      <c r="J2431">
        <v>123</v>
      </c>
      <c r="K2431">
        <v>0</v>
      </c>
      <c r="L2431">
        <v>1200</v>
      </c>
      <c r="M2431" t="str">
        <f t="shared" si="155"/>
        <v xml:space="preserve">N35DC   </v>
      </c>
      <c r="N2431">
        <v>1</v>
      </c>
      <c r="O2431">
        <v>1700</v>
      </c>
    </row>
    <row r="2432" spans="1:15" x14ac:dyDescent="0.25">
      <c r="A2432" t="str">
        <f>"10/21/2020 18:31:28.783"</f>
        <v>10/21/2020 18:31:28.783</v>
      </c>
      <c r="B2432" t="str">
        <f>"18:31:36.727"</f>
        <v>18:31:36.727</v>
      </c>
      <c r="C2432" t="str">
        <f>"18:31:36.627"</f>
        <v>18:31:36.627</v>
      </c>
      <c r="D2432" t="s">
        <v>959</v>
      </c>
      <c r="E2432">
        <v>30.672798</v>
      </c>
      <c r="F2432" t="s">
        <v>960</v>
      </c>
      <c r="G2432">
        <v>-89.870695999999995</v>
      </c>
      <c r="H2432">
        <v>1600</v>
      </c>
      <c r="I2432">
        <v>-8</v>
      </c>
      <c r="J2432">
        <v>123</v>
      </c>
      <c r="K2432">
        <v>0</v>
      </c>
      <c r="L2432">
        <v>1200</v>
      </c>
      <c r="M2432" t="str">
        <f t="shared" si="155"/>
        <v xml:space="preserve">N35DC   </v>
      </c>
      <c r="N2432">
        <v>1</v>
      </c>
      <c r="O2432">
        <v>1700</v>
      </c>
    </row>
    <row r="2433" spans="1:15" x14ac:dyDescent="0.25">
      <c r="A2433" t="str">
        <f t="shared" ref="A2433:A2438" si="165">"10/21/2020 18:31:29.694"</f>
        <v>10/21/2020 18:31:29.694</v>
      </c>
      <c r="B2433" t="str">
        <f>"18:31:37.609"</f>
        <v>18:31:37.609</v>
      </c>
      <c r="C2433" t="str">
        <f>"18:31:37.509"</f>
        <v>18:31:37.509</v>
      </c>
      <c r="D2433" t="s">
        <v>961</v>
      </c>
      <c r="E2433">
        <v>30.673269999999999</v>
      </c>
      <c r="F2433" t="s">
        <v>962</v>
      </c>
      <c r="G2433">
        <v>-89.870739</v>
      </c>
      <c r="H2433">
        <v>1600</v>
      </c>
      <c r="I2433">
        <v>-7</v>
      </c>
      <c r="J2433">
        <v>123</v>
      </c>
      <c r="K2433">
        <v>-64</v>
      </c>
      <c r="L2433">
        <v>1200</v>
      </c>
      <c r="M2433" t="str">
        <f t="shared" si="155"/>
        <v xml:space="preserve">N35DC   </v>
      </c>
      <c r="N2433">
        <v>1</v>
      </c>
      <c r="O2433">
        <v>1700</v>
      </c>
    </row>
    <row r="2434" spans="1:15" x14ac:dyDescent="0.25">
      <c r="A2434" t="str">
        <f t="shared" si="165"/>
        <v>10/21/2020 18:31:29.694</v>
      </c>
      <c r="B2434" t="str">
        <f>"18:31:37.617"</f>
        <v>18:31:37.617</v>
      </c>
      <c r="C2434" t="str">
        <f>"18:31:35.217"</f>
        <v>18:31:35.217</v>
      </c>
      <c r="D2434" t="s">
        <v>961</v>
      </c>
      <c r="E2434">
        <v>30.673269999999999</v>
      </c>
      <c r="F2434" t="s">
        <v>962</v>
      </c>
      <c r="G2434">
        <v>-89.870739</v>
      </c>
      <c r="H2434">
        <v>1600</v>
      </c>
      <c r="I2434">
        <v>-8</v>
      </c>
      <c r="J2434">
        <v>123</v>
      </c>
      <c r="K2434">
        <v>192</v>
      </c>
      <c r="L2434">
        <v>1200</v>
      </c>
      <c r="M2434" t="str">
        <f t="shared" si="155"/>
        <v xml:space="preserve">N35DC   </v>
      </c>
      <c r="N2434">
        <v>1</v>
      </c>
      <c r="O2434">
        <v>1700</v>
      </c>
    </row>
    <row r="2435" spans="1:15" x14ac:dyDescent="0.25">
      <c r="A2435" t="str">
        <f t="shared" si="165"/>
        <v>10/21/2020 18:31:29.694</v>
      </c>
      <c r="B2435" t="str">
        <f>"18:31:37.609"</f>
        <v>18:31:37.609</v>
      </c>
      <c r="C2435" t="str">
        <f>"18:31:37.509"</f>
        <v>18:31:37.509</v>
      </c>
      <c r="D2435" t="s">
        <v>961</v>
      </c>
      <c r="E2435">
        <v>30.673269999999999</v>
      </c>
      <c r="F2435" t="s">
        <v>962</v>
      </c>
      <c r="G2435">
        <v>-89.870739</v>
      </c>
      <c r="H2435">
        <v>1600</v>
      </c>
      <c r="I2435">
        <v>-7</v>
      </c>
      <c r="J2435">
        <v>123</v>
      </c>
      <c r="K2435">
        <v>-64</v>
      </c>
      <c r="L2435">
        <v>1200</v>
      </c>
      <c r="M2435" t="str">
        <f t="shared" si="155"/>
        <v xml:space="preserve">N35DC   </v>
      </c>
      <c r="N2435">
        <v>1</v>
      </c>
      <c r="O2435">
        <v>1700</v>
      </c>
    </row>
    <row r="2436" spans="1:15" x14ac:dyDescent="0.25">
      <c r="A2436" t="str">
        <f t="shared" si="165"/>
        <v>10/21/2020 18:31:29.694</v>
      </c>
      <c r="B2436" t="str">
        <f>"18:31:37.609"</f>
        <v>18:31:37.609</v>
      </c>
      <c r="C2436" t="str">
        <f>"18:31:37.509"</f>
        <v>18:31:37.509</v>
      </c>
      <c r="D2436" t="s">
        <v>961</v>
      </c>
      <c r="E2436">
        <v>30.673269999999999</v>
      </c>
      <c r="F2436" t="s">
        <v>962</v>
      </c>
      <c r="G2436">
        <v>-89.870739</v>
      </c>
      <c r="H2436">
        <v>1600</v>
      </c>
      <c r="I2436">
        <v>-7</v>
      </c>
      <c r="J2436">
        <v>123</v>
      </c>
      <c r="K2436">
        <v>-64</v>
      </c>
      <c r="L2436">
        <v>1200</v>
      </c>
      <c r="M2436" t="str">
        <f t="shared" si="155"/>
        <v xml:space="preserve">N35DC   </v>
      </c>
      <c r="N2436">
        <v>1</v>
      </c>
      <c r="O2436">
        <v>1700</v>
      </c>
    </row>
    <row r="2437" spans="1:15" x14ac:dyDescent="0.25">
      <c r="A2437" t="str">
        <f t="shared" si="165"/>
        <v>10/21/2020 18:31:29.694</v>
      </c>
      <c r="B2437" t="str">
        <f>"18:31:37.609"</f>
        <v>18:31:37.609</v>
      </c>
      <c r="C2437" t="str">
        <f>"18:31:37.509"</f>
        <v>18:31:37.509</v>
      </c>
      <c r="D2437" t="s">
        <v>961</v>
      </c>
      <c r="E2437">
        <v>30.673269999999999</v>
      </c>
      <c r="F2437" t="s">
        <v>962</v>
      </c>
      <c r="G2437">
        <v>-89.870739</v>
      </c>
      <c r="H2437">
        <v>1600</v>
      </c>
      <c r="I2437">
        <v>-7</v>
      </c>
      <c r="J2437">
        <v>123</v>
      </c>
      <c r="K2437">
        <v>-64</v>
      </c>
      <c r="L2437">
        <v>1200</v>
      </c>
      <c r="M2437" t="str">
        <f t="shared" si="155"/>
        <v xml:space="preserve">N35DC   </v>
      </c>
      <c r="N2437">
        <v>1</v>
      </c>
      <c r="O2437">
        <v>1700</v>
      </c>
    </row>
    <row r="2438" spans="1:15" x14ac:dyDescent="0.25">
      <c r="A2438" t="str">
        <f t="shared" si="165"/>
        <v>10/21/2020 18:31:29.694</v>
      </c>
      <c r="B2438" t="str">
        <f>"18:31:37.609"</f>
        <v>18:31:37.609</v>
      </c>
      <c r="C2438" t="str">
        <f>"18:31:37.509"</f>
        <v>18:31:37.509</v>
      </c>
      <c r="D2438" t="s">
        <v>961</v>
      </c>
      <c r="E2438">
        <v>30.673269999999999</v>
      </c>
      <c r="F2438" t="s">
        <v>962</v>
      </c>
      <c r="G2438">
        <v>-89.870739</v>
      </c>
      <c r="H2438">
        <v>1600</v>
      </c>
      <c r="I2438">
        <v>-7</v>
      </c>
      <c r="J2438">
        <v>123</v>
      </c>
      <c r="K2438">
        <v>-64</v>
      </c>
      <c r="L2438">
        <v>1200</v>
      </c>
      <c r="M2438" t="str">
        <f t="shared" si="155"/>
        <v xml:space="preserve">N35DC   </v>
      </c>
      <c r="N2438">
        <v>1</v>
      </c>
      <c r="O2438">
        <v>1700</v>
      </c>
    </row>
    <row r="2439" spans="1:15" x14ac:dyDescent="0.25">
      <c r="A2439" t="str">
        <f>"10/21/2020 18:31:30.654"</f>
        <v>10/21/2020 18:31:30.654</v>
      </c>
      <c r="B2439" t="str">
        <f>"18:31:38.586"</f>
        <v>18:31:38.586</v>
      </c>
      <c r="C2439" t="str">
        <f>"18:31:38.486"</f>
        <v>18:31:38.486</v>
      </c>
      <c r="D2439" t="s">
        <v>963</v>
      </c>
      <c r="E2439">
        <v>30.673870999999998</v>
      </c>
      <c r="F2439" t="s">
        <v>962</v>
      </c>
      <c r="G2439">
        <v>-89.870739</v>
      </c>
      <c r="H2439">
        <v>1600</v>
      </c>
      <c r="I2439">
        <v>-7</v>
      </c>
      <c r="J2439">
        <v>123</v>
      </c>
      <c r="K2439">
        <v>-64</v>
      </c>
      <c r="L2439">
        <v>1200</v>
      </c>
      <c r="M2439" t="str">
        <f t="shared" ref="M2439:M2502" si="166">"N35DC   "</f>
        <v xml:space="preserve">N35DC   </v>
      </c>
      <c r="N2439">
        <v>1</v>
      </c>
      <c r="O2439">
        <v>1700</v>
      </c>
    </row>
    <row r="2440" spans="1:15" x14ac:dyDescent="0.25">
      <c r="A2440" t="str">
        <f>"10/21/2020 18:31:30.654"</f>
        <v>10/21/2020 18:31:30.654</v>
      </c>
      <c r="B2440" t="str">
        <f>"18:31:38.586"</f>
        <v>18:31:38.586</v>
      </c>
      <c r="C2440" t="str">
        <f>"18:31:38.486"</f>
        <v>18:31:38.486</v>
      </c>
      <c r="D2440" t="s">
        <v>963</v>
      </c>
      <c r="E2440">
        <v>30.673870999999998</v>
      </c>
      <c r="F2440" t="s">
        <v>962</v>
      </c>
      <c r="G2440">
        <v>-89.870739</v>
      </c>
      <c r="H2440">
        <v>1600</v>
      </c>
      <c r="I2440">
        <v>-7</v>
      </c>
      <c r="J2440">
        <v>123</v>
      </c>
      <c r="K2440">
        <v>-64</v>
      </c>
      <c r="L2440">
        <v>1200</v>
      </c>
      <c r="M2440" t="str">
        <f t="shared" si="166"/>
        <v xml:space="preserve">N35DC   </v>
      </c>
      <c r="N2440">
        <v>1</v>
      </c>
      <c r="O2440">
        <v>1700</v>
      </c>
    </row>
    <row r="2441" spans="1:15" x14ac:dyDescent="0.25">
      <c r="A2441" t="str">
        <f>"10/21/2020 18:31:30.654"</f>
        <v>10/21/2020 18:31:30.654</v>
      </c>
      <c r="B2441" t="str">
        <f>"18:31:38.586"</f>
        <v>18:31:38.586</v>
      </c>
      <c r="C2441" t="str">
        <f>"18:31:38.486"</f>
        <v>18:31:38.486</v>
      </c>
      <c r="D2441" t="s">
        <v>963</v>
      </c>
      <c r="E2441">
        <v>30.673870999999998</v>
      </c>
      <c r="F2441" t="s">
        <v>962</v>
      </c>
      <c r="G2441">
        <v>-89.870739</v>
      </c>
      <c r="H2441">
        <v>1600</v>
      </c>
      <c r="I2441">
        <v>-7</v>
      </c>
      <c r="J2441">
        <v>123</v>
      </c>
      <c r="K2441">
        <v>-64</v>
      </c>
      <c r="L2441">
        <v>1200</v>
      </c>
      <c r="M2441" t="str">
        <f t="shared" si="166"/>
        <v xml:space="preserve">N35DC   </v>
      </c>
      <c r="N2441">
        <v>1</v>
      </c>
      <c r="O2441">
        <v>1700</v>
      </c>
    </row>
    <row r="2442" spans="1:15" x14ac:dyDescent="0.25">
      <c r="A2442" t="str">
        <f>"10/21/2020 18:31:30.654"</f>
        <v>10/21/2020 18:31:30.654</v>
      </c>
      <c r="B2442" t="str">
        <f>"18:31:38.586"</f>
        <v>18:31:38.586</v>
      </c>
      <c r="C2442" t="str">
        <f>"18:31:38.486"</f>
        <v>18:31:38.486</v>
      </c>
      <c r="D2442" t="s">
        <v>963</v>
      </c>
      <c r="E2442">
        <v>30.673870999999998</v>
      </c>
      <c r="F2442" t="s">
        <v>962</v>
      </c>
      <c r="G2442">
        <v>-89.870739</v>
      </c>
      <c r="H2442">
        <v>1600</v>
      </c>
      <c r="I2442">
        <v>-7</v>
      </c>
      <c r="J2442">
        <v>123</v>
      </c>
      <c r="K2442">
        <v>-64</v>
      </c>
      <c r="L2442">
        <v>1200</v>
      </c>
      <c r="M2442" t="str">
        <f t="shared" si="166"/>
        <v xml:space="preserve">N35DC   </v>
      </c>
      <c r="N2442">
        <v>1</v>
      </c>
      <c r="O2442">
        <v>1700</v>
      </c>
    </row>
    <row r="2443" spans="1:15" x14ac:dyDescent="0.25">
      <c r="A2443" t="str">
        <f>"10/21/2020 18:31:30.654"</f>
        <v>10/21/2020 18:31:30.654</v>
      </c>
      <c r="B2443" t="str">
        <f>"18:31:38.586"</f>
        <v>18:31:38.586</v>
      </c>
      <c r="C2443" t="str">
        <f>"18:31:38.486"</f>
        <v>18:31:38.486</v>
      </c>
      <c r="D2443" t="s">
        <v>963</v>
      </c>
      <c r="E2443">
        <v>30.673870999999998</v>
      </c>
      <c r="F2443" t="s">
        <v>962</v>
      </c>
      <c r="G2443">
        <v>-89.870739</v>
      </c>
      <c r="H2443">
        <v>1600</v>
      </c>
      <c r="I2443">
        <v>-7</v>
      </c>
      <c r="J2443">
        <v>123</v>
      </c>
      <c r="K2443">
        <v>-64</v>
      </c>
      <c r="L2443">
        <v>1200</v>
      </c>
      <c r="M2443" t="str">
        <f t="shared" si="166"/>
        <v xml:space="preserve">N35DC   </v>
      </c>
      <c r="N2443">
        <v>1</v>
      </c>
      <c r="O2443">
        <v>1700</v>
      </c>
    </row>
    <row r="2444" spans="1:15" x14ac:dyDescent="0.25">
      <c r="A2444" t="str">
        <f t="shared" ref="A2444:A2449" si="167">"10/21/2020 18:31:33.632"</f>
        <v>10/21/2020 18:31:33.632</v>
      </c>
      <c r="B2444" t="str">
        <f t="shared" ref="B2444:B2449" si="168">"18:31:41.570"</f>
        <v>18:31:41.570</v>
      </c>
      <c r="C2444" t="str">
        <f t="shared" ref="C2444:C2449" si="169">"18:31:41.170"</f>
        <v>18:31:41.170</v>
      </c>
      <c r="D2444" t="s">
        <v>964</v>
      </c>
      <c r="E2444">
        <v>30.675545</v>
      </c>
      <c r="F2444" t="s">
        <v>965</v>
      </c>
      <c r="G2444">
        <v>-89.870846</v>
      </c>
      <c r="H2444">
        <v>1600</v>
      </c>
      <c r="I2444">
        <v>-8</v>
      </c>
      <c r="J2444">
        <v>124</v>
      </c>
      <c r="K2444">
        <v>-128</v>
      </c>
      <c r="L2444">
        <v>1200</v>
      </c>
      <c r="M2444" t="str">
        <f t="shared" si="166"/>
        <v xml:space="preserve">N35DC   </v>
      </c>
      <c r="N2444">
        <v>1</v>
      </c>
      <c r="O2444">
        <v>1700</v>
      </c>
    </row>
    <row r="2445" spans="1:15" x14ac:dyDescent="0.25">
      <c r="A2445" t="str">
        <f t="shared" si="167"/>
        <v>10/21/2020 18:31:33.632</v>
      </c>
      <c r="B2445" t="str">
        <f t="shared" si="168"/>
        <v>18:31:41.570</v>
      </c>
      <c r="C2445" t="str">
        <f t="shared" si="169"/>
        <v>18:31:41.170</v>
      </c>
      <c r="D2445" t="s">
        <v>964</v>
      </c>
      <c r="E2445">
        <v>30.675545</v>
      </c>
      <c r="F2445" t="s">
        <v>965</v>
      </c>
      <c r="G2445">
        <v>-89.870846</v>
      </c>
      <c r="H2445">
        <v>1600</v>
      </c>
      <c r="I2445">
        <v>-8</v>
      </c>
      <c r="J2445">
        <v>124</v>
      </c>
      <c r="K2445">
        <v>-128</v>
      </c>
      <c r="L2445">
        <v>1200</v>
      </c>
      <c r="M2445" t="str">
        <f t="shared" si="166"/>
        <v xml:space="preserve">N35DC   </v>
      </c>
      <c r="N2445">
        <v>1</v>
      </c>
      <c r="O2445">
        <v>1700</v>
      </c>
    </row>
    <row r="2446" spans="1:15" x14ac:dyDescent="0.25">
      <c r="A2446" t="str">
        <f t="shared" si="167"/>
        <v>10/21/2020 18:31:33.632</v>
      </c>
      <c r="B2446" t="str">
        <f t="shared" si="168"/>
        <v>18:31:41.570</v>
      </c>
      <c r="C2446" t="str">
        <f t="shared" si="169"/>
        <v>18:31:41.170</v>
      </c>
      <c r="D2446" t="s">
        <v>964</v>
      </c>
      <c r="E2446">
        <v>30.675545</v>
      </c>
      <c r="F2446" t="s">
        <v>965</v>
      </c>
      <c r="G2446">
        <v>-89.870846</v>
      </c>
      <c r="H2446">
        <v>1600</v>
      </c>
      <c r="I2446">
        <v>-8</v>
      </c>
      <c r="J2446">
        <v>124</v>
      </c>
      <c r="K2446">
        <v>-128</v>
      </c>
      <c r="L2446">
        <v>1200</v>
      </c>
      <c r="M2446" t="str">
        <f t="shared" si="166"/>
        <v xml:space="preserve">N35DC   </v>
      </c>
      <c r="N2446">
        <v>1</v>
      </c>
      <c r="O2446">
        <v>1700</v>
      </c>
    </row>
    <row r="2447" spans="1:15" x14ac:dyDescent="0.25">
      <c r="A2447" t="str">
        <f t="shared" si="167"/>
        <v>10/21/2020 18:31:33.632</v>
      </c>
      <c r="B2447" t="str">
        <f t="shared" si="168"/>
        <v>18:31:41.570</v>
      </c>
      <c r="C2447" t="str">
        <f t="shared" si="169"/>
        <v>18:31:41.170</v>
      </c>
      <c r="D2447" t="s">
        <v>964</v>
      </c>
      <c r="E2447">
        <v>30.675545</v>
      </c>
      <c r="F2447" t="s">
        <v>965</v>
      </c>
      <c r="G2447">
        <v>-89.870846</v>
      </c>
      <c r="H2447">
        <v>1600</v>
      </c>
      <c r="I2447">
        <v>-8</v>
      </c>
      <c r="J2447">
        <v>124</v>
      </c>
      <c r="K2447">
        <v>-128</v>
      </c>
      <c r="L2447">
        <v>1200</v>
      </c>
      <c r="M2447" t="str">
        <f t="shared" si="166"/>
        <v xml:space="preserve">N35DC   </v>
      </c>
      <c r="N2447">
        <v>1</v>
      </c>
      <c r="O2447">
        <v>1700</v>
      </c>
    </row>
    <row r="2448" spans="1:15" x14ac:dyDescent="0.25">
      <c r="A2448" t="str">
        <f t="shared" si="167"/>
        <v>10/21/2020 18:31:33.632</v>
      </c>
      <c r="B2448" t="str">
        <f t="shared" si="168"/>
        <v>18:31:41.570</v>
      </c>
      <c r="C2448" t="str">
        <f t="shared" si="169"/>
        <v>18:31:41.170</v>
      </c>
      <c r="D2448" t="s">
        <v>964</v>
      </c>
      <c r="E2448">
        <v>30.675545</v>
      </c>
      <c r="F2448" t="s">
        <v>965</v>
      </c>
      <c r="G2448">
        <v>-89.870846</v>
      </c>
      <c r="H2448">
        <v>1600</v>
      </c>
      <c r="I2448">
        <v>-8</v>
      </c>
      <c r="J2448">
        <v>124</v>
      </c>
      <c r="K2448">
        <v>-128</v>
      </c>
      <c r="L2448">
        <v>1200</v>
      </c>
      <c r="M2448" t="str">
        <f t="shared" si="166"/>
        <v xml:space="preserve">N35DC   </v>
      </c>
      <c r="N2448">
        <v>1</v>
      </c>
      <c r="O2448">
        <v>1700</v>
      </c>
    </row>
    <row r="2449" spans="1:15" x14ac:dyDescent="0.25">
      <c r="A2449" t="str">
        <f t="shared" si="167"/>
        <v>10/21/2020 18:31:33.632</v>
      </c>
      <c r="B2449" t="str">
        <f t="shared" si="168"/>
        <v>18:31:41.570</v>
      </c>
      <c r="C2449" t="str">
        <f t="shared" si="169"/>
        <v>18:31:41.170</v>
      </c>
      <c r="D2449" t="s">
        <v>964</v>
      </c>
      <c r="E2449">
        <v>30.675545</v>
      </c>
      <c r="F2449" t="s">
        <v>965</v>
      </c>
      <c r="G2449">
        <v>-89.870846</v>
      </c>
      <c r="H2449">
        <v>1600</v>
      </c>
      <c r="I2449">
        <v>-8</v>
      </c>
      <c r="J2449">
        <v>124</v>
      </c>
      <c r="K2449">
        <v>-128</v>
      </c>
      <c r="L2449">
        <v>1200</v>
      </c>
      <c r="M2449" t="str">
        <f t="shared" si="166"/>
        <v xml:space="preserve">N35DC   </v>
      </c>
      <c r="N2449">
        <v>1</v>
      </c>
      <c r="O2449">
        <v>1700</v>
      </c>
    </row>
    <row r="2450" spans="1:15" x14ac:dyDescent="0.25">
      <c r="A2450" t="str">
        <f>"10/21/2020 18:31:34.584"</f>
        <v>10/21/2020 18:31:34.584</v>
      </c>
      <c r="B2450" t="str">
        <f>"18:31:42.531"</f>
        <v>18:31:42.531</v>
      </c>
      <c r="C2450" t="str">
        <f>"18:31:42.231"</f>
        <v>18:31:42.231</v>
      </c>
      <c r="D2450" t="s">
        <v>966</v>
      </c>
      <c r="E2450">
        <v>30.676124000000002</v>
      </c>
      <c r="F2450" t="s">
        <v>967</v>
      </c>
      <c r="G2450">
        <v>-89.870911000000007</v>
      </c>
      <c r="H2450">
        <v>1600</v>
      </c>
      <c r="I2450">
        <v>-9</v>
      </c>
      <c r="J2450">
        <v>124</v>
      </c>
      <c r="K2450">
        <v>-128</v>
      </c>
      <c r="L2450">
        <v>1200</v>
      </c>
      <c r="M2450" t="str">
        <f t="shared" si="166"/>
        <v xml:space="preserve">N35DC   </v>
      </c>
      <c r="N2450">
        <v>1</v>
      </c>
      <c r="O2450">
        <v>1700</v>
      </c>
    </row>
    <row r="2451" spans="1:15" x14ac:dyDescent="0.25">
      <c r="A2451" t="str">
        <f>"10/21/2020 18:31:34.584"</f>
        <v>10/21/2020 18:31:34.584</v>
      </c>
      <c r="B2451" t="str">
        <f>"18:31:42.531"</f>
        <v>18:31:42.531</v>
      </c>
      <c r="C2451" t="str">
        <f>"18:31:42.231"</f>
        <v>18:31:42.231</v>
      </c>
      <c r="D2451" t="s">
        <v>966</v>
      </c>
      <c r="E2451">
        <v>30.676124000000002</v>
      </c>
      <c r="F2451" t="s">
        <v>967</v>
      </c>
      <c r="G2451">
        <v>-89.870911000000007</v>
      </c>
      <c r="H2451">
        <v>1600</v>
      </c>
      <c r="I2451">
        <v>-9</v>
      </c>
      <c r="J2451">
        <v>124</v>
      </c>
      <c r="K2451">
        <v>-128</v>
      </c>
      <c r="L2451">
        <v>1200</v>
      </c>
      <c r="M2451" t="str">
        <f t="shared" si="166"/>
        <v xml:space="preserve">N35DC   </v>
      </c>
      <c r="N2451">
        <v>1</v>
      </c>
      <c r="O2451">
        <v>1700</v>
      </c>
    </row>
    <row r="2452" spans="1:15" x14ac:dyDescent="0.25">
      <c r="A2452" t="str">
        <f>"10/21/2020 18:31:34.584"</f>
        <v>10/21/2020 18:31:34.584</v>
      </c>
      <c r="B2452" t="str">
        <f>"18:31:42.531"</f>
        <v>18:31:42.531</v>
      </c>
      <c r="C2452" t="str">
        <f>"18:31:42.231"</f>
        <v>18:31:42.231</v>
      </c>
      <c r="D2452" t="s">
        <v>966</v>
      </c>
      <c r="E2452">
        <v>30.676124000000002</v>
      </c>
      <c r="F2452" t="s">
        <v>967</v>
      </c>
      <c r="G2452">
        <v>-89.870911000000007</v>
      </c>
      <c r="H2452">
        <v>1600</v>
      </c>
      <c r="I2452">
        <v>-9</v>
      </c>
      <c r="J2452">
        <v>124</v>
      </c>
      <c r="K2452">
        <v>-128</v>
      </c>
      <c r="L2452">
        <v>1200</v>
      </c>
      <c r="M2452" t="str">
        <f t="shared" si="166"/>
        <v xml:space="preserve">N35DC   </v>
      </c>
      <c r="N2452">
        <v>1</v>
      </c>
      <c r="O2452">
        <v>1700</v>
      </c>
    </row>
    <row r="2453" spans="1:15" x14ac:dyDescent="0.25">
      <c r="A2453" t="str">
        <f>"10/21/2020 18:31:34.584"</f>
        <v>10/21/2020 18:31:34.584</v>
      </c>
      <c r="B2453" t="str">
        <f>"18:31:42.531"</f>
        <v>18:31:42.531</v>
      </c>
      <c r="C2453" t="str">
        <f>"18:31:42.231"</f>
        <v>18:31:42.231</v>
      </c>
      <c r="D2453" t="s">
        <v>966</v>
      </c>
      <c r="E2453">
        <v>30.676124000000002</v>
      </c>
      <c r="F2453" t="s">
        <v>967</v>
      </c>
      <c r="G2453">
        <v>-89.870911000000007</v>
      </c>
      <c r="H2453">
        <v>1600</v>
      </c>
      <c r="I2453">
        <v>-9</v>
      </c>
      <c r="J2453">
        <v>124</v>
      </c>
      <c r="K2453">
        <v>-128</v>
      </c>
      <c r="L2453">
        <v>1200</v>
      </c>
      <c r="M2453" t="str">
        <f t="shared" si="166"/>
        <v xml:space="preserve">N35DC   </v>
      </c>
      <c r="N2453">
        <v>1</v>
      </c>
      <c r="O2453">
        <v>1700</v>
      </c>
    </row>
    <row r="2454" spans="1:15" x14ac:dyDescent="0.25">
      <c r="A2454" t="str">
        <f>"10/21/2020 18:31:34.584"</f>
        <v>10/21/2020 18:31:34.584</v>
      </c>
      <c r="B2454" t="str">
        <f>"18:31:42.531"</f>
        <v>18:31:42.531</v>
      </c>
      <c r="C2454" t="str">
        <f>"18:31:42.231"</f>
        <v>18:31:42.231</v>
      </c>
      <c r="D2454" t="s">
        <v>966</v>
      </c>
      <c r="E2454">
        <v>30.676124000000002</v>
      </c>
      <c r="F2454" t="s">
        <v>967</v>
      </c>
      <c r="G2454">
        <v>-89.870911000000007</v>
      </c>
      <c r="H2454">
        <v>1600</v>
      </c>
      <c r="I2454">
        <v>-9</v>
      </c>
      <c r="J2454">
        <v>124</v>
      </c>
      <c r="K2454">
        <v>-128</v>
      </c>
      <c r="L2454">
        <v>1200</v>
      </c>
      <c r="M2454" t="str">
        <f t="shared" si="166"/>
        <v xml:space="preserve">N35DC   </v>
      </c>
      <c r="N2454">
        <v>1</v>
      </c>
      <c r="O2454">
        <v>1700</v>
      </c>
    </row>
    <row r="2455" spans="1:15" x14ac:dyDescent="0.25">
      <c r="A2455" t="str">
        <f>"10/21/2020 18:31:35.051"</f>
        <v>10/21/2020 18:31:35.051</v>
      </c>
      <c r="B2455" t="str">
        <f>"18:31:42.953"</f>
        <v>18:31:42.953</v>
      </c>
      <c r="C2455" t="str">
        <f>"18:31:42.653"</f>
        <v>18:31:42.653</v>
      </c>
      <c r="D2455" t="s">
        <v>968</v>
      </c>
      <c r="E2455">
        <v>30.676338999999999</v>
      </c>
      <c r="F2455" t="s">
        <v>905</v>
      </c>
      <c r="G2455">
        <v>-89.870975000000001</v>
      </c>
      <c r="H2455">
        <v>1600</v>
      </c>
      <c r="I2455">
        <v>-9</v>
      </c>
      <c r="J2455">
        <v>124</v>
      </c>
      <c r="K2455">
        <v>-192</v>
      </c>
      <c r="L2455">
        <v>1200</v>
      </c>
      <c r="M2455" t="str">
        <f t="shared" si="166"/>
        <v xml:space="preserve">N35DC   </v>
      </c>
      <c r="N2455">
        <v>1</v>
      </c>
      <c r="O2455">
        <v>1700</v>
      </c>
    </row>
    <row r="2456" spans="1:15" x14ac:dyDescent="0.25">
      <c r="A2456" t="str">
        <f>"10/21/2020 18:31:37.778"</f>
        <v>10/21/2020 18:31:37.778</v>
      </c>
      <c r="B2456" t="str">
        <f>"18:31:45.695"</f>
        <v>18:31:45.695</v>
      </c>
      <c r="C2456" t="str">
        <f>"18:31:45.595"</f>
        <v>18:31:45.595</v>
      </c>
      <c r="D2456" t="s">
        <v>969</v>
      </c>
      <c r="E2456">
        <v>30.677948000000001</v>
      </c>
      <c r="F2456" t="s">
        <v>903</v>
      </c>
      <c r="G2456">
        <v>-89.871082000000001</v>
      </c>
      <c r="H2456">
        <v>1600</v>
      </c>
      <c r="I2456">
        <v>-10</v>
      </c>
      <c r="J2456">
        <v>124</v>
      </c>
      <c r="K2456">
        <v>-128</v>
      </c>
      <c r="L2456">
        <v>1200</v>
      </c>
      <c r="M2456" t="str">
        <f t="shared" si="166"/>
        <v xml:space="preserve">N35DC   </v>
      </c>
      <c r="N2456">
        <v>1</v>
      </c>
      <c r="O2456">
        <v>1700</v>
      </c>
    </row>
    <row r="2457" spans="1:15" x14ac:dyDescent="0.25">
      <c r="A2457" t="str">
        <f>"10/21/2020 18:31:37.778"</f>
        <v>10/21/2020 18:31:37.778</v>
      </c>
      <c r="B2457" t="str">
        <f>"18:31:45.695"</f>
        <v>18:31:45.695</v>
      </c>
      <c r="C2457" t="str">
        <f>"18:31:45.595"</f>
        <v>18:31:45.595</v>
      </c>
      <c r="D2457" t="s">
        <v>969</v>
      </c>
      <c r="E2457">
        <v>30.677948000000001</v>
      </c>
      <c r="F2457" t="s">
        <v>903</v>
      </c>
      <c r="G2457">
        <v>-89.871082000000001</v>
      </c>
      <c r="H2457">
        <v>1600</v>
      </c>
      <c r="I2457">
        <v>-10</v>
      </c>
      <c r="J2457">
        <v>124</v>
      </c>
      <c r="K2457">
        <v>-128</v>
      </c>
      <c r="L2457">
        <v>1200</v>
      </c>
      <c r="M2457" t="str">
        <f t="shared" si="166"/>
        <v xml:space="preserve">N35DC   </v>
      </c>
      <c r="N2457">
        <v>1</v>
      </c>
      <c r="O2457">
        <v>1700</v>
      </c>
    </row>
    <row r="2458" spans="1:15" x14ac:dyDescent="0.25">
      <c r="A2458" t="str">
        <f>"10/21/2020 18:31:37.778"</f>
        <v>10/21/2020 18:31:37.778</v>
      </c>
      <c r="B2458" t="str">
        <f>"18:31:45.695"</f>
        <v>18:31:45.695</v>
      </c>
      <c r="C2458" t="str">
        <f>"18:31:45.595"</f>
        <v>18:31:45.595</v>
      </c>
      <c r="D2458" t="s">
        <v>969</v>
      </c>
      <c r="E2458">
        <v>30.677948000000001</v>
      </c>
      <c r="F2458" t="s">
        <v>903</v>
      </c>
      <c r="G2458">
        <v>-89.871082000000001</v>
      </c>
      <c r="H2458">
        <v>1600</v>
      </c>
      <c r="I2458">
        <v>-10</v>
      </c>
      <c r="J2458">
        <v>124</v>
      </c>
      <c r="K2458">
        <v>-128</v>
      </c>
      <c r="L2458">
        <v>1200</v>
      </c>
      <c r="M2458" t="str">
        <f t="shared" si="166"/>
        <v xml:space="preserve">N35DC   </v>
      </c>
      <c r="N2458">
        <v>1</v>
      </c>
      <c r="O2458">
        <v>1700</v>
      </c>
    </row>
    <row r="2459" spans="1:15" x14ac:dyDescent="0.25">
      <c r="A2459" t="str">
        <f>"10/21/2020 18:31:37.778"</f>
        <v>10/21/2020 18:31:37.778</v>
      </c>
      <c r="B2459" t="str">
        <f>"18:31:45.695"</f>
        <v>18:31:45.695</v>
      </c>
      <c r="C2459" t="str">
        <f>"18:31:45.595"</f>
        <v>18:31:45.595</v>
      </c>
      <c r="D2459" t="s">
        <v>969</v>
      </c>
      <c r="E2459">
        <v>30.677948000000001</v>
      </c>
      <c r="F2459" t="s">
        <v>903</v>
      </c>
      <c r="G2459">
        <v>-89.871082000000001</v>
      </c>
      <c r="H2459">
        <v>1600</v>
      </c>
      <c r="I2459">
        <v>-10</v>
      </c>
      <c r="J2459">
        <v>124</v>
      </c>
      <c r="K2459">
        <v>-128</v>
      </c>
      <c r="L2459">
        <v>1200</v>
      </c>
      <c r="M2459" t="str">
        <f t="shared" si="166"/>
        <v xml:space="preserve">N35DC   </v>
      </c>
      <c r="N2459">
        <v>1</v>
      </c>
      <c r="O2459">
        <v>1700</v>
      </c>
    </row>
    <row r="2460" spans="1:15" x14ac:dyDescent="0.25">
      <c r="A2460" t="str">
        <f>"10/21/2020 18:31:37.778"</f>
        <v>10/21/2020 18:31:37.778</v>
      </c>
      <c r="B2460" t="str">
        <f>"18:31:45.695"</f>
        <v>18:31:45.695</v>
      </c>
      <c r="C2460" t="str">
        <f>"18:31:45.595"</f>
        <v>18:31:45.595</v>
      </c>
      <c r="D2460" t="s">
        <v>969</v>
      </c>
      <c r="E2460">
        <v>30.677948000000001</v>
      </c>
      <c r="F2460" t="s">
        <v>903</v>
      </c>
      <c r="G2460">
        <v>-89.871082000000001</v>
      </c>
      <c r="H2460">
        <v>1600</v>
      </c>
      <c r="I2460">
        <v>-10</v>
      </c>
      <c r="J2460">
        <v>124</v>
      </c>
      <c r="K2460">
        <v>-128</v>
      </c>
      <c r="L2460">
        <v>1200</v>
      </c>
      <c r="M2460" t="str">
        <f t="shared" si="166"/>
        <v xml:space="preserve">N35DC   </v>
      </c>
      <c r="N2460">
        <v>1</v>
      </c>
      <c r="O2460">
        <v>1700</v>
      </c>
    </row>
    <row r="2461" spans="1:15" x14ac:dyDescent="0.25">
      <c r="A2461" t="str">
        <f>"10/21/2020 18:31:38.321"</f>
        <v>10/21/2020 18:31:38.321</v>
      </c>
      <c r="B2461" t="str">
        <f>"18:31:46.250"</f>
        <v>18:31:46.250</v>
      </c>
      <c r="C2461" t="str">
        <f>"18:31:46.150"</f>
        <v>18:31:46.150</v>
      </c>
      <c r="D2461" t="s">
        <v>970</v>
      </c>
      <c r="E2461">
        <v>30.678248</v>
      </c>
      <c r="F2461" t="s">
        <v>971</v>
      </c>
      <c r="G2461">
        <v>-89.871125000000006</v>
      </c>
      <c r="H2461">
        <v>1600</v>
      </c>
      <c r="I2461">
        <v>-10</v>
      </c>
      <c r="J2461">
        <v>124</v>
      </c>
      <c r="K2461">
        <v>-64</v>
      </c>
      <c r="L2461">
        <v>1200</v>
      </c>
      <c r="M2461" t="str">
        <f t="shared" si="166"/>
        <v xml:space="preserve">N35DC   </v>
      </c>
      <c r="N2461">
        <v>1</v>
      </c>
      <c r="O2461">
        <v>1700</v>
      </c>
    </row>
    <row r="2462" spans="1:15" x14ac:dyDescent="0.25">
      <c r="A2462" t="str">
        <f>"10/21/2020 18:31:38.753"</f>
        <v>10/21/2020 18:31:38.753</v>
      </c>
      <c r="B2462" t="str">
        <f>"18:31:46.687"</f>
        <v>18:31:46.687</v>
      </c>
      <c r="C2462" t="str">
        <f>"18:31:46.187"</f>
        <v>18:31:46.187</v>
      </c>
      <c r="D2462" t="s">
        <v>972</v>
      </c>
      <c r="E2462">
        <v>30.678526999999999</v>
      </c>
      <c r="F2462" t="s">
        <v>971</v>
      </c>
      <c r="G2462">
        <v>-89.871125000000006</v>
      </c>
      <c r="H2462">
        <v>1600</v>
      </c>
      <c r="I2462">
        <v>-10</v>
      </c>
      <c r="J2462">
        <v>124</v>
      </c>
      <c r="K2462">
        <v>-64</v>
      </c>
      <c r="L2462">
        <v>1200</v>
      </c>
      <c r="M2462" t="str">
        <f t="shared" si="166"/>
        <v xml:space="preserve">N35DC   </v>
      </c>
      <c r="N2462">
        <v>1</v>
      </c>
      <c r="O2462">
        <v>1700</v>
      </c>
    </row>
    <row r="2463" spans="1:15" x14ac:dyDescent="0.25">
      <c r="A2463" t="str">
        <f>"10/21/2020 18:31:38.753"</f>
        <v>10/21/2020 18:31:38.753</v>
      </c>
      <c r="B2463" t="str">
        <f>"18:31:46.687"</f>
        <v>18:31:46.687</v>
      </c>
      <c r="C2463" t="str">
        <f>"18:31:46.187"</f>
        <v>18:31:46.187</v>
      </c>
      <c r="D2463" t="s">
        <v>972</v>
      </c>
      <c r="E2463">
        <v>30.678526999999999</v>
      </c>
      <c r="F2463" t="s">
        <v>971</v>
      </c>
      <c r="G2463">
        <v>-89.871125000000006</v>
      </c>
      <c r="H2463">
        <v>1600</v>
      </c>
      <c r="I2463">
        <v>-10</v>
      </c>
      <c r="J2463">
        <v>124</v>
      </c>
      <c r="K2463">
        <v>-64</v>
      </c>
      <c r="L2463">
        <v>1200</v>
      </c>
      <c r="M2463" t="str">
        <f t="shared" si="166"/>
        <v xml:space="preserve">N35DC   </v>
      </c>
      <c r="N2463">
        <v>1</v>
      </c>
      <c r="O2463">
        <v>1700</v>
      </c>
    </row>
    <row r="2464" spans="1:15" x14ac:dyDescent="0.25">
      <c r="A2464" t="str">
        <f>"10/21/2020 18:31:38.753"</f>
        <v>10/21/2020 18:31:38.753</v>
      </c>
      <c r="B2464" t="str">
        <f>"18:31:46.687"</f>
        <v>18:31:46.687</v>
      </c>
      <c r="C2464" t="str">
        <f>"18:31:46.187"</f>
        <v>18:31:46.187</v>
      </c>
      <c r="D2464" t="s">
        <v>972</v>
      </c>
      <c r="E2464">
        <v>30.678526999999999</v>
      </c>
      <c r="F2464" t="s">
        <v>971</v>
      </c>
      <c r="G2464">
        <v>-89.871125000000006</v>
      </c>
      <c r="H2464">
        <v>1600</v>
      </c>
      <c r="I2464">
        <v>-10</v>
      </c>
      <c r="J2464">
        <v>124</v>
      </c>
      <c r="K2464">
        <v>-64</v>
      </c>
      <c r="L2464">
        <v>1200</v>
      </c>
      <c r="M2464" t="str">
        <f t="shared" si="166"/>
        <v xml:space="preserve">N35DC   </v>
      </c>
      <c r="N2464">
        <v>1</v>
      </c>
      <c r="O2464">
        <v>1700</v>
      </c>
    </row>
    <row r="2465" spans="1:15" x14ac:dyDescent="0.25">
      <c r="A2465" t="str">
        <f>"10/21/2020 18:31:38.753"</f>
        <v>10/21/2020 18:31:38.753</v>
      </c>
      <c r="B2465" t="str">
        <f>"18:31:46.687"</f>
        <v>18:31:46.687</v>
      </c>
      <c r="C2465" t="str">
        <f>"18:31:46.187"</f>
        <v>18:31:46.187</v>
      </c>
      <c r="D2465" t="s">
        <v>972</v>
      </c>
      <c r="E2465">
        <v>30.678526999999999</v>
      </c>
      <c r="F2465" t="s">
        <v>971</v>
      </c>
      <c r="G2465">
        <v>-89.871125000000006</v>
      </c>
      <c r="H2465">
        <v>1600</v>
      </c>
      <c r="I2465">
        <v>-10</v>
      </c>
      <c r="J2465">
        <v>124</v>
      </c>
      <c r="K2465">
        <v>-64</v>
      </c>
      <c r="L2465">
        <v>1200</v>
      </c>
      <c r="M2465" t="str">
        <f t="shared" si="166"/>
        <v xml:space="preserve">N35DC   </v>
      </c>
      <c r="N2465">
        <v>1</v>
      </c>
      <c r="O2465">
        <v>1700</v>
      </c>
    </row>
    <row r="2466" spans="1:15" x14ac:dyDescent="0.25">
      <c r="A2466" t="str">
        <f>"10/21/2020 18:31:38.753"</f>
        <v>10/21/2020 18:31:38.753</v>
      </c>
      <c r="B2466" t="str">
        <f>"18:31:46.687"</f>
        <v>18:31:46.687</v>
      </c>
      <c r="C2466" t="str">
        <f>"18:31:46.187"</f>
        <v>18:31:46.187</v>
      </c>
      <c r="D2466" t="s">
        <v>972</v>
      </c>
      <c r="E2466">
        <v>30.678526999999999</v>
      </c>
      <c r="F2466" t="s">
        <v>971</v>
      </c>
      <c r="G2466">
        <v>-89.871125000000006</v>
      </c>
      <c r="H2466">
        <v>1600</v>
      </c>
      <c r="I2466">
        <v>-10</v>
      </c>
      <c r="J2466">
        <v>124</v>
      </c>
      <c r="K2466">
        <v>-64</v>
      </c>
      <c r="L2466">
        <v>1200</v>
      </c>
      <c r="M2466" t="str">
        <f t="shared" si="166"/>
        <v xml:space="preserve">N35DC   </v>
      </c>
      <c r="N2466">
        <v>1</v>
      </c>
      <c r="O2466">
        <v>1700</v>
      </c>
    </row>
    <row r="2467" spans="1:15" x14ac:dyDescent="0.25">
      <c r="A2467" t="str">
        <f t="shared" ref="A2467:A2472" si="170">"10/21/2020 18:31:40.681"</f>
        <v>10/21/2020 18:31:40.681</v>
      </c>
      <c r="B2467" t="str">
        <f t="shared" ref="B2467:C2472" si="171">"18:31:48.641"</f>
        <v>18:31:48.641</v>
      </c>
      <c r="C2467" t="str">
        <f t="shared" si="171"/>
        <v>18:31:48.641</v>
      </c>
      <c r="D2467" t="s">
        <v>973</v>
      </c>
      <c r="E2467">
        <v>30.679642999999999</v>
      </c>
      <c r="F2467" t="s">
        <v>974</v>
      </c>
      <c r="G2467">
        <v>-89.871296999999998</v>
      </c>
      <c r="H2467">
        <v>1600</v>
      </c>
      <c r="I2467">
        <v>-11</v>
      </c>
      <c r="J2467">
        <v>124</v>
      </c>
      <c r="K2467">
        <v>-64</v>
      </c>
      <c r="L2467">
        <v>1200</v>
      </c>
      <c r="M2467" t="str">
        <f t="shared" si="166"/>
        <v xml:space="preserve">N35DC   </v>
      </c>
      <c r="N2467">
        <v>1</v>
      </c>
      <c r="O2467">
        <v>1700</v>
      </c>
    </row>
    <row r="2468" spans="1:15" x14ac:dyDescent="0.25">
      <c r="A2468" t="str">
        <f t="shared" si="170"/>
        <v>10/21/2020 18:31:40.681</v>
      </c>
      <c r="B2468" t="str">
        <f t="shared" si="171"/>
        <v>18:31:48.641</v>
      </c>
      <c r="C2468" t="str">
        <f t="shared" si="171"/>
        <v>18:31:48.641</v>
      </c>
      <c r="D2468" t="s">
        <v>973</v>
      </c>
      <c r="E2468">
        <v>30.679642999999999</v>
      </c>
      <c r="F2468" t="s">
        <v>974</v>
      </c>
      <c r="G2468">
        <v>-89.871296999999998</v>
      </c>
      <c r="H2468">
        <v>1600</v>
      </c>
      <c r="I2468">
        <v>-11</v>
      </c>
      <c r="J2468">
        <v>124</v>
      </c>
      <c r="K2468">
        <v>-64</v>
      </c>
      <c r="L2468">
        <v>1200</v>
      </c>
      <c r="M2468" t="str">
        <f t="shared" si="166"/>
        <v xml:space="preserve">N35DC   </v>
      </c>
      <c r="N2468">
        <v>1</v>
      </c>
      <c r="O2468">
        <v>1700</v>
      </c>
    </row>
    <row r="2469" spans="1:15" x14ac:dyDescent="0.25">
      <c r="A2469" t="str">
        <f t="shared" si="170"/>
        <v>10/21/2020 18:31:40.681</v>
      </c>
      <c r="B2469" t="str">
        <f t="shared" si="171"/>
        <v>18:31:48.641</v>
      </c>
      <c r="C2469" t="str">
        <f t="shared" si="171"/>
        <v>18:31:48.641</v>
      </c>
      <c r="D2469" t="s">
        <v>973</v>
      </c>
      <c r="E2469">
        <v>30.679642999999999</v>
      </c>
      <c r="F2469" t="s">
        <v>974</v>
      </c>
      <c r="G2469">
        <v>-89.871296999999998</v>
      </c>
      <c r="H2469">
        <v>1600</v>
      </c>
      <c r="I2469">
        <v>-11</v>
      </c>
      <c r="J2469">
        <v>124</v>
      </c>
      <c r="K2469">
        <v>-64</v>
      </c>
      <c r="L2469">
        <v>1200</v>
      </c>
      <c r="M2469" t="str">
        <f t="shared" si="166"/>
        <v xml:space="preserve">N35DC   </v>
      </c>
      <c r="N2469">
        <v>1</v>
      </c>
      <c r="O2469">
        <v>1700</v>
      </c>
    </row>
    <row r="2470" spans="1:15" x14ac:dyDescent="0.25">
      <c r="A2470" t="str">
        <f t="shared" si="170"/>
        <v>10/21/2020 18:31:40.681</v>
      </c>
      <c r="B2470" t="str">
        <f t="shared" si="171"/>
        <v>18:31:48.641</v>
      </c>
      <c r="C2470" t="str">
        <f t="shared" si="171"/>
        <v>18:31:48.641</v>
      </c>
      <c r="D2470" t="s">
        <v>973</v>
      </c>
      <c r="E2470">
        <v>30.679642999999999</v>
      </c>
      <c r="F2470" t="s">
        <v>974</v>
      </c>
      <c r="G2470">
        <v>-89.871296999999998</v>
      </c>
      <c r="H2470">
        <v>1600</v>
      </c>
      <c r="I2470">
        <v>-11</v>
      </c>
      <c r="J2470">
        <v>124</v>
      </c>
      <c r="K2470">
        <v>-64</v>
      </c>
      <c r="L2470">
        <v>1200</v>
      </c>
      <c r="M2470" t="str">
        <f t="shared" si="166"/>
        <v xml:space="preserve">N35DC   </v>
      </c>
      <c r="N2470">
        <v>1</v>
      </c>
      <c r="O2470">
        <v>1700</v>
      </c>
    </row>
    <row r="2471" spans="1:15" x14ac:dyDescent="0.25">
      <c r="A2471" t="str">
        <f t="shared" si="170"/>
        <v>10/21/2020 18:31:40.681</v>
      </c>
      <c r="B2471" t="str">
        <f t="shared" si="171"/>
        <v>18:31:48.641</v>
      </c>
      <c r="C2471" t="str">
        <f t="shared" si="171"/>
        <v>18:31:48.641</v>
      </c>
      <c r="D2471" t="s">
        <v>973</v>
      </c>
      <c r="E2471">
        <v>30.679642999999999</v>
      </c>
      <c r="F2471" t="s">
        <v>974</v>
      </c>
      <c r="G2471">
        <v>-89.871296999999998</v>
      </c>
      <c r="H2471">
        <v>1600</v>
      </c>
      <c r="I2471">
        <v>-11</v>
      </c>
      <c r="J2471">
        <v>124</v>
      </c>
      <c r="K2471">
        <v>-64</v>
      </c>
      <c r="L2471">
        <v>1200</v>
      </c>
      <c r="M2471" t="str">
        <f t="shared" si="166"/>
        <v xml:space="preserve">N35DC   </v>
      </c>
      <c r="N2471">
        <v>1</v>
      </c>
      <c r="O2471">
        <v>1700</v>
      </c>
    </row>
    <row r="2472" spans="1:15" x14ac:dyDescent="0.25">
      <c r="A2472" t="str">
        <f t="shared" si="170"/>
        <v>10/21/2020 18:31:40.681</v>
      </c>
      <c r="B2472" t="str">
        <f t="shared" si="171"/>
        <v>18:31:48.641</v>
      </c>
      <c r="C2472" t="str">
        <f t="shared" si="171"/>
        <v>18:31:48.641</v>
      </c>
      <c r="D2472" t="s">
        <v>973</v>
      </c>
      <c r="E2472">
        <v>30.679642999999999</v>
      </c>
      <c r="F2472" t="s">
        <v>974</v>
      </c>
      <c r="G2472">
        <v>-89.871296999999998</v>
      </c>
      <c r="H2472">
        <v>1600</v>
      </c>
      <c r="I2472">
        <v>-11</v>
      </c>
      <c r="J2472">
        <v>124</v>
      </c>
      <c r="K2472">
        <v>-64</v>
      </c>
      <c r="L2472">
        <v>1200</v>
      </c>
      <c r="M2472" t="str">
        <f t="shared" si="166"/>
        <v xml:space="preserve">N35DC   </v>
      </c>
      <c r="N2472">
        <v>1</v>
      </c>
      <c r="O2472">
        <v>1700</v>
      </c>
    </row>
    <row r="2473" spans="1:15" x14ac:dyDescent="0.25">
      <c r="A2473" t="str">
        <f>"10/21/2020 18:31:41.643"</f>
        <v>10/21/2020 18:31:41.643</v>
      </c>
      <c r="B2473" t="str">
        <f t="shared" ref="B2473:C2477" si="172">"18:31:49.586"</f>
        <v>18:31:49.586</v>
      </c>
      <c r="C2473" t="str">
        <f t="shared" si="172"/>
        <v>18:31:49.586</v>
      </c>
      <c r="D2473" t="s">
        <v>975</v>
      </c>
      <c r="E2473">
        <v>30.680201</v>
      </c>
      <c r="F2473" t="s">
        <v>976</v>
      </c>
      <c r="G2473">
        <v>-89.871340000000004</v>
      </c>
      <c r="H2473">
        <v>1600</v>
      </c>
      <c r="I2473">
        <v>-12</v>
      </c>
      <c r="J2473">
        <v>124</v>
      </c>
      <c r="K2473">
        <v>0</v>
      </c>
      <c r="L2473">
        <v>1200</v>
      </c>
      <c r="M2473" t="str">
        <f t="shared" si="166"/>
        <v xml:space="preserve">N35DC   </v>
      </c>
      <c r="N2473">
        <v>1</v>
      </c>
      <c r="O2473">
        <v>1700</v>
      </c>
    </row>
    <row r="2474" spans="1:15" x14ac:dyDescent="0.25">
      <c r="A2474" t="str">
        <f>"10/21/2020 18:31:41.643"</f>
        <v>10/21/2020 18:31:41.643</v>
      </c>
      <c r="B2474" t="str">
        <f t="shared" si="172"/>
        <v>18:31:49.586</v>
      </c>
      <c r="C2474" t="str">
        <f t="shared" si="172"/>
        <v>18:31:49.586</v>
      </c>
      <c r="D2474" t="s">
        <v>975</v>
      </c>
      <c r="E2474">
        <v>30.680201</v>
      </c>
      <c r="F2474" t="s">
        <v>976</v>
      </c>
      <c r="G2474">
        <v>-89.871340000000004</v>
      </c>
      <c r="H2474">
        <v>1600</v>
      </c>
      <c r="I2474">
        <v>-12</v>
      </c>
      <c r="J2474">
        <v>124</v>
      </c>
      <c r="K2474">
        <v>0</v>
      </c>
      <c r="L2474">
        <v>1200</v>
      </c>
      <c r="M2474" t="str">
        <f t="shared" si="166"/>
        <v xml:space="preserve">N35DC   </v>
      </c>
      <c r="N2474">
        <v>1</v>
      </c>
      <c r="O2474">
        <v>1700</v>
      </c>
    </row>
    <row r="2475" spans="1:15" x14ac:dyDescent="0.25">
      <c r="A2475" t="str">
        <f>"10/21/2020 18:31:41.643"</f>
        <v>10/21/2020 18:31:41.643</v>
      </c>
      <c r="B2475" t="str">
        <f t="shared" si="172"/>
        <v>18:31:49.586</v>
      </c>
      <c r="C2475" t="str">
        <f t="shared" si="172"/>
        <v>18:31:49.586</v>
      </c>
      <c r="D2475" t="s">
        <v>975</v>
      </c>
      <c r="E2475">
        <v>30.680201</v>
      </c>
      <c r="F2475" t="s">
        <v>976</v>
      </c>
      <c r="G2475">
        <v>-89.871340000000004</v>
      </c>
      <c r="H2475">
        <v>1600</v>
      </c>
      <c r="I2475">
        <v>-12</v>
      </c>
      <c r="J2475">
        <v>124</v>
      </c>
      <c r="K2475">
        <v>0</v>
      </c>
      <c r="L2475">
        <v>1200</v>
      </c>
      <c r="M2475" t="str">
        <f t="shared" si="166"/>
        <v xml:space="preserve">N35DC   </v>
      </c>
      <c r="N2475">
        <v>1</v>
      </c>
      <c r="O2475">
        <v>1700</v>
      </c>
    </row>
    <row r="2476" spans="1:15" x14ac:dyDescent="0.25">
      <c r="A2476" t="str">
        <f>"10/21/2020 18:31:41.643"</f>
        <v>10/21/2020 18:31:41.643</v>
      </c>
      <c r="B2476" t="str">
        <f t="shared" si="172"/>
        <v>18:31:49.586</v>
      </c>
      <c r="C2476" t="str">
        <f t="shared" si="172"/>
        <v>18:31:49.586</v>
      </c>
      <c r="D2476" t="s">
        <v>975</v>
      </c>
      <c r="E2476">
        <v>30.680201</v>
      </c>
      <c r="F2476" t="s">
        <v>976</v>
      </c>
      <c r="G2476">
        <v>-89.871340000000004</v>
      </c>
      <c r="H2476">
        <v>1600</v>
      </c>
      <c r="I2476">
        <v>-12</v>
      </c>
      <c r="J2476">
        <v>124</v>
      </c>
      <c r="K2476">
        <v>0</v>
      </c>
      <c r="L2476">
        <v>1200</v>
      </c>
      <c r="M2476" t="str">
        <f t="shared" si="166"/>
        <v xml:space="preserve">N35DC   </v>
      </c>
      <c r="N2476">
        <v>1</v>
      </c>
      <c r="O2476">
        <v>1700</v>
      </c>
    </row>
    <row r="2477" spans="1:15" x14ac:dyDescent="0.25">
      <c r="A2477" t="str">
        <f>"10/21/2020 18:31:41.643"</f>
        <v>10/21/2020 18:31:41.643</v>
      </c>
      <c r="B2477" t="str">
        <f t="shared" si="172"/>
        <v>18:31:49.586</v>
      </c>
      <c r="C2477" t="str">
        <f t="shared" si="172"/>
        <v>18:31:49.586</v>
      </c>
      <c r="D2477" t="s">
        <v>975</v>
      </c>
      <c r="E2477">
        <v>30.680201</v>
      </c>
      <c r="F2477" t="s">
        <v>976</v>
      </c>
      <c r="G2477">
        <v>-89.871340000000004</v>
      </c>
      <c r="H2477">
        <v>1600</v>
      </c>
      <c r="I2477">
        <v>-12</v>
      </c>
      <c r="J2477">
        <v>124</v>
      </c>
      <c r="K2477">
        <v>0</v>
      </c>
      <c r="L2477">
        <v>1200</v>
      </c>
      <c r="M2477" t="str">
        <f t="shared" si="166"/>
        <v xml:space="preserve">N35DC   </v>
      </c>
      <c r="N2477">
        <v>1</v>
      </c>
      <c r="O2477">
        <v>1700</v>
      </c>
    </row>
    <row r="2478" spans="1:15" x14ac:dyDescent="0.25">
      <c r="A2478" t="str">
        <f>"10/21/2020 18:31:42.545"</f>
        <v>10/21/2020 18:31:42.545</v>
      </c>
      <c r="B2478" t="str">
        <f>"18:31:50.484"</f>
        <v>18:31:50.484</v>
      </c>
      <c r="C2478" t="str">
        <f>"18:31:50.184"</f>
        <v>18:31:50.184</v>
      </c>
      <c r="D2478" t="s">
        <v>977</v>
      </c>
      <c r="E2478">
        <v>30.680695</v>
      </c>
      <c r="F2478" t="s">
        <v>976</v>
      </c>
      <c r="G2478">
        <v>-89.871340000000004</v>
      </c>
      <c r="H2478">
        <v>1600</v>
      </c>
      <c r="I2478">
        <v>-11</v>
      </c>
      <c r="J2478">
        <v>124</v>
      </c>
      <c r="K2478">
        <v>64</v>
      </c>
      <c r="L2478">
        <v>1200</v>
      </c>
      <c r="M2478" t="str">
        <f t="shared" si="166"/>
        <v xml:space="preserve">N35DC   </v>
      </c>
      <c r="N2478">
        <v>1</v>
      </c>
      <c r="O2478">
        <v>1700</v>
      </c>
    </row>
    <row r="2479" spans="1:15" x14ac:dyDescent="0.25">
      <c r="A2479" t="str">
        <f>"10/21/2020 18:31:42.545"</f>
        <v>10/21/2020 18:31:42.545</v>
      </c>
      <c r="B2479" t="str">
        <f>"18:31:50.484"</f>
        <v>18:31:50.484</v>
      </c>
      <c r="C2479" t="str">
        <f>"18:31:50.184"</f>
        <v>18:31:50.184</v>
      </c>
      <c r="D2479" t="s">
        <v>977</v>
      </c>
      <c r="E2479">
        <v>30.680695</v>
      </c>
      <c r="F2479" t="s">
        <v>976</v>
      </c>
      <c r="G2479">
        <v>-89.871340000000004</v>
      </c>
      <c r="H2479">
        <v>1600</v>
      </c>
      <c r="I2479">
        <v>-11</v>
      </c>
      <c r="J2479">
        <v>124</v>
      </c>
      <c r="K2479">
        <v>64</v>
      </c>
      <c r="L2479">
        <v>1200</v>
      </c>
      <c r="M2479" t="str">
        <f t="shared" si="166"/>
        <v xml:space="preserve">N35DC   </v>
      </c>
      <c r="N2479">
        <v>1</v>
      </c>
      <c r="O2479">
        <v>1700</v>
      </c>
    </row>
    <row r="2480" spans="1:15" x14ac:dyDescent="0.25">
      <c r="A2480" t="str">
        <f>"10/21/2020 18:31:42.545"</f>
        <v>10/21/2020 18:31:42.545</v>
      </c>
      <c r="B2480" t="str">
        <f>"18:31:50.484"</f>
        <v>18:31:50.484</v>
      </c>
      <c r="C2480" t="str">
        <f>"18:31:50.184"</f>
        <v>18:31:50.184</v>
      </c>
      <c r="D2480" t="s">
        <v>977</v>
      </c>
      <c r="E2480">
        <v>30.680695</v>
      </c>
      <c r="F2480" t="s">
        <v>976</v>
      </c>
      <c r="G2480">
        <v>-89.871340000000004</v>
      </c>
      <c r="H2480">
        <v>1600</v>
      </c>
      <c r="I2480">
        <v>-11</v>
      </c>
      <c r="J2480">
        <v>124</v>
      </c>
      <c r="K2480">
        <v>64</v>
      </c>
      <c r="L2480">
        <v>1200</v>
      </c>
      <c r="M2480" t="str">
        <f t="shared" si="166"/>
        <v xml:space="preserve">N35DC   </v>
      </c>
      <c r="N2480">
        <v>1</v>
      </c>
      <c r="O2480">
        <v>1700</v>
      </c>
    </row>
    <row r="2481" spans="1:15" x14ac:dyDescent="0.25">
      <c r="A2481" t="str">
        <f>"10/21/2020 18:31:42.545"</f>
        <v>10/21/2020 18:31:42.545</v>
      </c>
      <c r="B2481" t="str">
        <f>"18:31:50.484"</f>
        <v>18:31:50.484</v>
      </c>
      <c r="C2481" t="str">
        <f>"18:31:50.184"</f>
        <v>18:31:50.184</v>
      </c>
      <c r="D2481" t="s">
        <v>977</v>
      </c>
      <c r="E2481">
        <v>30.680695</v>
      </c>
      <c r="F2481" t="s">
        <v>976</v>
      </c>
      <c r="G2481">
        <v>-89.871340000000004</v>
      </c>
      <c r="H2481">
        <v>1600</v>
      </c>
      <c r="I2481">
        <v>-11</v>
      </c>
      <c r="J2481">
        <v>124</v>
      </c>
      <c r="K2481">
        <v>64</v>
      </c>
      <c r="L2481">
        <v>1200</v>
      </c>
      <c r="M2481" t="str">
        <f t="shared" si="166"/>
        <v xml:space="preserve">N35DC   </v>
      </c>
      <c r="N2481">
        <v>1</v>
      </c>
      <c r="O2481">
        <v>1700</v>
      </c>
    </row>
    <row r="2482" spans="1:15" x14ac:dyDescent="0.25">
      <c r="A2482" t="str">
        <f>"10/21/2020 18:31:42.545"</f>
        <v>10/21/2020 18:31:42.545</v>
      </c>
      <c r="B2482" t="str">
        <f>"18:31:50.484"</f>
        <v>18:31:50.484</v>
      </c>
      <c r="C2482" t="str">
        <f>"18:31:50.184"</f>
        <v>18:31:50.184</v>
      </c>
      <c r="D2482" t="s">
        <v>977</v>
      </c>
      <c r="E2482">
        <v>30.680695</v>
      </c>
      <c r="F2482" t="s">
        <v>976</v>
      </c>
      <c r="G2482">
        <v>-89.871340000000004</v>
      </c>
      <c r="H2482">
        <v>1600</v>
      </c>
      <c r="I2482">
        <v>-11</v>
      </c>
      <c r="J2482">
        <v>124</v>
      </c>
      <c r="K2482">
        <v>64</v>
      </c>
      <c r="L2482">
        <v>1200</v>
      </c>
      <c r="M2482" t="str">
        <f t="shared" si="166"/>
        <v xml:space="preserve">N35DC   </v>
      </c>
      <c r="N2482">
        <v>1</v>
      </c>
      <c r="O2482">
        <v>1700</v>
      </c>
    </row>
    <row r="2483" spans="1:15" x14ac:dyDescent="0.25">
      <c r="A2483" t="str">
        <f>"10/21/2020 18:31:44.778"</f>
        <v>10/21/2020 18:31:44.778</v>
      </c>
      <c r="B2483" t="str">
        <f>"18:31:52.734"</f>
        <v>18:31:52.734</v>
      </c>
      <c r="C2483" t="str">
        <f>"18:31:52.334"</f>
        <v>18:31:52.334</v>
      </c>
      <c r="D2483" t="s">
        <v>978</v>
      </c>
      <c r="E2483">
        <v>30.682024999999999</v>
      </c>
      <c r="F2483" t="s">
        <v>899</v>
      </c>
      <c r="G2483">
        <v>-89.871510999999998</v>
      </c>
      <c r="H2483">
        <v>1600</v>
      </c>
      <c r="I2483">
        <v>-11</v>
      </c>
      <c r="J2483">
        <v>124</v>
      </c>
      <c r="K2483">
        <v>64</v>
      </c>
      <c r="L2483">
        <v>1200</v>
      </c>
      <c r="M2483" t="str">
        <f t="shared" si="166"/>
        <v xml:space="preserve">N35DC   </v>
      </c>
      <c r="N2483">
        <v>1</v>
      </c>
      <c r="O2483">
        <v>1700</v>
      </c>
    </row>
    <row r="2484" spans="1:15" x14ac:dyDescent="0.25">
      <c r="A2484" t="str">
        <f>"10/21/2020 18:31:44.778"</f>
        <v>10/21/2020 18:31:44.778</v>
      </c>
      <c r="B2484" t="str">
        <f>"18:31:52.734"</f>
        <v>18:31:52.734</v>
      </c>
      <c r="C2484" t="str">
        <f>"18:31:52.334"</f>
        <v>18:31:52.334</v>
      </c>
      <c r="D2484" t="s">
        <v>978</v>
      </c>
      <c r="E2484">
        <v>30.682024999999999</v>
      </c>
      <c r="F2484" t="s">
        <v>899</v>
      </c>
      <c r="G2484">
        <v>-89.871510999999998</v>
      </c>
      <c r="H2484">
        <v>1600</v>
      </c>
      <c r="I2484">
        <v>-11</v>
      </c>
      <c r="J2484">
        <v>124</v>
      </c>
      <c r="K2484">
        <v>64</v>
      </c>
      <c r="L2484">
        <v>1200</v>
      </c>
      <c r="M2484" t="str">
        <f t="shared" si="166"/>
        <v xml:space="preserve">N35DC   </v>
      </c>
      <c r="N2484">
        <v>1</v>
      </c>
      <c r="O2484">
        <v>1700</v>
      </c>
    </row>
    <row r="2485" spans="1:15" x14ac:dyDescent="0.25">
      <c r="A2485" t="str">
        <f>"10/21/2020 18:31:44.778"</f>
        <v>10/21/2020 18:31:44.778</v>
      </c>
      <c r="B2485" t="str">
        <f>"18:31:52.734"</f>
        <v>18:31:52.734</v>
      </c>
      <c r="C2485" t="str">
        <f>"18:31:52.334"</f>
        <v>18:31:52.334</v>
      </c>
      <c r="D2485" t="s">
        <v>978</v>
      </c>
      <c r="E2485">
        <v>30.682024999999999</v>
      </c>
      <c r="F2485" t="s">
        <v>899</v>
      </c>
      <c r="G2485">
        <v>-89.871510999999998</v>
      </c>
      <c r="H2485">
        <v>1600</v>
      </c>
      <c r="I2485">
        <v>-11</v>
      </c>
      <c r="J2485">
        <v>124</v>
      </c>
      <c r="K2485">
        <v>64</v>
      </c>
      <c r="L2485">
        <v>1200</v>
      </c>
      <c r="M2485" t="str">
        <f t="shared" si="166"/>
        <v xml:space="preserve">N35DC   </v>
      </c>
      <c r="N2485">
        <v>1</v>
      </c>
      <c r="O2485">
        <v>1700</v>
      </c>
    </row>
    <row r="2486" spans="1:15" x14ac:dyDescent="0.25">
      <c r="A2486" t="str">
        <f>"10/21/2020 18:31:44.778"</f>
        <v>10/21/2020 18:31:44.778</v>
      </c>
      <c r="B2486" t="str">
        <f>"18:31:52.734"</f>
        <v>18:31:52.734</v>
      </c>
      <c r="C2486" t="str">
        <f>"18:31:52.334"</f>
        <v>18:31:52.334</v>
      </c>
      <c r="D2486" t="s">
        <v>978</v>
      </c>
      <c r="E2486">
        <v>30.682024999999999</v>
      </c>
      <c r="F2486" t="s">
        <v>899</v>
      </c>
      <c r="G2486">
        <v>-89.871510999999998</v>
      </c>
      <c r="H2486">
        <v>1600</v>
      </c>
      <c r="I2486">
        <v>-11</v>
      </c>
      <c r="J2486">
        <v>124</v>
      </c>
      <c r="K2486">
        <v>64</v>
      </c>
      <c r="L2486">
        <v>1200</v>
      </c>
      <c r="M2486" t="str">
        <f t="shared" si="166"/>
        <v xml:space="preserve">N35DC   </v>
      </c>
      <c r="N2486">
        <v>1</v>
      </c>
      <c r="O2486">
        <v>1700</v>
      </c>
    </row>
    <row r="2487" spans="1:15" x14ac:dyDescent="0.25">
      <c r="A2487" t="str">
        <f>"10/21/2020 18:31:44.778"</f>
        <v>10/21/2020 18:31:44.778</v>
      </c>
      <c r="B2487" t="str">
        <f>"18:31:52.734"</f>
        <v>18:31:52.734</v>
      </c>
      <c r="C2487" t="str">
        <f>"18:31:52.334"</f>
        <v>18:31:52.334</v>
      </c>
      <c r="D2487" t="s">
        <v>978</v>
      </c>
      <c r="E2487">
        <v>30.682024999999999</v>
      </c>
      <c r="F2487" t="s">
        <v>899</v>
      </c>
      <c r="G2487">
        <v>-89.871510999999998</v>
      </c>
      <c r="H2487">
        <v>1600</v>
      </c>
      <c r="I2487">
        <v>-11</v>
      </c>
      <c r="J2487">
        <v>124</v>
      </c>
      <c r="K2487">
        <v>64</v>
      </c>
      <c r="L2487">
        <v>1200</v>
      </c>
      <c r="M2487" t="str">
        <f t="shared" si="166"/>
        <v xml:space="preserve">N35DC   </v>
      </c>
      <c r="N2487">
        <v>1</v>
      </c>
      <c r="O2487">
        <v>1700</v>
      </c>
    </row>
    <row r="2488" spans="1:15" x14ac:dyDescent="0.25">
      <c r="A2488" t="str">
        <f>"10/21/2020 18:31:45.260"</f>
        <v>10/21/2020 18:31:45.260</v>
      </c>
      <c r="B2488" t="str">
        <f>"18:31:53.148"</f>
        <v>18:31:53.148</v>
      </c>
      <c r="C2488" t="str">
        <f>"18:31:52.848"</f>
        <v>18:31:52.848</v>
      </c>
      <c r="D2488" t="s">
        <v>979</v>
      </c>
      <c r="E2488">
        <v>30.682261</v>
      </c>
      <c r="F2488" t="s">
        <v>980</v>
      </c>
      <c r="G2488">
        <v>-89.871576000000005</v>
      </c>
      <c r="H2488">
        <v>1600</v>
      </c>
      <c r="I2488">
        <v>-11</v>
      </c>
      <c r="J2488">
        <v>124</v>
      </c>
      <c r="K2488">
        <v>0</v>
      </c>
      <c r="L2488">
        <v>1200</v>
      </c>
      <c r="M2488" t="str">
        <f t="shared" si="166"/>
        <v xml:space="preserve">N35DC   </v>
      </c>
      <c r="N2488">
        <v>1</v>
      </c>
      <c r="O2488">
        <v>1700</v>
      </c>
    </row>
    <row r="2489" spans="1:15" x14ac:dyDescent="0.25">
      <c r="A2489" t="str">
        <f>"10/21/2020 18:31:45.732"</f>
        <v>10/21/2020 18:31:45.732</v>
      </c>
      <c r="B2489" t="str">
        <f>"18:31:53.648"</f>
        <v>18:31:53.648</v>
      </c>
      <c r="C2489" t="str">
        <f>"18:31:53.248"</f>
        <v>18:31:53.248</v>
      </c>
      <c r="D2489" t="s">
        <v>981</v>
      </c>
      <c r="E2489">
        <v>30.682518000000002</v>
      </c>
      <c r="F2489" t="s">
        <v>982</v>
      </c>
      <c r="G2489">
        <v>-89.871554000000003</v>
      </c>
      <c r="H2489">
        <v>1600</v>
      </c>
      <c r="I2489">
        <v>-11</v>
      </c>
      <c r="J2489">
        <v>124</v>
      </c>
      <c r="K2489">
        <v>0</v>
      </c>
      <c r="L2489">
        <v>1200</v>
      </c>
      <c r="M2489" t="str">
        <f t="shared" si="166"/>
        <v xml:space="preserve">N35DC   </v>
      </c>
      <c r="N2489">
        <v>1</v>
      </c>
      <c r="O2489">
        <v>1700</v>
      </c>
    </row>
    <row r="2490" spans="1:15" x14ac:dyDescent="0.25">
      <c r="A2490" t="str">
        <f>"10/21/2020 18:31:45.732"</f>
        <v>10/21/2020 18:31:45.732</v>
      </c>
      <c r="B2490" t="str">
        <f>"18:31:53.648"</f>
        <v>18:31:53.648</v>
      </c>
      <c r="C2490" t="str">
        <f>"18:31:53.248"</f>
        <v>18:31:53.248</v>
      </c>
      <c r="D2490" t="s">
        <v>981</v>
      </c>
      <c r="E2490">
        <v>30.682518000000002</v>
      </c>
      <c r="F2490" t="s">
        <v>982</v>
      </c>
      <c r="G2490">
        <v>-89.871554000000003</v>
      </c>
      <c r="H2490">
        <v>1600</v>
      </c>
      <c r="I2490">
        <v>-11</v>
      </c>
      <c r="J2490">
        <v>124</v>
      </c>
      <c r="K2490">
        <v>0</v>
      </c>
      <c r="L2490">
        <v>1200</v>
      </c>
      <c r="M2490" t="str">
        <f t="shared" si="166"/>
        <v xml:space="preserve">N35DC   </v>
      </c>
      <c r="N2490">
        <v>1</v>
      </c>
      <c r="O2490">
        <v>1700</v>
      </c>
    </row>
    <row r="2491" spans="1:15" x14ac:dyDescent="0.25">
      <c r="A2491" t="str">
        <f>"10/21/2020 18:31:45.732"</f>
        <v>10/21/2020 18:31:45.732</v>
      </c>
      <c r="B2491" t="str">
        <f>"18:31:53.648"</f>
        <v>18:31:53.648</v>
      </c>
      <c r="C2491" t="str">
        <f>"18:31:53.248"</f>
        <v>18:31:53.248</v>
      </c>
      <c r="D2491" t="s">
        <v>981</v>
      </c>
      <c r="E2491">
        <v>30.682518000000002</v>
      </c>
      <c r="F2491" t="s">
        <v>982</v>
      </c>
      <c r="G2491">
        <v>-89.871554000000003</v>
      </c>
      <c r="H2491">
        <v>1600</v>
      </c>
      <c r="I2491">
        <v>-11</v>
      </c>
      <c r="J2491">
        <v>124</v>
      </c>
      <c r="K2491">
        <v>0</v>
      </c>
      <c r="L2491">
        <v>1200</v>
      </c>
      <c r="M2491" t="str">
        <f t="shared" si="166"/>
        <v xml:space="preserve">N35DC   </v>
      </c>
      <c r="N2491">
        <v>1</v>
      </c>
      <c r="O2491">
        <v>1700</v>
      </c>
    </row>
    <row r="2492" spans="1:15" x14ac:dyDescent="0.25">
      <c r="A2492" t="str">
        <f>"10/21/2020 18:31:45.732"</f>
        <v>10/21/2020 18:31:45.732</v>
      </c>
      <c r="B2492" t="str">
        <f>"18:31:53.648"</f>
        <v>18:31:53.648</v>
      </c>
      <c r="C2492" t="str">
        <f>"18:31:53.248"</f>
        <v>18:31:53.248</v>
      </c>
      <c r="D2492" t="s">
        <v>981</v>
      </c>
      <c r="E2492">
        <v>30.682518000000002</v>
      </c>
      <c r="F2492" t="s">
        <v>982</v>
      </c>
      <c r="G2492">
        <v>-89.871554000000003</v>
      </c>
      <c r="H2492">
        <v>1600</v>
      </c>
      <c r="I2492">
        <v>-11</v>
      </c>
      <c r="J2492">
        <v>124</v>
      </c>
      <c r="K2492">
        <v>0</v>
      </c>
      <c r="L2492">
        <v>1200</v>
      </c>
      <c r="M2492" t="str">
        <f t="shared" si="166"/>
        <v xml:space="preserve">N35DC   </v>
      </c>
      <c r="N2492">
        <v>1</v>
      </c>
      <c r="O2492">
        <v>1700</v>
      </c>
    </row>
    <row r="2493" spans="1:15" x14ac:dyDescent="0.25">
      <c r="A2493" t="str">
        <f>"10/21/2020 18:31:45.732"</f>
        <v>10/21/2020 18:31:45.732</v>
      </c>
      <c r="B2493" t="str">
        <f>"18:31:53.648"</f>
        <v>18:31:53.648</v>
      </c>
      <c r="C2493" t="str">
        <f>"18:31:53.248"</f>
        <v>18:31:53.248</v>
      </c>
      <c r="D2493" t="s">
        <v>981</v>
      </c>
      <c r="E2493">
        <v>30.682518000000002</v>
      </c>
      <c r="F2493" t="s">
        <v>982</v>
      </c>
      <c r="G2493">
        <v>-89.871554000000003</v>
      </c>
      <c r="H2493">
        <v>1600</v>
      </c>
      <c r="I2493">
        <v>-11</v>
      </c>
      <c r="J2493">
        <v>124</v>
      </c>
      <c r="K2493">
        <v>0</v>
      </c>
      <c r="L2493">
        <v>1200</v>
      </c>
      <c r="M2493" t="str">
        <f t="shared" si="166"/>
        <v xml:space="preserve">N35DC   </v>
      </c>
      <c r="N2493">
        <v>1</v>
      </c>
      <c r="O2493">
        <v>1700</v>
      </c>
    </row>
    <row r="2494" spans="1:15" x14ac:dyDescent="0.25">
      <c r="A2494" t="str">
        <f>"10/21/2020 18:31:48.129"</f>
        <v>10/21/2020 18:31:48.129</v>
      </c>
      <c r="B2494" t="str">
        <f>"18:31:56.031"</f>
        <v>18:31:56.031</v>
      </c>
      <c r="C2494" t="str">
        <f>"18:31:55.631"</f>
        <v>18:31:55.631</v>
      </c>
      <c r="D2494" t="s">
        <v>983</v>
      </c>
      <c r="E2494">
        <v>30.683892</v>
      </c>
      <c r="F2494" t="s">
        <v>896</v>
      </c>
      <c r="G2494">
        <v>-89.871725999999995</v>
      </c>
      <c r="H2494">
        <v>1600</v>
      </c>
      <c r="I2494">
        <v>-10</v>
      </c>
      <c r="J2494">
        <v>124</v>
      </c>
      <c r="K2494">
        <v>64</v>
      </c>
      <c r="L2494">
        <v>1200</v>
      </c>
      <c r="M2494" t="str">
        <f t="shared" si="166"/>
        <v xml:space="preserve">N35DC   </v>
      </c>
      <c r="N2494">
        <v>1</v>
      </c>
      <c r="O2494">
        <v>1700</v>
      </c>
    </row>
    <row r="2495" spans="1:15" x14ac:dyDescent="0.25">
      <c r="A2495" t="str">
        <f>"10/21/2020 18:31:48.563"</f>
        <v>10/21/2020 18:31:48.563</v>
      </c>
      <c r="B2495" t="str">
        <f>"18:31:56.500"</f>
        <v>18:31:56.500</v>
      </c>
      <c r="C2495" t="str">
        <f>"18:31:56.000"</f>
        <v>18:31:56.000</v>
      </c>
      <c r="D2495" t="s">
        <v>984</v>
      </c>
      <c r="E2495">
        <v>30.684170999999999</v>
      </c>
      <c r="F2495" t="s">
        <v>896</v>
      </c>
      <c r="G2495">
        <v>-89.871725999999995</v>
      </c>
      <c r="H2495">
        <v>1600</v>
      </c>
      <c r="I2495">
        <v>-10</v>
      </c>
      <c r="J2495">
        <v>124</v>
      </c>
      <c r="K2495">
        <v>192</v>
      </c>
      <c r="L2495">
        <v>1200</v>
      </c>
      <c r="M2495" t="str">
        <f t="shared" si="166"/>
        <v xml:space="preserve">N35DC   </v>
      </c>
      <c r="N2495">
        <v>1</v>
      </c>
      <c r="O2495">
        <v>1700</v>
      </c>
    </row>
    <row r="2496" spans="1:15" x14ac:dyDescent="0.25">
      <c r="A2496" t="str">
        <f>"10/21/2020 18:31:48.563"</f>
        <v>10/21/2020 18:31:48.563</v>
      </c>
      <c r="B2496" t="str">
        <f>"18:31:56.500"</f>
        <v>18:31:56.500</v>
      </c>
      <c r="C2496" t="str">
        <f>"18:31:56.000"</f>
        <v>18:31:56.000</v>
      </c>
      <c r="D2496" t="s">
        <v>984</v>
      </c>
      <c r="E2496">
        <v>30.684170999999999</v>
      </c>
      <c r="F2496" t="s">
        <v>896</v>
      </c>
      <c r="G2496">
        <v>-89.871725999999995</v>
      </c>
      <c r="H2496">
        <v>1600</v>
      </c>
      <c r="I2496">
        <v>-10</v>
      </c>
      <c r="J2496">
        <v>124</v>
      </c>
      <c r="K2496">
        <v>192</v>
      </c>
      <c r="L2496">
        <v>1200</v>
      </c>
      <c r="M2496" t="str">
        <f t="shared" si="166"/>
        <v xml:space="preserve">N35DC   </v>
      </c>
      <c r="N2496">
        <v>1</v>
      </c>
      <c r="O2496">
        <v>1700</v>
      </c>
    </row>
    <row r="2497" spans="1:15" x14ac:dyDescent="0.25">
      <c r="A2497" t="str">
        <f>"10/21/2020 18:31:48.563"</f>
        <v>10/21/2020 18:31:48.563</v>
      </c>
      <c r="B2497" t="str">
        <f>"18:31:56.500"</f>
        <v>18:31:56.500</v>
      </c>
      <c r="C2497" t="str">
        <f>"18:31:56.000"</f>
        <v>18:31:56.000</v>
      </c>
      <c r="D2497" t="s">
        <v>984</v>
      </c>
      <c r="E2497">
        <v>30.684170999999999</v>
      </c>
      <c r="F2497" t="s">
        <v>896</v>
      </c>
      <c r="G2497">
        <v>-89.871725999999995</v>
      </c>
      <c r="H2497">
        <v>1600</v>
      </c>
      <c r="I2497">
        <v>-10</v>
      </c>
      <c r="J2497">
        <v>124</v>
      </c>
      <c r="K2497">
        <v>192</v>
      </c>
      <c r="L2497">
        <v>1200</v>
      </c>
      <c r="M2497" t="str">
        <f t="shared" si="166"/>
        <v xml:space="preserve">N35DC   </v>
      </c>
      <c r="N2497">
        <v>1</v>
      </c>
      <c r="O2497">
        <v>1700</v>
      </c>
    </row>
    <row r="2498" spans="1:15" x14ac:dyDescent="0.25">
      <c r="A2498" t="str">
        <f>"10/21/2020 18:31:48.563"</f>
        <v>10/21/2020 18:31:48.563</v>
      </c>
      <c r="B2498" t="str">
        <f>"18:31:56.500"</f>
        <v>18:31:56.500</v>
      </c>
      <c r="C2498" t="str">
        <f>"18:31:56.000"</f>
        <v>18:31:56.000</v>
      </c>
      <c r="D2498" t="s">
        <v>984</v>
      </c>
      <c r="E2498">
        <v>30.684170999999999</v>
      </c>
      <c r="F2498" t="s">
        <v>896</v>
      </c>
      <c r="G2498">
        <v>-89.871725999999995</v>
      </c>
      <c r="H2498">
        <v>1600</v>
      </c>
      <c r="I2498">
        <v>-10</v>
      </c>
      <c r="J2498">
        <v>124</v>
      </c>
      <c r="K2498">
        <v>192</v>
      </c>
      <c r="L2498">
        <v>1200</v>
      </c>
      <c r="M2498" t="str">
        <f t="shared" si="166"/>
        <v xml:space="preserve">N35DC   </v>
      </c>
      <c r="N2498">
        <v>1</v>
      </c>
      <c r="O2498">
        <v>1700</v>
      </c>
    </row>
    <row r="2499" spans="1:15" x14ac:dyDescent="0.25">
      <c r="A2499" t="str">
        <f>"10/21/2020 18:31:48.563"</f>
        <v>10/21/2020 18:31:48.563</v>
      </c>
      <c r="B2499" t="str">
        <f>"18:31:56.500"</f>
        <v>18:31:56.500</v>
      </c>
      <c r="C2499" t="str">
        <f>"18:31:56.000"</f>
        <v>18:31:56.000</v>
      </c>
      <c r="D2499" t="s">
        <v>984</v>
      </c>
      <c r="E2499">
        <v>30.684170999999999</v>
      </c>
      <c r="F2499" t="s">
        <v>896</v>
      </c>
      <c r="G2499">
        <v>-89.871725999999995</v>
      </c>
      <c r="H2499">
        <v>1600</v>
      </c>
      <c r="I2499">
        <v>-10</v>
      </c>
      <c r="J2499">
        <v>124</v>
      </c>
      <c r="K2499">
        <v>192</v>
      </c>
      <c r="L2499">
        <v>1200</v>
      </c>
      <c r="M2499" t="str">
        <f t="shared" si="166"/>
        <v xml:space="preserve">N35DC   </v>
      </c>
      <c r="N2499">
        <v>1</v>
      </c>
      <c r="O2499">
        <v>1700</v>
      </c>
    </row>
    <row r="2500" spans="1:15" x14ac:dyDescent="0.25">
      <c r="A2500" t="str">
        <f t="shared" ref="A2500:A2505" si="173">"10/21/2020 18:31:51.579"</f>
        <v>10/21/2020 18:31:51.579</v>
      </c>
      <c r="B2500" t="str">
        <f t="shared" ref="B2500:B2505" si="174">"18:31:59.523"</f>
        <v>18:31:59.523</v>
      </c>
      <c r="C2500" t="str">
        <f t="shared" ref="C2500:C2505" si="175">"18:31:59.323"</f>
        <v>18:31:59.323</v>
      </c>
      <c r="D2500" t="s">
        <v>985</v>
      </c>
      <c r="E2500">
        <v>30.685887000000001</v>
      </c>
      <c r="F2500" t="s">
        <v>986</v>
      </c>
      <c r="G2500">
        <v>-89.871898000000002</v>
      </c>
      <c r="H2500">
        <v>1600</v>
      </c>
      <c r="I2500">
        <v>-8</v>
      </c>
      <c r="J2500">
        <v>123</v>
      </c>
      <c r="K2500">
        <v>192</v>
      </c>
      <c r="L2500">
        <v>1200</v>
      </c>
      <c r="M2500" t="str">
        <f t="shared" si="166"/>
        <v xml:space="preserve">N35DC   </v>
      </c>
      <c r="N2500">
        <v>1</v>
      </c>
      <c r="O2500">
        <v>1700</v>
      </c>
    </row>
    <row r="2501" spans="1:15" x14ac:dyDescent="0.25">
      <c r="A2501" t="str">
        <f t="shared" si="173"/>
        <v>10/21/2020 18:31:51.579</v>
      </c>
      <c r="B2501" t="str">
        <f t="shared" si="174"/>
        <v>18:31:59.523</v>
      </c>
      <c r="C2501" t="str">
        <f t="shared" si="175"/>
        <v>18:31:59.323</v>
      </c>
      <c r="D2501" t="s">
        <v>985</v>
      </c>
      <c r="E2501">
        <v>30.685887000000001</v>
      </c>
      <c r="F2501" t="s">
        <v>986</v>
      </c>
      <c r="G2501">
        <v>-89.871898000000002</v>
      </c>
      <c r="H2501">
        <v>1600</v>
      </c>
      <c r="I2501">
        <v>-8</v>
      </c>
      <c r="J2501">
        <v>123</v>
      </c>
      <c r="K2501">
        <v>192</v>
      </c>
      <c r="L2501">
        <v>1200</v>
      </c>
      <c r="M2501" t="str">
        <f t="shared" si="166"/>
        <v xml:space="preserve">N35DC   </v>
      </c>
      <c r="N2501">
        <v>1</v>
      </c>
      <c r="O2501">
        <v>1700</v>
      </c>
    </row>
    <row r="2502" spans="1:15" x14ac:dyDescent="0.25">
      <c r="A2502" t="str">
        <f t="shared" si="173"/>
        <v>10/21/2020 18:31:51.579</v>
      </c>
      <c r="B2502" t="str">
        <f t="shared" si="174"/>
        <v>18:31:59.523</v>
      </c>
      <c r="C2502" t="str">
        <f t="shared" si="175"/>
        <v>18:31:59.323</v>
      </c>
      <c r="D2502" t="s">
        <v>985</v>
      </c>
      <c r="E2502">
        <v>30.685887000000001</v>
      </c>
      <c r="F2502" t="s">
        <v>986</v>
      </c>
      <c r="G2502">
        <v>-89.871898000000002</v>
      </c>
      <c r="H2502">
        <v>1600</v>
      </c>
      <c r="I2502">
        <v>-8</v>
      </c>
      <c r="J2502">
        <v>123</v>
      </c>
      <c r="K2502">
        <v>192</v>
      </c>
      <c r="L2502">
        <v>1200</v>
      </c>
      <c r="M2502" t="str">
        <f t="shared" si="166"/>
        <v xml:space="preserve">N35DC   </v>
      </c>
      <c r="N2502">
        <v>1</v>
      </c>
      <c r="O2502">
        <v>1700</v>
      </c>
    </row>
    <row r="2503" spans="1:15" x14ac:dyDescent="0.25">
      <c r="A2503" t="str">
        <f t="shared" si="173"/>
        <v>10/21/2020 18:31:51.579</v>
      </c>
      <c r="B2503" t="str">
        <f t="shared" si="174"/>
        <v>18:31:59.523</v>
      </c>
      <c r="C2503" t="str">
        <f t="shared" si="175"/>
        <v>18:31:59.323</v>
      </c>
      <c r="D2503" t="s">
        <v>985</v>
      </c>
      <c r="E2503">
        <v>30.685887000000001</v>
      </c>
      <c r="F2503" t="s">
        <v>986</v>
      </c>
      <c r="G2503">
        <v>-89.871898000000002</v>
      </c>
      <c r="H2503">
        <v>1600</v>
      </c>
      <c r="I2503">
        <v>-8</v>
      </c>
      <c r="J2503">
        <v>123</v>
      </c>
      <c r="K2503">
        <v>192</v>
      </c>
      <c r="L2503">
        <v>1200</v>
      </c>
      <c r="M2503" t="str">
        <f t="shared" ref="M2503:M2566" si="176">"N35DC   "</f>
        <v xml:space="preserve">N35DC   </v>
      </c>
      <c r="N2503">
        <v>1</v>
      </c>
      <c r="O2503">
        <v>1700</v>
      </c>
    </row>
    <row r="2504" spans="1:15" x14ac:dyDescent="0.25">
      <c r="A2504" t="str">
        <f t="shared" si="173"/>
        <v>10/21/2020 18:31:51.579</v>
      </c>
      <c r="B2504" t="str">
        <f t="shared" si="174"/>
        <v>18:31:59.523</v>
      </c>
      <c r="C2504" t="str">
        <f t="shared" si="175"/>
        <v>18:31:59.323</v>
      </c>
      <c r="D2504" t="s">
        <v>985</v>
      </c>
      <c r="E2504">
        <v>30.685887000000001</v>
      </c>
      <c r="F2504" t="s">
        <v>986</v>
      </c>
      <c r="G2504">
        <v>-89.871898000000002</v>
      </c>
      <c r="H2504">
        <v>1600</v>
      </c>
      <c r="I2504">
        <v>-8</v>
      </c>
      <c r="J2504">
        <v>123</v>
      </c>
      <c r="K2504">
        <v>192</v>
      </c>
      <c r="L2504">
        <v>1200</v>
      </c>
      <c r="M2504" t="str">
        <f t="shared" si="176"/>
        <v xml:space="preserve">N35DC   </v>
      </c>
      <c r="N2504">
        <v>1</v>
      </c>
      <c r="O2504">
        <v>1700</v>
      </c>
    </row>
    <row r="2505" spans="1:15" x14ac:dyDescent="0.25">
      <c r="A2505" t="str">
        <f t="shared" si="173"/>
        <v>10/21/2020 18:31:51.579</v>
      </c>
      <c r="B2505" t="str">
        <f t="shared" si="174"/>
        <v>18:31:59.523</v>
      </c>
      <c r="C2505" t="str">
        <f t="shared" si="175"/>
        <v>18:31:59.323</v>
      </c>
      <c r="D2505" t="s">
        <v>985</v>
      </c>
      <c r="E2505">
        <v>30.685887000000001</v>
      </c>
      <c r="F2505" t="s">
        <v>986</v>
      </c>
      <c r="G2505">
        <v>-89.871898000000002</v>
      </c>
      <c r="H2505">
        <v>1600</v>
      </c>
      <c r="I2505">
        <v>-8</v>
      </c>
      <c r="J2505">
        <v>123</v>
      </c>
      <c r="K2505">
        <v>192</v>
      </c>
      <c r="L2505">
        <v>1200</v>
      </c>
      <c r="M2505" t="str">
        <f t="shared" si="176"/>
        <v xml:space="preserve">N35DC   </v>
      </c>
      <c r="N2505">
        <v>1</v>
      </c>
      <c r="O2505">
        <v>1700</v>
      </c>
    </row>
    <row r="2506" spans="1:15" x14ac:dyDescent="0.25">
      <c r="A2506" t="str">
        <f t="shared" ref="A2506:A2511" si="177">"10/21/2020 18:31:52.679"</f>
        <v>10/21/2020 18:31:52.679</v>
      </c>
      <c r="B2506" t="str">
        <f t="shared" ref="B2506:B2511" si="178">"18:32:00.609"</f>
        <v>18:32:00.609</v>
      </c>
      <c r="C2506" t="str">
        <f t="shared" ref="C2506:C2511" si="179">"18:32:00.409"</f>
        <v>18:32:00.409</v>
      </c>
      <c r="D2506" t="s">
        <v>987</v>
      </c>
      <c r="E2506">
        <v>30.686488000000001</v>
      </c>
      <c r="F2506" t="s">
        <v>986</v>
      </c>
      <c r="G2506">
        <v>-89.871898000000002</v>
      </c>
      <c r="H2506">
        <v>1600</v>
      </c>
      <c r="I2506">
        <v>-8</v>
      </c>
      <c r="J2506">
        <v>123</v>
      </c>
      <c r="K2506">
        <v>64</v>
      </c>
      <c r="L2506">
        <v>1200</v>
      </c>
      <c r="M2506" t="str">
        <f t="shared" si="176"/>
        <v xml:space="preserve">N35DC   </v>
      </c>
      <c r="N2506">
        <v>1</v>
      </c>
      <c r="O2506">
        <v>1700</v>
      </c>
    </row>
    <row r="2507" spans="1:15" x14ac:dyDescent="0.25">
      <c r="A2507" t="str">
        <f t="shared" si="177"/>
        <v>10/21/2020 18:31:52.679</v>
      </c>
      <c r="B2507" t="str">
        <f t="shared" si="178"/>
        <v>18:32:00.609</v>
      </c>
      <c r="C2507" t="str">
        <f t="shared" si="179"/>
        <v>18:32:00.409</v>
      </c>
      <c r="D2507" t="s">
        <v>987</v>
      </c>
      <c r="E2507">
        <v>30.686488000000001</v>
      </c>
      <c r="F2507" t="s">
        <v>986</v>
      </c>
      <c r="G2507">
        <v>-89.871898000000002</v>
      </c>
      <c r="H2507">
        <v>1600</v>
      </c>
      <c r="I2507">
        <v>-8</v>
      </c>
      <c r="J2507">
        <v>123</v>
      </c>
      <c r="K2507">
        <v>64</v>
      </c>
      <c r="L2507">
        <v>1200</v>
      </c>
      <c r="M2507" t="str">
        <f t="shared" si="176"/>
        <v xml:space="preserve">N35DC   </v>
      </c>
      <c r="N2507">
        <v>1</v>
      </c>
      <c r="O2507">
        <v>1700</v>
      </c>
    </row>
    <row r="2508" spans="1:15" x14ac:dyDescent="0.25">
      <c r="A2508" t="str">
        <f t="shared" si="177"/>
        <v>10/21/2020 18:31:52.679</v>
      </c>
      <c r="B2508" t="str">
        <f t="shared" si="178"/>
        <v>18:32:00.609</v>
      </c>
      <c r="C2508" t="str">
        <f t="shared" si="179"/>
        <v>18:32:00.409</v>
      </c>
      <c r="D2508" t="s">
        <v>987</v>
      </c>
      <c r="E2508">
        <v>30.686488000000001</v>
      </c>
      <c r="F2508" t="s">
        <v>986</v>
      </c>
      <c r="G2508">
        <v>-89.871898000000002</v>
      </c>
      <c r="H2508">
        <v>1600</v>
      </c>
      <c r="I2508">
        <v>-8</v>
      </c>
      <c r="J2508">
        <v>123</v>
      </c>
      <c r="K2508">
        <v>64</v>
      </c>
      <c r="L2508">
        <v>1200</v>
      </c>
      <c r="M2508" t="str">
        <f t="shared" si="176"/>
        <v xml:space="preserve">N35DC   </v>
      </c>
      <c r="N2508">
        <v>1</v>
      </c>
      <c r="O2508">
        <v>1700</v>
      </c>
    </row>
    <row r="2509" spans="1:15" x14ac:dyDescent="0.25">
      <c r="A2509" t="str">
        <f t="shared" si="177"/>
        <v>10/21/2020 18:31:52.679</v>
      </c>
      <c r="B2509" t="str">
        <f t="shared" si="178"/>
        <v>18:32:00.609</v>
      </c>
      <c r="C2509" t="str">
        <f t="shared" si="179"/>
        <v>18:32:00.409</v>
      </c>
      <c r="D2509" t="s">
        <v>987</v>
      </c>
      <c r="E2509">
        <v>30.686488000000001</v>
      </c>
      <c r="F2509" t="s">
        <v>986</v>
      </c>
      <c r="G2509">
        <v>-89.871898000000002</v>
      </c>
      <c r="H2509">
        <v>1600</v>
      </c>
      <c r="I2509">
        <v>-8</v>
      </c>
      <c r="J2509">
        <v>123</v>
      </c>
      <c r="K2509">
        <v>64</v>
      </c>
      <c r="L2509">
        <v>1200</v>
      </c>
      <c r="M2509" t="str">
        <f t="shared" si="176"/>
        <v xml:space="preserve">N35DC   </v>
      </c>
      <c r="N2509">
        <v>1</v>
      </c>
      <c r="O2509">
        <v>1700</v>
      </c>
    </row>
    <row r="2510" spans="1:15" x14ac:dyDescent="0.25">
      <c r="A2510" t="str">
        <f t="shared" si="177"/>
        <v>10/21/2020 18:31:52.679</v>
      </c>
      <c r="B2510" t="str">
        <f t="shared" si="178"/>
        <v>18:32:00.609</v>
      </c>
      <c r="C2510" t="str">
        <f t="shared" si="179"/>
        <v>18:32:00.409</v>
      </c>
      <c r="D2510" t="s">
        <v>987</v>
      </c>
      <c r="E2510">
        <v>30.686488000000001</v>
      </c>
      <c r="F2510" t="s">
        <v>986</v>
      </c>
      <c r="G2510">
        <v>-89.871898000000002</v>
      </c>
      <c r="H2510">
        <v>1600</v>
      </c>
      <c r="I2510">
        <v>-8</v>
      </c>
      <c r="J2510">
        <v>123</v>
      </c>
      <c r="K2510">
        <v>64</v>
      </c>
      <c r="L2510">
        <v>1200</v>
      </c>
      <c r="M2510" t="str">
        <f t="shared" si="176"/>
        <v xml:space="preserve">N35DC   </v>
      </c>
      <c r="N2510">
        <v>1</v>
      </c>
      <c r="O2510">
        <v>1700</v>
      </c>
    </row>
    <row r="2511" spans="1:15" x14ac:dyDescent="0.25">
      <c r="A2511" t="str">
        <f t="shared" si="177"/>
        <v>10/21/2020 18:31:52.679</v>
      </c>
      <c r="B2511" t="str">
        <f t="shared" si="178"/>
        <v>18:32:00.609</v>
      </c>
      <c r="C2511" t="str">
        <f t="shared" si="179"/>
        <v>18:32:00.409</v>
      </c>
      <c r="D2511" t="s">
        <v>987</v>
      </c>
      <c r="E2511">
        <v>30.686488000000001</v>
      </c>
      <c r="F2511" t="s">
        <v>986</v>
      </c>
      <c r="G2511">
        <v>-89.871898000000002</v>
      </c>
      <c r="H2511">
        <v>1600</v>
      </c>
      <c r="I2511">
        <v>-8</v>
      </c>
      <c r="J2511">
        <v>123</v>
      </c>
      <c r="K2511">
        <v>64</v>
      </c>
      <c r="L2511">
        <v>1200</v>
      </c>
      <c r="M2511" t="str">
        <f t="shared" si="176"/>
        <v xml:space="preserve">N35DC   </v>
      </c>
      <c r="N2511">
        <v>1</v>
      </c>
      <c r="O2511">
        <v>1700</v>
      </c>
    </row>
    <row r="2512" spans="1:15" x14ac:dyDescent="0.25">
      <c r="A2512" t="str">
        <f t="shared" ref="A2512:A2517" si="180">"10/21/2020 18:31:54.702"</f>
        <v>10/21/2020 18:31:54.702</v>
      </c>
      <c r="B2512" t="str">
        <f t="shared" ref="B2512:B2517" si="181">"18:32:02.648"</f>
        <v>18:32:02.648</v>
      </c>
      <c r="C2512" t="str">
        <f t="shared" ref="C2512:C2517" si="182">"18:32:02.448"</f>
        <v>18:32:02.448</v>
      </c>
      <c r="D2512" t="s">
        <v>988</v>
      </c>
      <c r="E2512">
        <v>30.687646999999998</v>
      </c>
      <c r="F2512" t="s">
        <v>989</v>
      </c>
      <c r="G2512">
        <v>-89.872005000000001</v>
      </c>
      <c r="H2512">
        <v>1600</v>
      </c>
      <c r="I2512">
        <v>-7</v>
      </c>
      <c r="J2512">
        <v>123</v>
      </c>
      <c r="K2512">
        <v>-256</v>
      </c>
      <c r="L2512">
        <v>1200</v>
      </c>
      <c r="M2512" t="str">
        <f t="shared" si="176"/>
        <v xml:space="preserve">N35DC   </v>
      </c>
      <c r="N2512">
        <v>1</v>
      </c>
      <c r="O2512">
        <v>1700</v>
      </c>
    </row>
    <row r="2513" spans="1:15" x14ac:dyDescent="0.25">
      <c r="A2513" t="str">
        <f t="shared" si="180"/>
        <v>10/21/2020 18:31:54.702</v>
      </c>
      <c r="B2513" t="str">
        <f t="shared" si="181"/>
        <v>18:32:02.648</v>
      </c>
      <c r="C2513" t="str">
        <f t="shared" si="182"/>
        <v>18:32:02.448</v>
      </c>
      <c r="D2513" t="s">
        <v>988</v>
      </c>
      <c r="E2513">
        <v>30.687646999999998</v>
      </c>
      <c r="F2513" t="s">
        <v>989</v>
      </c>
      <c r="G2513">
        <v>-89.872005000000001</v>
      </c>
      <c r="H2513">
        <v>1600</v>
      </c>
      <c r="I2513">
        <v>-7</v>
      </c>
      <c r="J2513">
        <v>123</v>
      </c>
      <c r="K2513">
        <v>-256</v>
      </c>
      <c r="L2513">
        <v>1200</v>
      </c>
      <c r="M2513" t="str">
        <f t="shared" si="176"/>
        <v xml:space="preserve">N35DC   </v>
      </c>
      <c r="N2513">
        <v>1</v>
      </c>
      <c r="O2513">
        <v>1700</v>
      </c>
    </row>
    <row r="2514" spans="1:15" x14ac:dyDescent="0.25">
      <c r="A2514" t="str">
        <f t="shared" si="180"/>
        <v>10/21/2020 18:31:54.702</v>
      </c>
      <c r="B2514" t="str">
        <f t="shared" si="181"/>
        <v>18:32:02.648</v>
      </c>
      <c r="C2514" t="str">
        <f t="shared" si="182"/>
        <v>18:32:02.448</v>
      </c>
      <c r="D2514" t="s">
        <v>988</v>
      </c>
      <c r="E2514">
        <v>30.687646999999998</v>
      </c>
      <c r="F2514" t="s">
        <v>989</v>
      </c>
      <c r="G2514">
        <v>-89.872005000000001</v>
      </c>
      <c r="H2514">
        <v>1600</v>
      </c>
      <c r="I2514">
        <v>-7</v>
      </c>
      <c r="J2514">
        <v>123</v>
      </c>
      <c r="K2514">
        <v>-256</v>
      </c>
      <c r="L2514">
        <v>1200</v>
      </c>
      <c r="M2514" t="str">
        <f t="shared" si="176"/>
        <v xml:space="preserve">N35DC   </v>
      </c>
      <c r="N2514">
        <v>1</v>
      </c>
      <c r="O2514">
        <v>1700</v>
      </c>
    </row>
    <row r="2515" spans="1:15" x14ac:dyDescent="0.25">
      <c r="A2515" t="str">
        <f t="shared" si="180"/>
        <v>10/21/2020 18:31:54.702</v>
      </c>
      <c r="B2515" t="str">
        <f t="shared" si="181"/>
        <v>18:32:02.648</v>
      </c>
      <c r="C2515" t="str">
        <f t="shared" si="182"/>
        <v>18:32:02.448</v>
      </c>
      <c r="D2515" t="s">
        <v>988</v>
      </c>
      <c r="E2515">
        <v>30.687646999999998</v>
      </c>
      <c r="F2515" t="s">
        <v>989</v>
      </c>
      <c r="G2515">
        <v>-89.872005000000001</v>
      </c>
      <c r="H2515">
        <v>1600</v>
      </c>
      <c r="I2515">
        <v>-7</v>
      </c>
      <c r="J2515">
        <v>123</v>
      </c>
      <c r="K2515">
        <v>-256</v>
      </c>
      <c r="L2515">
        <v>1200</v>
      </c>
      <c r="M2515" t="str">
        <f t="shared" si="176"/>
        <v xml:space="preserve">N35DC   </v>
      </c>
      <c r="N2515">
        <v>1</v>
      </c>
      <c r="O2515">
        <v>1700</v>
      </c>
    </row>
    <row r="2516" spans="1:15" x14ac:dyDescent="0.25">
      <c r="A2516" t="str">
        <f t="shared" si="180"/>
        <v>10/21/2020 18:31:54.702</v>
      </c>
      <c r="B2516" t="str">
        <f t="shared" si="181"/>
        <v>18:32:02.648</v>
      </c>
      <c r="C2516" t="str">
        <f t="shared" si="182"/>
        <v>18:32:02.448</v>
      </c>
      <c r="D2516" t="s">
        <v>988</v>
      </c>
      <c r="E2516">
        <v>30.687646999999998</v>
      </c>
      <c r="F2516" t="s">
        <v>989</v>
      </c>
      <c r="G2516">
        <v>-89.872005000000001</v>
      </c>
      <c r="H2516">
        <v>1600</v>
      </c>
      <c r="I2516">
        <v>-7</v>
      </c>
      <c r="J2516">
        <v>123</v>
      </c>
      <c r="K2516">
        <v>-256</v>
      </c>
      <c r="L2516">
        <v>1200</v>
      </c>
      <c r="M2516" t="str">
        <f t="shared" si="176"/>
        <v xml:space="preserve">N35DC   </v>
      </c>
      <c r="N2516">
        <v>1</v>
      </c>
      <c r="O2516">
        <v>1700</v>
      </c>
    </row>
    <row r="2517" spans="1:15" x14ac:dyDescent="0.25">
      <c r="A2517" t="str">
        <f t="shared" si="180"/>
        <v>10/21/2020 18:31:54.702</v>
      </c>
      <c r="B2517" t="str">
        <f t="shared" si="181"/>
        <v>18:32:02.648</v>
      </c>
      <c r="C2517" t="str">
        <f t="shared" si="182"/>
        <v>18:32:02.448</v>
      </c>
      <c r="D2517" t="s">
        <v>988</v>
      </c>
      <c r="E2517">
        <v>30.687646999999998</v>
      </c>
      <c r="F2517" t="s">
        <v>989</v>
      </c>
      <c r="G2517">
        <v>-89.872005000000001</v>
      </c>
      <c r="H2517">
        <v>1600</v>
      </c>
      <c r="I2517">
        <v>-7</v>
      </c>
      <c r="J2517">
        <v>123</v>
      </c>
      <c r="K2517">
        <v>-256</v>
      </c>
      <c r="L2517">
        <v>1200</v>
      </c>
      <c r="M2517" t="str">
        <f t="shared" si="176"/>
        <v xml:space="preserve">N35DC   </v>
      </c>
      <c r="N2517">
        <v>1</v>
      </c>
      <c r="O2517">
        <v>1700</v>
      </c>
    </row>
    <row r="2518" spans="1:15" x14ac:dyDescent="0.25">
      <c r="A2518" t="str">
        <f t="shared" ref="A2518:A2523" si="183">"10/21/2020 18:31:55.896"</f>
        <v>10/21/2020 18:31:55.896</v>
      </c>
      <c r="B2518" t="str">
        <f t="shared" ref="B2518:B2523" si="184">"18:32:03.828"</f>
        <v>18:32:03.828</v>
      </c>
      <c r="C2518" t="str">
        <f t="shared" ref="C2518:C2523" si="185">"18:32:03.428"</f>
        <v>18:32:03.428</v>
      </c>
      <c r="D2518" t="s">
        <v>990</v>
      </c>
      <c r="E2518">
        <v>30.688355000000001</v>
      </c>
      <c r="F2518" t="s">
        <v>991</v>
      </c>
      <c r="G2518">
        <v>-89.872068999999996</v>
      </c>
      <c r="H2518">
        <v>1600</v>
      </c>
      <c r="I2518">
        <v>-7</v>
      </c>
      <c r="J2518">
        <v>123</v>
      </c>
      <c r="K2518">
        <v>-192</v>
      </c>
      <c r="L2518">
        <v>1200</v>
      </c>
      <c r="M2518" t="str">
        <f t="shared" si="176"/>
        <v xml:space="preserve">N35DC   </v>
      </c>
      <c r="N2518">
        <v>1</v>
      </c>
      <c r="O2518">
        <v>1700</v>
      </c>
    </row>
    <row r="2519" spans="1:15" x14ac:dyDescent="0.25">
      <c r="A2519" t="str">
        <f t="shared" si="183"/>
        <v>10/21/2020 18:31:55.896</v>
      </c>
      <c r="B2519" t="str">
        <f t="shared" si="184"/>
        <v>18:32:03.828</v>
      </c>
      <c r="C2519" t="str">
        <f t="shared" si="185"/>
        <v>18:32:03.428</v>
      </c>
      <c r="D2519" t="s">
        <v>990</v>
      </c>
      <c r="E2519">
        <v>30.688355000000001</v>
      </c>
      <c r="F2519" t="s">
        <v>991</v>
      </c>
      <c r="G2519">
        <v>-89.872068999999996</v>
      </c>
      <c r="H2519">
        <v>1600</v>
      </c>
      <c r="I2519">
        <v>-7</v>
      </c>
      <c r="J2519">
        <v>123</v>
      </c>
      <c r="K2519">
        <v>-192</v>
      </c>
      <c r="L2519">
        <v>1200</v>
      </c>
      <c r="M2519" t="str">
        <f t="shared" si="176"/>
        <v xml:space="preserve">N35DC   </v>
      </c>
      <c r="N2519">
        <v>1</v>
      </c>
      <c r="O2519">
        <v>1700</v>
      </c>
    </row>
    <row r="2520" spans="1:15" x14ac:dyDescent="0.25">
      <c r="A2520" t="str">
        <f t="shared" si="183"/>
        <v>10/21/2020 18:31:55.896</v>
      </c>
      <c r="B2520" t="str">
        <f t="shared" si="184"/>
        <v>18:32:03.828</v>
      </c>
      <c r="C2520" t="str">
        <f t="shared" si="185"/>
        <v>18:32:03.428</v>
      </c>
      <c r="D2520" t="s">
        <v>990</v>
      </c>
      <c r="E2520">
        <v>30.688355000000001</v>
      </c>
      <c r="F2520" t="s">
        <v>991</v>
      </c>
      <c r="G2520">
        <v>-89.872068999999996</v>
      </c>
      <c r="H2520">
        <v>1600</v>
      </c>
      <c r="I2520">
        <v>-7</v>
      </c>
      <c r="J2520">
        <v>123</v>
      </c>
      <c r="K2520">
        <v>-192</v>
      </c>
      <c r="L2520">
        <v>1200</v>
      </c>
      <c r="M2520" t="str">
        <f t="shared" si="176"/>
        <v xml:space="preserve">N35DC   </v>
      </c>
      <c r="N2520">
        <v>1</v>
      </c>
      <c r="O2520">
        <v>1700</v>
      </c>
    </row>
    <row r="2521" spans="1:15" x14ac:dyDescent="0.25">
      <c r="A2521" t="str">
        <f t="shared" si="183"/>
        <v>10/21/2020 18:31:55.896</v>
      </c>
      <c r="B2521" t="str">
        <f t="shared" si="184"/>
        <v>18:32:03.828</v>
      </c>
      <c r="C2521" t="str">
        <f t="shared" si="185"/>
        <v>18:32:03.428</v>
      </c>
      <c r="D2521" t="s">
        <v>990</v>
      </c>
      <c r="E2521">
        <v>30.688355000000001</v>
      </c>
      <c r="F2521" t="s">
        <v>991</v>
      </c>
      <c r="G2521">
        <v>-89.872068999999996</v>
      </c>
      <c r="H2521">
        <v>1600</v>
      </c>
      <c r="I2521">
        <v>-7</v>
      </c>
      <c r="J2521">
        <v>123</v>
      </c>
      <c r="K2521">
        <v>-192</v>
      </c>
      <c r="L2521">
        <v>1200</v>
      </c>
      <c r="M2521" t="str">
        <f t="shared" si="176"/>
        <v xml:space="preserve">N35DC   </v>
      </c>
      <c r="N2521">
        <v>1</v>
      </c>
      <c r="O2521">
        <v>1700</v>
      </c>
    </row>
    <row r="2522" spans="1:15" x14ac:dyDescent="0.25">
      <c r="A2522" t="str">
        <f t="shared" si="183"/>
        <v>10/21/2020 18:31:55.896</v>
      </c>
      <c r="B2522" t="str">
        <f t="shared" si="184"/>
        <v>18:32:03.828</v>
      </c>
      <c r="C2522" t="str">
        <f t="shared" si="185"/>
        <v>18:32:03.428</v>
      </c>
      <c r="D2522" t="s">
        <v>990</v>
      </c>
      <c r="E2522">
        <v>30.688355000000001</v>
      </c>
      <c r="F2522" t="s">
        <v>991</v>
      </c>
      <c r="G2522">
        <v>-89.872068999999996</v>
      </c>
      <c r="H2522">
        <v>1600</v>
      </c>
      <c r="I2522">
        <v>-7</v>
      </c>
      <c r="J2522">
        <v>123</v>
      </c>
      <c r="K2522">
        <v>-192</v>
      </c>
      <c r="L2522">
        <v>1200</v>
      </c>
      <c r="M2522" t="str">
        <f t="shared" si="176"/>
        <v xml:space="preserve">N35DC   </v>
      </c>
      <c r="N2522">
        <v>1</v>
      </c>
      <c r="O2522">
        <v>1700</v>
      </c>
    </row>
    <row r="2523" spans="1:15" x14ac:dyDescent="0.25">
      <c r="A2523" t="str">
        <f t="shared" si="183"/>
        <v>10/21/2020 18:31:55.896</v>
      </c>
      <c r="B2523" t="str">
        <f t="shared" si="184"/>
        <v>18:32:03.828</v>
      </c>
      <c r="C2523" t="str">
        <f t="shared" si="185"/>
        <v>18:32:03.428</v>
      </c>
      <c r="D2523" t="s">
        <v>990</v>
      </c>
      <c r="E2523">
        <v>30.688355000000001</v>
      </c>
      <c r="F2523" t="s">
        <v>991</v>
      </c>
      <c r="G2523">
        <v>-89.872068999999996</v>
      </c>
      <c r="H2523">
        <v>1600</v>
      </c>
      <c r="I2523">
        <v>-7</v>
      </c>
      <c r="J2523">
        <v>123</v>
      </c>
      <c r="K2523">
        <v>-192</v>
      </c>
      <c r="L2523">
        <v>1200</v>
      </c>
      <c r="M2523" t="str">
        <f t="shared" si="176"/>
        <v xml:space="preserve">N35DC   </v>
      </c>
      <c r="N2523">
        <v>1</v>
      </c>
      <c r="O2523">
        <v>1700</v>
      </c>
    </row>
    <row r="2524" spans="1:15" x14ac:dyDescent="0.25">
      <c r="A2524" t="str">
        <f>"10/21/2020 18:31:58.443"</f>
        <v>10/21/2020 18:31:58.443</v>
      </c>
      <c r="B2524" t="str">
        <f>"18:32:06.336"</f>
        <v>18:32:06.336</v>
      </c>
      <c r="C2524" t="str">
        <f>"18:32:05.836"</f>
        <v>18:32:05.836</v>
      </c>
      <c r="D2524" t="s">
        <v>992</v>
      </c>
      <c r="E2524">
        <v>30.68975</v>
      </c>
      <c r="F2524" t="s">
        <v>993</v>
      </c>
      <c r="G2524">
        <v>-89.872112000000001</v>
      </c>
      <c r="H2524">
        <v>1600</v>
      </c>
      <c r="I2524">
        <v>-5</v>
      </c>
      <c r="J2524">
        <v>123</v>
      </c>
      <c r="K2524">
        <v>-128</v>
      </c>
      <c r="L2524">
        <v>1200</v>
      </c>
      <c r="M2524" t="str">
        <f t="shared" si="176"/>
        <v xml:space="preserve">N35DC   </v>
      </c>
      <c r="N2524">
        <v>1</v>
      </c>
      <c r="O2524">
        <v>1700</v>
      </c>
    </row>
    <row r="2525" spans="1:15" x14ac:dyDescent="0.25">
      <c r="A2525" t="str">
        <f>"10/21/2020 18:31:58.835"</f>
        <v>10/21/2020 18:31:58.835</v>
      </c>
      <c r="B2525" t="str">
        <f t="shared" ref="B2525:C2529" si="186">"18:32:06.773"</f>
        <v>18:32:06.773</v>
      </c>
      <c r="C2525" t="str">
        <f t="shared" si="186"/>
        <v>18:32:06.773</v>
      </c>
      <c r="D2525" t="s">
        <v>994</v>
      </c>
      <c r="E2525">
        <v>30.690028999999999</v>
      </c>
      <c r="F2525" t="s">
        <v>993</v>
      </c>
      <c r="G2525">
        <v>-89.872112000000001</v>
      </c>
      <c r="H2525">
        <v>1600</v>
      </c>
      <c r="I2525">
        <v>-5</v>
      </c>
      <c r="J2525">
        <v>123</v>
      </c>
      <c r="K2525">
        <v>0</v>
      </c>
      <c r="L2525">
        <v>1200</v>
      </c>
      <c r="M2525" t="str">
        <f t="shared" si="176"/>
        <v xml:space="preserve">N35DC   </v>
      </c>
      <c r="N2525">
        <v>1</v>
      </c>
      <c r="O2525">
        <v>1700</v>
      </c>
    </row>
    <row r="2526" spans="1:15" x14ac:dyDescent="0.25">
      <c r="A2526" t="str">
        <f>"10/21/2020 18:31:58.835"</f>
        <v>10/21/2020 18:31:58.835</v>
      </c>
      <c r="B2526" t="str">
        <f t="shared" si="186"/>
        <v>18:32:06.773</v>
      </c>
      <c r="C2526" t="str">
        <f t="shared" si="186"/>
        <v>18:32:06.773</v>
      </c>
      <c r="D2526" t="s">
        <v>994</v>
      </c>
      <c r="E2526">
        <v>30.690028999999999</v>
      </c>
      <c r="F2526" t="s">
        <v>993</v>
      </c>
      <c r="G2526">
        <v>-89.872112000000001</v>
      </c>
      <c r="H2526">
        <v>1600</v>
      </c>
      <c r="I2526">
        <v>-5</v>
      </c>
      <c r="J2526">
        <v>123</v>
      </c>
      <c r="K2526">
        <v>0</v>
      </c>
      <c r="L2526">
        <v>1200</v>
      </c>
      <c r="M2526" t="str">
        <f t="shared" si="176"/>
        <v xml:space="preserve">N35DC   </v>
      </c>
      <c r="N2526">
        <v>1</v>
      </c>
      <c r="O2526">
        <v>1700</v>
      </c>
    </row>
    <row r="2527" spans="1:15" x14ac:dyDescent="0.25">
      <c r="A2527" t="str">
        <f>"10/21/2020 18:31:58.835"</f>
        <v>10/21/2020 18:31:58.835</v>
      </c>
      <c r="B2527" t="str">
        <f t="shared" si="186"/>
        <v>18:32:06.773</v>
      </c>
      <c r="C2527" t="str">
        <f t="shared" si="186"/>
        <v>18:32:06.773</v>
      </c>
      <c r="D2527" t="s">
        <v>994</v>
      </c>
      <c r="E2527">
        <v>30.690028999999999</v>
      </c>
      <c r="F2527" t="s">
        <v>993</v>
      </c>
      <c r="G2527">
        <v>-89.872112000000001</v>
      </c>
      <c r="H2527">
        <v>1600</v>
      </c>
      <c r="I2527">
        <v>-5</v>
      </c>
      <c r="J2527">
        <v>123</v>
      </c>
      <c r="K2527">
        <v>0</v>
      </c>
      <c r="L2527">
        <v>1200</v>
      </c>
      <c r="M2527" t="str">
        <f t="shared" si="176"/>
        <v xml:space="preserve">N35DC   </v>
      </c>
      <c r="N2527">
        <v>1</v>
      </c>
      <c r="O2527">
        <v>1700</v>
      </c>
    </row>
    <row r="2528" spans="1:15" x14ac:dyDescent="0.25">
      <c r="A2528" t="str">
        <f>"10/21/2020 18:31:58.835"</f>
        <v>10/21/2020 18:31:58.835</v>
      </c>
      <c r="B2528" t="str">
        <f t="shared" si="186"/>
        <v>18:32:06.773</v>
      </c>
      <c r="C2528" t="str">
        <f t="shared" si="186"/>
        <v>18:32:06.773</v>
      </c>
      <c r="D2528" t="s">
        <v>994</v>
      </c>
      <c r="E2528">
        <v>30.690028999999999</v>
      </c>
      <c r="F2528" t="s">
        <v>993</v>
      </c>
      <c r="G2528">
        <v>-89.872112000000001</v>
      </c>
      <c r="H2528">
        <v>1600</v>
      </c>
      <c r="I2528">
        <v>-5</v>
      </c>
      <c r="J2528">
        <v>123</v>
      </c>
      <c r="K2528">
        <v>0</v>
      </c>
      <c r="L2528">
        <v>1200</v>
      </c>
      <c r="M2528" t="str">
        <f t="shared" si="176"/>
        <v xml:space="preserve">N35DC   </v>
      </c>
      <c r="N2528">
        <v>1</v>
      </c>
      <c r="O2528">
        <v>1700</v>
      </c>
    </row>
    <row r="2529" spans="1:15" x14ac:dyDescent="0.25">
      <c r="A2529" t="str">
        <f>"10/21/2020 18:31:58.835"</f>
        <v>10/21/2020 18:31:58.835</v>
      </c>
      <c r="B2529" t="str">
        <f t="shared" si="186"/>
        <v>18:32:06.773</v>
      </c>
      <c r="C2529" t="str">
        <f t="shared" si="186"/>
        <v>18:32:06.773</v>
      </c>
      <c r="D2529" t="s">
        <v>994</v>
      </c>
      <c r="E2529">
        <v>30.690028999999999</v>
      </c>
      <c r="F2529" t="s">
        <v>993</v>
      </c>
      <c r="G2529">
        <v>-89.872112000000001</v>
      </c>
      <c r="H2529">
        <v>1600</v>
      </c>
      <c r="I2529">
        <v>-5</v>
      </c>
      <c r="J2529">
        <v>123</v>
      </c>
      <c r="K2529">
        <v>0</v>
      </c>
      <c r="L2529">
        <v>1200</v>
      </c>
      <c r="M2529" t="str">
        <f t="shared" si="176"/>
        <v xml:space="preserve">N35DC   </v>
      </c>
      <c r="N2529">
        <v>1</v>
      </c>
      <c r="O2529">
        <v>1700</v>
      </c>
    </row>
    <row r="2530" spans="1:15" x14ac:dyDescent="0.25">
      <c r="A2530" t="str">
        <f t="shared" ref="A2530:A2535" si="187">"10/21/2020 18:31:59.782"</f>
        <v>10/21/2020 18:31:59.782</v>
      </c>
      <c r="B2530" t="str">
        <f t="shared" ref="B2530:B2535" si="188">"18:32:07.672"</f>
        <v>18:32:07.672</v>
      </c>
      <c r="C2530" t="str">
        <f t="shared" ref="C2530:C2535" si="189">"18:32:07.272"</f>
        <v>18:32:07.272</v>
      </c>
      <c r="D2530" t="s">
        <v>995</v>
      </c>
      <c r="E2530">
        <v>30.690543999999999</v>
      </c>
      <c r="F2530" t="s">
        <v>996</v>
      </c>
      <c r="G2530">
        <v>-89.872155000000006</v>
      </c>
      <c r="H2530">
        <v>1600</v>
      </c>
      <c r="I2530">
        <v>-5</v>
      </c>
      <c r="J2530">
        <v>123</v>
      </c>
      <c r="K2530">
        <v>-64</v>
      </c>
      <c r="L2530">
        <v>1200</v>
      </c>
      <c r="M2530" t="str">
        <f t="shared" si="176"/>
        <v xml:space="preserve">N35DC   </v>
      </c>
      <c r="N2530">
        <v>1</v>
      </c>
      <c r="O2530">
        <v>1700</v>
      </c>
    </row>
    <row r="2531" spans="1:15" x14ac:dyDescent="0.25">
      <c r="A2531" t="str">
        <f t="shared" si="187"/>
        <v>10/21/2020 18:31:59.782</v>
      </c>
      <c r="B2531" t="str">
        <f t="shared" si="188"/>
        <v>18:32:07.672</v>
      </c>
      <c r="C2531" t="str">
        <f t="shared" si="189"/>
        <v>18:32:07.272</v>
      </c>
      <c r="D2531" t="s">
        <v>995</v>
      </c>
      <c r="E2531">
        <v>30.690543999999999</v>
      </c>
      <c r="F2531" t="s">
        <v>996</v>
      </c>
      <c r="G2531">
        <v>-89.872155000000006</v>
      </c>
      <c r="H2531">
        <v>1600</v>
      </c>
      <c r="I2531">
        <v>-5</v>
      </c>
      <c r="J2531">
        <v>123</v>
      </c>
      <c r="K2531">
        <v>-64</v>
      </c>
      <c r="L2531">
        <v>1200</v>
      </c>
      <c r="M2531" t="str">
        <f t="shared" si="176"/>
        <v xml:space="preserve">N35DC   </v>
      </c>
      <c r="N2531">
        <v>1</v>
      </c>
      <c r="O2531">
        <v>1700</v>
      </c>
    </row>
    <row r="2532" spans="1:15" x14ac:dyDescent="0.25">
      <c r="A2532" t="str">
        <f t="shared" si="187"/>
        <v>10/21/2020 18:31:59.782</v>
      </c>
      <c r="B2532" t="str">
        <f t="shared" si="188"/>
        <v>18:32:07.672</v>
      </c>
      <c r="C2532" t="str">
        <f t="shared" si="189"/>
        <v>18:32:07.272</v>
      </c>
      <c r="D2532" t="s">
        <v>995</v>
      </c>
      <c r="E2532">
        <v>30.690543999999999</v>
      </c>
      <c r="F2532" t="s">
        <v>996</v>
      </c>
      <c r="G2532">
        <v>-89.872155000000006</v>
      </c>
      <c r="H2532">
        <v>1600</v>
      </c>
      <c r="I2532">
        <v>-5</v>
      </c>
      <c r="J2532">
        <v>123</v>
      </c>
      <c r="K2532">
        <v>-64</v>
      </c>
      <c r="L2532">
        <v>1200</v>
      </c>
      <c r="M2532" t="str">
        <f t="shared" si="176"/>
        <v xml:space="preserve">N35DC   </v>
      </c>
      <c r="N2532">
        <v>1</v>
      </c>
      <c r="O2532">
        <v>1700</v>
      </c>
    </row>
    <row r="2533" spans="1:15" x14ac:dyDescent="0.25">
      <c r="A2533" t="str">
        <f t="shared" si="187"/>
        <v>10/21/2020 18:31:59.782</v>
      </c>
      <c r="B2533" t="str">
        <f t="shared" si="188"/>
        <v>18:32:07.672</v>
      </c>
      <c r="C2533" t="str">
        <f t="shared" si="189"/>
        <v>18:32:07.272</v>
      </c>
      <c r="D2533" t="s">
        <v>995</v>
      </c>
      <c r="E2533">
        <v>30.690543999999999</v>
      </c>
      <c r="F2533" t="s">
        <v>996</v>
      </c>
      <c r="G2533">
        <v>-89.872155000000006</v>
      </c>
      <c r="H2533">
        <v>1600</v>
      </c>
      <c r="I2533">
        <v>-5</v>
      </c>
      <c r="J2533">
        <v>123</v>
      </c>
      <c r="K2533">
        <v>-64</v>
      </c>
      <c r="L2533">
        <v>1200</v>
      </c>
      <c r="M2533" t="str">
        <f t="shared" si="176"/>
        <v xml:space="preserve">N35DC   </v>
      </c>
      <c r="N2533">
        <v>1</v>
      </c>
      <c r="O2533">
        <v>1700</v>
      </c>
    </row>
    <row r="2534" spans="1:15" x14ac:dyDescent="0.25">
      <c r="A2534" t="str">
        <f t="shared" si="187"/>
        <v>10/21/2020 18:31:59.782</v>
      </c>
      <c r="B2534" t="str">
        <f t="shared" si="188"/>
        <v>18:32:07.672</v>
      </c>
      <c r="C2534" t="str">
        <f t="shared" si="189"/>
        <v>18:32:07.272</v>
      </c>
      <c r="D2534" t="s">
        <v>995</v>
      </c>
      <c r="E2534">
        <v>30.690543999999999</v>
      </c>
      <c r="F2534" t="s">
        <v>996</v>
      </c>
      <c r="G2534">
        <v>-89.872155000000006</v>
      </c>
      <c r="H2534">
        <v>1600</v>
      </c>
      <c r="I2534">
        <v>-5</v>
      </c>
      <c r="J2534">
        <v>123</v>
      </c>
      <c r="K2534">
        <v>-64</v>
      </c>
      <c r="L2534">
        <v>1200</v>
      </c>
      <c r="M2534" t="str">
        <f t="shared" si="176"/>
        <v xml:space="preserve">N35DC   </v>
      </c>
      <c r="N2534">
        <v>1</v>
      </c>
      <c r="O2534">
        <v>1700</v>
      </c>
    </row>
    <row r="2535" spans="1:15" x14ac:dyDescent="0.25">
      <c r="A2535" t="str">
        <f t="shared" si="187"/>
        <v>10/21/2020 18:31:59.782</v>
      </c>
      <c r="B2535" t="str">
        <f t="shared" si="188"/>
        <v>18:32:07.672</v>
      </c>
      <c r="C2535" t="str">
        <f t="shared" si="189"/>
        <v>18:32:07.272</v>
      </c>
      <c r="D2535" t="s">
        <v>995</v>
      </c>
      <c r="E2535">
        <v>30.690543999999999</v>
      </c>
      <c r="F2535" t="s">
        <v>996</v>
      </c>
      <c r="G2535">
        <v>-89.872155000000006</v>
      </c>
      <c r="H2535">
        <v>1600</v>
      </c>
      <c r="I2535">
        <v>-5</v>
      </c>
      <c r="J2535">
        <v>123</v>
      </c>
      <c r="K2535">
        <v>-64</v>
      </c>
      <c r="L2535">
        <v>1200</v>
      </c>
      <c r="M2535" t="str">
        <f t="shared" si="176"/>
        <v xml:space="preserve">N35DC   </v>
      </c>
      <c r="N2535">
        <v>1</v>
      </c>
      <c r="O2535">
        <v>1700</v>
      </c>
    </row>
    <row r="2536" spans="1:15" x14ac:dyDescent="0.25">
      <c r="A2536" t="str">
        <f t="shared" ref="A2536:A2541" si="190">"10/21/2020 18:32:02.610"</f>
        <v>10/21/2020 18:32:02.610</v>
      </c>
      <c r="B2536" t="str">
        <f t="shared" ref="B2536:B2541" si="191">"18:32:10.547"</f>
        <v>18:32:10.547</v>
      </c>
      <c r="C2536" t="str">
        <f t="shared" ref="C2536:C2541" si="192">"18:32:10.347"</f>
        <v>18:32:10.347</v>
      </c>
      <c r="D2536" t="s">
        <v>997</v>
      </c>
      <c r="E2536">
        <v>30.692174000000001</v>
      </c>
      <c r="F2536" t="s">
        <v>998</v>
      </c>
      <c r="G2536">
        <v>-89.872197999999997</v>
      </c>
      <c r="H2536">
        <v>1600</v>
      </c>
      <c r="I2536">
        <v>-1</v>
      </c>
      <c r="J2536">
        <v>123</v>
      </c>
      <c r="K2536">
        <v>0</v>
      </c>
      <c r="L2536">
        <v>1200</v>
      </c>
      <c r="M2536" t="str">
        <f t="shared" si="176"/>
        <v xml:space="preserve">N35DC   </v>
      </c>
      <c r="N2536">
        <v>1</v>
      </c>
      <c r="O2536">
        <v>1700</v>
      </c>
    </row>
    <row r="2537" spans="1:15" x14ac:dyDescent="0.25">
      <c r="A2537" t="str">
        <f t="shared" si="190"/>
        <v>10/21/2020 18:32:02.610</v>
      </c>
      <c r="B2537" t="str">
        <f t="shared" si="191"/>
        <v>18:32:10.547</v>
      </c>
      <c r="C2537" t="str">
        <f t="shared" si="192"/>
        <v>18:32:10.347</v>
      </c>
      <c r="D2537" t="s">
        <v>997</v>
      </c>
      <c r="E2537">
        <v>30.692174000000001</v>
      </c>
      <c r="F2537" t="s">
        <v>998</v>
      </c>
      <c r="G2537">
        <v>-89.872197999999997</v>
      </c>
      <c r="H2537">
        <v>1600</v>
      </c>
      <c r="I2537">
        <v>-1</v>
      </c>
      <c r="J2537">
        <v>123</v>
      </c>
      <c r="K2537">
        <v>0</v>
      </c>
      <c r="L2537">
        <v>1200</v>
      </c>
      <c r="M2537" t="str">
        <f t="shared" si="176"/>
        <v xml:space="preserve">N35DC   </v>
      </c>
      <c r="N2537">
        <v>1</v>
      </c>
      <c r="O2537">
        <v>1700</v>
      </c>
    </row>
    <row r="2538" spans="1:15" x14ac:dyDescent="0.25">
      <c r="A2538" t="str">
        <f t="shared" si="190"/>
        <v>10/21/2020 18:32:02.610</v>
      </c>
      <c r="B2538" t="str">
        <f t="shared" si="191"/>
        <v>18:32:10.547</v>
      </c>
      <c r="C2538" t="str">
        <f t="shared" si="192"/>
        <v>18:32:10.347</v>
      </c>
      <c r="D2538" t="s">
        <v>997</v>
      </c>
      <c r="E2538">
        <v>30.692174000000001</v>
      </c>
      <c r="F2538" t="s">
        <v>998</v>
      </c>
      <c r="G2538">
        <v>-89.872197999999997</v>
      </c>
      <c r="H2538">
        <v>1600</v>
      </c>
      <c r="I2538">
        <v>-1</v>
      </c>
      <c r="J2538">
        <v>123</v>
      </c>
      <c r="K2538">
        <v>0</v>
      </c>
      <c r="L2538">
        <v>1200</v>
      </c>
      <c r="M2538" t="str">
        <f t="shared" si="176"/>
        <v xml:space="preserve">N35DC   </v>
      </c>
      <c r="N2538">
        <v>1</v>
      </c>
      <c r="O2538">
        <v>1700</v>
      </c>
    </row>
    <row r="2539" spans="1:15" x14ac:dyDescent="0.25">
      <c r="A2539" t="str">
        <f t="shared" si="190"/>
        <v>10/21/2020 18:32:02.610</v>
      </c>
      <c r="B2539" t="str">
        <f t="shared" si="191"/>
        <v>18:32:10.547</v>
      </c>
      <c r="C2539" t="str">
        <f t="shared" si="192"/>
        <v>18:32:10.347</v>
      </c>
      <c r="D2539" t="s">
        <v>997</v>
      </c>
      <c r="E2539">
        <v>30.692174000000001</v>
      </c>
      <c r="F2539" t="s">
        <v>998</v>
      </c>
      <c r="G2539">
        <v>-89.872197999999997</v>
      </c>
      <c r="H2539">
        <v>1600</v>
      </c>
      <c r="I2539">
        <v>-1</v>
      </c>
      <c r="J2539">
        <v>123</v>
      </c>
      <c r="K2539">
        <v>0</v>
      </c>
      <c r="L2539">
        <v>1200</v>
      </c>
      <c r="M2539" t="str">
        <f t="shared" si="176"/>
        <v xml:space="preserve">N35DC   </v>
      </c>
      <c r="N2539">
        <v>1</v>
      </c>
      <c r="O2539">
        <v>1700</v>
      </c>
    </row>
    <row r="2540" spans="1:15" x14ac:dyDescent="0.25">
      <c r="A2540" t="str">
        <f t="shared" si="190"/>
        <v>10/21/2020 18:32:02.610</v>
      </c>
      <c r="B2540" t="str">
        <f t="shared" si="191"/>
        <v>18:32:10.547</v>
      </c>
      <c r="C2540" t="str">
        <f t="shared" si="192"/>
        <v>18:32:10.347</v>
      </c>
      <c r="D2540" t="s">
        <v>997</v>
      </c>
      <c r="E2540">
        <v>30.692174000000001</v>
      </c>
      <c r="F2540" t="s">
        <v>998</v>
      </c>
      <c r="G2540">
        <v>-89.872197999999997</v>
      </c>
      <c r="H2540">
        <v>1600</v>
      </c>
      <c r="I2540">
        <v>-1</v>
      </c>
      <c r="J2540">
        <v>123</v>
      </c>
      <c r="K2540">
        <v>0</v>
      </c>
      <c r="L2540">
        <v>1200</v>
      </c>
      <c r="M2540" t="str">
        <f t="shared" si="176"/>
        <v xml:space="preserve">N35DC   </v>
      </c>
      <c r="N2540">
        <v>1</v>
      </c>
      <c r="O2540">
        <v>1700</v>
      </c>
    </row>
    <row r="2541" spans="1:15" x14ac:dyDescent="0.25">
      <c r="A2541" t="str">
        <f t="shared" si="190"/>
        <v>10/21/2020 18:32:02.610</v>
      </c>
      <c r="B2541" t="str">
        <f t="shared" si="191"/>
        <v>18:32:10.547</v>
      </c>
      <c r="C2541" t="str">
        <f t="shared" si="192"/>
        <v>18:32:10.347</v>
      </c>
      <c r="D2541" t="s">
        <v>997</v>
      </c>
      <c r="E2541">
        <v>30.692174000000001</v>
      </c>
      <c r="F2541" t="s">
        <v>998</v>
      </c>
      <c r="G2541">
        <v>-89.872197999999997</v>
      </c>
      <c r="H2541">
        <v>1600</v>
      </c>
      <c r="I2541">
        <v>-1</v>
      </c>
      <c r="J2541">
        <v>123</v>
      </c>
      <c r="K2541">
        <v>0</v>
      </c>
      <c r="L2541">
        <v>1200</v>
      </c>
      <c r="M2541" t="str">
        <f t="shared" si="176"/>
        <v xml:space="preserve">N35DC   </v>
      </c>
      <c r="N2541">
        <v>1</v>
      </c>
      <c r="O2541">
        <v>1700</v>
      </c>
    </row>
    <row r="2542" spans="1:15" x14ac:dyDescent="0.25">
      <c r="A2542" t="str">
        <f t="shared" ref="A2542:A2547" si="193">"10/21/2020 18:32:03.680"</f>
        <v>10/21/2020 18:32:03.680</v>
      </c>
      <c r="B2542" t="str">
        <f t="shared" ref="B2542:B2547" si="194">"18:32:11.633"</f>
        <v>18:32:11.633</v>
      </c>
      <c r="C2542" t="str">
        <f t="shared" ref="C2542:C2547" si="195">"18:32:11.233"</f>
        <v>18:32:11.233</v>
      </c>
      <c r="D2542" t="s">
        <v>999</v>
      </c>
      <c r="E2542">
        <v>30.692775000000001</v>
      </c>
      <c r="F2542" t="s">
        <v>998</v>
      </c>
      <c r="G2542">
        <v>-89.872197999999997</v>
      </c>
      <c r="H2542">
        <v>1600</v>
      </c>
      <c r="I2542">
        <v>0</v>
      </c>
      <c r="J2542">
        <v>123</v>
      </c>
      <c r="K2542">
        <v>128</v>
      </c>
      <c r="L2542">
        <v>1200</v>
      </c>
      <c r="M2542" t="str">
        <f t="shared" si="176"/>
        <v xml:space="preserve">N35DC   </v>
      </c>
      <c r="N2542">
        <v>1</v>
      </c>
      <c r="O2542">
        <v>1700</v>
      </c>
    </row>
    <row r="2543" spans="1:15" x14ac:dyDescent="0.25">
      <c r="A2543" t="str">
        <f t="shared" si="193"/>
        <v>10/21/2020 18:32:03.680</v>
      </c>
      <c r="B2543" t="str">
        <f t="shared" si="194"/>
        <v>18:32:11.633</v>
      </c>
      <c r="C2543" t="str">
        <f t="shared" si="195"/>
        <v>18:32:11.233</v>
      </c>
      <c r="D2543" t="s">
        <v>999</v>
      </c>
      <c r="E2543">
        <v>30.692775000000001</v>
      </c>
      <c r="F2543" t="s">
        <v>998</v>
      </c>
      <c r="G2543">
        <v>-89.872197999999997</v>
      </c>
      <c r="H2543">
        <v>1600</v>
      </c>
      <c r="I2543">
        <v>0</v>
      </c>
      <c r="J2543">
        <v>123</v>
      </c>
      <c r="K2543">
        <v>128</v>
      </c>
      <c r="L2543">
        <v>1200</v>
      </c>
      <c r="M2543" t="str">
        <f t="shared" si="176"/>
        <v xml:space="preserve">N35DC   </v>
      </c>
      <c r="N2543">
        <v>1</v>
      </c>
      <c r="O2543">
        <v>1700</v>
      </c>
    </row>
    <row r="2544" spans="1:15" x14ac:dyDescent="0.25">
      <c r="A2544" t="str">
        <f t="shared" si="193"/>
        <v>10/21/2020 18:32:03.680</v>
      </c>
      <c r="B2544" t="str">
        <f t="shared" si="194"/>
        <v>18:32:11.633</v>
      </c>
      <c r="C2544" t="str">
        <f t="shared" si="195"/>
        <v>18:32:11.233</v>
      </c>
      <c r="D2544" t="s">
        <v>999</v>
      </c>
      <c r="E2544">
        <v>30.692775000000001</v>
      </c>
      <c r="F2544" t="s">
        <v>998</v>
      </c>
      <c r="G2544">
        <v>-89.872197999999997</v>
      </c>
      <c r="H2544">
        <v>1600</v>
      </c>
      <c r="I2544">
        <v>0</v>
      </c>
      <c r="J2544">
        <v>123</v>
      </c>
      <c r="K2544">
        <v>128</v>
      </c>
      <c r="L2544">
        <v>1200</v>
      </c>
      <c r="M2544" t="str">
        <f t="shared" si="176"/>
        <v xml:space="preserve">N35DC   </v>
      </c>
      <c r="N2544">
        <v>1</v>
      </c>
      <c r="O2544">
        <v>1700</v>
      </c>
    </row>
    <row r="2545" spans="1:15" x14ac:dyDescent="0.25">
      <c r="A2545" t="str">
        <f t="shared" si="193"/>
        <v>10/21/2020 18:32:03.680</v>
      </c>
      <c r="B2545" t="str">
        <f t="shared" si="194"/>
        <v>18:32:11.633</v>
      </c>
      <c r="C2545" t="str">
        <f t="shared" si="195"/>
        <v>18:32:11.233</v>
      </c>
      <c r="D2545" t="s">
        <v>999</v>
      </c>
      <c r="E2545">
        <v>30.692775000000001</v>
      </c>
      <c r="F2545" t="s">
        <v>998</v>
      </c>
      <c r="G2545">
        <v>-89.872197999999997</v>
      </c>
      <c r="H2545">
        <v>1600</v>
      </c>
      <c r="I2545">
        <v>0</v>
      </c>
      <c r="J2545">
        <v>123</v>
      </c>
      <c r="K2545">
        <v>128</v>
      </c>
      <c r="L2545">
        <v>1200</v>
      </c>
      <c r="M2545" t="str">
        <f t="shared" si="176"/>
        <v xml:space="preserve">N35DC   </v>
      </c>
      <c r="N2545">
        <v>1</v>
      </c>
      <c r="O2545">
        <v>1700</v>
      </c>
    </row>
    <row r="2546" spans="1:15" x14ac:dyDescent="0.25">
      <c r="A2546" t="str">
        <f t="shared" si="193"/>
        <v>10/21/2020 18:32:03.680</v>
      </c>
      <c r="B2546" t="str">
        <f t="shared" si="194"/>
        <v>18:32:11.633</v>
      </c>
      <c r="C2546" t="str">
        <f t="shared" si="195"/>
        <v>18:32:11.233</v>
      </c>
      <c r="D2546" t="s">
        <v>999</v>
      </c>
      <c r="E2546">
        <v>30.692775000000001</v>
      </c>
      <c r="F2546" t="s">
        <v>998</v>
      </c>
      <c r="G2546">
        <v>-89.872197999999997</v>
      </c>
      <c r="H2546">
        <v>1600</v>
      </c>
      <c r="I2546">
        <v>0</v>
      </c>
      <c r="J2546">
        <v>123</v>
      </c>
      <c r="K2546">
        <v>128</v>
      </c>
      <c r="L2546">
        <v>1200</v>
      </c>
      <c r="M2546" t="str">
        <f t="shared" si="176"/>
        <v xml:space="preserve">N35DC   </v>
      </c>
      <c r="N2546">
        <v>1</v>
      </c>
      <c r="O2546">
        <v>1700</v>
      </c>
    </row>
    <row r="2547" spans="1:15" x14ac:dyDescent="0.25">
      <c r="A2547" t="str">
        <f t="shared" si="193"/>
        <v>10/21/2020 18:32:03.680</v>
      </c>
      <c r="B2547" t="str">
        <f t="shared" si="194"/>
        <v>18:32:11.633</v>
      </c>
      <c r="C2547" t="str">
        <f t="shared" si="195"/>
        <v>18:32:11.233</v>
      </c>
      <c r="D2547" t="s">
        <v>999</v>
      </c>
      <c r="E2547">
        <v>30.692775000000001</v>
      </c>
      <c r="F2547" t="s">
        <v>998</v>
      </c>
      <c r="G2547">
        <v>-89.872197999999997</v>
      </c>
      <c r="H2547">
        <v>1600</v>
      </c>
      <c r="I2547">
        <v>0</v>
      </c>
      <c r="J2547">
        <v>123</v>
      </c>
      <c r="K2547">
        <v>128</v>
      </c>
      <c r="L2547">
        <v>1200</v>
      </c>
      <c r="M2547" t="str">
        <f t="shared" si="176"/>
        <v xml:space="preserve">N35DC   </v>
      </c>
      <c r="N2547">
        <v>1</v>
      </c>
      <c r="O2547">
        <v>1700</v>
      </c>
    </row>
    <row r="2548" spans="1:15" x14ac:dyDescent="0.25">
      <c r="A2548" t="str">
        <f>"10/21/2020 18:32:06.203"</f>
        <v>10/21/2020 18:32:06.203</v>
      </c>
      <c r="B2548" t="str">
        <f>"18:32:14.148"</f>
        <v>18:32:14.148</v>
      </c>
      <c r="C2548" t="str">
        <f>"18:32:13.648"</f>
        <v>18:32:13.648</v>
      </c>
      <c r="D2548" t="s">
        <v>1000</v>
      </c>
      <c r="E2548">
        <v>30.694234000000002</v>
      </c>
      <c r="F2548" t="s">
        <v>998</v>
      </c>
      <c r="G2548">
        <v>-89.872197999999997</v>
      </c>
      <c r="H2548">
        <v>1600</v>
      </c>
      <c r="I2548">
        <v>1</v>
      </c>
      <c r="J2548">
        <v>123</v>
      </c>
      <c r="K2548">
        <v>128</v>
      </c>
      <c r="L2548">
        <v>1200</v>
      </c>
      <c r="M2548" t="str">
        <f t="shared" si="176"/>
        <v xml:space="preserve">N35DC   </v>
      </c>
      <c r="N2548">
        <v>1</v>
      </c>
      <c r="O2548">
        <v>1700</v>
      </c>
    </row>
    <row r="2549" spans="1:15" x14ac:dyDescent="0.25">
      <c r="A2549" t="str">
        <f>"10/21/2020 18:32:06.727"</f>
        <v>10/21/2020 18:32:06.727</v>
      </c>
      <c r="B2549" t="str">
        <f>"18:32:14.656"</f>
        <v>18:32:14.656</v>
      </c>
      <c r="C2549" t="str">
        <f>"18:32:14.256"</f>
        <v>18:32:14.256</v>
      </c>
      <c r="D2549" t="s">
        <v>1001</v>
      </c>
      <c r="E2549">
        <v>30.694492</v>
      </c>
      <c r="F2549" t="s">
        <v>1002</v>
      </c>
      <c r="G2549">
        <v>-89.872176999999994</v>
      </c>
      <c r="H2549">
        <v>1600</v>
      </c>
      <c r="I2549">
        <v>1</v>
      </c>
      <c r="J2549">
        <v>123</v>
      </c>
      <c r="K2549">
        <v>-64</v>
      </c>
      <c r="L2549">
        <v>1200</v>
      </c>
      <c r="M2549" t="str">
        <f t="shared" si="176"/>
        <v xml:space="preserve">N35DC   </v>
      </c>
      <c r="N2549">
        <v>1</v>
      </c>
      <c r="O2549">
        <v>1700</v>
      </c>
    </row>
    <row r="2550" spans="1:15" x14ac:dyDescent="0.25">
      <c r="A2550" t="str">
        <f>"10/21/2020 18:32:06.727"</f>
        <v>10/21/2020 18:32:06.727</v>
      </c>
      <c r="B2550" t="str">
        <f>"18:32:14.656"</f>
        <v>18:32:14.656</v>
      </c>
      <c r="C2550" t="str">
        <f>"18:32:14.256"</f>
        <v>18:32:14.256</v>
      </c>
      <c r="D2550" t="s">
        <v>1001</v>
      </c>
      <c r="E2550">
        <v>30.694492</v>
      </c>
      <c r="F2550" t="s">
        <v>1002</v>
      </c>
      <c r="G2550">
        <v>-89.872176999999994</v>
      </c>
      <c r="H2550">
        <v>1600</v>
      </c>
      <c r="I2550">
        <v>1</v>
      </c>
      <c r="J2550">
        <v>123</v>
      </c>
      <c r="K2550">
        <v>-64</v>
      </c>
      <c r="L2550">
        <v>1200</v>
      </c>
      <c r="M2550" t="str">
        <f t="shared" si="176"/>
        <v xml:space="preserve">N35DC   </v>
      </c>
      <c r="N2550">
        <v>1</v>
      </c>
      <c r="O2550">
        <v>1700</v>
      </c>
    </row>
    <row r="2551" spans="1:15" x14ac:dyDescent="0.25">
      <c r="A2551" t="str">
        <f>"10/21/2020 18:32:06.727"</f>
        <v>10/21/2020 18:32:06.727</v>
      </c>
      <c r="B2551" t="str">
        <f>"18:32:14.656"</f>
        <v>18:32:14.656</v>
      </c>
      <c r="C2551" t="str">
        <f>"18:32:14.256"</f>
        <v>18:32:14.256</v>
      </c>
      <c r="D2551" t="s">
        <v>1001</v>
      </c>
      <c r="E2551">
        <v>30.694492</v>
      </c>
      <c r="F2551" t="s">
        <v>1002</v>
      </c>
      <c r="G2551">
        <v>-89.872176999999994</v>
      </c>
      <c r="H2551">
        <v>1600</v>
      </c>
      <c r="I2551">
        <v>1</v>
      </c>
      <c r="J2551">
        <v>123</v>
      </c>
      <c r="K2551">
        <v>-64</v>
      </c>
      <c r="L2551">
        <v>1200</v>
      </c>
      <c r="M2551" t="str">
        <f t="shared" si="176"/>
        <v xml:space="preserve">N35DC   </v>
      </c>
      <c r="N2551">
        <v>1</v>
      </c>
      <c r="O2551">
        <v>1700</v>
      </c>
    </row>
    <row r="2552" spans="1:15" x14ac:dyDescent="0.25">
      <c r="A2552" t="str">
        <f>"10/21/2020 18:32:06.727"</f>
        <v>10/21/2020 18:32:06.727</v>
      </c>
      <c r="B2552" t="str">
        <f>"18:32:14.656"</f>
        <v>18:32:14.656</v>
      </c>
      <c r="C2552" t="str">
        <f>"18:32:14.256"</f>
        <v>18:32:14.256</v>
      </c>
      <c r="D2552" t="s">
        <v>1001</v>
      </c>
      <c r="E2552">
        <v>30.694492</v>
      </c>
      <c r="F2552" t="s">
        <v>1002</v>
      </c>
      <c r="G2552">
        <v>-89.872176999999994</v>
      </c>
      <c r="H2552">
        <v>1600</v>
      </c>
      <c r="I2552">
        <v>1</v>
      </c>
      <c r="J2552">
        <v>123</v>
      </c>
      <c r="K2552">
        <v>-64</v>
      </c>
      <c r="L2552">
        <v>1200</v>
      </c>
      <c r="M2552" t="str">
        <f t="shared" si="176"/>
        <v xml:space="preserve">N35DC   </v>
      </c>
      <c r="N2552">
        <v>1</v>
      </c>
      <c r="O2552">
        <v>1700</v>
      </c>
    </row>
    <row r="2553" spans="1:15" x14ac:dyDescent="0.25">
      <c r="A2553" t="str">
        <f>"10/21/2020 18:32:06.727"</f>
        <v>10/21/2020 18:32:06.727</v>
      </c>
      <c r="B2553" t="str">
        <f>"18:32:14.656"</f>
        <v>18:32:14.656</v>
      </c>
      <c r="C2553" t="str">
        <f>"18:32:14.256"</f>
        <v>18:32:14.256</v>
      </c>
      <c r="D2553" t="s">
        <v>1001</v>
      </c>
      <c r="E2553">
        <v>30.694492</v>
      </c>
      <c r="F2553" t="s">
        <v>1002</v>
      </c>
      <c r="G2553">
        <v>-89.872176999999994</v>
      </c>
      <c r="H2553">
        <v>1600</v>
      </c>
      <c r="I2553">
        <v>1</v>
      </c>
      <c r="J2553">
        <v>123</v>
      </c>
      <c r="K2553">
        <v>-64</v>
      </c>
      <c r="L2553">
        <v>1200</v>
      </c>
      <c r="M2553" t="str">
        <f t="shared" si="176"/>
        <v xml:space="preserve">N35DC   </v>
      </c>
      <c r="N2553">
        <v>1</v>
      </c>
      <c r="O2553">
        <v>1700</v>
      </c>
    </row>
    <row r="2554" spans="1:15" x14ac:dyDescent="0.25">
      <c r="A2554" t="str">
        <f>"10/21/2020 18:32:07.307"</f>
        <v>10/21/2020 18:32:07.307</v>
      </c>
      <c r="B2554" t="str">
        <f>"18:32:15.227"</f>
        <v>18:32:15.227</v>
      </c>
      <c r="C2554" t="str">
        <f>"18:32:14.827"</f>
        <v>18:32:14.827</v>
      </c>
      <c r="D2554" t="s">
        <v>1003</v>
      </c>
      <c r="E2554">
        <v>30.694835000000001</v>
      </c>
      <c r="F2554" t="s">
        <v>998</v>
      </c>
      <c r="G2554">
        <v>-89.872197999999997</v>
      </c>
      <c r="H2554">
        <v>1600</v>
      </c>
      <c r="I2554">
        <v>1</v>
      </c>
      <c r="J2554">
        <v>123</v>
      </c>
      <c r="K2554">
        <v>-128</v>
      </c>
      <c r="L2554">
        <v>1200</v>
      </c>
      <c r="M2554" t="str">
        <f t="shared" si="176"/>
        <v xml:space="preserve">N35DC   </v>
      </c>
      <c r="N2554">
        <v>1</v>
      </c>
      <c r="O2554">
        <v>1700</v>
      </c>
    </row>
    <row r="2555" spans="1:15" x14ac:dyDescent="0.25">
      <c r="A2555" t="str">
        <f>"10/21/2020 18:32:09.469"</f>
        <v>10/21/2020 18:32:09.469</v>
      </c>
      <c r="B2555" t="str">
        <f>"18:32:17.359"</f>
        <v>18:32:17.359</v>
      </c>
      <c r="C2555" t="str">
        <f>"18:32:16.859"</f>
        <v>18:32:16.859</v>
      </c>
      <c r="D2555" t="s">
        <v>1004</v>
      </c>
      <c r="E2555">
        <v>30.696079999999998</v>
      </c>
      <c r="F2555" t="s">
        <v>996</v>
      </c>
      <c r="G2555">
        <v>-89.872155000000006</v>
      </c>
      <c r="H2555">
        <v>1600</v>
      </c>
      <c r="I2555">
        <v>0</v>
      </c>
      <c r="J2555">
        <v>123</v>
      </c>
      <c r="K2555">
        <v>0</v>
      </c>
      <c r="L2555">
        <v>1200</v>
      </c>
      <c r="M2555" t="str">
        <f t="shared" si="176"/>
        <v xml:space="preserve">N35DC   </v>
      </c>
      <c r="N2555">
        <v>1</v>
      </c>
      <c r="O2555">
        <v>1700</v>
      </c>
    </row>
    <row r="2556" spans="1:15" x14ac:dyDescent="0.25">
      <c r="A2556" t="str">
        <f>"10/21/2020 18:32:09.844"</f>
        <v>10/21/2020 18:32:09.844</v>
      </c>
      <c r="B2556" t="str">
        <f>"18:32:17.766"</f>
        <v>18:32:17.766</v>
      </c>
      <c r="C2556" t="str">
        <f>"18:32:17.466"</f>
        <v>18:32:17.466</v>
      </c>
      <c r="D2556" t="s">
        <v>1005</v>
      </c>
      <c r="E2556">
        <v>30.696294000000002</v>
      </c>
      <c r="F2556" t="s">
        <v>996</v>
      </c>
      <c r="G2556">
        <v>-89.872155000000006</v>
      </c>
      <c r="H2556">
        <v>1600</v>
      </c>
      <c r="I2556">
        <v>1</v>
      </c>
      <c r="J2556">
        <v>123</v>
      </c>
      <c r="K2556">
        <v>-64</v>
      </c>
      <c r="L2556">
        <v>1200</v>
      </c>
      <c r="M2556" t="str">
        <f t="shared" si="176"/>
        <v xml:space="preserve">N35DC   </v>
      </c>
      <c r="N2556">
        <v>1</v>
      </c>
      <c r="O2556">
        <v>1700</v>
      </c>
    </row>
    <row r="2557" spans="1:15" x14ac:dyDescent="0.25">
      <c r="A2557" t="str">
        <f>"10/21/2020 18:32:09.844"</f>
        <v>10/21/2020 18:32:09.844</v>
      </c>
      <c r="B2557" t="str">
        <f>"18:32:17.766"</f>
        <v>18:32:17.766</v>
      </c>
      <c r="C2557" t="str">
        <f>"18:32:17.466"</f>
        <v>18:32:17.466</v>
      </c>
      <c r="D2557" t="s">
        <v>1005</v>
      </c>
      <c r="E2557">
        <v>30.696294000000002</v>
      </c>
      <c r="F2557" t="s">
        <v>996</v>
      </c>
      <c r="G2557">
        <v>-89.872155000000006</v>
      </c>
      <c r="H2557">
        <v>1600</v>
      </c>
      <c r="I2557">
        <v>1</v>
      </c>
      <c r="J2557">
        <v>123</v>
      </c>
      <c r="K2557">
        <v>-64</v>
      </c>
      <c r="L2557">
        <v>1200</v>
      </c>
      <c r="M2557" t="str">
        <f t="shared" si="176"/>
        <v xml:space="preserve">N35DC   </v>
      </c>
      <c r="N2557">
        <v>1</v>
      </c>
      <c r="O2557">
        <v>1700</v>
      </c>
    </row>
    <row r="2558" spans="1:15" x14ac:dyDescent="0.25">
      <c r="A2558" t="str">
        <f>"10/21/2020 18:32:09.844"</f>
        <v>10/21/2020 18:32:09.844</v>
      </c>
      <c r="B2558" t="str">
        <f>"18:32:17.766"</f>
        <v>18:32:17.766</v>
      </c>
      <c r="C2558" t="str">
        <f>"18:32:17.466"</f>
        <v>18:32:17.466</v>
      </c>
      <c r="D2558" t="s">
        <v>1005</v>
      </c>
      <c r="E2558">
        <v>30.696294000000002</v>
      </c>
      <c r="F2558" t="s">
        <v>996</v>
      </c>
      <c r="G2558">
        <v>-89.872155000000006</v>
      </c>
      <c r="H2558">
        <v>1600</v>
      </c>
      <c r="I2558">
        <v>1</v>
      </c>
      <c r="J2558">
        <v>123</v>
      </c>
      <c r="K2558">
        <v>-64</v>
      </c>
      <c r="L2558">
        <v>1200</v>
      </c>
      <c r="M2558" t="str">
        <f t="shared" si="176"/>
        <v xml:space="preserve">N35DC   </v>
      </c>
      <c r="N2558">
        <v>1</v>
      </c>
      <c r="O2558">
        <v>1700</v>
      </c>
    </row>
    <row r="2559" spans="1:15" x14ac:dyDescent="0.25">
      <c r="A2559" t="str">
        <f>"10/21/2020 18:32:09.844"</f>
        <v>10/21/2020 18:32:09.844</v>
      </c>
      <c r="B2559" t="str">
        <f>"18:32:17.766"</f>
        <v>18:32:17.766</v>
      </c>
      <c r="C2559" t="str">
        <f>"18:32:17.466"</f>
        <v>18:32:17.466</v>
      </c>
      <c r="D2559" t="s">
        <v>1005</v>
      </c>
      <c r="E2559">
        <v>30.696294000000002</v>
      </c>
      <c r="F2559" t="s">
        <v>996</v>
      </c>
      <c r="G2559">
        <v>-89.872155000000006</v>
      </c>
      <c r="H2559">
        <v>1600</v>
      </c>
      <c r="I2559">
        <v>1</v>
      </c>
      <c r="J2559">
        <v>123</v>
      </c>
      <c r="K2559">
        <v>-64</v>
      </c>
      <c r="L2559">
        <v>1200</v>
      </c>
      <c r="M2559" t="str">
        <f t="shared" si="176"/>
        <v xml:space="preserve">N35DC   </v>
      </c>
      <c r="N2559">
        <v>1</v>
      </c>
      <c r="O2559">
        <v>1700</v>
      </c>
    </row>
    <row r="2560" spans="1:15" x14ac:dyDescent="0.25">
      <c r="A2560" t="str">
        <f>"10/21/2020 18:32:09.844"</f>
        <v>10/21/2020 18:32:09.844</v>
      </c>
      <c r="B2560" t="str">
        <f>"18:32:17.766"</f>
        <v>18:32:17.766</v>
      </c>
      <c r="C2560" t="str">
        <f>"18:32:17.466"</f>
        <v>18:32:17.466</v>
      </c>
      <c r="D2560" t="s">
        <v>1005</v>
      </c>
      <c r="E2560">
        <v>30.696294000000002</v>
      </c>
      <c r="F2560" t="s">
        <v>996</v>
      </c>
      <c r="G2560">
        <v>-89.872155000000006</v>
      </c>
      <c r="H2560">
        <v>1600</v>
      </c>
      <c r="I2560">
        <v>1</v>
      </c>
      <c r="J2560">
        <v>123</v>
      </c>
      <c r="K2560">
        <v>-64</v>
      </c>
      <c r="L2560">
        <v>1200</v>
      </c>
      <c r="M2560" t="str">
        <f t="shared" si="176"/>
        <v xml:space="preserve">N35DC   </v>
      </c>
      <c r="N2560">
        <v>1</v>
      </c>
      <c r="O2560">
        <v>1700</v>
      </c>
    </row>
    <row r="2561" spans="1:15" x14ac:dyDescent="0.25">
      <c r="A2561" t="str">
        <f t="shared" ref="A2561:A2566" si="196">"10/21/2020 18:32:10.878"</f>
        <v>10/21/2020 18:32:10.878</v>
      </c>
      <c r="B2561" t="str">
        <f t="shared" ref="B2561:B2566" si="197">"18:32:18.758"</f>
        <v>18:32:18.758</v>
      </c>
      <c r="C2561" t="str">
        <f>"18:32:18.458"</f>
        <v>18:32:18.458</v>
      </c>
      <c r="D2561" t="s">
        <v>1006</v>
      </c>
      <c r="E2561">
        <v>30.696831</v>
      </c>
      <c r="F2561" t="s">
        <v>1002</v>
      </c>
      <c r="G2561">
        <v>-89.872176999999994</v>
      </c>
      <c r="H2561">
        <v>1600</v>
      </c>
      <c r="I2561">
        <v>0</v>
      </c>
      <c r="J2561">
        <v>123</v>
      </c>
      <c r="K2561">
        <v>-64</v>
      </c>
      <c r="L2561">
        <v>1200</v>
      </c>
      <c r="M2561" t="str">
        <f t="shared" si="176"/>
        <v xml:space="preserve">N35DC   </v>
      </c>
      <c r="N2561">
        <v>1</v>
      </c>
      <c r="O2561">
        <v>1700</v>
      </c>
    </row>
    <row r="2562" spans="1:15" x14ac:dyDescent="0.25">
      <c r="A2562" t="str">
        <f t="shared" si="196"/>
        <v>10/21/2020 18:32:10.878</v>
      </c>
      <c r="B2562" t="str">
        <f t="shared" si="197"/>
        <v>18:32:18.758</v>
      </c>
      <c r="C2562" t="str">
        <f>"18:32:17.458"</f>
        <v>18:32:17.458</v>
      </c>
      <c r="D2562" t="s">
        <v>1006</v>
      </c>
      <c r="E2562">
        <v>30.696831</v>
      </c>
      <c r="F2562" t="s">
        <v>1002</v>
      </c>
      <c r="G2562">
        <v>-89.872176999999994</v>
      </c>
      <c r="H2562">
        <v>1600</v>
      </c>
      <c r="I2562">
        <v>1</v>
      </c>
      <c r="J2562">
        <v>123</v>
      </c>
      <c r="K2562">
        <v>-64</v>
      </c>
      <c r="L2562">
        <v>1200</v>
      </c>
      <c r="M2562" t="str">
        <f t="shared" si="176"/>
        <v xml:space="preserve">N35DC   </v>
      </c>
      <c r="N2562">
        <v>1</v>
      </c>
      <c r="O2562">
        <v>1700</v>
      </c>
    </row>
    <row r="2563" spans="1:15" x14ac:dyDescent="0.25">
      <c r="A2563" t="str">
        <f t="shared" si="196"/>
        <v>10/21/2020 18:32:10.878</v>
      </c>
      <c r="B2563" t="str">
        <f t="shared" si="197"/>
        <v>18:32:18.758</v>
      </c>
      <c r="C2563" t="str">
        <f>"18:32:17.458"</f>
        <v>18:32:17.458</v>
      </c>
      <c r="D2563" t="s">
        <v>1006</v>
      </c>
      <c r="E2563">
        <v>30.696831</v>
      </c>
      <c r="F2563" t="s">
        <v>1002</v>
      </c>
      <c r="G2563">
        <v>-89.872176999999994</v>
      </c>
      <c r="H2563">
        <v>1600</v>
      </c>
      <c r="I2563">
        <v>1</v>
      </c>
      <c r="J2563">
        <v>123</v>
      </c>
      <c r="K2563">
        <v>-64</v>
      </c>
      <c r="L2563">
        <v>1200</v>
      </c>
      <c r="M2563" t="str">
        <f t="shared" si="176"/>
        <v xml:space="preserve">N35DC   </v>
      </c>
      <c r="N2563">
        <v>1</v>
      </c>
      <c r="O2563">
        <v>1700</v>
      </c>
    </row>
    <row r="2564" spans="1:15" x14ac:dyDescent="0.25">
      <c r="A2564" t="str">
        <f t="shared" si="196"/>
        <v>10/21/2020 18:32:10.878</v>
      </c>
      <c r="B2564" t="str">
        <f t="shared" si="197"/>
        <v>18:32:18.758</v>
      </c>
      <c r="C2564" t="str">
        <f>"18:32:17.458"</f>
        <v>18:32:17.458</v>
      </c>
      <c r="D2564" t="s">
        <v>1006</v>
      </c>
      <c r="E2564">
        <v>30.696831</v>
      </c>
      <c r="F2564" t="s">
        <v>1002</v>
      </c>
      <c r="G2564">
        <v>-89.872176999999994</v>
      </c>
      <c r="H2564">
        <v>1600</v>
      </c>
      <c r="I2564">
        <v>1</v>
      </c>
      <c r="J2564">
        <v>123</v>
      </c>
      <c r="K2564">
        <v>-64</v>
      </c>
      <c r="L2564">
        <v>1200</v>
      </c>
      <c r="M2564" t="str">
        <f t="shared" si="176"/>
        <v xml:space="preserve">N35DC   </v>
      </c>
      <c r="N2564">
        <v>1</v>
      </c>
      <c r="O2564">
        <v>1700</v>
      </c>
    </row>
    <row r="2565" spans="1:15" x14ac:dyDescent="0.25">
      <c r="A2565" t="str">
        <f t="shared" si="196"/>
        <v>10/21/2020 18:32:10.878</v>
      </c>
      <c r="B2565" t="str">
        <f t="shared" si="197"/>
        <v>18:32:18.758</v>
      </c>
      <c r="C2565" t="str">
        <f>"18:32:17.458"</f>
        <v>18:32:17.458</v>
      </c>
      <c r="D2565" t="s">
        <v>1006</v>
      </c>
      <c r="E2565">
        <v>30.696831</v>
      </c>
      <c r="F2565" t="s">
        <v>1002</v>
      </c>
      <c r="G2565">
        <v>-89.872176999999994</v>
      </c>
      <c r="H2565">
        <v>1600</v>
      </c>
      <c r="I2565">
        <v>1</v>
      </c>
      <c r="J2565">
        <v>123</v>
      </c>
      <c r="K2565">
        <v>-64</v>
      </c>
      <c r="L2565">
        <v>1200</v>
      </c>
      <c r="M2565" t="str">
        <f t="shared" si="176"/>
        <v xml:space="preserve">N35DC   </v>
      </c>
      <c r="N2565">
        <v>1</v>
      </c>
      <c r="O2565">
        <v>1700</v>
      </c>
    </row>
    <row r="2566" spans="1:15" x14ac:dyDescent="0.25">
      <c r="A2566" t="str">
        <f t="shared" si="196"/>
        <v>10/21/2020 18:32:10.878</v>
      </c>
      <c r="B2566" t="str">
        <f t="shared" si="197"/>
        <v>18:32:18.758</v>
      </c>
      <c r="C2566" t="str">
        <f>"18:32:17.458"</f>
        <v>18:32:17.458</v>
      </c>
      <c r="D2566" t="s">
        <v>1006</v>
      </c>
      <c r="E2566">
        <v>30.696831</v>
      </c>
      <c r="F2566" t="s">
        <v>1002</v>
      </c>
      <c r="G2566">
        <v>-89.872176999999994</v>
      </c>
      <c r="H2566">
        <v>1600</v>
      </c>
      <c r="I2566">
        <v>1</v>
      </c>
      <c r="J2566">
        <v>123</v>
      </c>
      <c r="K2566">
        <v>-64</v>
      </c>
      <c r="L2566">
        <v>1200</v>
      </c>
      <c r="M2566" t="str">
        <f t="shared" si="176"/>
        <v xml:space="preserve">N35DC   </v>
      </c>
      <c r="N2566">
        <v>1</v>
      </c>
      <c r="O2566">
        <v>1700</v>
      </c>
    </row>
    <row r="2567" spans="1:15" x14ac:dyDescent="0.25">
      <c r="A2567" t="str">
        <f>"10/21/2020 18:32:13.840"</f>
        <v>10/21/2020 18:32:13.840</v>
      </c>
      <c r="B2567" t="str">
        <f>"18:32:21.766"</f>
        <v>18:32:21.766</v>
      </c>
      <c r="C2567" t="str">
        <f>"18:32:21.266"</f>
        <v>18:32:21.266</v>
      </c>
      <c r="D2567" t="s">
        <v>1007</v>
      </c>
      <c r="E2567">
        <v>30.698589999999999</v>
      </c>
      <c r="F2567" t="s">
        <v>996</v>
      </c>
      <c r="G2567">
        <v>-89.872155000000006</v>
      </c>
      <c r="H2567">
        <v>1600</v>
      </c>
      <c r="I2567">
        <v>1</v>
      </c>
      <c r="J2567">
        <v>123</v>
      </c>
      <c r="K2567">
        <v>-128</v>
      </c>
      <c r="L2567">
        <v>1200</v>
      </c>
      <c r="M2567" t="str">
        <f t="shared" ref="M2567:M2630" si="198">"N35DC   "</f>
        <v xml:space="preserve">N35DC   </v>
      </c>
      <c r="N2567">
        <v>1</v>
      </c>
      <c r="O2567">
        <v>1700</v>
      </c>
    </row>
    <row r="2568" spans="1:15" x14ac:dyDescent="0.25">
      <c r="A2568" t="str">
        <f>"10/21/2020 18:32:13.840"</f>
        <v>10/21/2020 18:32:13.840</v>
      </c>
      <c r="B2568" t="str">
        <f>"18:32:21.766"</f>
        <v>18:32:21.766</v>
      </c>
      <c r="C2568" t="str">
        <f>"18:32:21.266"</f>
        <v>18:32:21.266</v>
      </c>
      <c r="D2568" t="s">
        <v>1007</v>
      </c>
      <c r="E2568">
        <v>30.698589999999999</v>
      </c>
      <c r="F2568" t="s">
        <v>996</v>
      </c>
      <c r="G2568">
        <v>-89.872155000000006</v>
      </c>
      <c r="H2568">
        <v>1600</v>
      </c>
      <c r="I2568">
        <v>1</v>
      </c>
      <c r="J2568">
        <v>123</v>
      </c>
      <c r="K2568">
        <v>-128</v>
      </c>
      <c r="L2568">
        <v>1200</v>
      </c>
      <c r="M2568" t="str">
        <f t="shared" si="198"/>
        <v xml:space="preserve">N35DC   </v>
      </c>
      <c r="N2568">
        <v>1</v>
      </c>
      <c r="O2568">
        <v>1700</v>
      </c>
    </row>
    <row r="2569" spans="1:15" x14ac:dyDescent="0.25">
      <c r="A2569" t="str">
        <f>"10/21/2020 18:32:13.840"</f>
        <v>10/21/2020 18:32:13.840</v>
      </c>
      <c r="B2569" t="str">
        <f>"18:32:21.766"</f>
        <v>18:32:21.766</v>
      </c>
      <c r="C2569" t="str">
        <f>"18:32:21.266"</f>
        <v>18:32:21.266</v>
      </c>
      <c r="D2569" t="s">
        <v>1007</v>
      </c>
      <c r="E2569">
        <v>30.698589999999999</v>
      </c>
      <c r="F2569" t="s">
        <v>996</v>
      </c>
      <c r="G2569">
        <v>-89.872155000000006</v>
      </c>
      <c r="H2569">
        <v>1600</v>
      </c>
      <c r="I2569">
        <v>1</v>
      </c>
      <c r="J2569">
        <v>123</v>
      </c>
      <c r="K2569">
        <v>-128</v>
      </c>
      <c r="L2569">
        <v>1200</v>
      </c>
      <c r="M2569" t="str">
        <f t="shared" si="198"/>
        <v xml:space="preserve">N35DC   </v>
      </c>
      <c r="N2569">
        <v>1</v>
      </c>
      <c r="O2569">
        <v>1700</v>
      </c>
    </row>
    <row r="2570" spans="1:15" x14ac:dyDescent="0.25">
      <c r="A2570" t="str">
        <f>"10/21/2020 18:32:13.840"</f>
        <v>10/21/2020 18:32:13.840</v>
      </c>
      <c r="B2570" t="str">
        <f>"18:32:21.766"</f>
        <v>18:32:21.766</v>
      </c>
      <c r="C2570" t="str">
        <f>"18:32:21.266"</f>
        <v>18:32:21.266</v>
      </c>
      <c r="D2570" t="s">
        <v>1007</v>
      </c>
      <c r="E2570">
        <v>30.698589999999999</v>
      </c>
      <c r="F2570" t="s">
        <v>996</v>
      </c>
      <c r="G2570">
        <v>-89.872155000000006</v>
      </c>
      <c r="H2570">
        <v>1600</v>
      </c>
      <c r="I2570">
        <v>1</v>
      </c>
      <c r="J2570">
        <v>123</v>
      </c>
      <c r="K2570">
        <v>-128</v>
      </c>
      <c r="L2570">
        <v>1200</v>
      </c>
      <c r="M2570" t="str">
        <f t="shared" si="198"/>
        <v xml:space="preserve">N35DC   </v>
      </c>
      <c r="N2570">
        <v>1</v>
      </c>
      <c r="O2570">
        <v>1700</v>
      </c>
    </row>
    <row r="2571" spans="1:15" x14ac:dyDescent="0.25">
      <c r="A2571" t="str">
        <f>"10/21/2020 18:32:13.840"</f>
        <v>10/21/2020 18:32:13.840</v>
      </c>
      <c r="B2571" t="str">
        <f>"18:32:21.766"</f>
        <v>18:32:21.766</v>
      </c>
      <c r="C2571" t="str">
        <f>"18:32:21.266"</f>
        <v>18:32:21.266</v>
      </c>
      <c r="D2571" t="s">
        <v>1007</v>
      </c>
      <c r="E2571">
        <v>30.698589999999999</v>
      </c>
      <c r="F2571" t="s">
        <v>996</v>
      </c>
      <c r="G2571">
        <v>-89.872155000000006</v>
      </c>
      <c r="H2571">
        <v>1600</v>
      </c>
      <c r="I2571">
        <v>1</v>
      </c>
      <c r="J2571">
        <v>123</v>
      </c>
      <c r="K2571">
        <v>-128</v>
      </c>
      <c r="L2571">
        <v>1200</v>
      </c>
      <c r="M2571" t="str">
        <f t="shared" si="198"/>
        <v xml:space="preserve">N35DC   </v>
      </c>
      <c r="N2571">
        <v>1</v>
      </c>
      <c r="O2571">
        <v>1700</v>
      </c>
    </row>
    <row r="2572" spans="1:15" x14ac:dyDescent="0.25">
      <c r="A2572" t="str">
        <f t="shared" ref="A2572:A2577" si="199">"10/21/2020 18:32:16.766"</f>
        <v>10/21/2020 18:32:16.766</v>
      </c>
      <c r="B2572" t="str">
        <f t="shared" ref="B2572:B2577" si="200">"18:32:24.695"</f>
        <v>18:32:24.695</v>
      </c>
      <c r="C2572" t="str">
        <f t="shared" ref="C2572:C2577" si="201">"18:32:24.295"</f>
        <v>18:32:24.295</v>
      </c>
      <c r="D2572" t="s">
        <v>1008</v>
      </c>
      <c r="E2572">
        <v>30.700220999999999</v>
      </c>
      <c r="F2572" t="s">
        <v>1002</v>
      </c>
      <c r="G2572">
        <v>-89.872176999999994</v>
      </c>
      <c r="H2572">
        <v>1600</v>
      </c>
      <c r="I2572">
        <v>0</v>
      </c>
      <c r="J2572">
        <v>122</v>
      </c>
      <c r="K2572">
        <v>64</v>
      </c>
      <c r="L2572">
        <v>1200</v>
      </c>
      <c r="M2572" t="str">
        <f t="shared" si="198"/>
        <v xml:space="preserve">N35DC   </v>
      </c>
      <c r="N2572">
        <v>1</v>
      </c>
      <c r="O2572">
        <v>1700</v>
      </c>
    </row>
    <row r="2573" spans="1:15" x14ac:dyDescent="0.25">
      <c r="A2573" t="str">
        <f t="shared" si="199"/>
        <v>10/21/2020 18:32:16.766</v>
      </c>
      <c r="B2573" t="str">
        <f t="shared" si="200"/>
        <v>18:32:24.695</v>
      </c>
      <c r="C2573" t="str">
        <f t="shared" si="201"/>
        <v>18:32:24.295</v>
      </c>
      <c r="D2573" t="s">
        <v>1008</v>
      </c>
      <c r="E2573">
        <v>30.700220999999999</v>
      </c>
      <c r="F2573" t="s">
        <v>1002</v>
      </c>
      <c r="G2573">
        <v>-89.872176999999994</v>
      </c>
      <c r="H2573">
        <v>1600</v>
      </c>
      <c r="I2573">
        <v>0</v>
      </c>
      <c r="J2573">
        <v>122</v>
      </c>
      <c r="K2573">
        <v>64</v>
      </c>
      <c r="L2573">
        <v>1200</v>
      </c>
      <c r="M2573" t="str">
        <f t="shared" si="198"/>
        <v xml:space="preserve">N35DC   </v>
      </c>
      <c r="N2573">
        <v>1</v>
      </c>
      <c r="O2573">
        <v>1700</v>
      </c>
    </row>
    <row r="2574" spans="1:15" x14ac:dyDescent="0.25">
      <c r="A2574" t="str">
        <f t="shared" si="199"/>
        <v>10/21/2020 18:32:16.766</v>
      </c>
      <c r="B2574" t="str">
        <f t="shared" si="200"/>
        <v>18:32:24.695</v>
      </c>
      <c r="C2574" t="str">
        <f t="shared" si="201"/>
        <v>18:32:24.295</v>
      </c>
      <c r="D2574" t="s">
        <v>1008</v>
      </c>
      <c r="E2574">
        <v>30.700220999999999</v>
      </c>
      <c r="F2574" t="s">
        <v>1002</v>
      </c>
      <c r="G2574">
        <v>-89.872176999999994</v>
      </c>
      <c r="H2574">
        <v>1600</v>
      </c>
      <c r="I2574">
        <v>0</v>
      </c>
      <c r="J2574">
        <v>122</v>
      </c>
      <c r="K2574">
        <v>64</v>
      </c>
      <c r="L2574">
        <v>1200</v>
      </c>
      <c r="M2574" t="str">
        <f t="shared" si="198"/>
        <v xml:space="preserve">N35DC   </v>
      </c>
      <c r="N2574">
        <v>1</v>
      </c>
      <c r="O2574">
        <v>1700</v>
      </c>
    </row>
    <row r="2575" spans="1:15" x14ac:dyDescent="0.25">
      <c r="A2575" t="str">
        <f t="shared" si="199"/>
        <v>10/21/2020 18:32:16.766</v>
      </c>
      <c r="B2575" t="str">
        <f t="shared" si="200"/>
        <v>18:32:24.695</v>
      </c>
      <c r="C2575" t="str">
        <f t="shared" si="201"/>
        <v>18:32:24.295</v>
      </c>
      <c r="D2575" t="s">
        <v>1008</v>
      </c>
      <c r="E2575">
        <v>30.700220999999999</v>
      </c>
      <c r="F2575" t="s">
        <v>1002</v>
      </c>
      <c r="G2575">
        <v>-89.872176999999994</v>
      </c>
      <c r="H2575">
        <v>1600</v>
      </c>
      <c r="I2575">
        <v>0</v>
      </c>
      <c r="J2575">
        <v>122</v>
      </c>
      <c r="K2575">
        <v>64</v>
      </c>
      <c r="L2575">
        <v>1200</v>
      </c>
      <c r="M2575" t="str">
        <f t="shared" si="198"/>
        <v xml:space="preserve">N35DC   </v>
      </c>
      <c r="N2575">
        <v>1</v>
      </c>
      <c r="O2575">
        <v>1700</v>
      </c>
    </row>
    <row r="2576" spans="1:15" x14ac:dyDescent="0.25">
      <c r="A2576" t="str">
        <f t="shared" si="199"/>
        <v>10/21/2020 18:32:16.766</v>
      </c>
      <c r="B2576" t="str">
        <f t="shared" si="200"/>
        <v>18:32:24.695</v>
      </c>
      <c r="C2576" t="str">
        <f t="shared" si="201"/>
        <v>18:32:24.295</v>
      </c>
      <c r="D2576" t="s">
        <v>1008</v>
      </c>
      <c r="E2576">
        <v>30.700220999999999</v>
      </c>
      <c r="F2576" t="s">
        <v>1002</v>
      </c>
      <c r="G2576">
        <v>-89.872176999999994</v>
      </c>
      <c r="H2576">
        <v>1600</v>
      </c>
      <c r="I2576">
        <v>0</v>
      </c>
      <c r="J2576">
        <v>122</v>
      </c>
      <c r="K2576">
        <v>64</v>
      </c>
      <c r="L2576">
        <v>1200</v>
      </c>
      <c r="M2576" t="str">
        <f t="shared" si="198"/>
        <v xml:space="preserve">N35DC   </v>
      </c>
      <c r="N2576">
        <v>1</v>
      </c>
      <c r="O2576">
        <v>1700</v>
      </c>
    </row>
    <row r="2577" spans="1:15" x14ac:dyDescent="0.25">
      <c r="A2577" t="str">
        <f t="shared" si="199"/>
        <v>10/21/2020 18:32:16.766</v>
      </c>
      <c r="B2577" t="str">
        <f t="shared" si="200"/>
        <v>18:32:24.695</v>
      </c>
      <c r="C2577" t="str">
        <f t="shared" si="201"/>
        <v>18:32:24.295</v>
      </c>
      <c r="D2577" t="s">
        <v>1008</v>
      </c>
      <c r="E2577">
        <v>30.700220999999999</v>
      </c>
      <c r="F2577" t="s">
        <v>1002</v>
      </c>
      <c r="G2577">
        <v>-89.872176999999994</v>
      </c>
      <c r="H2577">
        <v>1600</v>
      </c>
      <c r="I2577">
        <v>0</v>
      </c>
      <c r="J2577">
        <v>122</v>
      </c>
      <c r="K2577">
        <v>64</v>
      </c>
      <c r="L2577">
        <v>1200</v>
      </c>
      <c r="M2577" t="str">
        <f t="shared" si="198"/>
        <v xml:space="preserve">N35DC   </v>
      </c>
      <c r="N2577">
        <v>1</v>
      </c>
      <c r="O2577">
        <v>1700</v>
      </c>
    </row>
    <row r="2578" spans="1:15" x14ac:dyDescent="0.25">
      <c r="A2578" t="str">
        <f t="shared" ref="A2578:A2583" si="202">"10/21/2020 18:32:17.774"</f>
        <v>10/21/2020 18:32:17.774</v>
      </c>
      <c r="B2578" t="str">
        <f>"18:32:25.687"</f>
        <v>18:32:25.687</v>
      </c>
      <c r="C2578" t="str">
        <f>"18:32:25.387"</f>
        <v>18:32:25.387</v>
      </c>
      <c r="D2578" t="s">
        <v>1009</v>
      </c>
      <c r="E2578">
        <v>30.700800000000001</v>
      </c>
      <c r="F2578" t="s">
        <v>996</v>
      </c>
      <c r="G2578">
        <v>-89.872155000000006</v>
      </c>
      <c r="H2578">
        <v>1600</v>
      </c>
      <c r="I2578">
        <v>-1</v>
      </c>
      <c r="J2578">
        <v>122</v>
      </c>
      <c r="K2578">
        <v>0</v>
      </c>
      <c r="L2578">
        <v>1200</v>
      </c>
      <c r="M2578" t="str">
        <f t="shared" si="198"/>
        <v xml:space="preserve">N35DC   </v>
      </c>
      <c r="N2578">
        <v>1</v>
      </c>
      <c r="O2578">
        <v>1700</v>
      </c>
    </row>
    <row r="2579" spans="1:15" x14ac:dyDescent="0.25">
      <c r="A2579" t="str">
        <f t="shared" si="202"/>
        <v>10/21/2020 18:32:17.774</v>
      </c>
      <c r="B2579" t="str">
        <f>"18:32:25.687"</f>
        <v>18:32:25.687</v>
      </c>
      <c r="C2579" t="str">
        <f>"18:32:25.387"</f>
        <v>18:32:25.387</v>
      </c>
      <c r="D2579" t="s">
        <v>1009</v>
      </c>
      <c r="E2579">
        <v>30.700800000000001</v>
      </c>
      <c r="F2579" t="s">
        <v>996</v>
      </c>
      <c r="G2579">
        <v>-89.872155000000006</v>
      </c>
      <c r="H2579">
        <v>1600</v>
      </c>
      <c r="I2579">
        <v>-1</v>
      </c>
      <c r="J2579">
        <v>122</v>
      </c>
      <c r="K2579">
        <v>0</v>
      </c>
      <c r="L2579">
        <v>1200</v>
      </c>
      <c r="M2579" t="str">
        <f t="shared" si="198"/>
        <v xml:space="preserve">N35DC   </v>
      </c>
      <c r="N2579">
        <v>1</v>
      </c>
      <c r="O2579">
        <v>1700</v>
      </c>
    </row>
    <row r="2580" spans="1:15" x14ac:dyDescent="0.25">
      <c r="A2580" t="str">
        <f t="shared" si="202"/>
        <v>10/21/2020 18:32:17.774</v>
      </c>
      <c r="B2580" t="str">
        <f>"18:32:25.687"</f>
        <v>18:32:25.687</v>
      </c>
      <c r="C2580" t="str">
        <f>"18:32:25.387"</f>
        <v>18:32:25.387</v>
      </c>
      <c r="D2580" t="s">
        <v>1009</v>
      </c>
      <c r="E2580">
        <v>30.700800000000001</v>
      </c>
      <c r="F2580" t="s">
        <v>996</v>
      </c>
      <c r="G2580">
        <v>-89.872155000000006</v>
      </c>
      <c r="H2580">
        <v>1600</v>
      </c>
      <c r="I2580">
        <v>-1</v>
      </c>
      <c r="J2580">
        <v>122</v>
      </c>
      <c r="K2580">
        <v>0</v>
      </c>
      <c r="L2580">
        <v>1200</v>
      </c>
      <c r="M2580" t="str">
        <f t="shared" si="198"/>
        <v xml:space="preserve">N35DC   </v>
      </c>
      <c r="N2580">
        <v>1</v>
      </c>
      <c r="O2580">
        <v>1700</v>
      </c>
    </row>
    <row r="2581" spans="1:15" x14ac:dyDescent="0.25">
      <c r="A2581" t="str">
        <f t="shared" si="202"/>
        <v>10/21/2020 18:32:17.774</v>
      </c>
      <c r="B2581" t="str">
        <f>"18:32:25.687"</f>
        <v>18:32:25.687</v>
      </c>
      <c r="C2581" t="str">
        <f>"18:32:25.387"</f>
        <v>18:32:25.387</v>
      </c>
      <c r="D2581" t="s">
        <v>1009</v>
      </c>
      <c r="E2581">
        <v>30.700800000000001</v>
      </c>
      <c r="F2581" t="s">
        <v>996</v>
      </c>
      <c r="G2581">
        <v>-89.872155000000006</v>
      </c>
      <c r="H2581">
        <v>1600</v>
      </c>
      <c r="I2581">
        <v>-1</v>
      </c>
      <c r="J2581">
        <v>122</v>
      </c>
      <c r="K2581">
        <v>0</v>
      </c>
      <c r="L2581">
        <v>1200</v>
      </c>
      <c r="M2581" t="str">
        <f t="shared" si="198"/>
        <v xml:space="preserve">N35DC   </v>
      </c>
      <c r="N2581">
        <v>1</v>
      </c>
      <c r="O2581">
        <v>1700</v>
      </c>
    </row>
    <row r="2582" spans="1:15" x14ac:dyDescent="0.25">
      <c r="A2582" t="str">
        <f t="shared" si="202"/>
        <v>10/21/2020 18:32:17.774</v>
      </c>
      <c r="B2582" t="str">
        <f>"18:32:25.680"</f>
        <v>18:32:25.680</v>
      </c>
      <c r="C2582" t="str">
        <f>"18:32:25.380"</f>
        <v>18:32:25.380</v>
      </c>
      <c r="D2582" t="s">
        <v>1009</v>
      </c>
      <c r="E2582">
        <v>30.700800000000001</v>
      </c>
      <c r="F2582" t="s">
        <v>996</v>
      </c>
      <c r="G2582">
        <v>-89.872155000000006</v>
      </c>
      <c r="H2582">
        <v>1600</v>
      </c>
      <c r="I2582">
        <v>-1</v>
      </c>
      <c r="J2582">
        <v>122</v>
      </c>
      <c r="K2582">
        <v>0</v>
      </c>
      <c r="L2582">
        <v>1200</v>
      </c>
      <c r="M2582" t="str">
        <f t="shared" si="198"/>
        <v xml:space="preserve">N35DC   </v>
      </c>
      <c r="N2582">
        <v>1</v>
      </c>
      <c r="O2582">
        <v>1700</v>
      </c>
    </row>
    <row r="2583" spans="1:15" x14ac:dyDescent="0.25">
      <c r="A2583" t="str">
        <f t="shared" si="202"/>
        <v>10/21/2020 18:32:17.774</v>
      </c>
      <c r="B2583" t="str">
        <f>"18:32:25.687"</f>
        <v>18:32:25.687</v>
      </c>
      <c r="C2583" t="str">
        <f>"18:32:25.387"</f>
        <v>18:32:25.387</v>
      </c>
      <c r="D2583" t="s">
        <v>1009</v>
      </c>
      <c r="E2583">
        <v>30.700800000000001</v>
      </c>
      <c r="F2583" t="s">
        <v>996</v>
      </c>
      <c r="G2583">
        <v>-89.872155000000006</v>
      </c>
      <c r="H2583">
        <v>1600</v>
      </c>
      <c r="I2583">
        <v>-1</v>
      </c>
      <c r="J2583">
        <v>122</v>
      </c>
      <c r="K2583">
        <v>0</v>
      </c>
      <c r="L2583">
        <v>1200</v>
      </c>
      <c r="M2583" t="str">
        <f t="shared" si="198"/>
        <v xml:space="preserve">N35DC   </v>
      </c>
      <c r="N2583">
        <v>1</v>
      </c>
      <c r="O2583">
        <v>1700</v>
      </c>
    </row>
    <row r="2584" spans="1:15" x14ac:dyDescent="0.25">
      <c r="A2584" t="str">
        <f>"10/21/2020 18:32:20.813"</f>
        <v>10/21/2020 18:32:20.813</v>
      </c>
      <c r="B2584" t="str">
        <f>"18:32:28.742"</f>
        <v>18:32:28.742</v>
      </c>
      <c r="C2584" t="str">
        <f>"18:32:28.442"</f>
        <v>18:32:28.442</v>
      </c>
      <c r="D2584" t="s">
        <v>1010</v>
      </c>
      <c r="E2584">
        <v>30.702496</v>
      </c>
      <c r="F2584" t="s">
        <v>1002</v>
      </c>
      <c r="G2584">
        <v>-89.872176999999994</v>
      </c>
      <c r="H2584">
        <v>1600</v>
      </c>
      <c r="I2584">
        <v>-1</v>
      </c>
      <c r="J2584">
        <v>122</v>
      </c>
      <c r="K2584">
        <v>64</v>
      </c>
      <c r="L2584">
        <v>1200</v>
      </c>
      <c r="M2584" t="str">
        <f t="shared" si="198"/>
        <v xml:space="preserve">N35DC   </v>
      </c>
      <c r="N2584">
        <v>1</v>
      </c>
      <c r="O2584">
        <v>1700</v>
      </c>
    </row>
    <row r="2585" spans="1:15" x14ac:dyDescent="0.25">
      <c r="A2585" t="str">
        <f>"10/21/2020 18:32:20.813"</f>
        <v>10/21/2020 18:32:20.813</v>
      </c>
      <c r="B2585" t="str">
        <f>"18:32:28.742"</f>
        <v>18:32:28.742</v>
      </c>
      <c r="C2585" t="str">
        <f>"18:32:28.442"</f>
        <v>18:32:28.442</v>
      </c>
      <c r="D2585" t="s">
        <v>1010</v>
      </c>
      <c r="E2585">
        <v>30.702496</v>
      </c>
      <c r="F2585" t="s">
        <v>1002</v>
      </c>
      <c r="G2585">
        <v>-89.872176999999994</v>
      </c>
      <c r="H2585">
        <v>1600</v>
      </c>
      <c r="I2585">
        <v>-1</v>
      </c>
      <c r="J2585">
        <v>122</v>
      </c>
      <c r="K2585">
        <v>64</v>
      </c>
      <c r="L2585">
        <v>1200</v>
      </c>
      <c r="M2585" t="str">
        <f t="shared" si="198"/>
        <v xml:space="preserve">N35DC   </v>
      </c>
      <c r="N2585">
        <v>1</v>
      </c>
      <c r="O2585">
        <v>1700</v>
      </c>
    </row>
    <row r="2586" spans="1:15" x14ac:dyDescent="0.25">
      <c r="A2586" t="str">
        <f>"10/21/2020 18:32:20.813"</f>
        <v>10/21/2020 18:32:20.813</v>
      </c>
      <c r="B2586" t="str">
        <f>"18:32:28.742"</f>
        <v>18:32:28.742</v>
      </c>
      <c r="C2586" t="str">
        <f>"18:32:28.442"</f>
        <v>18:32:28.442</v>
      </c>
      <c r="D2586" t="s">
        <v>1010</v>
      </c>
      <c r="E2586">
        <v>30.702496</v>
      </c>
      <c r="F2586" t="s">
        <v>1002</v>
      </c>
      <c r="G2586">
        <v>-89.872176999999994</v>
      </c>
      <c r="H2586">
        <v>1600</v>
      </c>
      <c r="I2586">
        <v>-1</v>
      </c>
      <c r="J2586">
        <v>122</v>
      </c>
      <c r="K2586">
        <v>64</v>
      </c>
      <c r="L2586">
        <v>1200</v>
      </c>
      <c r="M2586" t="str">
        <f t="shared" si="198"/>
        <v xml:space="preserve">N35DC   </v>
      </c>
      <c r="N2586">
        <v>1</v>
      </c>
      <c r="O2586">
        <v>1700</v>
      </c>
    </row>
    <row r="2587" spans="1:15" x14ac:dyDescent="0.25">
      <c r="A2587" t="str">
        <f>"10/21/2020 18:32:20.813"</f>
        <v>10/21/2020 18:32:20.813</v>
      </c>
      <c r="B2587" t="str">
        <f>"18:32:28.742"</f>
        <v>18:32:28.742</v>
      </c>
      <c r="C2587" t="str">
        <f>"18:32:28.442"</f>
        <v>18:32:28.442</v>
      </c>
      <c r="D2587" t="s">
        <v>1010</v>
      </c>
      <c r="E2587">
        <v>30.702496</v>
      </c>
      <c r="F2587" t="s">
        <v>1002</v>
      </c>
      <c r="G2587">
        <v>-89.872176999999994</v>
      </c>
      <c r="H2587">
        <v>1600</v>
      </c>
      <c r="I2587">
        <v>-1</v>
      </c>
      <c r="J2587">
        <v>122</v>
      </c>
      <c r="K2587">
        <v>64</v>
      </c>
      <c r="L2587">
        <v>1200</v>
      </c>
      <c r="M2587" t="str">
        <f t="shared" si="198"/>
        <v xml:space="preserve">N35DC   </v>
      </c>
      <c r="N2587">
        <v>1</v>
      </c>
      <c r="O2587">
        <v>1700</v>
      </c>
    </row>
    <row r="2588" spans="1:15" x14ac:dyDescent="0.25">
      <c r="A2588" t="str">
        <f>"10/21/2020 18:32:20.813"</f>
        <v>10/21/2020 18:32:20.813</v>
      </c>
      <c r="B2588" t="str">
        <f>"18:32:28.742"</f>
        <v>18:32:28.742</v>
      </c>
      <c r="C2588" t="str">
        <f>"18:32:28.442"</f>
        <v>18:32:28.442</v>
      </c>
      <c r="D2588" t="s">
        <v>1010</v>
      </c>
      <c r="E2588">
        <v>30.702496</v>
      </c>
      <c r="F2588" t="s">
        <v>1002</v>
      </c>
      <c r="G2588">
        <v>-89.872176999999994</v>
      </c>
      <c r="H2588">
        <v>1600</v>
      </c>
      <c r="I2588">
        <v>-1</v>
      </c>
      <c r="J2588">
        <v>122</v>
      </c>
      <c r="K2588">
        <v>64</v>
      </c>
      <c r="L2588">
        <v>1200</v>
      </c>
      <c r="M2588" t="str">
        <f t="shared" si="198"/>
        <v xml:space="preserve">N35DC   </v>
      </c>
      <c r="N2588">
        <v>1</v>
      </c>
      <c r="O2588">
        <v>1700</v>
      </c>
    </row>
    <row r="2589" spans="1:15" x14ac:dyDescent="0.25">
      <c r="A2589" t="str">
        <f>"10/21/2020 18:32:21.392"</f>
        <v>10/21/2020 18:32:21.392</v>
      </c>
      <c r="B2589" t="str">
        <f>"18:32:29.297"</f>
        <v>18:32:29.297</v>
      </c>
      <c r="C2589" t="str">
        <f>"18:32:28.397"</f>
        <v>18:32:28.397</v>
      </c>
      <c r="D2589" t="s">
        <v>1011</v>
      </c>
      <c r="E2589">
        <v>30.702860000000001</v>
      </c>
      <c r="F2589" t="s">
        <v>996</v>
      </c>
      <c r="G2589">
        <v>-89.872155000000006</v>
      </c>
      <c r="H2589">
        <v>1600</v>
      </c>
      <c r="I2589">
        <v>-1</v>
      </c>
      <c r="J2589">
        <v>122</v>
      </c>
      <c r="K2589">
        <v>64</v>
      </c>
      <c r="L2589">
        <v>1200</v>
      </c>
      <c r="M2589" t="str">
        <f t="shared" si="198"/>
        <v xml:space="preserve">N35DC   </v>
      </c>
      <c r="N2589">
        <v>1</v>
      </c>
      <c r="O2589">
        <v>1700</v>
      </c>
    </row>
    <row r="2590" spans="1:15" x14ac:dyDescent="0.25">
      <c r="A2590" t="str">
        <f>"10/21/2020 18:32:24.882"</f>
        <v>10/21/2020 18:32:24.882</v>
      </c>
      <c r="B2590" t="str">
        <f>"18:32:32.789"</f>
        <v>18:32:32.789</v>
      </c>
      <c r="C2590" t="str">
        <f>"18:32:32.389"</f>
        <v>18:32:32.389</v>
      </c>
      <c r="D2590" t="s">
        <v>1012</v>
      </c>
      <c r="E2590">
        <v>30.704813000000001</v>
      </c>
      <c r="F2590" t="s">
        <v>998</v>
      </c>
      <c r="G2590">
        <v>-89.872197999999997</v>
      </c>
      <c r="H2590">
        <v>1600</v>
      </c>
      <c r="I2590">
        <v>0</v>
      </c>
      <c r="J2590">
        <v>123</v>
      </c>
      <c r="K2590">
        <v>-64</v>
      </c>
      <c r="L2590">
        <v>1200</v>
      </c>
      <c r="M2590" t="str">
        <f t="shared" si="198"/>
        <v xml:space="preserve">N35DC   </v>
      </c>
      <c r="N2590">
        <v>1</v>
      </c>
      <c r="O2590">
        <v>1700</v>
      </c>
    </row>
    <row r="2591" spans="1:15" x14ac:dyDescent="0.25">
      <c r="A2591" t="str">
        <f>"10/21/2020 18:32:24.882"</f>
        <v>10/21/2020 18:32:24.882</v>
      </c>
      <c r="B2591" t="str">
        <f>"18:32:32.789"</f>
        <v>18:32:32.789</v>
      </c>
      <c r="C2591" t="str">
        <f>"18:32:32.389"</f>
        <v>18:32:32.389</v>
      </c>
      <c r="D2591" t="s">
        <v>1012</v>
      </c>
      <c r="E2591">
        <v>30.704813000000001</v>
      </c>
      <c r="F2591" t="s">
        <v>998</v>
      </c>
      <c r="G2591">
        <v>-89.872197999999997</v>
      </c>
      <c r="H2591">
        <v>1600</v>
      </c>
      <c r="I2591">
        <v>0</v>
      </c>
      <c r="J2591">
        <v>123</v>
      </c>
      <c r="K2591">
        <v>-64</v>
      </c>
      <c r="L2591">
        <v>1200</v>
      </c>
      <c r="M2591" t="str">
        <f t="shared" si="198"/>
        <v xml:space="preserve">N35DC   </v>
      </c>
      <c r="N2591">
        <v>1</v>
      </c>
      <c r="O2591">
        <v>1700</v>
      </c>
    </row>
    <row r="2592" spans="1:15" x14ac:dyDescent="0.25">
      <c r="A2592" t="str">
        <f>"10/21/2020 18:32:24.882"</f>
        <v>10/21/2020 18:32:24.882</v>
      </c>
      <c r="B2592" t="str">
        <f>"18:32:32.789"</f>
        <v>18:32:32.789</v>
      </c>
      <c r="C2592" t="str">
        <f>"18:32:32.389"</f>
        <v>18:32:32.389</v>
      </c>
      <c r="D2592" t="s">
        <v>1012</v>
      </c>
      <c r="E2592">
        <v>30.704813000000001</v>
      </c>
      <c r="F2592" t="s">
        <v>998</v>
      </c>
      <c r="G2592">
        <v>-89.872197999999997</v>
      </c>
      <c r="H2592">
        <v>1600</v>
      </c>
      <c r="I2592">
        <v>0</v>
      </c>
      <c r="J2592">
        <v>123</v>
      </c>
      <c r="K2592">
        <v>-64</v>
      </c>
      <c r="L2592">
        <v>1200</v>
      </c>
      <c r="M2592" t="str">
        <f t="shared" si="198"/>
        <v xml:space="preserve">N35DC   </v>
      </c>
      <c r="N2592">
        <v>1</v>
      </c>
      <c r="O2592">
        <v>1700</v>
      </c>
    </row>
    <row r="2593" spans="1:15" x14ac:dyDescent="0.25">
      <c r="A2593" t="str">
        <f>"10/21/2020 18:32:24.882"</f>
        <v>10/21/2020 18:32:24.882</v>
      </c>
      <c r="B2593" t="str">
        <f>"18:32:32.789"</f>
        <v>18:32:32.789</v>
      </c>
      <c r="C2593" t="str">
        <f>"18:32:32.389"</f>
        <v>18:32:32.389</v>
      </c>
      <c r="D2593" t="s">
        <v>1012</v>
      </c>
      <c r="E2593">
        <v>30.704813000000001</v>
      </c>
      <c r="F2593" t="s">
        <v>998</v>
      </c>
      <c r="G2593">
        <v>-89.872197999999997</v>
      </c>
      <c r="H2593">
        <v>1600</v>
      </c>
      <c r="I2593">
        <v>0</v>
      </c>
      <c r="J2593">
        <v>123</v>
      </c>
      <c r="K2593">
        <v>-64</v>
      </c>
      <c r="L2593">
        <v>1200</v>
      </c>
      <c r="M2593" t="str">
        <f t="shared" si="198"/>
        <v xml:space="preserve">N35DC   </v>
      </c>
      <c r="N2593">
        <v>1</v>
      </c>
      <c r="O2593">
        <v>1700</v>
      </c>
    </row>
    <row r="2594" spans="1:15" x14ac:dyDescent="0.25">
      <c r="A2594" t="str">
        <f>"10/21/2020 18:32:24.882"</f>
        <v>10/21/2020 18:32:24.882</v>
      </c>
      <c r="B2594" t="str">
        <f>"18:32:32.789"</f>
        <v>18:32:32.789</v>
      </c>
      <c r="C2594" t="str">
        <f>"18:32:32.389"</f>
        <v>18:32:32.389</v>
      </c>
      <c r="D2594" t="s">
        <v>1012</v>
      </c>
      <c r="E2594">
        <v>30.704813000000001</v>
      </c>
      <c r="F2594" t="s">
        <v>998</v>
      </c>
      <c r="G2594">
        <v>-89.872197999999997</v>
      </c>
      <c r="H2594">
        <v>1600</v>
      </c>
      <c r="I2594">
        <v>0</v>
      </c>
      <c r="J2594">
        <v>123</v>
      </c>
      <c r="K2594">
        <v>-64</v>
      </c>
      <c r="L2594">
        <v>1200</v>
      </c>
      <c r="M2594" t="str">
        <f t="shared" si="198"/>
        <v xml:space="preserve">N35DC   </v>
      </c>
      <c r="N2594">
        <v>1</v>
      </c>
      <c r="O2594">
        <v>1700</v>
      </c>
    </row>
    <row r="2595" spans="1:15" x14ac:dyDescent="0.25">
      <c r="A2595" t="str">
        <f t="shared" ref="A2595:A2600" si="203">"10/21/2020 18:32:25.940"</f>
        <v>10/21/2020 18:32:25.940</v>
      </c>
      <c r="B2595" t="str">
        <f t="shared" ref="B2595:C2600" si="204">"18:32:33.844"</f>
        <v>18:32:33.844</v>
      </c>
      <c r="C2595" t="str">
        <f t="shared" si="204"/>
        <v>18:32:33.844</v>
      </c>
      <c r="D2595" t="s">
        <v>1013</v>
      </c>
      <c r="E2595">
        <v>30.705435000000001</v>
      </c>
      <c r="F2595" t="s">
        <v>1002</v>
      </c>
      <c r="G2595">
        <v>-89.872176999999994</v>
      </c>
      <c r="H2595">
        <v>1600</v>
      </c>
      <c r="I2595">
        <v>1</v>
      </c>
      <c r="J2595">
        <v>123</v>
      </c>
      <c r="K2595">
        <v>-192</v>
      </c>
      <c r="L2595">
        <v>1200</v>
      </c>
      <c r="M2595" t="str">
        <f t="shared" si="198"/>
        <v xml:space="preserve">N35DC   </v>
      </c>
      <c r="N2595">
        <v>1</v>
      </c>
      <c r="O2595">
        <v>1700</v>
      </c>
    </row>
    <row r="2596" spans="1:15" x14ac:dyDescent="0.25">
      <c r="A2596" t="str">
        <f t="shared" si="203"/>
        <v>10/21/2020 18:32:25.940</v>
      </c>
      <c r="B2596" t="str">
        <f t="shared" si="204"/>
        <v>18:32:33.844</v>
      </c>
      <c r="C2596" t="str">
        <f t="shared" si="204"/>
        <v>18:32:33.844</v>
      </c>
      <c r="D2596" t="s">
        <v>1013</v>
      </c>
      <c r="E2596">
        <v>30.705435000000001</v>
      </c>
      <c r="F2596" t="s">
        <v>1002</v>
      </c>
      <c r="G2596">
        <v>-89.872176999999994</v>
      </c>
      <c r="H2596">
        <v>1600</v>
      </c>
      <c r="I2596">
        <v>1</v>
      </c>
      <c r="J2596">
        <v>123</v>
      </c>
      <c r="K2596">
        <v>-192</v>
      </c>
      <c r="L2596">
        <v>1200</v>
      </c>
      <c r="M2596" t="str">
        <f t="shared" si="198"/>
        <v xml:space="preserve">N35DC   </v>
      </c>
      <c r="N2596">
        <v>1</v>
      </c>
      <c r="O2596">
        <v>1700</v>
      </c>
    </row>
    <row r="2597" spans="1:15" x14ac:dyDescent="0.25">
      <c r="A2597" t="str">
        <f t="shared" si="203"/>
        <v>10/21/2020 18:32:25.940</v>
      </c>
      <c r="B2597" t="str">
        <f t="shared" si="204"/>
        <v>18:32:33.844</v>
      </c>
      <c r="C2597" t="str">
        <f t="shared" si="204"/>
        <v>18:32:33.844</v>
      </c>
      <c r="D2597" t="s">
        <v>1013</v>
      </c>
      <c r="E2597">
        <v>30.705435000000001</v>
      </c>
      <c r="F2597" t="s">
        <v>1002</v>
      </c>
      <c r="G2597">
        <v>-89.872176999999994</v>
      </c>
      <c r="H2597">
        <v>1600</v>
      </c>
      <c r="I2597">
        <v>1</v>
      </c>
      <c r="J2597">
        <v>123</v>
      </c>
      <c r="K2597">
        <v>-192</v>
      </c>
      <c r="L2597">
        <v>1200</v>
      </c>
      <c r="M2597" t="str">
        <f t="shared" si="198"/>
        <v xml:space="preserve">N35DC   </v>
      </c>
      <c r="N2597">
        <v>1</v>
      </c>
      <c r="O2597">
        <v>1700</v>
      </c>
    </row>
    <row r="2598" spans="1:15" x14ac:dyDescent="0.25">
      <c r="A2598" t="str">
        <f t="shared" si="203"/>
        <v>10/21/2020 18:32:25.940</v>
      </c>
      <c r="B2598" t="str">
        <f t="shared" si="204"/>
        <v>18:32:33.844</v>
      </c>
      <c r="C2598" t="str">
        <f t="shared" si="204"/>
        <v>18:32:33.844</v>
      </c>
      <c r="D2598" t="s">
        <v>1013</v>
      </c>
      <c r="E2598">
        <v>30.705435000000001</v>
      </c>
      <c r="F2598" t="s">
        <v>1002</v>
      </c>
      <c r="G2598">
        <v>-89.872176999999994</v>
      </c>
      <c r="H2598">
        <v>1600</v>
      </c>
      <c r="I2598">
        <v>1</v>
      </c>
      <c r="J2598">
        <v>123</v>
      </c>
      <c r="K2598">
        <v>-192</v>
      </c>
      <c r="L2598">
        <v>1200</v>
      </c>
      <c r="M2598" t="str">
        <f t="shared" si="198"/>
        <v xml:space="preserve">N35DC   </v>
      </c>
      <c r="N2598">
        <v>1</v>
      </c>
      <c r="O2598">
        <v>1700</v>
      </c>
    </row>
    <row r="2599" spans="1:15" x14ac:dyDescent="0.25">
      <c r="A2599" t="str">
        <f t="shared" si="203"/>
        <v>10/21/2020 18:32:25.940</v>
      </c>
      <c r="B2599" t="str">
        <f t="shared" si="204"/>
        <v>18:32:33.844</v>
      </c>
      <c r="C2599" t="str">
        <f t="shared" si="204"/>
        <v>18:32:33.844</v>
      </c>
      <c r="D2599" t="s">
        <v>1013</v>
      </c>
      <c r="E2599">
        <v>30.705435000000001</v>
      </c>
      <c r="F2599" t="s">
        <v>1002</v>
      </c>
      <c r="G2599">
        <v>-89.872176999999994</v>
      </c>
      <c r="H2599">
        <v>1600</v>
      </c>
      <c r="I2599">
        <v>1</v>
      </c>
      <c r="J2599">
        <v>123</v>
      </c>
      <c r="K2599">
        <v>-192</v>
      </c>
      <c r="L2599">
        <v>1200</v>
      </c>
      <c r="M2599" t="str">
        <f t="shared" si="198"/>
        <v xml:space="preserve">N35DC   </v>
      </c>
      <c r="N2599">
        <v>1</v>
      </c>
      <c r="O2599">
        <v>1700</v>
      </c>
    </row>
    <row r="2600" spans="1:15" x14ac:dyDescent="0.25">
      <c r="A2600" t="str">
        <f t="shared" si="203"/>
        <v>10/21/2020 18:32:25.940</v>
      </c>
      <c r="B2600" t="str">
        <f t="shared" si="204"/>
        <v>18:32:33.844</v>
      </c>
      <c r="C2600" t="str">
        <f t="shared" si="204"/>
        <v>18:32:33.844</v>
      </c>
      <c r="D2600" t="s">
        <v>1013</v>
      </c>
      <c r="E2600">
        <v>30.705435000000001</v>
      </c>
      <c r="F2600" t="s">
        <v>1002</v>
      </c>
      <c r="G2600">
        <v>-89.872176999999994</v>
      </c>
      <c r="H2600">
        <v>1600</v>
      </c>
      <c r="I2600">
        <v>1</v>
      </c>
      <c r="J2600">
        <v>123</v>
      </c>
      <c r="K2600">
        <v>-192</v>
      </c>
      <c r="L2600">
        <v>1200</v>
      </c>
      <c r="M2600" t="str">
        <f t="shared" si="198"/>
        <v xml:space="preserve">N35DC   </v>
      </c>
      <c r="N2600">
        <v>1</v>
      </c>
      <c r="O2600">
        <v>1700</v>
      </c>
    </row>
    <row r="2601" spans="1:15" x14ac:dyDescent="0.25">
      <c r="A2601" t="str">
        <f t="shared" ref="A2601:A2606" si="205">"10/21/2020 18:32:28.808"</f>
        <v>10/21/2020 18:32:28.808</v>
      </c>
      <c r="B2601" t="str">
        <f t="shared" ref="B2601:B2606" si="206">"18:32:36.734"</f>
        <v>18:32:36.734</v>
      </c>
      <c r="C2601" t="str">
        <f t="shared" ref="C2601:C2606" si="207">"18:32:36.534"</f>
        <v>18:32:36.534</v>
      </c>
      <c r="D2601" t="s">
        <v>1014</v>
      </c>
      <c r="E2601">
        <v>30.707066000000001</v>
      </c>
      <c r="F2601" t="s">
        <v>993</v>
      </c>
      <c r="G2601">
        <v>-89.872112000000001</v>
      </c>
      <c r="H2601">
        <v>1600</v>
      </c>
      <c r="I2601">
        <v>3</v>
      </c>
      <c r="J2601">
        <v>124</v>
      </c>
      <c r="K2601">
        <v>-128</v>
      </c>
      <c r="L2601">
        <v>1200</v>
      </c>
      <c r="M2601" t="str">
        <f t="shared" si="198"/>
        <v xml:space="preserve">N35DC   </v>
      </c>
      <c r="N2601">
        <v>1</v>
      </c>
      <c r="O2601">
        <v>1700</v>
      </c>
    </row>
    <row r="2602" spans="1:15" x14ac:dyDescent="0.25">
      <c r="A2602" t="str">
        <f t="shared" si="205"/>
        <v>10/21/2020 18:32:28.808</v>
      </c>
      <c r="B2602" t="str">
        <f t="shared" si="206"/>
        <v>18:32:36.734</v>
      </c>
      <c r="C2602" t="str">
        <f t="shared" si="207"/>
        <v>18:32:36.534</v>
      </c>
      <c r="D2602" t="s">
        <v>1014</v>
      </c>
      <c r="E2602">
        <v>30.707066000000001</v>
      </c>
      <c r="F2602" t="s">
        <v>993</v>
      </c>
      <c r="G2602">
        <v>-89.872112000000001</v>
      </c>
      <c r="H2602">
        <v>1600</v>
      </c>
      <c r="I2602">
        <v>3</v>
      </c>
      <c r="J2602">
        <v>124</v>
      </c>
      <c r="K2602">
        <v>-128</v>
      </c>
      <c r="L2602">
        <v>1200</v>
      </c>
      <c r="M2602" t="str">
        <f t="shared" si="198"/>
        <v xml:space="preserve">N35DC   </v>
      </c>
      <c r="N2602">
        <v>1</v>
      </c>
      <c r="O2602">
        <v>1700</v>
      </c>
    </row>
    <row r="2603" spans="1:15" x14ac:dyDescent="0.25">
      <c r="A2603" t="str">
        <f t="shared" si="205"/>
        <v>10/21/2020 18:32:28.808</v>
      </c>
      <c r="B2603" t="str">
        <f t="shared" si="206"/>
        <v>18:32:36.734</v>
      </c>
      <c r="C2603" t="str">
        <f t="shared" si="207"/>
        <v>18:32:36.534</v>
      </c>
      <c r="D2603" t="s">
        <v>1014</v>
      </c>
      <c r="E2603">
        <v>30.707066000000001</v>
      </c>
      <c r="F2603" t="s">
        <v>993</v>
      </c>
      <c r="G2603">
        <v>-89.872112000000001</v>
      </c>
      <c r="H2603">
        <v>1600</v>
      </c>
      <c r="I2603">
        <v>3</v>
      </c>
      <c r="J2603">
        <v>124</v>
      </c>
      <c r="K2603">
        <v>-128</v>
      </c>
      <c r="L2603">
        <v>1200</v>
      </c>
      <c r="M2603" t="str">
        <f t="shared" si="198"/>
        <v xml:space="preserve">N35DC   </v>
      </c>
      <c r="N2603">
        <v>1</v>
      </c>
      <c r="O2603">
        <v>1700</v>
      </c>
    </row>
    <row r="2604" spans="1:15" x14ac:dyDescent="0.25">
      <c r="A2604" t="str">
        <f t="shared" si="205"/>
        <v>10/21/2020 18:32:28.808</v>
      </c>
      <c r="B2604" t="str">
        <f t="shared" si="206"/>
        <v>18:32:36.734</v>
      </c>
      <c r="C2604" t="str">
        <f t="shared" si="207"/>
        <v>18:32:36.534</v>
      </c>
      <c r="D2604" t="s">
        <v>1014</v>
      </c>
      <c r="E2604">
        <v>30.707066000000001</v>
      </c>
      <c r="F2604" t="s">
        <v>993</v>
      </c>
      <c r="G2604">
        <v>-89.872112000000001</v>
      </c>
      <c r="H2604">
        <v>1600</v>
      </c>
      <c r="I2604">
        <v>3</v>
      </c>
      <c r="J2604">
        <v>124</v>
      </c>
      <c r="K2604">
        <v>-128</v>
      </c>
      <c r="L2604">
        <v>1200</v>
      </c>
      <c r="M2604" t="str">
        <f t="shared" si="198"/>
        <v xml:space="preserve">N35DC   </v>
      </c>
      <c r="N2604">
        <v>1</v>
      </c>
      <c r="O2604">
        <v>1700</v>
      </c>
    </row>
    <row r="2605" spans="1:15" x14ac:dyDescent="0.25">
      <c r="A2605" t="str">
        <f t="shared" si="205"/>
        <v>10/21/2020 18:32:28.808</v>
      </c>
      <c r="B2605" t="str">
        <f t="shared" si="206"/>
        <v>18:32:36.734</v>
      </c>
      <c r="C2605" t="str">
        <f t="shared" si="207"/>
        <v>18:32:36.534</v>
      </c>
      <c r="D2605" t="s">
        <v>1014</v>
      </c>
      <c r="E2605">
        <v>30.707066000000001</v>
      </c>
      <c r="F2605" t="s">
        <v>993</v>
      </c>
      <c r="G2605">
        <v>-89.872112000000001</v>
      </c>
      <c r="H2605">
        <v>1600</v>
      </c>
      <c r="I2605">
        <v>3</v>
      </c>
      <c r="J2605">
        <v>124</v>
      </c>
      <c r="K2605">
        <v>-128</v>
      </c>
      <c r="L2605">
        <v>1200</v>
      </c>
      <c r="M2605" t="str">
        <f t="shared" si="198"/>
        <v xml:space="preserve">N35DC   </v>
      </c>
      <c r="N2605">
        <v>1</v>
      </c>
      <c r="O2605">
        <v>1700</v>
      </c>
    </row>
    <row r="2606" spans="1:15" x14ac:dyDescent="0.25">
      <c r="A2606" t="str">
        <f t="shared" si="205"/>
        <v>10/21/2020 18:32:28.808</v>
      </c>
      <c r="B2606" t="str">
        <f t="shared" si="206"/>
        <v>18:32:36.734</v>
      </c>
      <c r="C2606" t="str">
        <f t="shared" si="207"/>
        <v>18:32:36.534</v>
      </c>
      <c r="D2606" t="s">
        <v>1014</v>
      </c>
      <c r="E2606">
        <v>30.707066000000001</v>
      </c>
      <c r="F2606" t="s">
        <v>993</v>
      </c>
      <c r="G2606">
        <v>-89.872112000000001</v>
      </c>
      <c r="H2606">
        <v>1600</v>
      </c>
      <c r="I2606">
        <v>3</v>
      </c>
      <c r="J2606">
        <v>124</v>
      </c>
      <c r="K2606">
        <v>-128</v>
      </c>
      <c r="L2606">
        <v>1200</v>
      </c>
      <c r="M2606" t="str">
        <f t="shared" si="198"/>
        <v xml:space="preserve">N35DC   </v>
      </c>
      <c r="N2606">
        <v>1</v>
      </c>
      <c r="O2606">
        <v>1700</v>
      </c>
    </row>
    <row r="2607" spans="1:15" x14ac:dyDescent="0.25">
      <c r="A2607" t="str">
        <f t="shared" ref="A2607:A2612" si="208">"10/21/2020 18:32:29.787"</f>
        <v>10/21/2020 18:32:29.787</v>
      </c>
      <c r="B2607" t="str">
        <f t="shared" ref="B2607:B2612" si="209">"18:32:37.727"</f>
        <v>18:32:37.727</v>
      </c>
      <c r="C2607" t="str">
        <f t="shared" ref="C2607:C2612" si="210">"18:32:37.427"</f>
        <v>18:32:37.427</v>
      </c>
      <c r="D2607" t="s">
        <v>1015</v>
      </c>
      <c r="E2607">
        <v>30.707667000000001</v>
      </c>
      <c r="F2607" t="s">
        <v>996</v>
      </c>
      <c r="G2607">
        <v>-89.872155000000006</v>
      </c>
      <c r="H2607">
        <v>1600</v>
      </c>
      <c r="I2607">
        <v>3</v>
      </c>
      <c r="J2607">
        <v>123</v>
      </c>
      <c r="K2607">
        <v>0</v>
      </c>
      <c r="L2607">
        <v>1200</v>
      </c>
      <c r="M2607" t="str">
        <f t="shared" si="198"/>
        <v xml:space="preserve">N35DC   </v>
      </c>
      <c r="N2607">
        <v>1</v>
      </c>
      <c r="O2607">
        <v>1700</v>
      </c>
    </row>
    <row r="2608" spans="1:15" x14ac:dyDescent="0.25">
      <c r="A2608" t="str">
        <f t="shared" si="208"/>
        <v>10/21/2020 18:32:29.787</v>
      </c>
      <c r="B2608" t="str">
        <f t="shared" si="209"/>
        <v>18:32:37.727</v>
      </c>
      <c r="C2608" t="str">
        <f t="shared" si="210"/>
        <v>18:32:37.427</v>
      </c>
      <c r="D2608" t="s">
        <v>1015</v>
      </c>
      <c r="E2608">
        <v>30.707667000000001</v>
      </c>
      <c r="F2608" t="s">
        <v>996</v>
      </c>
      <c r="G2608">
        <v>-89.872155000000006</v>
      </c>
      <c r="H2608">
        <v>1600</v>
      </c>
      <c r="I2608">
        <v>3</v>
      </c>
      <c r="J2608">
        <v>123</v>
      </c>
      <c r="K2608">
        <v>0</v>
      </c>
      <c r="L2608">
        <v>1200</v>
      </c>
      <c r="M2608" t="str">
        <f t="shared" si="198"/>
        <v xml:space="preserve">N35DC   </v>
      </c>
      <c r="N2608">
        <v>1</v>
      </c>
      <c r="O2608">
        <v>1700</v>
      </c>
    </row>
    <row r="2609" spans="1:15" x14ac:dyDescent="0.25">
      <c r="A2609" t="str">
        <f t="shared" si="208"/>
        <v>10/21/2020 18:32:29.787</v>
      </c>
      <c r="B2609" t="str">
        <f t="shared" si="209"/>
        <v>18:32:37.727</v>
      </c>
      <c r="C2609" t="str">
        <f t="shared" si="210"/>
        <v>18:32:37.427</v>
      </c>
      <c r="D2609" t="s">
        <v>1015</v>
      </c>
      <c r="E2609">
        <v>30.707667000000001</v>
      </c>
      <c r="F2609" t="s">
        <v>996</v>
      </c>
      <c r="G2609">
        <v>-89.872155000000006</v>
      </c>
      <c r="H2609">
        <v>1600</v>
      </c>
      <c r="I2609">
        <v>3</v>
      </c>
      <c r="J2609">
        <v>123</v>
      </c>
      <c r="K2609">
        <v>0</v>
      </c>
      <c r="L2609">
        <v>1200</v>
      </c>
      <c r="M2609" t="str">
        <f t="shared" si="198"/>
        <v xml:space="preserve">N35DC   </v>
      </c>
      <c r="N2609">
        <v>1</v>
      </c>
      <c r="O2609">
        <v>1700</v>
      </c>
    </row>
    <row r="2610" spans="1:15" x14ac:dyDescent="0.25">
      <c r="A2610" t="str">
        <f t="shared" si="208"/>
        <v>10/21/2020 18:32:29.787</v>
      </c>
      <c r="B2610" t="str">
        <f t="shared" si="209"/>
        <v>18:32:37.727</v>
      </c>
      <c r="C2610" t="str">
        <f t="shared" si="210"/>
        <v>18:32:37.427</v>
      </c>
      <c r="D2610" t="s">
        <v>1015</v>
      </c>
      <c r="E2610">
        <v>30.707667000000001</v>
      </c>
      <c r="F2610" t="s">
        <v>996</v>
      </c>
      <c r="G2610">
        <v>-89.872155000000006</v>
      </c>
      <c r="H2610">
        <v>1600</v>
      </c>
      <c r="I2610">
        <v>3</v>
      </c>
      <c r="J2610">
        <v>123</v>
      </c>
      <c r="K2610">
        <v>0</v>
      </c>
      <c r="L2610">
        <v>1200</v>
      </c>
      <c r="M2610" t="str">
        <f t="shared" si="198"/>
        <v xml:space="preserve">N35DC   </v>
      </c>
      <c r="N2610">
        <v>1</v>
      </c>
      <c r="O2610">
        <v>1700</v>
      </c>
    </row>
    <row r="2611" spans="1:15" x14ac:dyDescent="0.25">
      <c r="A2611" t="str">
        <f t="shared" si="208"/>
        <v>10/21/2020 18:32:29.787</v>
      </c>
      <c r="B2611" t="str">
        <f t="shared" si="209"/>
        <v>18:32:37.727</v>
      </c>
      <c r="C2611" t="str">
        <f t="shared" si="210"/>
        <v>18:32:37.427</v>
      </c>
      <c r="D2611" t="s">
        <v>1015</v>
      </c>
      <c r="E2611">
        <v>30.707667000000001</v>
      </c>
      <c r="F2611" t="s">
        <v>996</v>
      </c>
      <c r="G2611">
        <v>-89.872155000000006</v>
      </c>
      <c r="H2611">
        <v>1600</v>
      </c>
      <c r="I2611">
        <v>3</v>
      </c>
      <c r="J2611">
        <v>123</v>
      </c>
      <c r="K2611">
        <v>0</v>
      </c>
      <c r="L2611">
        <v>1200</v>
      </c>
      <c r="M2611" t="str">
        <f t="shared" si="198"/>
        <v xml:space="preserve">N35DC   </v>
      </c>
      <c r="N2611">
        <v>1</v>
      </c>
      <c r="O2611">
        <v>1700</v>
      </c>
    </row>
    <row r="2612" spans="1:15" x14ac:dyDescent="0.25">
      <c r="A2612" t="str">
        <f t="shared" si="208"/>
        <v>10/21/2020 18:32:29.787</v>
      </c>
      <c r="B2612" t="str">
        <f t="shared" si="209"/>
        <v>18:32:37.727</v>
      </c>
      <c r="C2612" t="str">
        <f t="shared" si="210"/>
        <v>18:32:37.427</v>
      </c>
      <c r="D2612" t="s">
        <v>1015</v>
      </c>
      <c r="E2612">
        <v>30.707667000000001</v>
      </c>
      <c r="F2612" t="s">
        <v>996</v>
      </c>
      <c r="G2612">
        <v>-89.872155000000006</v>
      </c>
      <c r="H2612">
        <v>1600</v>
      </c>
      <c r="I2612">
        <v>3</v>
      </c>
      <c r="J2612">
        <v>123</v>
      </c>
      <c r="K2612">
        <v>0</v>
      </c>
      <c r="L2612">
        <v>1200</v>
      </c>
      <c r="M2612" t="str">
        <f t="shared" si="198"/>
        <v xml:space="preserve">N35DC   </v>
      </c>
      <c r="N2612">
        <v>1</v>
      </c>
      <c r="O2612">
        <v>1700</v>
      </c>
    </row>
    <row r="2613" spans="1:15" x14ac:dyDescent="0.25">
      <c r="A2613" t="str">
        <f>"10/21/2020 18:32:32.312"</f>
        <v>10/21/2020 18:32:32.312</v>
      </c>
      <c r="B2613" t="str">
        <f>"18:32:40.234"</f>
        <v>18:32:40.234</v>
      </c>
      <c r="C2613" t="str">
        <f>"18:32:39.434"</f>
        <v>18:32:39.434</v>
      </c>
      <c r="D2613" t="s">
        <v>1016</v>
      </c>
      <c r="E2613">
        <v>30.709061999999999</v>
      </c>
      <c r="F2613" t="s">
        <v>991</v>
      </c>
      <c r="G2613">
        <v>-89.872068999999996</v>
      </c>
      <c r="H2613">
        <v>1600</v>
      </c>
      <c r="I2613">
        <v>5</v>
      </c>
      <c r="J2613">
        <v>123</v>
      </c>
      <c r="K2613">
        <v>128</v>
      </c>
      <c r="L2613">
        <v>1200</v>
      </c>
      <c r="M2613" t="str">
        <f t="shared" si="198"/>
        <v xml:space="preserve">N35DC   </v>
      </c>
      <c r="N2613">
        <v>1</v>
      </c>
      <c r="O2613">
        <v>1700</v>
      </c>
    </row>
    <row r="2614" spans="1:15" x14ac:dyDescent="0.25">
      <c r="A2614" t="str">
        <f>"10/21/2020 18:32:32.722"</f>
        <v>10/21/2020 18:32:32.722</v>
      </c>
      <c r="B2614" t="str">
        <f>"18:32:40.664"</f>
        <v>18:32:40.664</v>
      </c>
      <c r="C2614" t="str">
        <f>"18:32:40.464"</f>
        <v>18:32:40.464</v>
      </c>
      <c r="D2614" t="s">
        <v>1017</v>
      </c>
      <c r="E2614">
        <v>30.709298</v>
      </c>
      <c r="F2614" t="s">
        <v>989</v>
      </c>
      <c r="G2614">
        <v>-89.872005000000001</v>
      </c>
      <c r="H2614">
        <v>1600</v>
      </c>
      <c r="I2614">
        <v>5</v>
      </c>
      <c r="J2614">
        <v>123</v>
      </c>
      <c r="K2614">
        <v>192</v>
      </c>
      <c r="L2614">
        <v>1200</v>
      </c>
      <c r="M2614" t="str">
        <f t="shared" si="198"/>
        <v xml:space="preserve">N35DC   </v>
      </c>
      <c r="N2614">
        <v>1</v>
      </c>
      <c r="O2614">
        <v>1700</v>
      </c>
    </row>
    <row r="2615" spans="1:15" x14ac:dyDescent="0.25">
      <c r="A2615" t="str">
        <f>"10/21/2020 18:32:32.722"</f>
        <v>10/21/2020 18:32:32.722</v>
      </c>
      <c r="B2615" t="str">
        <f>"18:32:40.664"</f>
        <v>18:32:40.664</v>
      </c>
      <c r="C2615" t="str">
        <f>"18:32:40.464"</f>
        <v>18:32:40.464</v>
      </c>
      <c r="D2615" t="s">
        <v>1017</v>
      </c>
      <c r="E2615">
        <v>30.709298</v>
      </c>
      <c r="F2615" t="s">
        <v>989</v>
      </c>
      <c r="G2615">
        <v>-89.872005000000001</v>
      </c>
      <c r="H2615">
        <v>1600</v>
      </c>
      <c r="I2615">
        <v>5</v>
      </c>
      <c r="J2615">
        <v>123</v>
      </c>
      <c r="K2615">
        <v>192</v>
      </c>
      <c r="L2615">
        <v>1200</v>
      </c>
      <c r="M2615" t="str">
        <f t="shared" si="198"/>
        <v xml:space="preserve">N35DC   </v>
      </c>
      <c r="N2615">
        <v>1</v>
      </c>
      <c r="O2615">
        <v>1700</v>
      </c>
    </row>
    <row r="2616" spans="1:15" x14ac:dyDescent="0.25">
      <c r="A2616" t="str">
        <f>"10/21/2020 18:32:32.722"</f>
        <v>10/21/2020 18:32:32.722</v>
      </c>
      <c r="B2616" t="str">
        <f>"18:32:40.664"</f>
        <v>18:32:40.664</v>
      </c>
      <c r="C2616" t="str">
        <f>"18:32:40.464"</f>
        <v>18:32:40.464</v>
      </c>
      <c r="D2616" t="s">
        <v>1017</v>
      </c>
      <c r="E2616">
        <v>30.709298</v>
      </c>
      <c r="F2616" t="s">
        <v>989</v>
      </c>
      <c r="G2616">
        <v>-89.872005000000001</v>
      </c>
      <c r="H2616">
        <v>1600</v>
      </c>
      <c r="I2616">
        <v>5</v>
      </c>
      <c r="J2616">
        <v>123</v>
      </c>
      <c r="K2616">
        <v>192</v>
      </c>
      <c r="L2616">
        <v>1200</v>
      </c>
      <c r="M2616" t="str">
        <f t="shared" si="198"/>
        <v xml:space="preserve">N35DC   </v>
      </c>
      <c r="N2616">
        <v>1</v>
      </c>
      <c r="O2616">
        <v>1700</v>
      </c>
    </row>
    <row r="2617" spans="1:15" x14ac:dyDescent="0.25">
      <c r="A2617" t="str">
        <f>"10/21/2020 18:32:32.722"</f>
        <v>10/21/2020 18:32:32.722</v>
      </c>
      <c r="B2617" t="str">
        <f>"18:32:40.664"</f>
        <v>18:32:40.664</v>
      </c>
      <c r="C2617" t="str">
        <f>"18:32:40.464"</f>
        <v>18:32:40.464</v>
      </c>
      <c r="D2617" t="s">
        <v>1017</v>
      </c>
      <c r="E2617">
        <v>30.709298</v>
      </c>
      <c r="F2617" t="s">
        <v>989</v>
      </c>
      <c r="G2617">
        <v>-89.872005000000001</v>
      </c>
      <c r="H2617">
        <v>1600</v>
      </c>
      <c r="I2617">
        <v>5</v>
      </c>
      <c r="J2617">
        <v>123</v>
      </c>
      <c r="K2617">
        <v>192</v>
      </c>
      <c r="L2617">
        <v>1200</v>
      </c>
      <c r="M2617" t="str">
        <f t="shared" si="198"/>
        <v xml:space="preserve">N35DC   </v>
      </c>
      <c r="N2617">
        <v>1</v>
      </c>
      <c r="O2617">
        <v>1700</v>
      </c>
    </row>
    <row r="2618" spans="1:15" x14ac:dyDescent="0.25">
      <c r="A2618" t="str">
        <f>"10/21/2020 18:32:32.722"</f>
        <v>10/21/2020 18:32:32.722</v>
      </c>
      <c r="B2618" t="str">
        <f>"18:32:40.664"</f>
        <v>18:32:40.664</v>
      </c>
      <c r="C2618" t="str">
        <f>"18:32:40.464"</f>
        <v>18:32:40.464</v>
      </c>
      <c r="D2618" t="s">
        <v>1017</v>
      </c>
      <c r="E2618">
        <v>30.709298</v>
      </c>
      <c r="F2618" t="s">
        <v>989</v>
      </c>
      <c r="G2618">
        <v>-89.872005000000001</v>
      </c>
      <c r="H2618">
        <v>1600</v>
      </c>
      <c r="I2618">
        <v>5</v>
      </c>
      <c r="J2618">
        <v>123</v>
      </c>
      <c r="K2618">
        <v>192</v>
      </c>
      <c r="L2618">
        <v>1200</v>
      </c>
      <c r="M2618" t="str">
        <f t="shared" si="198"/>
        <v xml:space="preserve">N35DC   </v>
      </c>
      <c r="N2618">
        <v>1</v>
      </c>
      <c r="O2618">
        <v>1700</v>
      </c>
    </row>
    <row r="2619" spans="1:15" x14ac:dyDescent="0.25">
      <c r="A2619" t="str">
        <f>"10/21/2020 18:32:33.317"</f>
        <v>10/21/2020 18:32:33.317</v>
      </c>
      <c r="B2619" t="str">
        <f>"18:32:41.219"</f>
        <v>18:32:41.219</v>
      </c>
      <c r="C2619" t="str">
        <f>"18:32:41.019"</f>
        <v>18:32:41.019</v>
      </c>
      <c r="D2619" t="s">
        <v>1018</v>
      </c>
      <c r="E2619">
        <v>30.709620000000001</v>
      </c>
      <c r="F2619" t="s">
        <v>1019</v>
      </c>
      <c r="G2619">
        <v>-89.872048000000007</v>
      </c>
      <c r="H2619">
        <v>1600</v>
      </c>
      <c r="I2619">
        <v>6</v>
      </c>
      <c r="J2619">
        <v>123</v>
      </c>
      <c r="K2619">
        <v>128</v>
      </c>
      <c r="L2619">
        <v>1200</v>
      </c>
      <c r="M2619" t="str">
        <f t="shared" si="198"/>
        <v xml:space="preserve">N35DC   </v>
      </c>
      <c r="N2619">
        <v>1</v>
      </c>
      <c r="O2619">
        <v>1700</v>
      </c>
    </row>
    <row r="2620" spans="1:15" x14ac:dyDescent="0.25">
      <c r="A2620" t="str">
        <f>"10/21/2020 18:32:33.852"</f>
        <v>10/21/2020 18:32:33.852</v>
      </c>
      <c r="B2620" t="str">
        <f>"18:32:41.789"</f>
        <v>18:32:41.789</v>
      </c>
      <c r="C2620" t="str">
        <f>"18:32:41.589"</f>
        <v>18:32:41.589</v>
      </c>
      <c r="D2620" t="s">
        <v>1020</v>
      </c>
      <c r="E2620">
        <v>30.709962999999998</v>
      </c>
      <c r="F2620" t="s">
        <v>989</v>
      </c>
      <c r="G2620">
        <v>-89.872005000000001</v>
      </c>
      <c r="H2620">
        <v>1600</v>
      </c>
      <c r="I2620">
        <v>6</v>
      </c>
      <c r="J2620">
        <v>122</v>
      </c>
      <c r="K2620">
        <v>64</v>
      </c>
      <c r="L2620">
        <v>1200</v>
      </c>
      <c r="M2620" t="str">
        <f t="shared" si="198"/>
        <v xml:space="preserve">N35DC   </v>
      </c>
      <c r="N2620">
        <v>1</v>
      </c>
      <c r="O2620">
        <v>1700</v>
      </c>
    </row>
    <row r="2621" spans="1:15" x14ac:dyDescent="0.25">
      <c r="A2621" t="str">
        <f>"10/21/2020 18:32:33.852"</f>
        <v>10/21/2020 18:32:33.852</v>
      </c>
      <c r="B2621" t="str">
        <f>"18:32:41.789"</f>
        <v>18:32:41.789</v>
      </c>
      <c r="C2621" t="str">
        <f>"18:32:41.589"</f>
        <v>18:32:41.589</v>
      </c>
      <c r="D2621" t="s">
        <v>1020</v>
      </c>
      <c r="E2621">
        <v>30.709962999999998</v>
      </c>
      <c r="F2621" t="s">
        <v>989</v>
      </c>
      <c r="G2621">
        <v>-89.872005000000001</v>
      </c>
      <c r="H2621">
        <v>1600</v>
      </c>
      <c r="I2621">
        <v>6</v>
      </c>
      <c r="J2621">
        <v>122</v>
      </c>
      <c r="K2621">
        <v>64</v>
      </c>
      <c r="L2621">
        <v>1200</v>
      </c>
      <c r="M2621" t="str">
        <f t="shared" si="198"/>
        <v xml:space="preserve">N35DC   </v>
      </c>
      <c r="N2621">
        <v>1</v>
      </c>
      <c r="O2621">
        <v>1700</v>
      </c>
    </row>
    <row r="2622" spans="1:15" x14ac:dyDescent="0.25">
      <c r="A2622" t="str">
        <f>"10/21/2020 18:32:33.852"</f>
        <v>10/21/2020 18:32:33.852</v>
      </c>
      <c r="B2622" t="str">
        <f>"18:32:41.789"</f>
        <v>18:32:41.789</v>
      </c>
      <c r="C2622" t="str">
        <f>"18:32:41.589"</f>
        <v>18:32:41.589</v>
      </c>
      <c r="D2622" t="s">
        <v>1020</v>
      </c>
      <c r="E2622">
        <v>30.709962999999998</v>
      </c>
      <c r="F2622" t="s">
        <v>989</v>
      </c>
      <c r="G2622">
        <v>-89.872005000000001</v>
      </c>
      <c r="H2622">
        <v>1600</v>
      </c>
      <c r="I2622">
        <v>6</v>
      </c>
      <c r="J2622">
        <v>122</v>
      </c>
      <c r="K2622">
        <v>64</v>
      </c>
      <c r="L2622">
        <v>1200</v>
      </c>
      <c r="M2622" t="str">
        <f t="shared" si="198"/>
        <v xml:space="preserve">N35DC   </v>
      </c>
      <c r="N2622">
        <v>1</v>
      </c>
      <c r="O2622">
        <v>1700</v>
      </c>
    </row>
    <row r="2623" spans="1:15" x14ac:dyDescent="0.25">
      <c r="A2623" t="str">
        <f>"10/21/2020 18:32:33.852"</f>
        <v>10/21/2020 18:32:33.852</v>
      </c>
      <c r="B2623" t="str">
        <f>"18:32:41.789"</f>
        <v>18:32:41.789</v>
      </c>
      <c r="C2623" t="str">
        <f>"18:32:41.589"</f>
        <v>18:32:41.589</v>
      </c>
      <c r="D2623" t="s">
        <v>1020</v>
      </c>
      <c r="E2623">
        <v>30.709962999999998</v>
      </c>
      <c r="F2623" t="s">
        <v>989</v>
      </c>
      <c r="G2623">
        <v>-89.872005000000001</v>
      </c>
      <c r="H2623">
        <v>1600</v>
      </c>
      <c r="I2623">
        <v>6</v>
      </c>
      <c r="J2623">
        <v>122</v>
      </c>
      <c r="K2623">
        <v>64</v>
      </c>
      <c r="L2623">
        <v>1200</v>
      </c>
      <c r="M2623" t="str">
        <f t="shared" si="198"/>
        <v xml:space="preserve">N35DC   </v>
      </c>
      <c r="N2623">
        <v>1</v>
      </c>
      <c r="O2623">
        <v>1700</v>
      </c>
    </row>
    <row r="2624" spans="1:15" x14ac:dyDescent="0.25">
      <c r="A2624" t="str">
        <f>"10/21/2020 18:32:33.852"</f>
        <v>10/21/2020 18:32:33.852</v>
      </c>
      <c r="B2624" t="str">
        <f>"18:32:41.789"</f>
        <v>18:32:41.789</v>
      </c>
      <c r="C2624" t="str">
        <f>"18:32:41.589"</f>
        <v>18:32:41.589</v>
      </c>
      <c r="D2624" t="s">
        <v>1020</v>
      </c>
      <c r="E2624">
        <v>30.709962999999998</v>
      </c>
      <c r="F2624" t="s">
        <v>989</v>
      </c>
      <c r="G2624">
        <v>-89.872005000000001</v>
      </c>
      <c r="H2624">
        <v>1600</v>
      </c>
      <c r="I2624">
        <v>6</v>
      </c>
      <c r="J2624">
        <v>122</v>
      </c>
      <c r="K2624">
        <v>64</v>
      </c>
      <c r="L2624">
        <v>1200</v>
      </c>
      <c r="M2624" t="str">
        <f t="shared" si="198"/>
        <v xml:space="preserve">N35DC   </v>
      </c>
      <c r="N2624">
        <v>1</v>
      </c>
      <c r="O2624">
        <v>1700</v>
      </c>
    </row>
    <row r="2625" spans="1:15" x14ac:dyDescent="0.25">
      <c r="A2625" t="str">
        <f t="shared" ref="A2625:A2630" si="211">"10/21/2020 18:32:37.393"</f>
        <v>10/21/2020 18:32:37.393</v>
      </c>
      <c r="B2625" t="str">
        <f t="shared" ref="B2625:B2630" si="212">"18:32:45.289"</f>
        <v>18:32:45.289</v>
      </c>
      <c r="C2625" t="str">
        <f>"18:32:44.389"</f>
        <v>18:32:44.389</v>
      </c>
      <c r="D2625" t="s">
        <v>1021</v>
      </c>
      <c r="E2625">
        <v>30.711915000000001</v>
      </c>
      <c r="F2625" t="s">
        <v>1022</v>
      </c>
      <c r="G2625">
        <v>-89.871832999999995</v>
      </c>
      <c r="H2625">
        <v>1600</v>
      </c>
      <c r="I2625">
        <v>9</v>
      </c>
      <c r="J2625">
        <v>120</v>
      </c>
      <c r="K2625">
        <v>192</v>
      </c>
      <c r="L2625">
        <v>1200</v>
      </c>
      <c r="M2625" t="str">
        <f t="shared" si="198"/>
        <v xml:space="preserve">N35DC   </v>
      </c>
      <c r="N2625">
        <v>1</v>
      </c>
      <c r="O2625">
        <v>1700</v>
      </c>
    </row>
    <row r="2626" spans="1:15" x14ac:dyDescent="0.25">
      <c r="A2626" t="str">
        <f t="shared" si="211"/>
        <v>10/21/2020 18:32:37.393</v>
      </c>
      <c r="B2626" t="str">
        <f t="shared" si="212"/>
        <v>18:32:45.289</v>
      </c>
      <c r="C2626" t="str">
        <f>"18:32:45.289"</f>
        <v>18:32:45.289</v>
      </c>
      <c r="D2626" t="s">
        <v>1021</v>
      </c>
      <c r="E2626">
        <v>30.711915000000001</v>
      </c>
      <c r="F2626" t="s">
        <v>1022</v>
      </c>
      <c r="G2626">
        <v>-89.871832999999995</v>
      </c>
      <c r="H2626">
        <v>1600</v>
      </c>
      <c r="I2626">
        <v>11</v>
      </c>
      <c r="J2626">
        <v>118</v>
      </c>
      <c r="K2626">
        <v>256</v>
      </c>
      <c r="L2626">
        <v>1200</v>
      </c>
      <c r="M2626" t="str">
        <f t="shared" si="198"/>
        <v xml:space="preserve">N35DC   </v>
      </c>
      <c r="N2626">
        <v>1</v>
      </c>
      <c r="O2626">
        <v>1700</v>
      </c>
    </row>
    <row r="2627" spans="1:15" x14ac:dyDescent="0.25">
      <c r="A2627" t="str">
        <f t="shared" si="211"/>
        <v>10/21/2020 18:32:37.393</v>
      </c>
      <c r="B2627" t="str">
        <f t="shared" si="212"/>
        <v>18:32:45.289</v>
      </c>
      <c r="C2627" t="str">
        <f>"18:32:45.289"</f>
        <v>18:32:45.289</v>
      </c>
      <c r="D2627" t="s">
        <v>1021</v>
      </c>
      <c r="E2627">
        <v>30.711915000000001</v>
      </c>
      <c r="F2627" t="s">
        <v>1022</v>
      </c>
      <c r="G2627">
        <v>-89.871832999999995</v>
      </c>
      <c r="H2627">
        <v>1600</v>
      </c>
      <c r="I2627">
        <v>11</v>
      </c>
      <c r="J2627">
        <v>118</v>
      </c>
      <c r="K2627">
        <v>256</v>
      </c>
      <c r="L2627">
        <v>1200</v>
      </c>
      <c r="M2627" t="str">
        <f t="shared" si="198"/>
        <v xml:space="preserve">N35DC   </v>
      </c>
      <c r="N2627">
        <v>1</v>
      </c>
      <c r="O2627">
        <v>1700</v>
      </c>
    </row>
    <row r="2628" spans="1:15" x14ac:dyDescent="0.25">
      <c r="A2628" t="str">
        <f t="shared" si="211"/>
        <v>10/21/2020 18:32:37.393</v>
      </c>
      <c r="B2628" t="str">
        <f t="shared" si="212"/>
        <v>18:32:45.289</v>
      </c>
      <c r="C2628" t="str">
        <f>"18:32:45.289"</f>
        <v>18:32:45.289</v>
      </c>
      <c r="D2628" t="s">
        <v>1021</v>
      </c>
      <c r="E2628">
        <v>30.711915000000001</v>
      </c>
      <c r="F2628" t="s">
        <v>1022</v>
      </c>
      <c r="G2628">
        <v>-89.871832999999995</v>
      </c>
      <c r="H2628">
        <v>1600</v>
      </c>
      <c r="I2628">
        <v>11</v>
      </c>
      <c r="J2628">
        <v>118</v>
      </c>
      <c r="K2628">
        <v>256</v>
      </c>
      <c r="L2628">
        <v>1200</v>
      </c>
      <c r="M2628" t="str">
        <f t="shared" si="198"/>
        <v xml:space="preserve">N35DC   </v>
      </c>
      <c r="N2628">
        <v>1</v>
      </c>
      <c r="O2628">
        <v>1700</v>
      </c>
    </row>
    <row r="2629" spans="1:15" x14ac:dyDescent="0.25">
      <c r="A2629" t="str">
        <f t="shared" si="211"/>
        <v>10/21/2020 18:32:37.393</v>
      </c>
      <c r="B2629" t="str">
        <f t="shared" si="212"/>
        <v>18:32:45.289</v>
      </c>
      <c r="C2629" t="str">
        <f>"18:32:45.289"</f>
        <v>18:32:45.289</v>
      </c>
      <c r="D2629" t="s">
        <v>1021</v>
      </c>
      <c r="E2629">
        <v>30.711915000000001</v>
      </c>
      <c r="F2629" t="s">
        <v>1022</v>
      </c>
      <c r="G2629">
        <v>-89.871832999999995</v>
      </c>
      <c r="H2629">
        <v>1600</v>
      </c>
      <c r="I2629">
        <v>11</v>
      </c>
      <c r="J2629">
        <v>118</v>
      </c>
      <c r="K2629">
        <v>256</v>
      </c>
      <c r="L2629">
        <v>1200</v>
      </c>
      <c r="M2629" t="str">
        <f t="shared" si="198"/>
        <v xml:space="preserve">N35DC   </v>
      </c>
      <c r="N2629">
        <v>1</v>
      </c>
      <c r="O2629">
        <v>1700</v>
      </c>
    </row>
    <row r="2630" spans="1:15" x14ac:dyDescent="0.25">
      <c r="A2630" t="str">
        <f t="shared" si="211"/>
        <v>10/21/2020 18:32:37.393</v>
      </c>
      <c r="B2630" t="str">
        <f t="shared" si="212"/>
        <v>18:32:45.289</v>
      </c>
      <c r="C2630" t="str">
        <f>"18:32:45.289"</f>
        <v>18:32:45.289</v>
      </c>
      <c r="D2630" t="s">
        <v>1021</v>
      </c>
      <c r="E2630">
        <v>30.711915000000001</v>
      </c>
      <c r="F2630" t="s">
        <v>1022</v>
      </c>
      <c r="G2630">
        <v>-89.871832999999995</v>
      </c>
      <c r="H2630">
        <v>1600</v>
      </c>
      <c r="I2630">
        <v>11</v>
      </c>
      <c r="J2630">
        <v>118</v>
      </c>
      <c r="K2630">
        <v>256</v>
      </c>
      <c r="L2630">
        <v>1200</v>
      </c>
      <c r="M2630" t="str">
        <f t="shared" si="198"/>
        <v xml:space="preserve">N35DC   </v>
      </c>
      <c r="N2630">
        <v>1</v>
      </c>
      <c r="O2630">
        <v>1700</v>
      </c>
    </row>
    <row r="2631" spans="1:15" x14ac:dyDescent="0.25">
      <c r="A2631" t="str">
        <f t="shared" ref="A2631:A2636" si="213">"10/21/2020 18:32:40.342"</f>
        <v>10/21/2020 18:32:40.342</v>
      </c>
      <c r="B2631" t="str">
        <f t="shared" ref="B2631:B2636" si="214">"18:32:48.289"</f>
        <v>18:32:48.289</v>
      </c>
      <c r="C2631" t="str">
        <f t="shared" ref="C2631:C2636" si="215">"18:32:47.989"</f>
        <v>18:32:47.989</v>
      </c>
      <c r="D2631" t="s">
        <v>1023</v>
      </c>
      <c r="E2631">
        <v>30.713481999999999</v>
      </c>
      <c r="F2631" t="s">
        <v>472</v>
      </c>
      <c r="G2631">
        <v>-89.871618999999995</v>
      </c>
      <c r="H2631">
        <v>1600</v>
      </c>
      <c r="I2631">
        <v>15</v>
      </c>
      <c r="J2631">
        <v>114</v>
      </c>
      <c r="K2631">
        <v>-384</v>
      </c>
      <c r="L2631">
        <v>1200</v>
      </c>
      <c r="M2631" t="str">
        <f t="shared" ref="M2631:M2694" si="216">"N35DC   "</f>
        <v xml:space="preserve">N35DC   </v>
      </c>
      <c r="N2631">
        <v>1</v>
      </c>
      <c r="O2631">
        <v>1700</v>
      </c>
    </row>
    <row r="2632" spans="1:15" x14ac:dyDescent="0.25">
      <c r="A2632" t="str">
        <f t="shared" si="213"/>
        <v>10/21/2020 18:32:40.342</v>
      </c>
      <c r="B2632" t="str">
        <f t="shared" si="214"/>
        <v>18:32:48.289</v>
      </c>
      <c r="C2632" t="str">
        <f t="shared" si="215"/>
        <v>18:32:47.989</v>
      </c>
      <c r="D2632" t="s">
        <v>1023</v>
      </c>
      <c r="E2632">
        <v>30.713481999999999</v>
      </c>
      <c r="F2632" t="s">
        <v>472</v>
      </c>
      <c r="G2632">
        <v>-89.871618999999995</v>
      </c>
      <c r="H2632">
        <v>1600</v>
      </c>
      <c r="I2632">
        <v>15</v>
      </c>
      <c r="J2632">
        <v>114</v>
      </c>
      <c r="K2632">
        <v>-384</v>
      </c>
      <c r="L2632">
        <v>1200</v>
      </c>
      <c r="M2632" t="str">
        <f t="shared" si="216"/>
        <v xml:space="preserve">N35DC   </v>
      </c>
      <c r="N2632">
        <v>1</v>
      </c>
      <c r="O2632">
        <v>1700</v>
      </c>
    </row>
    <row r="2633" spans="1:15" x14ac:dyDescent="0.25">
      <c r="A2633" t="str">
        <f t="shared" si="213"/>
        <v>10/21/2020 18:32:40.342</v>
      </c>
      <c r="B2633" t="str">
        <f t="shared" si="214"/>
        <v>18:32:48.289</v>
      </c>
      <c r="C2633" t="str">
        <f t="shared" si="215"/>
        <v>18:32:47.989</v>
      </c>
      <c r="D2633" t="s">
        <v>1023</v>
      </c>
      <c r="E2633">
        <v>30.713481999999999</v>
      </c>
      <c r="F2633" t="s">
        <v>472</v>
      </c>
      <c r="G2633">
        <v>-89.871618999999995</v>
      </c>
      <c r="H2633">
        <v>1600</v>
      </c>
      <c r="I2633">
        <v>15</v>
      </c>
      <c r="J2633">
        <v>114</v>
      </c>
      <c r="K2633">
        <v>-384</v>
      </c>
      <c r="L2633">
        <v>1200</v>
      </c>
      <c r="M2633" t="str">
        <f t="shared" si="216"/>
        <v xml:space="preserve">N35DC   </v>
      </c>
      <c r="N2633">
        <v>1</v>
      </c>
      <c r="O2633">
        <v>1700</v>
      </c>
    </row>
    <row r="2634" spans="1:15" x14ac:dyDescent="0.25">
      <c r="A2634" t="str">
        <f t="shared" si="213"/>
        <v>10/21/2020 18:32:40.342</v>
      </c>
      <c r="B2634" t="str">
        <f t="shared" si="214"/>
        <v>18:32:48.289</v>
      </c>
      <c r="C2634" t="str">
        <f t="shared" si="215"/>
        <v>18:32:47.989</v>
      </c>
      <c r="D2634" t="s">
        <v>1023</v>
      </c>
      <c r="E2634">
        <v>30.713481999999999</v>
      </c>
      <c r="F2634" t="s">
        <v>472</v>
      </c>
      <c r="G2634">
        <v>-89.871618999999995</v>
      </c>
      <c r="H2634">
        <v>1600</v>
      </c>
      <c r="I2634">
        <v>15</v>
      </c>
      <c r="J2634">
        <v>114</v>
      </c>
      <c r="K2634">
        <v>-384</v>
      </c>
      <c r="L2634">
        <v>1200</v>
      </c>
      <c r="M2634" t="str">
        <f t="shared" si="216"/>
        <v xml:space="preserve">N35DC   </v>
      </c>
      <c r="N2634">
        <v>1</v>
      </c>
      <c r="O2634">
        <v>1700</v>
      </c>
    </row>
    <row r="2635" spans="1:15" x14ac:dyDescent="0.25">
      <c r="A2635" t="str">
        <f t="shared" si="213"/>
        <v>10/21/2020 18:32:40.342</v>
      </c>
      <c r="B2635" t="str">
        <f t="shared" si="214"/>
        <v>18:32:48.289</v>
      </c>
      <c r="C2635" t="str">
        <f t="shared" si="215"/>
        <v>18:32:47.989</v>
      </c>
      <c r="D2635" t="s">
        <v>1023</v>
      </c>
      <c r="E2635">
        <v>30.713481999999999</v>
      </c>
      <c r="F2635" t="s">
        <v>472</v>
      </c>
      <c r="G2635">
        <v>-89.871618999999995</v>
      </c>
      <c r="H2635">
        <v>1600</v>
      </c>
      <c r="I2635">
        <v>15</v>
      </c>
      <c r="J2635">
        <v>114</v>
      </c>
      <c r="K2635">
        <v>-384</v>
      </c>
      <c r="L2635">
        <v>1200</v>
      </c>
      <c r="M2635" t="str">
        <f t="shared" si="216"/>
        <v xml:space="preserve">N35DC   </v>
      </c>
      <c r="N2635">
        <v>1</v>
      </c>
      <c r="O2635">
        <v>1700</v>
      </c>
    </row>
    <row r="2636" spans="1:15" x14ac:dyDescent="0.25">
      <c r="A2636" t="str">
        <f t="shared" si="213"/>
        <v>10/21/2020 18:32:40.342</v>
      </c>
      <c r="B2636" t="str">
        <f t="shared" si="214"/>
        <v>18:32:48.289</v>
      </c>
      <c r="C2636" t="str">
        <f t="shared" si="215"/>
        <v>18:32:47.989</v>
      </c>
      <c r="D2636" t="s">
        <v>1023</v>
      </c>
      <c r="E2636">
        <v>30.713481999999999</v>
      </c>
      <c r="F2636" t="s">
        <v>472</v>
      </c>
      <c r="G2636">
        <v>-89.871618999999995</v>
      </c>
      <c r="H2636">
        <v>1600</v>
      </c>
      <c r="I2636">
        <v>15</v>
      </c>
      <c r="J2636">
        <v>114</v>
      </c>
      <c r="K2636">
        <v>-384</v>
      </c>
      <c r="L2636">
        <v>1200</v>
      </c>
      <c r="M2636" t="str">
        <f t="shared" si="216"/>
        <v xml:space="preserve">N35DC   </v>
      </c>
      <c r="N2636">
        <v>1</v>
      </c>
      <c r="O2636">
        <v>1700</v>
      </c>
    </row>
    <row r="2637" spans="1:15" x14ac:dyDescent="0.25">
      <c r="A2637" t="str">
        <f t="shared" ref="A2637:A2642" si="217">"10/21/2020 18:32:41.323"</f>
        <v>10/21/2020 18:32:41.323</v>
      </c>
      <c r="B2637" t="str">
        <f t="shared" ref="B2637:B2642" si="218">"18:32:49.250"</f>
        <v>18:32:49.250</v>
      </c>
      <c r="C2637" t="str">
        <f t="shared" ref="C2637:C2642" si="219">"18:32:49.050"</f>
        <v>18:32:49.050</v>
      </c>
      <c r="D2637" t="s">
        <v>1024</v>
      </c>
      <c r="E2637">
        <v>30.714017999999999</v>
      </c>
      <c r="F2637" t="s">
        <v>982</v>
      </c>
      <c r="G2637">
        <v>-89.871554000000003</v>
      </c>
      <c r="H2637">
        <v>1600</v>
      </c>
      <c r="I2637">
        <v>16</v>
      </c>
      <c r="J2637">
        <v>113</v>
      </c>
      <c r="K2637">
        <v>-512</v>
      </c>
      <c r="L2637">
        <v>1200</v>
      </c>
      <c r="M2637" t="str">
        <f t="shared" si="216"/>
        <v xml:space="preserve">N35DC   </v>
      </c>
      <c r="N2637">
        <v>1</v>
      </c>
      <c r="O2637">
        <v>1700</v>
      </c>
    </row>
    <row r="2638" spans="1:15" x14ac:dyDescent="0.25">
      <c r="A2638" t="str">
        <f t="shared" si="217"/>
        <v>10/21/2020 18:32:41.323</v>
      </c>
      <c r="B2638" t="str">
        <f t="shared" si="218"/>
        <v>18:32:49.250</v>
      </c>
      <c r="C2638" t="str">
        <f t="shared" si="219"/>
        <v>18:32:49.050</v>
      </c>
      <c r="D2638" t="s">
        <v>1024</v>
      </c>
      <c r="E2638">
        <v>30.714017999999999</v>
      </c>
      <c r="F2638" t="s">
        <v>982</v>
      </c>
      <c r="G2638">
        <v>-89.871554000000003</v>
      </c>
      <c r="H2638">
        <v>1600</v>
      </c>
      <c r="I2638">
        <v>16</v>
      </c>
      <c r="J2638">
        <v>113</v>
      </c>
      <c r="K2638">
        <v>-512</v>
      </c>
      <c r="L2638">
        <v>1200</v>
      </c>
      <c r="M2638" t="str">
        <f t="shared" si="216"/>
        <v xml:space="preserve">N35DC   </v>
      </c>
      <c r="N2638">
        <v>1</v>
      </c>
      <c r="O2638">
        <v>1700</v>
      </c>
    </row>
    <row r="2639" spans="1:15" x14ac:dyDescent="0.25">
      <c r="A2639" t="str">
        <f t="shared" si="217"/>
        <v>10/21/2020 18:32:41.323</v>
      </c>
      <c r="B2639" t="str">
        <f t="shared" si="218"/>
        <v>18:32:49.250</v>
      </c>
      <c r="C2639" t="str">
        <f t="shared" si="219"/>
        <v>18:32:49.050</v>
      </c>
      <c r="D2639" t="s">
        <v>1024</v>
      </c>
      <c r="E2639">
        <v>30.714017999999999</v>
      </c>
      <c r="F2639" t="s">
        <v>982</v>
      </c>
      <c r="G2639">
        <v>-89.871554000000003</v>
      </c>
      <c r="H2639">
        <v>1600</v>
      </c>
      <c r="I2639">
        <v>16</v>
      </c>
      <c r="J2639">
        <v>113</v>
      </c>
      <c r="K2639">
        <v>-512</v>
      </c>
      <c r="L2639">
        <v>1200</v>
      </c>
      <c r="M2639" t="str">
        <f t="shared" si="216"/>
        <v xml:space="preserve">N35DC   </v>
      </c>
      <c r="N2639">
        <v>1</v>
      </c>
      <c r="O2639">
        <v>1700</v>
      </c>
    </row>
    <row r="2640" spans="1:15" x14ac:dyDescent="0.25">
      <c r="A2640" t="str">
        <f t="shared" si="217"/>
        <v>10/21/2020 18:32:41.323</v>
      </c>
      <c r="B2640" t="str">
        <f t="shared" si="218"/>
        <v>18:32:49.250</v>
      </c>
      <c r="C2640" t="str">
        <f t="shared" si="219"/>
        <v>18:32:49.050</v>
      </c>
      <c r="D2640" t="s">
        <v>1024</v>
      </c>
      <c r="E2640">
        <v>30.714017999999999</v>
      </c>
      <c r="F2640" t="s">
        <v>982</v>
      </c>
      <c r="G2640">
        <v>-89.871554000000003</v>
      </c>
      <c r="H2640">
        <v>1600</v>
      </c>
      <c r="I2640">
        <v>16</v>
      </c>
      <c r="J2640">
        <v>113</v>
      </c>
      <c r="K2640">
        <v>-512</v>
      </c>
      <c r="L2640">
        <v>1200</v>
      </c>
      <c r="M2640" t="str">
        <f t="shared" si="216"/>
        <v xml:space="preserve">N35DC   </v>
      </c>
      <c r="N2640">
        <v>1</v>
      </c>
      <c r="O2640">
        <v>1700</v>
      </c>
    </row>
    <row r="2641" spans="1:15" x14ac:dyDescent="0.25">
      <c r="A2641" t="str">
        <f t="shared" si="217"/>
        <v>10/21/2020 18:32:41.323</v>
      </c>
      <c r="B2641" t="str">
        <f t="shared" si="218"/>
        <v>18:32:49.250</v>
      </c>
      <c r="C2641" t="str">
        <f t="shared" si="219"/>
        <v>18:32:49.050</v>
      </c>
      <c r="D2641" t="s">
        <v>1024</v>
      </c>
      <c r="E2641">
        <v>30.714017999999999</v>
      </c>
      <c r="F2641" t="s">
        <v>982</v>
      </c>
      <c r="G2641">
        <v>-89.871554000000003</v>
      </c>
      <c r="H2641">
        <v>1600</v>
      </c>
      <c r="I2641">
        <v>16</v>
      </c>
      <c r="J2641">
        <v>113</v>
      </c>
      <c r="K2641">
        <v>-512</v>
      </c>
      <c r="L2641">
        <v>1200</v>
      </c>
      <c r="M2641" t="str">
        <f t="shared" si="216"/>
        <v xml:space="preserve">N35DC   </v>
      </c>
      <c r="N2641">
        <v>1</v>
      </c>
      <c r="O2641">
        <v>1700</v>
      </c>
    </row>
    <row r="2642" spans="1:15" x14ac:dyDescent="0.25">
      <c r="A2642" t="str">
        <f t="shared" si="217"/>
        <v>10/21/2020 18:32:41.323</v>
      </c>
      <c r="B2642" t="str">
        <f t="shared" si="218"/>
        <v>18:32:49.250</v>
      </c>
      <c r="C2642" t="str">
        <f t="shared" si="219"/>
        <v>18:32:49.050</v>
      </c>
      <c r="D2642" t="s">
        <v>1024</v>
      </c>
      <c r="E2642">
        <v>30.714017999999999</v>
      </c>
      <c r="F2642" t="s">
        <v>982</v>
      </c>
      <c r="G2642">
        <v>-89.871554000000003</v>
      </c>
      <c r="H2642">
        <v>1600</v>
      </c>
      <c r="I2642">
        <v>16</v>
      </c>
      <c r="J2642">
        <v>113</v>
      </c>
      <c r="K2642">
        <v>-512</v>
      </c>
      <c r="L2642">
        <v>1200</v>
      </c>
      <c r="M2642" t="str">
        <f t="shared" si="216"/>
        <v xml:space="preserve">N35DC   </v>
      </c>
      <c r="N2642">
        <v>1</v>
      </c>
      <c r="O2642">
        <v>1700</v>
      </c>
    </row>
    <row r="2643" spans="1:15" x14ac:dyDescent="0.25">
      <c r="A2643" t="str">
        <f t="shared" ref="A2643:A2648" si="220">"10/21/2020 18:32:43.339"</f>
        <v>10/21/2020 18:32:43.339</v>
      </c>
      <c r="B2643" t="str">
        <f t="shared" ref="B2643:B2648" si="221">"18:32:51.273"</f>
        <v>18:32:51.273</v>
      </c>
      <c r="C2643" t="str">
        <f t="shared" ref="C2643:C2648" si="222">"18:32:50.973"</f>
        <v>18:32:50.973</v>
      </c>
      <c r="D2643" t="s">
        <v>1025</v>
      </c>
      <c r="E2643">
        <v>30.715070000000001</v>
      </c>
      <c r="F2643" t="s">
        <v>976</v>
      </c>
      <c r="G2643">
        <v>-89.871340000000004</v>
      </c>
      <c r="H2643">
        <v>1600</v>
      </c>
      <c r="I2643">
        <v>18</v>
      </c>
      <c r="J2643">
        <v>112</v>
      </c>
      <c r="K2643">
        <v>-512</v>
      </c>
      <c r="L2643">
        <v>1200</v>
      </c>
      <c r="M2643" t="str">
        <f t="shared" si="216"/>
        <v xml:space="preserve">N35DC   </v>
      </c>
      <c r="N2643">
        <v>1</v>
      </c>
      <c r="O2643">
        <v>1675</v>
      </c>
    </row>
    <row r="2644" spans="1:15" x14ac:dyDescent="0.25">
      <c r="A2644" t="str">
        <f t="shared" si="220"/>
        <v>10/21/2020 18:32:43.339</v>
      </c>
      <c r="B2644" t="str">
        <f t="shared" si="221"/>
        <v>18:32:51.273</v>
      </c>
      <c r="C2644" t="str">
        <f t="shared" si="222"/>
        <v>18:32:50.973</v>
      </c>
      <c r="D2644" t="s">
        <v>1025</v>
      </c>
      <c r="E2644">
        <v>30.715070000000001</v>
      </c>
      <c r="F2644" t="s">
        <v>976</v>
      </c>
      <c r="G2644">
        <v>-89.871340000000004</v>
      </c>
      <c r="H2644">
        <v>1600</v>
      </c>
      <c r="I2644">
        <v>18</v>
      </c>
      <c r="J2644">
        <v>112</v>
      </c>
      <c r="K2644">
        <v>-512</v>
      </c>
      <c r="L2644">
        <v>1200</v>
      </c>
      <c r="M2644" t="str">
        <f t="shared" si="216"/>
        <v xml:space="preserve">N35DC   </v>
      </c>
      <c r="N2644">
        <v>1</v>
      </c>
      <c r="O2644">
        <v>1675</v>
      </c>
    </row>
    <row r="2645" spans="1:15" x14ac:dyDescent="0.25">
      <c r="A2645" t="str">
        <f t="shared" si="220"/>
        <v>10/21/2020 18:32:43.339</v>
      </c>
      <c r="B2645" t="str">
        <f t="shared" si="221"/>
        <v>18:32:51.273</v>
      </c>
      <c r="C2645" t="str">
        <f t="shared" si="222"/>
        <v>18:32:50.973</v>
      </c>
      <c r="D2645" t="s">
        <v>1025</v>
      </c>
      <c r="E2645">
        <v>30.715070000000001</v>
      </c>
      <c r="F2645" t="s">
        <v>976</v>
      </c>
      <c r="G2645">
        <v>-89.871340000000004</v>
      </c>
      <c r="H2645">
        <v>1600</v>
      </c>
      <c r="I2645">
        <v>18</v>
      </c>
      <c r="J2645">
        <v>112</v>
      </c>
      <c r="K2645">
        <v>-512</v>
      </c>
      <c r="L2645">
        <v>1200</v>
      </c>
      <c r="M2645" t="str">
        <f t="shared" si="216"/>
        <v xml:space="preserve">N35DC   </v>
      </c>
      <c r="N2645">
        <v>1</v>
      </c>
      <c r="O2645">
        <v>1675</v>
      </c>
    </row>
    <row r="2646" spans="1:15" x14ac:dyDescent="0.25">
      <c r="A2646" t="str">
        <f t="shared" si="220"/>
        <v>10/21/2020 18:32:43.339</v>
      </c>
      <c r="B2646" t="str">
        <f t="shared" si="221"/>
        <v>18:32:51.273</v>
      </c>
      <c r="C2646" t="str">
        <f t="shared" si="222"/>
        <v>18:32:50.973</v>
      </c>
      <c r="D2646" t="s">
        <v>1025</v>
      </c>
      <c r="E2646">
        <v>30.715070000000001</v>
      </c>
      <c r="F2646" t="s">
        <v>976</v>
      </c>
      <c r="G2646">
        <v>-89.871340000000004</v>
      </c>
      <c r="H2646">
        <v>1600</v>
      </c>
      <c r="I2646">
        <v>18</v>
      </c>
      <c r="J2646">
        <v>112</v>
      </c>
      <c r="K2646">
        <v>-512</v>
      </c>
      <c r="L2646">
        <v>1200</v>
      </c>
      <c r="M2646" t="str">
        <f t="shared" si="216"/>
        <v xml:space="preserve">N35DC   </v>
      </c>
      <c r="N2646">
        <v>1</v>
      </c>
      <c r="O2646">
        <v>1675</v>
      </c>
    </row>
    <row r="2647" spans="1:15" x14ac:dyDescent="0.25">
      <c r="A2647" t="str">
        <f t="shared" si="220"/>
        <v>10/21/2020 18:32:43.339</v>
      </c>
      <c r="B2647" t="str">
        <f t="shared" si="221"/>
        <v>18:32:51.273</v>
      </c>
      <c r="C2647" t="str">
        <f t="shared" si="222"/>
        <v>18:32:50.973</v>
      </c>
      <c r="D2647" t="s">
        <v>1025</v>
      </c>
      <c r="E2647">
        <v>30.715070000000001</v>
      </c>
      <c r="F2647" t="s">
        <v>976</v>
      </c>
      <c r="G2647">
        <v>-89.871340000000004</v>
      </c>
      <c r="H2647">
        <v>1600</v>
      </c>
      <c r="I2647">
        <v>18</v>
      </c>
      <c r="J2647">
        <v>112</v>
      </c>
      <c r="K2647">
        <v>-512</v>
      </c>
      <c r="L2647">
        <v>1200</v>
      </c>
      <c r="M2647" t="str">
        <f t="shared" si="216"/>
        <v xml:space="preserve">N35DC   </v>
      </c>
      <c r="N2647">
        <v>1</v>
      </c>
      <c r="O2647">
        <v>1675</v>
      </c>
    </row>
    <row r="2648" spans="1:15" x14ac:dyDescent="0.25">
      <c r="A2648" t="str">
        <f t="shared" si="220"/>
        <v>10/21/2020 18:32:43.339</v>
      </c>
      <c r="B2648" t="str">
        <f t="shared" si="221"/>
        <v>18:32:51.273</v>
      </c>
      <c r="C2648" t="str">
        <f t="shared" si="222"/>
        <v>18:32:50.973</v>
      </c>
      <c r="D2648" t="s">
        <v>1025</v>
      </c>
      <c r="E2648">
        <v>30.715070000000001</v>
      </c>
      <c r="F2648" t="s">
        <v>976</v>
      </c>
      <c r="G2648">
        <v>-89.871340000000004</v>
      </c>
      <c r="H2648">
        <v>1600</v>
      </c>
      <c r="I2648">
        <v>18</v>
      </c>
      <c r="J2648">
        <v>112</v>
      </c>
      <c r="K2648">
        <v>-512</v>
      </c>
      <c r="L2648">
        <v>1200</v>
      </c>
      <c r="M2648" t="str">
        <f t="shared" si="216"/>
        <v xml:space="preserve">N35DC   </v>
      </c>
      <c r="N2648">
        <v>1</v>
      </c>
      <c r="O2648">
        <v>1675</v>
      </c>
    </row>
    <row r="2649" spans="1:15" x14ac:dyDescent="0.25">
      <c r="A2649" t="str">
        <f t="shared" ref="A2649:A2654" si="223">"10/21/2020 18:32:44.840"</f>
        <v>10/21/2020 18:32:44.840</v>
      </c>
      <c r="B2649" t="str">
        <f t="shared" ref="B2649:B2654" si="224">"18:32:52.773"</f>
        <v>18:32:52.773</v>
      </c>
      <c r="C2649" t="str">
        <f t="shared" ref="C2649:C2654" si="225">"18:32:52.373"</f>
        <v>18:32:52.373</v>
      </c>
      <c r="D2649" t="s">
        <v>1026</v>
      </c>
      <c r="E2649">
        <v>30.715864</v>
      </c>
      <c r="F2649" t="s">
        <v>1027</v>
      </c>
      <c r="G2649">
        <v>-89.871189999999999</v>
      </c>
      <c r="H2649">
        <v>1600</v>
      </c>
      <c r="I2649">
        <v>19</v>
      </c>
      <c r="J2649">
        <v>112</v>
      </c>
      <c r="K2649">
        <v>-384</v>
      </c>
      <c r="L2649">
        <v>1200</v>
      </c>
      <c r="M2649" t="str">
        <f t="shared" si="216"/>
        <v xml:space="preserve">N35DC   </v>
      </c>
      <c r="N2649">
        <v>1</v>
      </c>
      <c r="O2649">
        <v>1675</v>
      </c>
    </row>
    <row r="2650" spans="1:15" x14ac:dyDescent="0.25">
      <c r="A2650" t="str">
        <f t="shared" si="223"/>
        <v>10/21/2020 18:32:44.840</v>
      </c>
      <c r="B2650" t="str">
        <f t="shared" si="224"/>
        <v>18:32:52.773</v>
      </c>
      <c r="C2650" t="str">
        <f t="shared" si="225"/>
        <v>18:32:52.373</v>
      </c>
      <c r="D2650" t="s">
        <v>1026</v>
      </c>
      <c r="E2650">
        <v>30.715864</v>
      </c>
      <c r="F2650" t="s">
        <v>1027</v>
      </c>
      <c r="G2650">
        <v>-89.871189999999999</v>
      </c>
      <c r="H2650">
        <v>1600</v>
      </c>
      <c r="I2650">
        <v>19</v>
      </c>
      <c r="J2650">
        <v>112</v>
      </c>
      <c r="K2650">
        <v>-384</v>
      </c>
      <c r="L2650">
        <v>1200</v>
      </c>
      <c r="M2650" t="str">
        <f t="shared" si="216"/>
        <v xml:space="preserve">N35DC   </v>
      </c>
      <c r="N2650">
        <v>1</v>
      </c>
      <c r="O2650">
        <v>1675</v>
      </c>
    </row>
    <row r="2651" spans="1:15" x14ac:dyDescent="0.25">
      <c r="A2651" t="str">
        <f t="shared" si="223"/>
        <v>10/21/2020 18:32:44.840</v>
      </c>
      <c r="B2651" t="str">
        <f t="shared" si="224"/>
        <v>18:32:52.773</v>
      </c>
      <c r="C2651" t="str">
        <f t="shared" si="225"/>
        <v>18:32:52.373</v>
      </c>
      <c r="D2651" t="s">
        <v>1026</v>
      </c>
      <c r="E2651">
        <v>30.715864</v>
      </c>
      <c r="F2651" t="s">
        <v>1027</v>
      </c>
      <c r="G2651">
        <v>-89.871189999999999</v>
      </c>
      <c r="H2651">
        <v>1600</v>
      </c>
      <c r="I2651">
        <v>19</v>
      </c>
      <c r="J2651">
        <v>112</v>
      </c>
      <c r="K2651">
        <v>-384</v>
      </c>
      <c r="L2651">
        <v>1200</v>
      </c>
      <c r="M2651" t="str">
        <f t="shared" si="216"/>
        <v xml:space="preserve">N35DC   </v>
      </c>
      <c r="N2651">
        <v>1</v>
      </c>
      <c r="O2651">
        <v>1675</v>
      </c>
    </row>
    <row r="2652" spans="1:15" x14ac:dyDescent="0.25">
      <c r="A2652" t="str">
        <f t="shared" si="223"/>
        <v>10/21/2020 18:32:44.840</v>
      </c>
      <c r="B2652" t="str">
        <f t="shared" si="224"/>
        <v>18:32:52.773</v>
      </c>
      <c r="C2652" t="str">
        <f t="shared" si="225"/>
        <v>18:32:52.373</v>
      </c>
      <c r="D2652" t="s">
        <v>1026</v>
      </c>
      <c r="E2652">
        <v>30.715864</v>
      </c>
      <c r="F2652" t="s">
        <v>1027</v>
      </c>
      <c r="G2652">
        <v>-89.871189999999999</v>
      </c>
      <c r="H2652">
        <v>1600</v>
      </c>
      <c r="I2652">
        <v>19</v>
      </c>
      <c r="J2652">
        <v>112</v>
      </c>
      <c r="K2652">
        <v>-384</v>
      </c>
      <c r="L2652">
        <v>1200</v>
      </c>
      <c r="M2652" t="str">
        <f t="shared" si="216"/>
        <v xml:space="preserve">N35DC   </v>
      </c>
      <c r="N2652">
        <v>1</v>
      </c>
      <c r="O2652">
        <v>1675</v>
      </c>
    </row>
    <row r="2653" spans="1:15" x14ac:dyDescent="0.25">
      <c r="A2653" t="str">
        <f t="shared" si="223"/>
        <v>10/21/2020 18:32:44.840</v>
      </c>
      <c r="B2653" t="str">
        <f t="shared" si="224"/>
        <v>18:32:52.773</v>
      </c>
      <c r="C2653" t="str">
        <f t="shared" si="225"/>
        <v>18:32:52.373</v>
      </c>
      <c r="D2653" t="s">
        <v>1026</v>
      </c>
      <c r="E2653">
        <v>30.715864</v>
      </c>
      <c r="F2653" t="s">
        <v>1027</v>
      </c>
      <c r="G2653">
        <v>-89.871189999999999</v>
      </c>
      <c r="H2653">
        <v>1600</v>
      </c>
      <c r="I2653">
        <v>19</v>
      </c>
      <c r="J2653">
        <v>112</v>
      </c>
      <c r="K2653">
        <v>-384</v>
      </c>
      <c r="L2653">
        <v>1200</v>
      </c>
      <c r="M2653" t="str">
        <f t="shared" si="216"/>
        <v xml:space="preserve">N35DC   </v>
      </c>
      <c r="N2653">
        <v>1</v>
      </c>
      <c r="O2653">
        <v>1675</v>
      </c>
    </row>
    <row r="2654" spans="1:15" x14ac:dyDescent="0.25">
      <c r="A2654" t="str">
        <f t="shared" si="223"/>
        <v>10/21/2020 18:32:44.840</v>
      </c>
      <c r="B2654" t="str">
        <f t="shared" si="224"/>
        <v>18:32:52.773</v>
      </c>
      <c r="C2654" t="str">
        <f t="shared" si="225"/>
        <v>18:32:52.373</v>
      </c>
      <c r="D2654" t="s">
        <v>1026</v>
      </c>
      <c r="E2654">
        <v>30.715864</v>
      </c>
      <c r="F2654" t="s">
        <v>1027</v>
      </c>
      <c r="G2654">
        <v>-89.871189999999999</v>
      </c>
      <c r="H2654">
        <v>1600</v>
      </c>
      <c r="I2654">
        <v>19</v>
      </c>
      <c r="J2654">
        <v>112</v>
      </c>
      <c r="K2654">
        <v>-384</v>
      </c>
      <c r="L2654">
        <v>1200</v>
      </c>
      <c r="M2654" t="str">
        <f t="shared" si="216"/>
        <v xml:space="preserve">N35DC   </v>
      </c>
      <c r="N2654">
        <v>1</v>
      </c>
      <c r="O2654">
        <v>1675</v>
      </c>
    </row>
    <row r="2655" spans="1:15" x14ac:dyDescent="0.25">
      <c r="A2655" t="str">
        <f t="shared" ref="A2655:A2660" si="226">"10/21/2020 18:32:47.408"</f>
        <v>10/21/2020 18:32:47.408</v>
      </c>
      <c r="B2655" t="str">
        <f t="shared" ref="B2655:B2660" si="227">"18:32:55.336"</f>
        <v>18:32:55.336</v>
      </c>
      <c r="C2655" t="str">
        <f t="shared" ref="C2655:C2660" si="228">"18:32:54.836"</f>
        <v>18:32:54.836</v>
      </c>
      <c r="D2655" t="s">
        <v>1028</v>
      </c>
      <c r="E2655">
        <v>30.717172999999999</v>
      </c>
      <c r="F2655" t="s">
        <v>967</v>
      </c>
      <c r="G2655">
        <v>-89.870911000000007</v>
      </c>
      <c r="H2655">
        <v>1600</v>
      </c>
      <c r="I2655">
        <v>19</v>
      </c>
      <c r="J2655">
        <v>110</v>
      </c>
      <c r="K2655">
        <v>-128</v>
      </c>
      <c r="L2655">
        <v>1200</v>
      </c>
      <c r="M2655" t="str">
        <f t="shared" si="216"/>
        <v xml:space="preserve">N35DC   </v>
      </c>
      <c r="N2655">
        <v>1</v>
      </c>
      <c r="O2655">
        <v>1650</v>
      </c>
    </row>
    <row r="2656" spans="1:15" x14ac:dyDescent="0.25">
      <c r="A2656" t="str">
        <f t="shared" si="226"/>
        <v>10/21/2020 18:32:47.408</v>
      </c>
      <c r="B2656" t="str">
        <f t="shared" si="227"/>
        <v>18:32:55.336</v>
      </c>
      <c r="C2656" t="str">
        <f t="shared" si="228"/>
        <v>18:32:54.836</v>
      </c>
      <c r="D2656" t="s">
        <v>1028</v>
      </c>
      <c r="E2656">
        <v>30.717172999999999</v>
      </c>
      <c r="F2656" t="s">
        <v>967</v>
      </c>
      <c r="G2656">
        <v>-89.870911000000007</v>
      </c>
      <c r="H2656">
        <v>1600</v>
      </c>
      <c r="I2656">
        <v>19</v>
      </c>
      <c r="J2656">
        <v>110</v>
      </c>
      <c r="K2656">
        <v>-128</v>
      </c>
      <c r="L2656">
        <v>1200</v>
      </c>
      <c r="M2656" t="str">
        <f t="shared" si="216"/>
        <v xml:space="preserve">N35DC   </v>
      </c>
      <c r="N2656">
        <v>1</v>
      </c>
      <c r="O2656">
        <v>1650</v>
      </c>
    </row>
    <row r="2657" spans="1:15" x14ac:dyDescent="0.25">
      <c r="A2657" t="str">
        <f t="shared" si="226"/>
        <v>10/21/2020 18:32:47.408</v>
      </c>
      <c r="B2657" t="str">
        <f t="shared" si="227"/>
        <v>18:32:55.336</v>
      </c>
      <c r="C2657" t="str">
        <f t="shared" si="228"/>
        <v>18:32:54.836</v>
      </c>
      <c r="D2657" t="s">
        <v>1028</v>
      </c>
      <c r="E2657">
        <v>30.717172999999999</v>
      </c>
      <c r="F2657" t="s">
        <v>967</v>
      </c>
      <c r="G2657">
        <v>-89.870911000000007</v>
      </c>
      <c r="H2657">
        <v>1600</v>
      </c>
      <c r="I2657">
        <v>19</v>
      </c>
      <c r="J2657">
        <v>110</v>
      </c>
      <c r="K2657">
        <v>-128</v>
      </c>
      <c r="L2657">
        <v>1200</v>
      </c>
      <c r="M2657" t="str">
        <f t="shared" si="216"/>
        <v xml:space="preserve">N35DC   </v>
      </c>
      <c r="N2657">
        <v>1</v>
      </c>
      <c r="O2657">
        <v>1650</v>
      </c>
    </row>
    <row r="2658" spans="1:15" x14ac:dyDescent="0.25">
      <c r="A2658" t="str">
        <f t="shared" si="226"/>
        <v>10/21/2020 18:32:47.408</v>
      </c>
      <c r="B2658" t="str">
        <f t="shared" si="227"/>
        <v>18:32:55.336</v>
      </c>
      <c r="C2658" t="str">
        <f t="shared" si="228"/>
        <v>18:32:54.836</v>
      </c>
      <c r="D2658" t="s">
        <v>1028</v>
      </c>
      <c r="E2658">
        <v>30.717172999999999</v>
      </c>
      <c r="F2658" t="s">
        <v>967</v>
      </c>
      <c r="G2658">
        <v>-89.870911000000007</v>
      </c>
      <c r="H2658">
        <v>1600</v>
      </c>
      <c r="I2658">
        <v>19</v>
      </c>
      <c r="J2658">
        <v>110</v>
      </c>
      <c r="K2658">
        <v>-128</v>
      </c>
      <c r="L2658">
        <v>1200</v>
      </c>
      <c r="M2658" t="str">
        <f t="shared" si="216"/>
        <v xml:space="preserve">N35DC   </v>
      </c>
      <c r="N2658">
        <v>1</v>
      </c>
      <c r="O2658">
        <v>1650</v>
      </c>
    </row>
    <row r="2659" spans="1:15" x14ac:dyDescent="0.25">
      <c r="A2659" t="str">
        <f t="shared" si="226"/>
        <v>10/21/2020 18:32:47.408</v>
      </c>
      <c r="B2659" t="str">
        <f t="shared" si="227"/>
        <v>18:32:55.336</v>
      </c>
      <c r="C2659" t="str">
        <f t="shared" si="228"/>
        <v>18:32:54.836</v>
      </c>
      <c r="D2659" t="s">
        <v>1028</v>
      </c>
      <c r="E2659">
        <v>30.717172999999999</v>
      </c>
      <c r="F2659" t="s">
        <v>967</v>
      </c>
      <c r="G2659">
        <v>-89.870911000000007</v>
      </c>
      <c r="H2659">
        <v>1600</v>
      </c>
      <c r="I2659">
        <v>19</v>
      </c>
      <c r="J2659">
        <v>110</v>
      </c>
      <c r="K2659">
        <v>-128</v>
      </c>
      <c r="L2659">
        <v>1200</v>
      </c>
      <c r="M2659" t="str">
        <f t="shared" si="216"/>
        <v xml:space="preserve">N35DC   </v>
      </c>
      <c r="N2659">
        <v>1</v>
      </c>
      <c r="O2659">
        <v>1650</v>
      </c>
    </row>
    <row r="2660" spans="1:15" x14ac:dyDescent="0.25">
      <c r="A2660" t="str">
        <f t="shared" si="226"/>
        <v>10/21/2020 18:32:47.408</v>
      </c>
      <c r="B2660" t="str">
        <f t="shared" si="227"/>
        <v>18:32:55.336</v>
      </c>
      <c r="C2660" t="str">
        <f t="shared" si="228"/>
        <v>18:32:54.836</v>
      </c>
      <c r="D2660" t="s">
        <v>1028</v>
      </c>
      <c r="E2660">
        <v>30.717172999999999</v>
      </c>
      <c r="F2660" t="s">
        <v>967</v>
      </c>
      <c r="G2660">
        <v>-89.870911000000007</v>
      </c>
      <c r="H2660">
        <v>1600</v>
      </c>
      <c r="I2660">
        <v>19</v>
      </c>
      <c r="J2660">
        <v>110</v>
      </c>
      <c r="K2660">
        <v>-128</v>
      </c>
      <c r="L2660">
        <v>1200</v>
      </c>
      <c r="M2660" t="str">
        <f t="shared" si="216"/>
        <v xml:space="preserve">N35DC   </v>
      </c>
      <c r="N2660">
        <v>1</v>
      </c>
      <c r="O2660">
        <v>1650</v>
      </c>
    </row>
    <row r="2661" spans="1:15" x14ac:dyDescent="0.25">
      <c r="A2661" t="str">
        <f>"10/21/2020 18:32:50.509"</f>
        <v>10/21/2020 18:32:50.509</v>
      </c>
      <c r="B2661" t="str">
        <f>"18:32:58.437"</f>
        <v>18:32:58.437</v>
      </c>
      <c r="C2661" t="str">
        <f>"18:32:58.038"</f>
        <v>18:32:58.038</v>
      </c>
      <c r="D2661" t="s">
        <v>1029</v>
      </c>
      <c r="E2661">
        <v>30.718696000000001</v>
      </c>
      <c r="F2661" t="s">
        <v>958</v>
      </c>
      <c r="G2661">
        <v>-89.870632000000001</v>
      </c>
      <c r="H2661">
        <v>1600</v>
      </c>
      <c r="I2661">
        <v>15</v>
      </c>
      <c r="J2661">
        <v>107</v>
      </c>
      <c r="K2661">
        <v>192</v>
      </c>
      <c r="L2661">
        <v>1200</v>
      </c>
      <c r="M2661" t="str">
        <f t="shared" si="216"/>
        <v xml:space="preserve">N35DC   </v>
      </c>
      <c r="N2661">
        <v>1</v>
      </c>
      <c r="O2661">
        <v>1650</v>
      </c>
    </row>
    <row r="2662" spans="1:15" x14ac:dyDescent="0.25">
      <c r="A2662" t="str">
        <f>"10/21/2020 18:32:50.509"</f>
        <v>10/21/2020 18:32:50.509</v>
      </c>
      <c r="B2662" t="str">
        <f>"18:32:58.437"</f>
        <v>18:32:58.437</v>
      </c>
      <c r="C2662" t="str">
        <f>"18:32:58.038"</f>
        <v>18:32:58.038</v>
      </c>
      <c r="D2662" t="s">
        <v>1029</v>
      </c>
      <c r="E2662">
        <v>30.718696000000001</v>
      </c>
      <c r="F2662" t="s">
        <v>958</v>
      </c>
      <c r="G2662">
        <v>-89.870632000000001</v>
      </c>
      <c r="H2662">
        <v>1600</v>
      </c>
      <c r="I2662">
        <v>15</v>
      </c>
      <c r="J2662">
        <v>107</v>
      </c>
      <c r="K2662">
        <v>192</v>
      </c>
      <c r="L2662">
        <v>1200</v>
      </c>
      <c r="M2662" t="str">
        <f t="shared" si="216"/>
        <v xml:space="preserve">N35DC   </v>
      </c>
      <c r="N2662">
        <v>1</v>
      </c>
      <c r="O2662">
        <v>1650</v>
      </c>
    </row>
    <row r="2663" spans="1:15" x14ac:dyDescent="0.25">
      <c r="A2663" t="str">
        <f>"10/21/2020 18:32:50.509"</f>
        <v>10/21/2020 18:32:50.509</v>
      </c>
      <c r="B2663" t="str">
        <f>"18:32:58.437"</f>
        <v>18:32:58.437</v>
      </c>
      <c r="C2663" t="str">
        <f>"18:32:58.038"</f>
        <v>18:32:58.038</v>
      </c>
      <c r="D2663" t="s">
        <v>1029</v>
      </c>
      <c r="E2663">
        <v>30.718696000000001</v>
      </c>
      <c r="F2663" t="s">
        <v>958</v>
      </c>
      <c r="G2663">
        <v>-89.870632000000001</v>
      </c>
      <c r="H2663">
        <v>1600</v>
      </c>
      <c r="I2663">
        <v>15</v>
      </c>
      <c r="J2663">
        <v>107</v>
      </c>
      <c r="K2663">
        <v>192</v>
      </c>
      <c r="L2663">
        <v>1200</v>
      </c>
      <c r="M2663" t="str">
        <f t="shared" si="216"/>
        <v xml:space="preserve">N35DC   </v>
      </c>
      <c r="N2663">
        <v>1</v>
      </c>
      <c r="O2663">
        <v>1650</v>
      </c>
    </row>
    <row r="2664" spans="1:15" x14ac:dyDescent="0.25">
      <c r="A2664" t="str">
        <f>"10/21/2020 18:32:50.509"</f>
        <v>10/21/2020 18:32:50.509</v>
      </c>
      <c r="B2664" t="str">
        <f>"18:32:58.437"</f>
        <v>18:32:58.437</v>
      </c>
      <c r="C2664" t="str">
        <f>"18:32:58.038"</f>
        <v>18:32:58.038</v>
      </c>
      <c r="D2664" t="s">
        <v>1029</v>
      </c>
      <c r="E2664">
        <v>30.718696000000001</v>
      </c>
      <c r="F2664" t="s">
        <v>958</v>
      </c>
      <c r="G2664">
        <v>-89.870632000000001</v>
      </c>
      <c r="H2664">
        <v>1600</v>
      </c>
      <c r="I2664">
        <v>15</v>
      </c>
      <c r="J2664">
        <v>107</v>
      </c>
      <c r="K2664">
        <v>192</v>
      </c>
      <c r="L2664">
        <v>1200</v>
      </c>
      <c r="M2664" t="str">
        <f t="shared" si="216"/>
        <v xml:space="preserve">N35DC   </v>
      </c>
      <c r="N2664">
        <v>1</v>
      </c>
      <c r="O2664">
        <v>1650</v>
      </c>
    </row>
    <row r="2665" spans="1:15" x14ac:dyDescent="0.25">
      <c r="A2665" t="str">
        <f>"10/21/2020 18:32:50.509"</f>
        <v>10/21/2020 18:32:50.509</v>
      </c>
      <c r="B2665" t="str">
        <f>"18:32:58.437"</f>
        <v>18:32:58.437</v>
      </c>
      <c r="C2665" t="str">
        <f>"18:32:58.038"</f>
        <v>18:32:58.038</v>
      </c>
      <c r="D2665" t="s">
        <v>1029</v>
      </c>
      <c r="E2665">
        <v>30.718696000000001</v>
      </c>
      <c r="F2665" t="s">
        <v>958</v>
      </c>
      <c r="G2665">
        <v>-89.870632000000001</v>
      </c>
      <c r="H2665">
        <v>1600</v>
      </c>
      <c r="I2665">
        <v>15</v>
      </c>
      <c r="J2665">
        <v>107</v>
      </c>
      <c r="K2665">
        <v>192</v>
      </c>
      <c r="L2665">
        <v>1200</v>
      </c>
      <c r="M2665" t="str">
        <f t="shared" si="216"/>
        <v xml:space="preserve">N35DC   </v>
      </c>
      <c r="N2665">
        <v>1</v>
      </c>
      <c r="O2665">
        <v>1650</v>
      </c>
    </row>
    <row r="2666" spans="1:15" x14ac:dyDescent="0.25">
      <c r="A2666" t="str">
        <f>"10/21/2020 18:32:50.930"</f>
        <v>10/21/2020 18:32:50.930</v>
      </c>
      <c r="B2666" t="str">
        <f>"18:32:58.844"</f>
        <v>18:32:58.844</v>
      </c>
      <c r="C2666" t="str">
        <f>"18:32:58.544"</f>
        <v>18:32:58.544</v>
      </c>
      <c r="D2666" t="s">
        <v>1030</v>
      </c>
      <c r="E2666">
        <v>30.718910999999999</v>
      </c>
      <c r="F2666" t="s">
        <v>958</v>
      </c>
      <c r="G2666">
        <v>-89.870632000000001</v>
      </c>
      <c r="H2666">
        <v>1600</v>
      </c>
      <c r="I2666">
        <v>15</v>
      </c>
      <c r="J2666">
        <v>106</v>
      </c>
      <c r="K2666">
        <v>192</v>
      </c>
      <c r="L2666">
        <v>1200</v>
      </c>
      <c r="M2666" t="str">
        <f t="shared" si="216"/>
        <v xml:space="preserve">N35DC   </v>
      </c>
      <c r="N2666">
        <v>1</v>
      </c>
      <c r="O2666">
        <v>1675</v>
      </c>
    </row>
    <row r="2667" spans="1:15" x14ac:dyDescent="0.25">
      <c r="A2667" t="str">
        <f>"10/21/2020 18:32:53.492"</f>
        <v>10/21/2020 18:32:53.492</v>
      </c>
      <c r="B2667" t="str">
        <f>"18:33:01.406"</f>
        <v>18:33:01.406</v>
      </c>
      <c r="C2667" t="str">
        <f>"18:33:01.006"</f>
        <v>18:33:01.006</v>
      </c>
      <c r="D2667" t="s">
        <v>1031</v>
      </c>
      <c r="E2667">
        <v>30.720154999999998</v>
      </c>
      <c r="F2667" t="s">
        <v>1032</v>
      </c>
      <c r="G2667">
        <v>-89.870480999999998</v>
      </c>
      <c r="H2667">
        <v>1600</v>
      </c>
      <c r="I2667">
        <v>13</v>
      </c>
      <c r="J2667">
        <v>104</v>
      </c>
      <c r="K2667">
        <v>128</v>
      </c>
      <c r="L2667">
        <v>1200</v>
      </c>
      <c r="M2667" t="str">
        <f t="shared" si="216"/>
        <v xml:space="preserve">N35DC   </v>
      </c>
      <c r="N2667">
        <v>1</v>
      </c>
      <c r="O2667">
        <v>1675</v>
      </c>
    </row>
    <row r="2668" spans="1:15" x14ac:dyDescent="0.25">
      <c r="A2668" t="str">
        <f>"10/21/2020 18:32:54.100"</f>
        <v>10/21/2020 18:32:54.100</v>
      </c>
      <c r="B2668" t="str">
        <f>"18:33:01.992"</f>
        <v>18:33:01.992</v>
      </c>
      <c r="C2668" t="str">
        <f>"18:33:01.592"</f>
        <v>18:33:01.592</v>
      </c>
      <c r="D2668" t="s">
        <v>1033</v>
      </c>
      <c r="E2668">
        <v>30.720434000000001</v>
      </c>
      <c r="F2668" t="s">
        <v>954</v>
      </c>
      <c r="G2668">
        <v>-89.870417000000003</v>
      </c>
      <c r="H2668">
        <v>1600</v>
      </c>
      <c r="I2668">
        <v>12</v>
      </c>
      <c r="J2668">
        <v>103</v>
      </c>
      <c r="K2668">
        <v>128</v>
      </c>
      <c r="L2668">
        <v>1200</v>
      </c>
      <c r="M2668" t="str">
        <f t="shared" si="216"/>
        <v xml:space="preserve">N35DC   </v>
      </c>
      <c r="N2668">
        <v>1</v>
      </c>
      <c r="O2668">
        <v>1675</v>
      </c>
    </row>
    <row r="2669" spans="1:15" x14ac:dyDescent="0.25">
      <c r="A2669" t="str">
        <f>"10/21/2020 18:32:54.100"</f>
        <v>10/21/2020 18:32:54.100</v>
      </c>
      <c r="B2669" t="str">
        <f>"18:33:01.992"</f>
        <v>18:33:01.992</v>
      </c>
      <c r="C2669" t="str">
        <f>"18:33:01.592"</f>
        <v>18:33:01.592</v>
      </c>
      <c r="D2669" t="s">
        <v>1033</v>
      </c>
      <c r="E2669">
        <v>30.720434000000001</v>
      </c>
      <c r="F2669" t="s">
        <v>954</v>
      </c>
      <c r="G2669">
        <v>-89.870417000000003</v>
      </c>
      <c r="H2669">
        <v>1600</v>
      </c>
      <c r="I2669">
        <v>12</v>
      </c>
      <c r="J2669">
        <v>103</v>
      </c>
      <c r="K2669">
        <v>128</v>
      </c>
      <c r="L2669">
        <v>1200</v>
      </c>
      <c r="M2669" t="str">
        <f t="shared" si="216"/>
        <v xml:space="preserve">N35DC   </v>
      </c>
      <c r="N2669">
        <v>1</v>
      </c>
      <c r="O2669">
        <v>1675</v>
      </c>
    </row>
    <row r="2670" spans="1:15" x14ac:dyDescent="0.25">
      <c r="A2670" t="str">
        <f>"10/21/2020 18:32:54.100"</f>
        <v>10/21/2020 18:32:54.100</v>
      </c>
      <c r="B2670" t="str">
        <f>"18:33:01.992"</f>
        <v>18:33:01.992</v>
      </c>
      <c r="C2670" t="str">
        <f>"18:33:01.592"</f>
        <v>18:33:01.592</v>
      </c>
      <c r="D2670" t="s">
        <v>1033</v>
      </c>
      <c r="E2670">
        <v>30.720434000000001</v>
      </c>
      <c r="F2670" t="s">
        <v>954</v>
      </c>
      <c r="G2670">
        <v>-89.870417000000003</v>
      </c>
      <c r="H2670">
        <v>1600</v>
      </c>
      <c r="I2670">
        <v>12</v>
      </c>
      <c r="J2670">
        <v>103</v>
      </c>
      <c r="K2670">
        <v>128</v>
      </c>
      <c r="L2670">
        <v>1200</v>
      </c>
      <c r="M2670" t="str">
        <f t="shared" si="216"/>
        <v xml:space="preserve">N35DC   </v>
      </c>
      <c r="N2670">
        <v>1</v>
      </c>
      <c r="O2670">
        <v>1675</v>
      </c>
    </row>
    <row r="2671" spans="1:15" x14ac:dyDescent="0.25">
      <c r="A2671" t="str">
        <f>"10/21/2020 18:32:54.100"</f>
        <v>10/21/2020 18:32:54.100</v>
      </c>
      <c r="B2671" t="str">
        <f>"18:33:01.992"</f>
        <v>18:33:01.992</v>
      </c>
      <c r="C2671" t="str">
        <f>"18:33:01.592"</f>
        <v>18:33:01.592</v>
      </c>
      <c r="D2671" t="s">
        <v>1033</v>
      </c>
      <c r="E2671">
        <v>30.720434000000001</v>
      </c>
      <c r="F2671" t="s">
        <v>954</v>
      </c>
      <c r="G2671">
        <v>-89.870417000000003</v>
      </c>
      <c r="H2671">
        <v>1600</v>
      </c>
      <c r="I2671">
        <v>12</v>
      </c>
      <c r="J2671">
        <v>103</v>
      </c>
      <c r="K2671">
        <v>128</v>
      </c>
      <c r="L2671">
        <v>1200</v>
      </c>
      <c r="M2671" t="str">
        <f t="shared" si="216"/>
        <v xml:space="preserve">N35DC   </v>
      </c>
      <c r="N2671">
        <v>1</v>
      </c>
      <c r="O2671">
        <v>1675</v>
      </c>
    </row>
    <row r="2672" spans="1:15" x14ac:dyDescent="0.25">
      <c r="A2672" t="str">
        <f>"10/21/2020 18:32:54.100"</f>
        <v>10/21/2020 18:32:54.100</v>
      </c>
      <c r="B2672" t="str">
        <f>"18:33:01.992"</f>
        <v>18:33:01.992</v>
      </c>
      <c r="C2672" t="str">
        <f>"18:33:01.592"</f>
        <v>18:33:01.592</v>
      </c>
      <c r="D2672" t="s">
        <v>1033</v>
      </c>
      <c r="E2672">
        <v>30.720434000000001</v>
      </c>
      <c r="F2672" t="s">
        <v>954</v>
      </c>
      <c r="G2672">
        <v>-89.870417000000003</v>
      </c>
      <c r="H2672">
        <v>1600</v>
      </c>
      <c r="I2672">
        <v>12</v>
      </c>
      <c r="J2672">
        <v>103</v>
      </c>
      <c r="K2672">
        <v>128</v>
      </c>
      <c r="L2672">
        <v>1200</v>
      </c>
      <c r="M2672" t="str">
        <f t="shared" si="216"/>
        <v xml:space="preserve">N35DC   </v>
      </c>
      <c r="N2672">
        <v>1</v>
      </c>
      <c r="O2672">
        <v>1675</v>
      </c>
    </row>
    <row r="2673" spans="1:15" x14ac:dyDescent="0.25">
      <c r="A2673" t="str">
        <f>"10/21/2020 18:32:54.653"</f>
        <v>10/21/2020 18:32:54.653</v>
      </c>
      <c r="B2673" t="str">
        <f>"18:33:02.523"</f>
        <v>18:33:02.523</v>
      </c>
      <c r="C2673" t="str">
        <f>"18:33:02.523"</f>
        <v>18:33:02.523</v>
      </c>
      <c r="D2673" t="s">
        <v>1034</v>
      </c>
      <c r="E2673">
        <v>30.720649000000002</v>
      </c>
      <c r="F2673" t="s">
        <v>952</v>
      </c>
      <c r="G2673">
        <v>-89.870373999999998</v>
      </c>
      <c r="H2673">
        <v>1600</v>
      </c>
      <c r="I2673">
        <v>11</v>
      </c>
      <c r="J2673">
        <v>102</v>
      </c>
      <c r="K2673">
        <v>128</v>
      </c>
      <c r="L2673">
        <v>1200</v>
      </c>
      <c r="M2673" t="str">
        <f t="shared" si="216"/>
        <v xml:space="preserve">N35DC   </v>
      </c>
      <c r="N2673">
        <v>1</v>
      </c>
      <c r="O2673">
        <v>1675</v>
      </c>
    </row>
    <row r="2674" spans="1:15" x14ac:dyDescent="0.25">
      <c r="A2674" t="str">
        <f>"10/21/2020 18:32:55.163"</f>
        <v>10/21/2020 18:32:55.163</v>
      </c>
      <c r="B2674" t="str">
        <f t="shared" ref="B2674:C2678" si="229">"18:33:03.078"</f>
        <v>18:33:03.078</v>
      </c>
      <c r="C2674" t="str">
        <f t="shared" si="229"/>
        <v>18:33:03.078</v>
      </c>
      <c r="D2674" t="s">
        <v>1035</v>
      </c>
      <c r="E2674">
        <v>30.720949000000001</v>
      </c>
      <c r="F2674" t="s">
        <v>950</v>
      </c>
      <c r="G2674">
        <v>-89.870352999999994</v>
      </c>
      <c r="H2674">
        <v>1600</v>
      </c>
      <c r="I2674">
        <v>11</v>
      </c>
      <c r="J2674">
        <v>102</v>
      </c>
      <c r="K2674">
        <v>64</v>
      </c>
      <c r="L2674">
        <v>1200</v>
      </c>
      <c r="M2674" t="str">
        <f t="shared" si="216"/>
        <v xml:space="preserve">N35DC   </v>
      </c>
      <c r="N2674">
        <v>1</v>
      </c>
      <c r="O2674">
        <v>1675</v>
      </c>
    </row>
    <row r="2675" spans="1:15" x14ac:dyDescent="0.25">
      <c r="A2675" t="str">
        <f>"10/21/2020 18:32:55.163"</f>
        <v>10/21/2020 18:32:55.163</v>
      </c>
      <c r="B2675" t="str">
        <f t="shared" si="229"/>
        <v>18:33:03.078</v>
      </c>
      <c r="C2675" t="str">
        <f t="shared" si="229"/>
        <v>18:33:03.078</v>
      </c>
      <c r="D2675" t="s">
        <v>1035</v>
      </c>
      <c r="E2675">
        <v>30.720949000000001</v>
      </c>
      <c r="F2675" t="s">
        <v>950</v>
      </c>
      <c r="G2675">
        <v>-89.870352999999994</v>
      </c>
      <c r="H2675">
        <v>1600</v>
      </c>
      <c r="I2675">
        <v>11</v>
      </c>
      <c r="J2675">
        <v>102</v>
      </c>
      <c r="K2675">
        <v>64</v>
      </c>
      <c r="L2675">
        <v>1200</v>
      </c>
      <c r="M2675" t="str">
        <f t="shared" si="216"/>
        <v xml:space="preserve">N35DC   </v>
      </c>
      <c r="N2675">
        <v>1</v>
      </c>
      <c r="O2675">
        <v>1675</v>
      </c>
    </row>
    <row r="2676" spans="1:15" x14ac:dyDescent="0.25">
      <c r="A2676" t="str">
        <f>"10/21/2020 18:32:55.163"</f>
        <v>10/21/2020 18:32:55.163</v>
      </c>
      <c r="B2676" t="str">
        <f t="shared" si="229"/>
        <v>18:33:03.078</v>
      </c>
      <c r="C2676" t="str">
        <f t="shared" si="229"/>
        <v>18:33:03.078</v>
      </c>
      <c r="D2676" t="s">
        <v>1035</v>
      </c>
      <c r="E2676">
        <v>30.720949000000001</v>
      </c>
      <c r="F2676" t="s">
        <v>950</v>
      </c>
      <c r="G2676">
        <v>-89.870352999999994</v>
      </c>
      <c r="H2676">
        <v>1600</v>
      </c>
      <c r="I2676">
        <v>11</v>
      </c>
      <c r="J2676">
        <v>102</v>
      </c>
      <c r="K2676">
        <v>64</v>
      </c>
      <c r="L2676">
        <v>1200</v>
      </c>
      <c r="M2676" t="str">
        <f t="shared" si="216"/>
        <v xml:space="preserve">N35DC   </v>
      </c>
      <c r="N2676">
        <v>1</v>
      </c>
      <c r="O2676">
        <v>1675</v>
      </c>
    </row>
    <row r="2677" spans="1:15" x14ac:dyDescent="0.25">
      <c r="A2677" t="str">
        <f>"10/21/2020 18:32:55.163"</f>
        <v>10/21/2020 18:32:55.163</v>
      </c>
      <c r="B2677" t="str">
        <f t="shared" si="229"/>
        <v>18:33:03.078</v>
      </c>
      <c r="C2677" t="str">
        <f t="shared" si="229"/>
        <v>18:33:03.078</v>
      </c>
      <c r="D2677" t="s">
        <v>1035</v>
      </c>
      <c r="E2677">
        <v>30.720949000000001</v>
      </c>
      <c r="F2677" t="s">
        <v>950</v>
      </c>
      <c r="G2677">
        <v>-89.870352999999994</v>
      </c>
      <c r="H2677">
        <v>1600</v>
      </c>
      <c r="I2677">
        <v>11</v>
      </c>
      <c r="J2677">
        <v>102</v>
      </c>
      <c r="K2677">
        <v>64</v>
      </c>
      <c r="L2677">
        <v>1200</v>
      </c>
      <c r="M2677" t="str">
        <f t="shared" si="216"/>
        <v xml:space="preserve">N35DC   </v>
      </c>
      <c r="N2677">
        <v>1</v>
      </c>
      <c r="O2677">
        <v>1675</v>
      </c>
    </row>
    <row r="2678" spans="1:15" x14ac:dyDescent="0.25">
      <c r="A2678" t="str">
        <f>"10/21/2020 18:32:55.163"</f>
        <v>10/21/2020 18:32:55.163</v>
      </c>
      <c r="B2678" t="str">
        <f t="shared" si="229"/>
        <v>18:33:03.078</v>
      </c>
      <c r="C2678" t="str">
        <f t="shared" si="229"/>
        <v>18:33:03.078</v>
      </c>
      <c r="D2678" t="s">
        <v>1035</v>
      </c>
      <c r="E2678">
        <v>30.720949000000001</v>
      </c>
      <c r="F2678" t="s">
        <v>950</v>
      </c>
      <c r="G2678">
        <v>-89.870352999999994</v>
      </c>
      <c r="H2678">
        <v>1600</v>
      </c>
      <c r="I2678">
        <v>11</v>
      </c>
      <c r="J2678">
        <v>102</v>
      </c>
      <c r="K2678">
        <v>64</v>
      </c>
      <c r="L2678">
        <v>1200</v>
      </c>
      <c r="M2678" t="str">
        <f t="shared" si="216"/>
        <v xml:space="preserve">N35DC   </v>
      </c>
      <c r="N2678">
        <v>1</v>
      </c>
      <c r="O2678">
        <v>1675</v>
      </c>
    </row>
    <row r="2679" spans="1:15" x14ac:dyDescent="0.25">
      <c r="A2679" t="str">
        <f>"10/21/2020 18:32:57.621"</f>
        <v>10/21/2020 18:32:57.621</v>
      </c>
      <c r="B2679" t="str">
        <f>"18:33:05.523"</f>
        <v>18:33:05.523</v>
      </c>
      <c r="C2679" t="str">
        <f>"18:33:02.523"</f>
        <v>18:33:02.523</v>
      </c>
      <c r="D2679" t="s">
        <v>1036</v>
      </c>
      <c r="E2679">
        <v>30.722065000000001</v>
      </c>
      <c r="F2679" t="s">
        <v>508</v>
      </c>
      <c r="G2679">
        <v>-89.870244999999997</v>
      </c>
      <c r="H2679">
        <v>1600</v>
      </c>
      <c r="I2679">
        <v>11</v>
      </c>
      <c r="J2679">
        <v>102</v>
      </c>
      <c r="K2679">
        <v>128</v>
      </c>
      <c r="L2679">
        <v>1200</v>
      </c>
      <c r="M2679" t="str">
        <f t="shared" si="216"/>
        <v xml:space="preserve">N35DC   </v>
      </c>
      <c r="N2679">
        <v>1</v>
      </c>
      <c r="O2679">
        <v>1675</v>
      </c>
    </row>
    <row r="2680" spans="1:15" x14ac:dyDescent="0.25">
      <c r="A2680" t="str">
        <f>"10/21/2020 18:32:58.192"</f>
        <v>10/21/2020 18:32:58.192</v>
      </c>
      <c r="B2680" t="str">
        <f>"18:33:06.117"</f>
        <v>18:33:06.117</v>
      </c>
      <c r="C2680" t="str">
        <f>"18:33:06.017"</f>
        <v>18:33:06.017</v>
      </c>
      <c r="D2680" t="s">
        <v>1037</v>
      </c>
      <c r="E2680">
        <v>30.722344</v>
      </c>
      <c r="F2680" t="s">
        <v>909</v>
      </c>
      <c r="G2680">
        <v>-89.870203000000004</v>
      </c>
      <c r="H2680">
        <v>1600</v>
      </c>
      <c r="I2680">
        <v>6</v>
      </c>
      <c r="J2680">
        <v>100</v>
      </c>
      <c r="K2680">
        <v>0</v>
      </c>
      <c r="L2680">
        <v>1200</v>
      </c>
      <c r="M2680" t="str">
        <f t="shared" si="216"/>
        <v xml:space="preserve">N35DC   </v>
      </c>
      <c r="N2680">
        <v>1</v>
      </c>
      <c r="O2680">
        <v>1675</v>
      </c>
    </row>
    <row r="2681" spans="1:15" x14ac:dyDescent="0.25">
      <c r="A2681" t="str">
        <f>"10/21/2020 18:32:58.192"</f>
        <v>10/21/2020 18:32:58.192</v>
      </c>
      <c r="B2681" t="str">
        <f>"18:33:06.117"</f>
        <v>18:33:06.117</v>
      </c>
      <c r="C2681" t="str">
        <f>"18:33:06.017"</f>
        <v>18:33:06.017</v>
      </c>
      <c r="D2681" t="s">
        <v>1037</v>
      </c>
      <c r="E2681">
        <v>30.722344</v>
      </c>
      <c r="F2681" t="s">
        <v>909</v>
      </c>
      <c r="G2681">
        <v>-89.870203000000004</v>
      </c>
      <c r="H2681">
        <v>1600</v>
      </c>
      <c r="I2681">
        <v>6</v>
      </c>
      <c r="J2681">
        <v>100</v>
      </c>
      <c r="K2681">
        <v>0</v>
      </c>
      <c r="L2681">
        <v>1200</v>
      </c>
      <c r="M2681" t="str">
        <f t="shared" si="216"/>
        <v xml:space="preserve">N35DC   </v>
      </c>
      <c r="N2681">
        <v>1</v>
      </c>
      <c r="O2681">
        <v>1675</v>
      </c>
    </row>
    <row r="2682" spans="1:15" x14ac:dyDescent="0.25">
      <c r="A2682" t="str">
        <f>"10/21/2020 18:32:58.192"</f>
        <v>10/21/2020 18:32:58.192</v>
      </c>
      <c r="B2682" t="str">
        <f>"18:33:06.117"</f>
        <v>18:33:06.117</v>
      </c>
      <c r="C2682" t="str">
        <f>"18:33:06.017"</f>
        <v>18:33:06.017</v>
      </c>
      <c r="D2682" t="s">
        <v>1037</v>
      </c>
      <c r="E2682">
        <v>30.722344</v>
      </c>
      <c r="F2682" t="s">
        <v>909</v>
      </c>
      <c r="G2682">
        <v>-89.870203000000004</v>
      </c>
      <c r="H2682">
        <v>1600</v>
      </c>
      <c r="I2682">
        <v>6</v>
      </c>
      <c r="J2682">
        <v>100</v>
      </c>
      <c r="K2682">
        <v>0</v>
      </c>
      <c r="L2682">
        <v>1200</v>
      </c>
      <c r="M2682" t="str">
        <f t="shared" si="216"/>
        <v xml:space="preserve">N35DC   </v>
      </c>
      <c r="N2682">
        <v>1</v>
      </c>
      <c r="O2682">
        <v>1675</v>
      </c>
    </row>
    <row r="2683" spans="1:15" x14ac:dyDescent="0.25">
      <c r="A2683" t="str">
        <f>"10/21/2020 18:32:58.192"</f>
        <v>10/21/2020 18:32:58.192</v>
      </c>
      <c r="B2683" t="str">
        <f>"18:33:06.117"</f>
        <v>18:33:06.117</v>
      </c>
      <c r="C2683" t="str">
        <f>"18:33:06.017"</f>
        <v>18:33:06.017</v>
      </c>
      <c r="D2683" t="s">
        <v>1037</v>
      </c>
      <c r="E2683">
        <v>30.722344</v>
      </c>
      <c r="F2683" t="s">
        <v>909</v>
      </c>
      <c r="G2683">
        <v>-89.870203000000004</v>
      </c>
      <c r="H2683">
        <v>1600</v>
      </c>
      <c r="I2683">
        <v>6</v>
      </c>
      <c r="J2683">
        <v>100</v>
      </c>
      <c r="K2683">
        <v>0</v>
      </c>
      <c r="L2683">
        <v>1200</v>
      </c>
      <c r="M2683" t="str">
        <f t="shared" si="216"/>
        <v xml:space="preserve">N35DC   </v>
      </c>
      <c r="N2683">
        <v>1</v>
      </c>
      <c r="O2683">
        <v>1675</v>
      </c>
    </row>
    <row r="2684" spans="1:15" x14ac:dyDescent="0.25">
      <c r="A2684" t="str">
        <f>"10/21/2020 18:32:58.192"</f>
        <v>10/21/2020 18:32:58.192</v>
      </c>
      <c r="B2684" t="str">
        <f>"18:33:06.117"</f>
        <v>18:33:06.117</v>
      </c>
      <c r="C2684" t="str">
        <f>"18:33:06.017"</f>
        <v>18:33:06.017</v>
      </c>
      <c r="D2684" t="s">
        <v>1037</v>
      </c>
      <c r="E2684">
        <v>30.722344</v>
      </c>
      <c r="F2684" t="s">
        <v>909</v>
      </c>
      <c r="G2684">
        <v>-89.870203000000004</v>
      </c>
      <c r="H2684">
        <v>1600</v>
      </c>
      <c r="I2684">
        <v>6</v>
      </c>
      <c r="J2684">
        <v>100</v>
      </c>
      <c r="K2684">
        <v>0</v>
      </c>
      <c r="L2684">
        <v>1200</v>
      </c>
      <c r="M2684" t="str">
        <f t="shared" si="216"/>
        <v xml:space="preserve">N35DC   </v>
      </c>
      <c r="N2684">
        <v>1</v>
      </c>
      <c r="O2684">
        <v>1675</v>
      </c>
    </row>
    <row r="2685" spans="1:15" x14ac:dyDescent="0.25">
      <c r="A2685" t="str">
        <f t="shared" ref="A2685:A2690" si="230">"10/21/2020 18:32:59.199"</f>
        <v>10/21/2020 18:32:59.199</v>
      </c>
      <c r="B2685" t="str">
        <f t="shared" ref="B2685:B2690" si="231">"18:33:07.156"</f>
        <v>18:33:07.156</v>
      </c>
      <c r="C2685" t="str">
        <f>"18:33:06.956"</f>
        <v>18:33:06.956</v>
      </c>
      <c r="D2685" t="s">
        <v>1038</v>
      </c>
      <c r="E2685">
        <v>30.722836999999998</v>
      </c>
      <c r="F2685" t="s">
        <v>909</v>
      </c>
      <c r="G2685">
        <v>-89.870203000000004</v>
      </c>
      <c r="H2685">
        <v>1600</v>
      </c>
      <c r="I2685">
        <v>5</v>
      </c>
      <c r="J2685">
        <v>100</v>
      </c>
      <c r="K2685">
        <v>-64</v>
      </c>
      <c r="L2685">
        <v>1200</v>
      </c>
      <c r="M2685" t="str">
        <f t="shared" si="216"/>
        <v xml:space="preserve">N35DC   </v>
      </c>
      <c r="N2685">
        <v>1</v>
      </c>
      <c r="O2685">
        <v>1675</v>
      </c>
    </row>
    <row r="2686" spans="1:15" x14ac:dyDescent="0.25">
      <c r="A2686" t="str">
        <f t="shared" si="230"/>
        <v>10/21/2020 18:32:59.199</v>
      </c>
      <c r="B2686" t="str">
        <f t="shared" si="231"/>
        <v>18:33:07.156</v>
      </c>
      <c r="C2686" t="str">
        <f>"18:33:06.956"</f>
        <v>18:33:06.956</v>
      </c>
      <c r="D2686" t="s">
        <v>1038</v>
      </c>
      <c r="E2686">
        <v>30.722836999999998</v>
      </c>
      <c r="F2686" t="s">
        <v>909</v>
      </c>
      <c r="G2686">
        <v>-89.870203000000004</v>
      </c>
      <c r="H2686">
        <v>1600</v>
      </c>
      <c r="I2686">
        <v>5</v>
      </c>
      <c r="J2686">
        <v>100</v>
      </c>
      <c r="K2686">
        <v>-64</v>
      </c>
      <c r="L2686">
        <v>1200</v>
      </c>
      <c r="M2686" t="str">
        <f t="shared" si="216"/>
        <v xml:space="preserve">N35DC   </v>
      </c>
      <c r="N2686">
        <v>1</v>
      </c>
      <c r="O2686">
        <v>1675</v>
      </c>
    </row>
    <row r="2687" spans="1:15" x14ac:dyDescent="0.25">
      <c r="A2687" t="str">
        <f t="shared" si="230"/>
        <v>10/21/2020 18:32:59.199</v>
      </c>
      <c r="B2687" t="str">
        <f t="shared" si="231"/>
        <v>18:33:07.156</v>
      </c>
      <c r="C2687" t="str">
        <f>"18:33:06.956"</f>
        <v>18:33:06.956</v>
      </c>
      <c r="D2687" t="s">
        <v>1038</v>
      </c>
      <c r="E2687">
        <v>30.722836999999998</v>
      </c>
      <c r="F2687" t="s">
        <v>909</v>
      </c>
      <c r="G2687">
        <v>-89.870203000000004</v>
      </c>
      <c r="H2687">
        <v>1600</v>
      </c>
      <c r="I2687">
        <v>5</v>
      </c>
      <c r="J2687">
        <v>100</v>
      </c>
      <c r="K2687">
        <v>-64</v>
      </c>
      <c r="L2687">
        <v>1200</v>
      </c>
      <c r="M2687" t="str">
        <f t="shared" si="216"/>
        <v xml:space="preserve">N35DC   </v>
      </c>
      <c r="N2687">
        <v>1</v>
      </c>
      <c r="O2687">
        <v>1675</v>
      </c>
    </row>
    <row r="2688" spans="1:15" x14ac:dyDescent="0.25">
      <c r="A2688" t="str">
        <f t="shared" si="230"/>
        <v>10/21/2020 18:32:59.199</v>
      </c>
      <c r="B2688" t="str">
        <f t="shared" si="231"/>
        <v>18:33:07.156</v>
      </c>
      <c r="C2688" t="str">
        <f>"18:33:06.956"</f>
        <v>18:33:06.956</v>
      </c>
      <c r="D2688" t="s">
        <v>1038</v>
      </c>
      <c r="E2688">
        <v>30.722836999999998</v>
      </c>
      <c r="F2688" t="s">
        <v>909</v>
      </c>
      <c r="G2688">
        <v>-89.870203000000004</v>
      </c>
      <c r="H2688">
        <v>1600</v>
      </c>
      <c r="I2688">
        <v>5</v>
      </c>
      <c r="J2688">
        <v>100</v>
      </c>
      <c r="K2688">
        <v>-64</v>
      </c>
      <c r="L2688">
        <v>1200</v>
      </c>
      <c r="M2688" t="str">
        <f t="shared" si="216"/>
        <v xml:space="preserve">N35DC   </v>
      </c>
      <c r="N2688">
        <v>1</v>
      </c>
      <c r="O2688">
        <v>1675</v>
      </c>
    </row>
    <row r="2689" spans="1:15" x14ac:dyDescent="0.25">
      <c r="A2689" t="str">
        <f t="shared" si="230"/>
        <v>10/21/2020 18:32:59.199</v>
      </c>
      <c r="B2689" t="str">
        <f t="shared" si="231"/>
        <v>18:33:07.156</v>
      </c>
      <c r="C2689" t="str">
        <f>"18:33:06.956"</f>
        <v>18:33:06.956</v>
      </c>
      <c r="D2689" t="s">
        <v>1038</v>
      </c>
      <c r="E2689">
        <v>30.722836999999998</v>
      </c>
      <c r="F2689" t="s">
        <v>909</v>
      </c>
      <c r="G2689">
        <v>-89.870203000000004</v>
      </c>
      <c r="H2689">
        <v>1600</v>
      </c>
      <c r="I2689">
        <v>5</v>
      </c>
      <c r="J2689">
        <v>100</v>
      </c>
      <c r="K2689">
        <v>-64</v>
      </c>
      <c r="L2689">
        <v>1200</v>
      </c>
      <c r="M2689" t="str">
        <f t="shared" si="216"/>
        <v xml:space="preserve">N35DC   </v>
      </c>
      <c r="N2689">
        <v>1</v>
      </c>
      <c r="O2689">
        <v>1675</v>
      </c>
    </row>
    <row r="2690" spans="1:15" x14ac:dyDescent="0.25">
      <c r="A2690" t="str">
        <f t="shared" si="230"/>
        <v>10/21/2020 18:32:59.199</v>
      </c>
      <c r="B2690" t="str">
        <f t="shared" si="231"/>
        <v>18:33:07.156</v>
      </c>
      <c r="C2690" t="str">
        <f>"18:33:06.456"</f>
        <v>18:33:06.456</v>
      </c>
      <c r="D2690" t="s">
        <v>1038</v>
      </c>
      <c r="E2690">
        <v>30.722836999999998</v>
      </c>
      <c r="F2690" t="s">
        <v>909</v>
      </c>
      <c r="G2690">
        <v>-89.870203000000004</v>
      </c>
      <c r="H2690">
        <v>1600</v>
      </c>
      <c r="I2690">
        <v>6</v>
      </c>
      <c r="J2690">
        <v>100</v>
      </c>
      <c r="K2690">
        <v>-64</v>
      </c>
      <c r="L2690">
        <v>1200</v>
      </c>
      <c r="M2690" t="str">
        <f t="shared" si="216"/>
        <v xml:space="preserve">N35DC   </v>
      </c>
      <c r="N2690">
        <v>1</v>
      </c>
      <c r="O2690">
        <v>1675</v>
      </c>
    </row>
    <row r="2691" spans="1:15" x14ac:dyDescent="0.25">
      <c r="A2691" t="str">
        <f>"10/21/2020 18:33:02.070"</f>
        <v>10/21/2020 18:33:02.070</v>
      </c>
      <c r="B2691" t="str">
        <f>"18:33:10.008"</f>
        <v>18:33:10.008</v>
      </c>
      <c r="C2691" t="str">
        <f>"18:33:09.608"</f>
        <v>18:33:09.608</v>
      </c>
      <c r="D2691" t="s">
        <v>1039</v>
      </c>
      <c r="E2691">
        <v>30.724146000000001</v>
      </c>
      <c r="F2691" t="s">
        <v>945</v>
      </c>
      <c r="G2691">
        <v>-89.870095000000006</v>
      </c>
      <c r="H2691">
        <v>1600</v>
      </c>
      <c r="I2691">
        <v>5</v>
      </c>
      <c r="J2691">
        <v>100</v>
      </c>
      <c r="K2691">
        <v>-64</v>
      </c>
      <c r="L2691">
        <v>1200</v>
      </c>
      <c r="M2691" t="str">
        <f t="shared" si="216"/>
        <v xml:space="preserve">N35DC   </v>
      </c>
      <c r="N2691">
        <v>1</v>
      </c>
      <c r="O2691">
        <v>1675</v>
      </c>
    </row>
    <row r="2692" spans="1:15" x14ac:dyDescent="0.25">
      <c r="A2692" t="str">
        <f>"10/21/2020 18:33:02.070"</f>
        <v>10/21/2020 18:33:02.070</v>
      </c>
      <c r="B2692" t="str">
        <f>"18:33:10.008"</f>
        <v>18:33:10.008</v>
      </c>
      <c r="C2692" t="str">
        <f>"18:33:09.608"</f>
        <v>18:33:09.608</v>
      </c>
      <c r="D2692" t="s">
        <v>1039</v>
      </c>
      <c r="E2692">
        <v>30.724146000000001</v>
      </c>
      <c r="F2692" t="s">
        <v>945</v>
      </c>
      <c r="G2692">
        <v>-89.870095000000006</v>
      </c>
      <c r="H2692">
        <v>1600</v>
      </c>
      <c r="I2692">
        <v>5</v>
      </c>
      <c r="J2692">
        <v>100</v>
      </c>
      <c r="K2692">
        <v>-64</v>
      </c>
      <c r="L2692">
        <v>1200</v>
      </c>
      <c r="M2692" t="str">
        <f t="shared" si="216"/>
        <v xml:space="preserve">N35DC   </v>
      </c>
      <c r="N2692">
        <v>1</v>
      </c>
      <c r="O2692">
        <v>1675</v>
      </c>
    </row>
    <row r="2693" spans="1:15" x14ac:dyDescent="0.25">
      <c r="A2693" t="str">
        <f>"10/21/2020 18:33:02.070"</f>
        <v>10/21/2020 18:33:02.070</v>
      </c>
      <c r="B2693" t="str">
        <f>"18:33:10.008"</f>
        <v>18:33:10.008</v>
      </c>
      <c r="C2693" t="str">
        <f>"18:33:09.608"</f>
        <v>18:33:09.608</v>
      </c>
      <c r="D2693" t="s">
        <v>1039</v>
      </c>
      <c r="E2693">
        <v>30.724146000000001</v>
      </c>
      <c r="F2693" t="s">
        <v>945</v>
      </c>
      <c r="G2693">
        <v>-89.870095000000006</v>
      </c>
      <c r="H2693">
        <v>1600</v>
      </c>
      <c r="I2693">
        <v>5</v>
      </c>
      <c r="J2693">
        <v>100</v>
      </c>
      <c r="K2693">
        <v>-64</v>
      </c>
      <c r="L2693">
        <v>1200</v>
      </c>
      <c r="M2693" t="str">
        <f t="shared" si="216"/>
        <v xml:space="preserve">N35DC   </v>
      </c>
      <c r="N2693">
        <v>1</v>
      </c>
      <c r="O2693">
        <v>1675</v>
      </c>
    </row>
    <row r="2694" spans="1:15" x14ac:dyDescent="0.25">
      <c r="A2694" t="str">
        <f>"10/21/2020 18:33:02.070"</f>
        <v>10/21/2020 18:33:02.070</v>
      </c>
      <c r="B2694" t="str">
        <f>"18:33:10.008"</f>
        <v>18:33:10.008</v>
      </c>
      <c r="C2694" t="str">
        <f>"18:33:09.608"</f>
        <v>18:33:09.608</v>
      </c>
      <c r="D2694" t="s">
        <v>1039</v>
      </c>
      <c r="E2694">
        <v>30.724146000000001</v>
      </c>
      <c r="F2694" t="s">
        <v>945</v>
      </c>
      <c r="G2694">
        <v>-89.870095000000006</v>
      </c>
      <c r="H2694">
        <v>1600</v>
      </c>
      <c r="I2694">
        <v>5</v>
      </c>
      <c r="J2694">
        <v>100</v>
      </c>
      <c r="K2694">
        <v>-64</v>
      </c>
      <c r="L2694">
        <v>1200</v>
      </c>
      <c r="M2694" t="str">
        <f t="shared" si="216"/>
        <v xml:space="preserve">N35DC   </v>
      </c>
      <c r="N2694">
        <v>1</v>
      </c>
      <c r="O2694">
        <v>1675</v>
      </c>
    </row>
    <row r="2695" spans="1:15" x14ac:dyDescent="0.25">
      <c r="A2695" t="str">
        <f>"10/21/2020 18:33:02.070"</f>
        <v>10/21/2020 18:33:02.070</v>
      </c>
      <c r="B2695" t="str">
        <f>"18:33:10.008"</f>
        <v>18:33:10.008</v>
      </c>
      <c r="C2695" t="str">
        <f>"18:33:09.608"</f>
        <v>18:33:09.608</v>
      </c>
      <c r="D2695" t="s">
        <v>1039</v>
      </c>
      <c r="E2695">
        <v>30.724146000000001</v>
      </c>
      <c r="F2695" t="s">
        <v>945</v>
      </c>
      <c r="G2695">
        <v>-89.870095000000006</v>
      </c>
      <c r="H2695">
        <v>1600</v>
      </c>
      <c r="I2695">
        <v>5</v>
      </c>
      <c r="J2695">
        <v>100</v>
      </c>
      <c r="K2695">
        <v>-64</v>
      </c>
      <c r="L2695">
        <v>1200</v>
      </c>
      <c r="M2695" t="str">
        <f t="shared" ref="M2695:M2758" si="232">"N35DC   "</f>
        <v xml:space="preserve">N35DC   </v>
      </c>
      <c r="N2695">
        <v>1</v>
      </c>
      <c r="O2695">
        <v>1675</v>
      </c>
    </row>
    <row r="2696" spans="1:15" x14ac:dyDescent="0.25">
      <c r="A2696" t="str">
        <f>"10/21/2020 18:33:02.551"</f>
        <v>10/21/2020 18:33:02.551</v>
      </c>
      <c r="B2696" t="str">
        <f>"18:33:10.422"</f>
        <v>18:33:10.422</v>
      </c>
      <c r="C2696" t="str">
        <f>"18:33:08.522"</f>
        <v>18:33:08.522</v>
      </c>
      <c r="D2696" t="s">
        <v>1040</v>
      </c>
      <c r="E2696">
        <v>30.724360999999998</v>
      </c>
      <c r="F2696" t="s">
        <v>945</v>
      </c>
      <c r="G2696">
        <v>-89.870095000000006</v>
      </c>
      <c r="H2696">
        <v>1600</v>
      </c>
      <c r="I2696">
        <v>4</v>
      </c>
      <c r="J2696">
        <v>100</v>
      </c>
      <c r="K2696">
        <v>0</v>
      </c>
      <c r="L2696">
        <v>1200</v>
      </c>
      <c r="M2696" t="str">
        <f t="shared" si="232"/>
        <v xml:space="preserve">N35DC   </v>
      </c>
      <c r="N2696">
        <v>1</v>
      </c>
      <c r="O2696">
        <v>1675</v>
      </c>
    </row>
    <row r="2697" spans="1:15" x14ac:dyDescent="0.25">
      <c r="A2697" t="str">
        <f>"10/21/2020 18:33:03.076"</f>
        <v>10/21/2020 18:33:03.076</v>
      </c>
      <c r="B2697" t="str">
        <f>"18:33:10.977"</f>
        <v>18:33:10.977</v>
      </c>
      <c r="C2697" t="str">
        <f>"18:33:10.577"</f>
        <v>18:33:10.577</v>
      </c>
      <c r="D2697" t="s">
        <v>1041</v>
      </c>
      <c r="E2697">
        <v>30.724596999999999</v>
      </c>
      <c r="F2697" t="s">
        <v>945</v>
      </c>
      <c r="G2697">
        <v>-89.870095000000006</v>
      </c>
      <c r="H2697">
        <v>1600</v>
      </c>
      <c r="I2697">
        <v>5</v>
      </c>
      <c r="J2697">
        <v>100</v>
      </c>
      <c r="K2697">
        <v>256</v>
      </c>
      <c r="L2697">
        <v>1200</v>
      </c>
      <c r="M2697" t="str">
        <f t="shared" si="232"/>
        <v xml:space="preserve">N35DC   </v>
      </c>
      <c r="N2697">
        <v>1</v>
      </c>
      <c r="O2697">
        <v>1675</v>
      </c>
    </row>
    <row r="2698" spans="1:15" x14ac:dyDescent="0.25">
      <c r="A2698" t="str">
        <f>"10/21/2020 18:33:03.076"</f>
        <v>10/21/2020 18:33:03.076</v>
      </c>
      <c r="B2698" t="str">
        <f>"18:33:10.977"</f>
        <v>18:33:10.977</v>
      </c>
      <c r="C2698" t="str">
        <f>"18:33:10.577"</f>
        <v>18:33:10.577</v>
      </c>
      <c r="D2698" t="s">
        <v>1041</v>
      </c>
      <c r="E2698">
        <v>30.724596999999999</v>
      </c>
      <c r="F2698" t="s">
        <v>945</v>
      </c>
      <c r="G2698">
        <v>-89.870095000000006</v>
      </c>
      <c r="H2698">
        <v>1600</v>
      </c>
      <c r="I2698">
        <v>5</v>
      </c>
      <c r="J2698">
        <v>100</v>
      </c>
      <c r="K2698">
        <v>256</v>
      </c>
      <c r="L2698">
        <v>1200</v>
      </c>
      <c r="M2698" t="str">
        <f t="shared" si="232"/>
        <v xml:space="preserve">N35DC   </v>
      </c>
      <c r="N2698">
        <v>1</v>
      </c>
      <c r="O2698">
        <v>1675</v>
      </c>
    </row>
    <row r="2699" spans="1:15" x14ac:dyDescent="0.25">
      <c r="A2699" t="str">
        <f>"10/21/2020 18:33:03.076"</f>
        <v>10/21/2020 18:33:03.076</v>
      </c>
      <c r="B2699" t="str">
        <f>"18:33:10.977"</f>
        <v>18:33:10.977</v>
      </c>
      <c r="C2699" t="str">
        <f>"18:33:10.577"</f>
        <v>18:33:10.577</v>
      </c>
      <c r="D2699" t="s">
        <v>1041</v>
      </c>
      <c r="E2699">
        <v>30.724596999999999</v>
      </c>
      <c r="F2699" t="s">
        <v>945</v>
      </c>
      <c r="G2699">
        <v>-89.870095000000006</v>
      </c>
      <c r="H2699">
        <v>1600</v>
      </c>
      <c r="I2699">
        <v>5</v>
      </c>
      <c r="J2699">
        <v>100</v>
      </c>
      <c r="K2699">
        <v>256</v>
      </c>
      <c r="L2699">
        <v>1200</v>
      </c>
      <c r="M2699" t="str">
        <f t="shared" si="232"/>
        <v xml:space="preserve">N35DC   </v>
      </c>
      <c r="N2699">
        <v>1</v>
      </c>
      <c r="O2699">
        <v>1675</v>
      </c>
    </row>
    <row r="2700" spans="1:15" x14ac:dyDescent="0.25">
      <c r="A2700" t="str">
        <f>"10/21/2020 18:33:03.076"</f>
        <v>10/21/2020 18:33:03.076</v>
      </c>
      <c r="B2700" t="str">
        <f>"18:33:10.977"</f>
        <v>18:33:10.977</v>
      </c>
      <c r="C2700" t="str">
        <f>"18:33:10.577"</f>
        <v>18:33:10.577</v>
      </c>
      <c r="D2700" t="s">
        <v>1041</v>
      </c>
      <c r="E2700">
        <v>30.724596999999999</v>
      </c>
      <c r="F2700" t="s">
        <v>945</v>
      </c>
      <c r="G2700">
        <v>-89.870095000000006</v>
      </c>
      <c r="H2700">
        <v>1600</v>
      </c>
      <c r="I2700">
        <v>5</v>
      </c>
      <c r="J2700">
        <v>100</v>
      </c>
      <c r="K2700">
        <v>256</v>
      </c>
      <c r="L2700">
        <v>1200</v>
      </c>
      <c r="M2700" t="str">
        <f t="shared" si="232"/>
        <v xml:space="preserve">N35DC   </v>
      </c>
      <c r="N2700">
        <v>1</v>
      </c>
      <c r="O2700">
        <v>1675</v>
      </c>
    </row>
    <row r="2701" spans="1:15" x14ac:dyDescent="0.25">
      <c r="A2701" t="str">
        <f>"10/21/2020 18:33:03.076"</f>
        <v>10/21/2020 18:33:03.076</v>
      </c>
      <c r="B2701" t="str">
        <f>"18:33:10.977"</f>
        <v>18:33:10.977</v>
      </c>
      <c r="C2701" t="str">
        <f>"18:33:10.577"</f>
        <v>18:33:10.577</v>
      </c>
      <c r="D2701" t="s">
        <v>1041</v>
      </c>
      <c r="E2701">
        <v>30.724596999999999</v>
      </c>
      <c r="F2701" t="s">
        <v>945</v>
      </c>
      <c r="G2701">
        <v>-89.870095000000006</v>
      </c>
      <c r="H2701">
        <v>1600</v>
      </c>
      <c r="I2701">
        <v>5</v>
      </c>
      <c r="J2701">
        <v>100</v>
      </c>
      <c r="K2701">
        <v>256</v>
      </c>
      <c r="L2701">
        <v>1200</v>
      </c>
      <c r="M2701" t="str">
        <f t="shared" si="232"/>
        <v xml:space="preserve">N35DC   </v>
      </c>
      <c r="N2701">
        <v>1</v>
      </c>
      <c r="O2701">
        <v>1675</v>
      </c>
    </row>
    <row r="2702" spans="1:15" x14ac:dyDescent="0.25">
      <c r="A2702" t="str">
        <f t="shared" ref="A2702:A2707" si="233">"10/21/2020 18:33:04.991"</f>
        <v>10/21/2020 18:33:04.991</v>
      </c>
      <c r="B2702" t="str">
        <f t="shared" ref="B2702:B2707" si="234">"18:33:12.930"</f>
        <v>18:33:12.930</v>
      </c>
      <c r="C2702" t="str">
        <f>"18:33:12.630"</f>
        <v>18:33:12.630</v>
      </c>
      <c r="D2702" t="s">
        <v>1042</v>
      </c>
      <c r="E2702">
        <v>30.725519999999999</v>
      </c>
      <c r="F2702" t="s">
        <v>470</v>
      </c>
      <c r="G2702">
        <v>-89.870052000000001</v>
      </c>
      <c r="H2702">
        <v>1600</v>
      </c>
      <c r="I2702">
        <v>6</v>
      </c>
      <c r="J2702">
        <v>100</v>
      </c>
      <c r="K2702">
        <v>256</v>
      </c>
      <c r="L2702">
        <v>1200</v>
      </c>
      <c r="M2702" t="str">
        <f t="shared" si="232"/>
        <v xml:space="preserve">N35DC   </v>
      </c>
      <c r="N2702">
        <v>1</v>
      </c>
      <c r="O2702">
        <v>1675</v>
      </c>
    </row>
    <row r="2703" spans="1:15" x14ac:dyDescent="0.25">
      <c r="A2703" t="str">
        <f t="shared" si="233"/>
        <v>10/21/2020 18:33:04.991</v>
      </c>
      <c r="B2703" t="str">
        <f t="shared" si="234"/>
        <v>18:33:12.930</v>
      </c>
      <c r="C2703" t="str">
        <f>"18:33:12.630"</f>
        <v>18:33:12.630</v>
      </c>
      <c r="D2703" t="s">
        <v>1042</v>
      </c>
      <c r="E2703">
        <v>30.725519999999999</v>
      </c>
      <c r="F2703" t="s">
        <v>470</v>
      </c>
      <c r="G2703">
        <v>-89.870052000000001</v>
      </c>
      <c r="H2703">
        <v>1600</v>
      </c>
      <c r="I2703">
        <v>6</v>
      </c>
      <c r="J2703">
        <v>100</v>
      </c>
      <c r="K2703">
        <v>256</v>
      </c>
      <c r="L2703">
        <v>1200</v>
      </c>
      <c r="M2703" t="str">
        <f t="shared" si="232"/>
        <v xml:space="preserve">N35DC   </v>
      </c>
      <c r="N2703">
        <v>1</v>
      </c>
      <c r="O2703">
        <v>1675</v>
      </c>
    </row>
    <row r="2704" spans="1:15" x14ac:dyDescent="0.25">
      <c r="A2704" t="str">
        <f t="shared" si="233"/>
        <v>10/21/2020 18:33:04.991</v>
      </c>
      <c r="B2704" t="str">
        <f t="shared" si="234"/>
        <v>18:33:12.930</v>
      </c>
      <c r="C2704" t="str">
        <f>"18:33:08.530"</f>
        <v>18:33:08.530</v>
      </c>
      <c r="D2704" t="s">
        <v>1042</v>
      </c>
      <c r="E2704">
        <v>30.725519999999999</v>
      </c>
      <c r="F2704" t="s">
        <v>470</v>
      </c>
      <c r="G2704">
        <v>-89.870052000000001</v>
      </c>
      <c r="H2704">
        <v>1600</v>
      </c>
      <c r="I2704">
        <v>4</v>
      </c>
      <c r="J2704">
        <v>100</v>
      </c>
      <c r="K2704">
        <v>0</v>
      </c>
      <c r="L2704">
        <v>1200</v>
      </c>
      <c r="M2704" t="str">
        <f t="shared" si="232"/>
        <v xml:space="preserve">N35DC   </v>
      </c>
      <c r="N2704">
        <v>1</v>
      </c>
      <c r="O2704">
        <v>1675</v>
      </c>
    </row>
    <row r="2705" spans="1:15" x14ac:dyDescent="0.25">
      <c r="A2705" t="str">
        <f t="shared" si="233"/>
        <v>10/21/2020 18:33:04.991</v>
      </c>
      <c r="B2705" t="str">
        <f t="shared" si="234"/>
        <v>18:33:12.930</v>
      </c>
      <c r="C2705" t="str">
        <f>"18:33:12.630"</f>
        <v>18:33:12.630</v>
      </c>
      <c r="D2705" t="s">
        <v>1042</v>
      </c>
      <c r="E2705">
        <v>30.725519999999999</v>
      </c>
      <c r="F2705" t="s">
        <v>470</v>
      </c>
      <c r="G2705">
        <v>-89.870052000000001</v>
      </c>
      <c r="H2705">
        <v>1600</v>
      </c>
      <c r="I2705">
        <v>6</v>
      </c>
      <c r="J2705">
        <v>100</v>
      </c>
      <c r="K2705">
        <v>256</v>
      </c>
      <c r="L2705">
        <v>1200</v>
      </c>
      <c r="M2705" t="str">
        <f t="shared" si="232"/>
        <v xml:space="preserve">N35DC   </v>
      </c>
      <c r="N2705">
        <v>1</v>
      </c>
      <c r="O2705">
        <v>1675</v>
      </c>
    </row>
    <row r="2706" spans="1:15" x14ac:dyDescent="0.25">
      <c r="A2706" t="str">
        <f t="shared" si="233"/>
        <v>10/21/2020 18:33:04.991</v>
      </c>
      <c r="B2706" t="str">
        <f t="shared" si="234"/>
        <v>18:33:12.930</v>
      </c>
      <c r="C2706" t="str">
        <f>"18:33:12.630"</f>
        <v>18:33:12.630</v>
      </c>
      <c r="D2706" t="s">
        <v>1042</v>
      </c>
      <c r="E2706">
        <v>30.725519999999999</v>
      </c>
      <c r="F2706" t="s">
        <v>470</v>
      </c>
      <c r="G2706">
        <v>-89.870052000000001</v>
      </c>
      <c r="H2706">
        <v>1600</v>
      </c>
      <c r="I2706">
        <v>6</v>
      </c>
      <c r="J2706">
        <v>100</v>
      </c>
      <c r="K2706">
        <v>256</v>
      </c>
      <c r="L2706">
        <v>1200</v>
      </c>
      <c r="M2706" t="str">
        <f t="shared" si="232"/>
        <v xml:space="preserve">N35DC   </v>
      </c>
      <c r="N2706">
        <v>1</v>
      </c>
      <c r="O2706">
        <v>1675</v>
      </c>
    </row>
    <row r="2707" spans="1:15" x14ac:dyDescent="0.25">
      <c r="A2707" t="str">
        <f t="shared" si="233"/>
        <v>10/21/2020 18:33:04.991</v>
      </c>
      <c r="B2707" t="str">
        <f t="shared" si="234"/>
        <v>18:33:12.930</v>
      </c>
      <c r="C2707" t="str">
        <f>"18:33:12.630"</f>
        <v>18:33:12.630</v>
      </c>
      <c r="D2707" t="s">
        <v>1042</v>
      </c>
      <c r="E2707">
        <v>30.725519999999999</v>
      </c>
      <c r="F2707" t="s">
        <v>470</v>
      </c>
      <c r="G2707">
        <v>-89.870052000000001</v>
      </c>
      <c r="H2707">
        <v>1600</v>
      </c>
      <c r="I2707">
        <v>6</v>
      </c>
      <c r="J2707">
        <v>100</v>
      </c>
      <c r="K2707">
        <v>256</v>
      </c>
      <c r="L2707">
        <v>1200</v>
      </c>
      <c r="M2707" t="str">
        <f t="shared" si="232"/>
        <v xml:space="preserve">N35DC   </v>
      </c>
      <c r="N2707">
        <v>1</v>
      </c>
      <c r="O2707">
        <v>1675</v>
      </c>
    </row>
    <row r="2708" spans="1:15" x14ac:dyDescent="0.25">
      <c r="A2708" t="str">
        <f t="shared" ref="A2708:A2713" si="235">"10/21/2020 18:33:05.897"</f>
        <v>10/21/2020 18:33:05.897</v>
      </c>
      <c r="B2708" t="str">
        <f t="shared" ref="B2708:B2713" si="236">"18:33:13.844"</f>
        <v>18:33:13.844</v>
      </c>
      <c r="C2708" t="str">
        <f>"18:33:13.544"</f>
        <v>18:33:13.544</v>
      </c>
      <c r="D2708" t="s">
        <v>1043</v>
      </c>
      <c r="E2708">
        <v>30.725926999999999</v>
      </c>
      <c r="F2708" t="s">
        <v>943</v>
      </c>
      <c r="G2708">
        <v>-89.869967000000003</v>
      </c>
      <c r="H2708">
        <v>1600</v>
      </c>
      <c r="I2708">
        <v>7</v>
      </c>
      <c r="J2708">
        <v>100</v>
      </c>
      <c r="K2708">
        <v>256</v>
      </c>
      <c r="L2708">
        <v>1200</v>
      </c>
      <c r="M2708" t="str">
        <f t="shared" si="232"/>
        <v xml:space="preserve">N35DC   </v>
      </c>
      <c r="N2708">
        <v>1</v>
      </c>
      <c r="O2708">
        <v>1700</v>
      </c>
    </row>
    <row r="2709" spans="1:15" x14ac:dyDescent="0.25">
      <c r="A2709" t="str">
        <f t="shared" si="235"/>
        <v>10/21/2020 18:33:05.897</v>
      </c>
      <c r="B2709" t="str">
        <f t="shared" si="236"/>
        <v>18:33:13.844</v>
      </c>
      <c r="C2709" t="str">
        <f>"18:33:08.544"</f>
        <v>18:33:08.544</v>
      </c>
      <c r="D2709" t="s">
        <v>1043</v>
      </c>
      <c r="E2709">
        <v>30.725926999999999</v>
      </c>
      <c r="F2709" t="s">
        <v>943</v>
      </c>
      <c r="G2709">
        <v>-89.869967000000003</v>
      </c>
      <c r="H2709">
        <v>1600</v>
      </c>
      <c r="I2709">
        <v>4</v>
      </c>
      <c r="J2709">
        <v>100</v>
      </c>
      <c r="K2709">
        <v>0</v>
      </c>
      <c r="L2709">
        <v>1200</v>
      </c>
      <c r="M2709" t="str">
        <f t="shared" si="232"/>
        <v xml:space="preserve">N35DC   </v>
      </c>
      <c r="N2709">
        <v>1</v>
      </c>
      <c r="O2709">
        <v>1675</v>
      </c>
    </row>
    <row r="2710" spans="1:15" x14ac:dyDescent="0.25">
      <c r="A2710" t="str">
        <f t="shared" si="235"/>
        <v>10/21/2020 18:33:05.897</v>
      </c>
      <c r="B2710" t="str">
        <f t="shared" si="236"/>
        <v>18:33:13.844</v>
      </c>
      <c r="C2710" t="str">
        <f>"18:33:13.544"</f>
        <v>18:33:13.544</v>
      </c>
      <c r="D2710" t="s">
        <v>1043</v>
      </c>
      <c r="E2710">
        <v>30.725926999999999</v>
      </c>
      <c r="F2710" t="s">
        <v>943</v>
      </c>
      <c r="G2710">
        <v>-89.869967000000003</v>
      </c>
      <c r="H2710">
        <v>1600</v>
      </c>
      <c r="I2710">
        <v>7</v>
      </c>
      <c r="J2710">
        <v>100</v>
      </c>
      <c r="K2710">
        <v>256</v>
      </c>
      <c r="L2710">
        <v>1200</v>
      </c>
      <c r="M2710" t="str">
        <f t="shared" si="232"/>
        <v xml:space="preserve">N35DC   </v>
      </c>
      <c r="N2710">
        <v>1</v>
      </c>
      <c r="O2710">
        <v>1700</v>
      </c>
    </row>
    <row r="2711" spans="1:15" x14ac:dyDescent="0.25">
      <c r="A2711" t="str">
        <f t="shared" si="235"/>
        <v>10/21/2020 18:33:05.897</v>
      </c>
      <c r="B2711" t="str">
        <f t="shared" si="236"/>
        <v>18:33:13.844</v>
      </c>
      <c r="C2711" t="str">
        <f>"18:33:13.544"</f>
        <v>18:33:13.544</v>
      </c>
      <c r="D2711" t="s">
        <v>1043</v>
      </c>
      <c r="E2711">
        <v>30.725926999999999</v>
      </c>
      <c r="F2711" t="s">
        <v>943</v>
      </c>
      <c r="G2711">
        <v>-89.869967000000003</v>
      </c>
      <c r="H2711">
        <v>1600</v>
      </c>
      <c r="I2711">
        <v>7</v>
      </c>
      <c r="J2711">
        <v>100</v>
      </c>
      <c r="K2711">
        <v>256</v>
      </c>
      <c r="L2711">
        <v>1200</v>
      </c>
      <c r="M2711" t="str">
        <f t="shared" si="232"/>
        <v xml:space="preserve">N35DC   </v>
      </c>
      <c r="N2711">
        <v>1</v>
      </c>
      <c r="O2711">
        <v>1700</v>
      </c>
    </row>
    <row r="2712" spans="1:15" x14ac:dyDescent="0.25">
      <c r="A2712" t="str">
        <f t="shared" si="235"/>
        <v>10/21/2020 18:33:05.897</v>
      </c>
      <c r="B2712" t="str">
        <f t="shared" si="236"/>
        <v>18:33:13.844</v>
      </c>
      <c r="C2712" t="str">
        <f>"18:33:13.544"</f>
        <v>18:33:13.544</v>
      </c>
      <c r="D2712" t="s">
        <v>1043</v>
      </c>
      <c r="E2712">
        <v>30.725926999999999</v>
      </c>
      <c r="F2712" t="s">
        <v>943</v>
      </c>
      <c r="G2712">
        <v>-89.869967000000003</v>
      </c>
      <c r="H2712">
        <v>1600</v>
      </c>
      <c r="I2712">
        <v>7</v>
      </c>
      <c r="J2712">
        <v>100</v>
      </c>
      <c r="K2712">
        <v>256</v>
      </c>
      <c r="L2712">
        <v>1200</v>
      </c>
      <c r="M2712" t="str">
        <f t="shared" si="232"/>
        <v xml:space="preserve">N35DC   </v>
      </c>
      <c r="N2712">
        <v>1</v>
      </c>
      <c r="O2712">
        <v>1700</v>
      </c>
    </row>
    <row r="2713" spans="1:15" x14ac:dyDescent="0.25">
      <c r="A2713" t="str">
        <f t="shared" si="235"/>
        <v>10/21/2020 18:33:05.897</v>
      </c>
      <c r="B2713" t="str">
        <f t="shared" si="236"/>
        <v>18:33:13.844</v>
      </c>
      <c r="C2713" t="str">
        <f>"18:33:13.544"</f>
        <v>18:33:13.544</v>
      </c>
      <c r="D2713" t="s">
        <v>1043</v>
      </c>
      <c r="E2713">
        <v>30.725926999999999</v>
      </c>
      <c r="F2713" t="s">
        <v>943</v>
      </c>
      <c r="G2713">
        <v>-89.869967000000003</v>
      </c>
      <c r="H2713">
        <v>1600</v>
      </c>
      <c r="I2713">
        <v>7</v>
      </c>
      <c r="J2713">
        <v>100</v>
      </c>
      <c r="K2713">
        <v>256</v>
      </c>
      <c r="L2713">
        <v>1200</v>
      </c>
      <c r="M2713" t="str">
        <f t="shared" si="232"/>
        <v xml:space="preserve">N35DC   </v>
      </c>
      <c r="N2713">
        <v>1</v>
      </c>
      <c r="O2713">
        <v>1700</v>
      </c>
    </row>
    <row r="2714" spans="1:15" x14ac:dyDescent="0.25">
      <c r="A2714" t="str">
        <f>"10/21/2020 18:33:09.210"</f>
        <v>10/21/2020 18:33:09.210</v>
      </c>
      <c r="B2714" t="str">
        <f t="shared" ref="B2714:C2718" si="237">"18:33:17.117"</f>
        <v>18:33:17.117</v>
      </c>
      <c r="C2714" t="str">
        <f t="shared" si="237"/>
        <v>18:33:17.117</v>
      </c>
      <c r="D2714" t="s">
        <v>1044</v>
      </c>
      <c r="E2714">
        <v>30.727450999999999</v>
      </c>
      <c r="F2714" t="s">
        <v>1045</v>
      </c>
      <c r="G2714">
        <v>-89.869923999999997</v>
      </c>
      <c r="H2714">
        <v>1600</v>
      </c>
      <c r="I2714">
        <v>6</v>
      </c>
      <c r="J2714">
        <v>99</v>
      </c>
      <c r="K2714">
        <v>128</v>
      </c>
      <c r="L2714">
        <v>1200</v>
      </c>
      <c r="M2714" t="str">
        <f t="shared" si="232"/>
        <v xml:space="preserve">N35DC   </v>
      </c>
      <c r="N2714">
        <v>1</v>
      </c>
      <c r="O2714">
        <v>1700</v>
      </c>
    </row>
    <row r="2715" spans="1:15" x14ac:dyDescent="0.25">
      <c r="A2715" t="str">
        <f>"10/21/2020 18:33:09.210"</f>
        <v>10/21/2020 18:33:09.210</v>
      </c>
      <c r="B2715" t="str">
        <f t="shared" si="237"/>
        <v>18:33:17.117</v>
      </c>
      <c r="C2715" t="str">
        <f t="shared" si="237"/>
        <v>18:33:17.117</v>
      </c>
      <c r="D2715" t="s">
        <v>1044</v>
      </c>
      <c r="E2715">
        <v>30.727450999999999</v>
      </c>
      <c r="F2715" t="s">
        <v>1045</v>
      </c>
      <c r="G2715">
        <v>-89.869923999999997</v>
      </c>
      <c r="H2715">
        <v>1600</v>
      </c>
      <c r="I2715">
        <v>6</v>
      </c>
      <c r="J2715">
        <v>99</v>
      </c>
      <c r="K2715">
        <v>128</v>
      </c>
      <c r="L2715">
        <v>1200</v>
      </c>
      <c r="M2715" t="str">
        <f t="shared" si="232"/>
        <v xml:space="preserve">N35DC   </v>
      </c>
      <c r="N2715">
        <v>1</v>
      </c>
      <c r="O2715">
        <v>1700</v>
      </c>
    </row>
    <row r="2716" spans="1:15" x14ac:dyDescent="0.25">
      <c r="A2716" t="str">
        <f>"10/21/2020 18:33:09.210"</f>
        <v>10/21/2020 18:33:09.210</v>
      </c>
      <c r="B2716" t="str">
        <f t="shared" si="237"/>
        <v>18:33:17.117</v>
      </c>
      <c r="C2716" t="str">
        <f t="shared" si="237"/>
        <v>18:33:17.117</v>
      </c>
      <c r="D2716" t="s">
        <v>1044</v>
      </c>
      <c r="E2716">
        <v>30.727450999999999</v>
      </c>
      <c r="F2716" t="s">
        <v>1045</v>
      </c>
      <c r="G2716">
        <v>-89.869923999999997</v>
      </c>
      <c r="H2716">
        <v>1600</v>
      </c>
      <c r="I2716">
        <v>6</v>
      </c>
      <c r="J2716">
        <v>99</v>
      </c>
      <c r="K2716">
        <v>128</v>
      </c>
      <c r="L2716">
        <v>1200</v>
      </c>
      <c r="M2716" t="str">
        <f t="shared" si="232"/>
        <v xml:space="preserve">N35DC   </v>
      </c>
      <c r="N2716">
        <v>1</v>
      </c>
      <c r="O2716">
        <v>1700</v>
      </c>
    </row>
    <row r="2717" spans="1:15" x14ac:dyDescent="0.25">
      <c r="A2717" t="str">
        <f>"10/21/2020 18:33:09.210"</f>
        <v>10/21/2020 18:33:09.210</v>
      </c>
      <c r="B2717" t="str">
        <f t="shared" si="237"/>
        <v>18:33:17.117</v>
      </c>
      <c r="C2717" t="str">
        <f t="shared" si="237"/>
        <v>18:33:17.117</v>
      </c>
      <c r="D2717" t="s">
        <v>1044</v>
      </c>
      <c r="E2717">
        <v>30.727450999999999</v>
      </c>
      <c r="F2717" t="s">
        <v>1045</v>
      </c>
      <c r="G2717">
        <v>-89.869923999999997</v>
      </c>
      <c r="H2717">
        <v>1600</v>
      </c>
      <c r="I2717">
        <v>6</v>
      </c>
      <c r="J2717">
        <v>99</v>
      </c>
      <c r="K2717">
        <v>128</v>
      </c>
      <c r="L2717">
        <v>1200</v>
      </c>
      <c r="M2717" t="str">
        <f t="shared" si="232"/>
        <v xml:space="preserve">N35DC   </v>
      </c>
      <c r="N2717">
        <v>1</v>
      </c>
      <c r="O2717">
        <v>1700</v>
      </c>
    </row>
    <row r="2718" spans="1:15" x14ac:dyDescent="0.25">
      <c r="A2718" t="str">
        <f>"10/21/2020 18:33:09.210"</f>
        <v>10/21/2020 18:33:09.210</v>
      </c>
      <c r="B2718" t="str">
        <f t="shared" si="237"/>
        <v>18:33:17.117</v>
      </c>
      <c r="C2718" t="str">
        <f t="shared" si="237"/>
        <v>18:33:17.117</v>
      </c>
      <c r="D2718" t="s">
        <v>1044</v>
      </c>
      <c r="E2718">
        <v>30.727450999999999</v>
      </c>
      <c r="F2718" t="s">
        <v>1045</v>
      </c>
      <c r="G2718">
        <v>-89.869923999999997</v>
      </c>
      <c r="H2718">
        <v>1600</v>
      </c>
      <c r="I2718">
        <v>6</v>
      </c>
      <c r="J2718">
        <v>99</v>
      </c>
      <c r="K2718">
        <v>128</v>
      </c>
      <c r="L2718">
        <v>1200</v>
      </c>
      <c r="M2718" t="str">
        <f t="shared" si="232"/>
        <v xml:space="preserve">N35DC   </v>
      </c>
      <c r="N2718">
        <v>1</v>
      </c>
      <c r="O2718">
        <v>1700</v>
      </c>
    </row>
    <row r="2719" spans="1:15" x14ac:dyDescent="0.25">
      <c r="A2719" t="str">
        <f>"10/21/2020 18:33:12.192"</f>
        <v>10/21/2020 18:33:12.192</v>
      </c>
      <c r="B2719" t="str">
        <f t="shared" ref="B2719:C2723" si="238">"18:33:20.070"</f>
        <v>18:33:20.070</v>
      </c>
      <c r="C2719" t="str">
        <f t="shared" si="238"/>
        <v>18:33:20.070</v>
      </c>
      <c r="D2719" t="s">
        <v>1046</v>
      </c>
      <c r="E2719">
        <v>30.728802999999999</v>
      </c>
      <c r="F2719" t="s">
        <v>936</v>
      </c>
      <c r="G2719">
        <v>-89.869772999999995</v>
      </c>
      <c r="H2719">
        <v>1600</v>
      </c>
      <c r="I2719">
        <v>7</v>
      </c>
      <c r="J2719">
        <v>98</v>
      </c>
      <c r="K2719">
        <v>0</v>
      </c>
      <c r="L2719">
        <v>1200</v>
      </c>
      <c r="M2719" t="str">
        <f t="shared" si="232"/>
        <v xml:space="preserve">N35DC   </v>
      </c>
      <c r="N2719">
        <v>1</v>
      </c>
      <c r="O2719">
        <v>1700</v>
      </c>
    </row>
    <row r="2720" spans="1:15" x14ac:dyDescent="0.25">
      <c r="A2720" t="str">
        <f>"10/21/2020 18:33:12.192"</f>
        <v>10/21/2020 18:33:12.192</v>
      </c>
      <c r="B2720" t="str">
        <f t="shared" si="238"/>
        <v>18:33:20.070</v>
      </c>
      <c r="C2720" t="str">
        <f t="shared" si="238"/>
        <v>18:33:20.070</v>
      </c>
      <c r="D2720" t="s">
        <v>1046</v>
      </c>
      <c r="E2720">
        <v>30.728802999999999</v>
      </c>
      <c r="F2720" t="s">
        <v>936</v>
      </c>
      <c r="G2720">
        <v>-89.869772999999995</v>
      </c>
      <c r="H2720">
        <v>1600</v>
      </c>
      <c r="I2720">
        <v>7</v>
      </c>
      <c r="J2720">
        <v>98</v>
      </c>
      <c r="K2720">
        <v>0</v>
      </c>
      <c r="L2720">
        <v>1200</v>
      </c>
      <c r="M2720" t="str">
        <f t="shared" si="232"/>
        <v xml:space="preserve">N35DC   </v>
      </c>
      <c r="N2720">
        <v>1</v>
      </c>
      <c r="O2720">
        <v>1700</v>
      </c>
    </row>
    <row r="2721" spans="1:15" x14ac:dyDescent="0.25">
      <c r="A2721" t="str">
        <f>"10/21/2020 18:33:12.192"</f>
        <v>10/21/2020 18:33:12.192</v>
      </c>
      <c r="B2721" t="str">
        <f t="shared" si="238"/>
        <v>18:33:20.070</v>
      </c>
      <c r="C2721" t="str">
        <f t="shared" si="238"/>
        <v>18:33:20.070</v>
      </c>
      <c r="D2721" t="s">
        <v>1046</v>
      </c>
      <c r="E2721">
        <v>30.728802999999999</v>
      </c>
      <c r="F2721" t="s">
        <v>936</v>
      </c>
      <c r="G2721">
        <v>-89.869772999999995</v>
      </c>
      <c r="H2721">
        <v>1600</v>
      </c>
      <c r="I2721">
        <v>7</v>
      </c>
      <c r="J2721">
        <v>98</v>
      </c>
      <c r="K2721">
        <v>0</v>
      </c>
      <c r="L2721">
        <v>1200</v>
      </c>
      <c r="M2721" t="str">
        <f t="shared" si="232"/>
        <v xml:space="preserve">N35DC   </v>
      </c>
      <c r="N2721">
        <v>1</v>
      </c>
      <c r="O2721">
        <v>1700</v>
      </c>
    </row>
    <row r="2722" spans="1:15" x14ac:dyDescent="0.25">
      <c r="A2722" t="str">
        <f>"10/21/2020 18:33:12.192"</f>
        <v>10/21/2020 18:33:12.192</v>
      </c>
      <c r="B2722" t="str">
        <f t="shared" si="238"/>
        <v>18:33:20.070</v>
      </c>
      <c r="C2722" t="str">
        <f t="shared" si="238"/>
        <v>18:33:20.070</v>
      </c>
      <c r="D2722" t="s">
        <v>1046</v>
      </c>
      <c r="E2722">
        <v>30.728802999999999</v>
      </c>
      <c r="F2722" t="s">
        <v>936</v>
      </c>
      <c r="G2722">
        <v>-89.869772999999995</v>
      </c>
      <c r="H2722">
        <v>1600</v>
      </c>
      <c r="I2722">
        <v>7</v>
      </c>
      <c r="J2722">
        <v>98</v>
      </c>
      <c r="K2722">
        <v>0</v>
      </c>
      <c r="L2722">
        <v>1200</v>
      </c>
      <c r="M2722" t="str">
        <f t="shared" si="232"/>
        <v xml:space="preserve">N35DC   </v>
      </c>
      <c r="N2722">
        <v>1</v>
      </c>
      <c r="O2722">
        <v>1700</v>
      </c>
    </row>
    <row r="2723" spans="1:15" x14ac:dyDescent="0.25">
      <c r="A2723" t="str">
        <f>"10/21/2020 18:33:12.192"</f>
        <v>10/21/2020 18:33:12.192</v>
      </c>
      <c r="B2723" t="str">
        <f t="shared" si="238"/>
        <v>18:33:20.070</v>
      </c>
      <c r="C2723" t="str">
        <f t="shared" si="238"/>
        <v>18:33:20.070</v>
      </c>
      <c r="D2723" t="s">
        <v>1046</v>
      </c>
      <c r="E2723">
        <v>30.728802999999999</v>
      </c>
      <c r="F2723" t="s">
        <v>936</v>
      </c>
      <c r="G2723">
        <v>-89.869772999999995</v>
      </c>
      <c r="H2723">
        <v>1600</v>
      </c>
      <c r="I2723">
        <v>7</v>
      </c>
      <c r="J2723">
        <v>98</v>
      </c>
      <c r="K2723">
        <v>0</v>
      </c>
      <c r="L2723">
        <v>1200</v>
      </c>
      <c r="M2723" t="str">
        <f t="shared" si="232"/>
        <v xml:space="preserve">N35DC   </v>
      </c>
      <c r="N2723">
        <v>1</v>
      </c>
      <c r="O2723">
        <v>1700</v>
      </c>
    </row>
    <row r="2724" spans="1:15" x14ac:dyDescent="0.25">
      <c r="A2724" t="str">
        <f t="shared" ref="A2724:A2729" si="239">"10/21/2020 18:33:13.101"</f>
        <v>10/21/2020 18:33:13.101</v>
      </c>
      <c r="B2724" t="str">
        <f t="shared" ref="B2724:B2729" si="240">"18:33:21.031"</f>
        <v>18:33:21.031</v>
      </c>
      <c r="C2724" t="str">
        <f>"18:33:20.531"</f>
        <v>18:33:20.531</v>
      </c>
      <c r="D2724" t="s">
        <v>1047</v>
      </c>
      <c r="E2724">
        <v>30.729232</v>
      </c>
      <c r="F2724" t="s">
        <v>1048</v>
      </c>
      <c r="G2724">
        <v>-89.869752000000005</v>
      </c>
      <c r="H2724">
        <v>1600</v>
      </c>
      <c r="I2724">
        <v>7</v>
      </c>
      <c r="J2724">
        <v>98</v>
      </c>
      <c r="K2724">
        <v>0</v>
      </c>
      <c r="L2724">
        <v>1200</v>
      </c>
      <c r="M2724" t="str">
        <f t="shared" si="232"/>
        <v xml:space="preserve">N35DC   </v>
      </c>
      <c r="N2724">
        <v>1</v>
      </c>
      <c r="O2724">
        <v>1700</v>
      </c>
    </row>
    <row r="2725" spans="1:15" x14ac:dyDescent="0.25">
      <c r="A2725" t="str">
        <f t="shared" si="239"/>
        <v>10/21/2020 18:33:13.101</v>
      </c>
      <c r="B2725" t="str">
        <f t="shared" si="240"/>
        <v>18:33:21.031</v>
      </c>
      <c r="C2725" t="str">
        <f>"18:33:20.531"</f>
        <v>18:33:20.531</v>
      </c>
      <c r="D2725" t="s">
        <v>1047</v>
      </c>
      <c r="E2725">
        <v>30.729232</v>
      </c>
      <c r="F2725" t="s">
        <v>1048</v>
      </c>
      <c r="G2725">
        <v>-89.869752000000005</v>
      </c>
      <c r="H2725">
        <v>1600</v>
      </c>
      <c r="I2725">
        <v>7</v>
      </c>
      <c r="J2725">
        <v>98</v>
      </c>
      <c r="K2725">
        <v>0</v>
      </c>
      <c r="L2725">
        <v>1200</v>
      </c>
      <c r="M2725" t="str">
        <f t="shared" si="232"/>
        <v xml:space="preserve">N35DC   </v>
      </c>
      <c r="N2725">
        <v>1</v>
      </c>
      <c r="O2725">
        <v>1700</v>
      </c>
    </row>
    <row r="2726" spans="1:15" x14ac:dyDescent="0.25">
      <c r="A2726" t="str">
        <f t="shared" si="239"/>
        <v>10/21/2020 18:33:13.101</v>
      </c>
      <c r="B2726" t="str">
        <f t="shared" si="240"/>
        <v>18:33:21.031</v>
      </c>
      <c r="C2726" t="str">
        <f>"18:33:20.531"</f>
        <v>18:33:20.531</v>
      </c>
      <c r="D2726" t="s">
        <v>1047</v>
      </c>
      <c r="E2726">
        <v>30.729232</v>
      </c>
      <c r="F2726" t="s">
        <v>1048</v>
      </c>
      <c r="G2726">
        <v>-89.869752000000005</v>
      </c>
      <c r="H2726">
        <v>1600</v>
      </c>
      <c r="I2726">
        <v>7</v>
      </c>
      <c r="J2726">
        <v>98</v>
      </c>
      <c r="K2726">
        <v>0</v>
      </c>
      <c r="L2726">
        <v>1200</v>
      </c>
      <c r="M2726" t="str">
        <f t="shared" si="232"/>
        <v xml:space="preserve">N35DC   </v>
      </c>
      <c r="N2726">
        <v>1</v>
      </c>
      <c r="O2726">
        <v>1700</v>
      </c>
    </row>
    <row r="2727" spans="1:15" x14ac:dyDescent="0.25">
      <c r="A2727" t="str">
        <f t="shared" si="239"/>
        <v>10/21/2020 18:33:13.101</v>
      </c>
      <c r="B2727" t="str">
        <f t="shared" si="240"/>
        <v>18:33:21.031</v>
      </c>
      <c r="C2727" t="str">
        <f>"18:33:20.531"</f>
        <v>18:33:20.531</v>
      </c>
      <c r="D2727" t="s">
        <v>1047</v>
      </c>
      <c r="E2727">
        <v>30.729232</v>
      </c>
      <c r="F2727" t="s">
        <v>1048</v>
      </c>
      <c r="G2727">
        <v>-89.869752000000005</v>
      </c>
      <c r="H2727">
        <v>1600</v>
      </c>
      <c r="I2727">
        <v>7</v>
      </c>
      <c r="J2727">
        <v>98</v>
      </c>
      <c r="K2727">
        <v>0</v>
      </c>
      <c r="L2727">
        <v>1200</v>
      </c>
      <c r="M2727" t="str">
        <f t="shared" si="232"/>
        <v xml:space="preserve">N35DC   </v>
      </c>
      <c r="N2727">
        <v>1</v>
      </c>
      <c r="O2727">
        <v>1700</v>
      </c>
    </row>
    <row r="2728" spans="1:15" x14ac:dyDescent="0.25">
      <c r="A2728" t="str">
        <f t="shared" si="239"/>
        <v>10/21/2020 18:33:13.101</v>
      </c>
      <c r="B2728" t="str">
        <f t="shared" si="240"/>
        <v>18:33:21.031</v>
      </c>
      <c r="C2728" t="str">
        <f>"18:33:19.131"</f>
        <v>18:33:19.131</v>
      </c>
      <c r="D2728" t="s">
        <v>1047</v>
      </c>
      <c r="E2728">
        <v>30.729232</v>
      </c>
      <c r="F2728" t="s">
        <v>1048</v>
      </c>
      <c r="G2728">
        <v>-89.869752000000005</v>
      </c>
      <c r="H2728">
        <v>1600</v>
      </c>
      <c r="I2728">
        <v>6</v>
      </c>
      <c r="J2728">
        <v>99</v>
      </c>
      <c r="K2728">
        <v>0</v>
      </c>
      <c r="L2728">
        <v>1200</v>
      </c>
      <c r="M2728" t="str">
        <f t="shared" si="232"/>
        <v xml:space="preserve">N35DC   </v>
      </c>
      <c r="N2728">
        <v>1</v>
      </c>
      <c r="O2728">
        <v>1700</v>
      </c>
    </row>
    <row r="2729" spans="1:15" x14ac:dyDescent="0.25">
      <c r="A2729" t="str">
        <f t="shared" si="239"/>
        <v>10/21/2020 18:33:13.101</v>
      </c>
      <c r="B2729" t="str">
        <f t="shared" si="240"/>
        <v>18:33:21.031</v>
      </c>
      <c r="C2729" t="str">
        <f>"18:33:20.531"</f>
        <v>18:33:20.531</v>
      </c>
      <c r="D2729" t="s">
        <v>1047</v>
      </c>
      <c r="E2729">
        <v>30.729232</v>
      </c>
      <c r="F2729" t="s">
        <v>1048</v>
      </c>
      <c r="G2729">
        <v>-89.869752000000005</v>
      </c>
      <c r="H2729">
        <v>1600</v>
      </c>
      <c r="I2729">
        <v>7</v>
      </c>
      <c r="J2729">
        <v>98</v>
      </c>
      <c r="K2729">
        <v>0</v>
      </c>
      <c r="L2729">
        <v>1200</v>
      </c>
      <c r="M2729" t="str">
        <f t="shared" si="232"/>
        <v xml:space="preserve">N35DC   </v>
      </c>
      <c r="N2729">
        <v>1</v>
      </c>
      <c r="O2729">
        <v>1700</v>
      </c>
    </row>
    <row r="2730" spans="1:15" x14ac:dyDescent="0.25">
      <c r="A2730" t="str">
        <f>"10/21/2020 18:33:16.086"</f>
        <v>10/21/2020 18:33:16.086</v>
      </c>
      <c r="B2730" t="str">
        <f>"18:33:24.016"</f>
        <v>18:33:24.016</v>
      </c>
      <c r="C2730" t="str">
        <f>"18:33:23.616"</f>
        <v>18:33:23.616</v>
      </c>
      <c r="D2730" t="s">
        <v>1049</v>
      </c>
      <c r="E2730">
        <v>30.730584</v>
      </c>
      <c r="F2730" t="s">
        <v>932</v>
      </c>
      <c r="G2730">
        <v>-89.869665999999995</v>
      </c>
      <c r="H2730">
        <v>1600</v>
      </c>
      <c r="I2730">
        <v>6</v>
      </c>
      <c r="J2730">
        <v>97</v>
      </c>
      <c r="K2730">
        <v>128</v>
      </c>
      <c r="L2730">
        <v>1200</v>
      </c>
      <c r="M2730" t="str">
        <f t="shared" si="232"/>
        <v xml:space="preserve">N35DC   </v>
      </c>
      <c r="N2730">
        <v>1</v>
      </c>
      <c r="O2730">
        <v>1700</v>
      </c>
    </row>
    <row r="2731" spans="1:15" x14ac:dyDescent="0.25">
      <c r="A2731" t="str">
        <f>"10/21/2020 18:33:16.086"</f>
        <v>10/21/2020 18:33:16.086</v>
      </c>
      <c r="B2731" t="str">
        <f>"18:33:24.016"</f>
        <v>18:33:24.016</v>
      </c>
      <c r="C2731" t="str">
        <f>"18:33:23.616"</f>
        <v>18:33:23.616</v>
      </c>
      <c r="D2731" t="s">
        <v>1049</v>
      </c>
      <c r="E2731">
        <v>30.730584</v>
      </c>
      <c r="F2731" t="s">
        <v>932</v>
      </c>
      <c r="G2731">
        <v>-89.869665999999995</v>
      </c>
      <c r="H2731">
        <v>1600</v>
      </c>
      <c r="I2731">
        <v>6</v>
      </c>
      <c r="J2731">
        <v>97</v>
      </c>
      <c r="K2731">
        <v>128</v>
      </c>
      <c r="L2731">
        <v>1200</v>
      </c>
      <c r="M2731" t="str">
        <f t="shared" si="232"/>
        <v xml:space="preserve">N35DC   </v>
      </c>
      <c r="N2731">
        <v>1</v>
      </c>
      <c r="O2731">
        <v>1700</v>
      </c>
    </row>
    <row r="2732" spans="1:15" x14ac:dyDescent="0.25">
      <c r="A2732" t="str">
        <f>"10/21/2020 18:33:16.086"</f>
        <v>10/21/2020 18:33:16.086</v>
      </c>
      <c r="B2732" t="str">
        <f>"18:33:24.016"</f>
        <v>18:33:24.016</v>
      </c>
      <c r="C2732" t="str">
        <f>"18:33:23.616"</f>
        <v>18:33:23.616</v>
      </c>
      <c r="D2732" t="s">
        <v>1049</v>
      </c>
      <c r="E2732">
        <v>30.730584</v>
      </c>
      <c r="F2732" t="s">
        <v>932</v>
      </c>
      <c r="G2732">
        <v>-89.869665999999995</v>
      </c>
      <c r="H2732">
        <v>1600</v>
      </c>
      <c r="I2732">
        <v>6</v>
      </c>
      <c r="J2732">
        <v>97</v>
      </c>
      <c r="K2732">
        <v>128</v>
      </c>
      <c r="L2732">
        <v>1200</v>
      </c>
      <c r="M2732" t="str">
        <f t="shared" si="232"/>
        <v xml:space="preserve">N35DC   </v>
      </c>
      <c r="N2732">
        <v>1</v>
      </c>
      <c r="O2732">
        <v>1700</v>
      </c>
    </row>
    <row r="2733" spans="1:15" x14ac:dyDescent="0.25">
      <c r="A2733" t="str">
        <f>"10/21/2020 18:33:16.086"</f>
        <v>10/21/2020 18:33:16.086</v>
      </c>
      <c r="B2733" t="str">
        <f>"18:33:24.016"</f>
        <v>18:33:24.016</v>
      </c>
      <c r="C2733" t="str">
        <f>"18:33:23.616"</f>
        <v>18:33:23.616</v>
      </c>
      <c r="D2733" t="s">
        <v>1049</v>
      </c>
      <c r="E2733">
        <v>30.730584</v>
      </c>
      <c r="F2733" t="s">
        <v>932</v>
      </c>
      <c r="G2733">
        <v>-89.869665999999995</v>
      </c>
      <c r="H2733">
        <v>1600</v>
      </c>
      <c r="I2733">
        <v>6</v>
      </c>
      <c r="J2733">
        <v>97</v>
      </c>
      <c r="K2733">
        <v>128</v>
      </c>
      <c r="L2733">
        <v>1200</v>
      </c>
      <c r="M2733" t="str">
        <f t="shared" si="232"/>
        <v xml:space="preserve">N35DC   </v>
      </c>
      <c r="N2733">
        <v>1</v>
      </c>
      <c r="O2733">
        <v>1700</v>
      </c>
    </row>
    <row r="2734" spans="1:15" x14ac:dyDescent="0.25">
      <c r="A2734" t="str">
        <f>"10/21/2020 18:33:16.086"</f>
        <v>10/21/2020 18:33:16.086</v>
      </c>
      <c r="B2734" t="str">
        <f>"18:33:24.016"</f>
        <v>18:33:24.016</v>
      </c>
      <c r="C2734" t="str">
        <f>"18:33:23.616"</f>
        <v>18:33:23.616</v>
      </c>
      <c r="D2734" t="s">
        <v>1049</v>
      </c>
      <c r="E2734">
        <v>30.730584</v>
      </c>
      <c r="F2734" t="s">
        <v>932</v>
      </c>
      <c r="G2734">
        <v>-89.869665999999995</v>
      </c>
      <c r="H2734">
        <v>1600</v>
      </c>
      <c r="I2734">
        <v>6</v>
      </c>
      <c r="J2734">
        <v>97</v>
      </c>
      <c r="K2734">
        <v>128</v>
      </c>
      <c r="L2734">
        <v>1200</v>
      </c>
      <c r="M2734" t="str">
        <f t="shared" si="232"/>
        <v xml:space="preserve">N35DC   </v>
      </c>
      <c r="N2734">
        <v>1</v>
      </c>
      <c r="O2734">
        <v>1700</v>
      </c>
    </row>
    <row r="2735" spans="1:15" x14ac:dyDescent="0.25">
      <c r="A2735" t="str">
        <f>"10/21/2020 18:33:17.199"</f>
        <v>10/21/2020 18:33:17.199</v>
      </c>
      <c r="B2735" t="str">
        <f>"18:33:25.125"</f>
        <v>18:33:25.125</v>
      </c>
      <c r="C2735" t="str">
        <f>"18:33:24.625"</f>
        <v>18:33:24.625</v>
      </c>
      <c r="D2735" t="s">
        <v>1050</v>
      </c>
      <c r="E2735">
        <v>30.731076999999999</v>
      </c>
      <c r="F2735" t="s">
        <v>926</v>
      </c>
      <c r="G2735">
        <v>-89.869645000000006</v>
      </c>
      <c r="H2735">
        <v>1600</v>
      </c>
      <c r="I2735">
        <v>5</v>
      </c>
      <c r="J2735">
        <v>98</v>
      </c>
      <c r="K2735">
        <v>64</v>
      </c>
      <c r="L2735">
        <v>1200</v>
      </c>
      <c r="M2735" t="str">
        <f t="shared" si="232"/>
        <v xml:space="preserve">N35DC   </v>
      </c>
      <c r="N2735">
        <v>1</v>
      </c>
      <c r="O2735">
        <v>1700</v>
      </c>
    </row>
    <row r="2736" spans="1:15" x14ac:dyDescent="0.25">
      <c r="A2736" t="str">
        <f>"10/21/2020 18:33:17.199"</f>
        <v>10/21/2020 18:33:17.199</v>
      </c>
      <c r="B2736" t="str">
        <f>"18:33:25.125"</f>
        <v>18:33:25.125</v>
      </c>
      <c r="C2736" t="str">
        <f>"18:33:24.625"</f>
        <v>18:33:24.625</v>
      </c>
      <c r="D2736" t="s">
        <v>1050</v>
      </c>
      <c r="E2736">
        <v>30.731076999999999</v>
      </c>
      <c r="F2736" t="s">
        <v>926</v>
      </c>
      <c r="G2736">
        <v>-89.869645000000006</v>
      </c>
      <c r="H2736">
        <v>1600</v>
      </c>
      <c r="I2736">
        <v>5</v>
      </c>
      <c r="J2736">
        <v>98</v>
      </c>
      <c r="K2736">
        <v>64</v>
      </c>
      <c r="L2736">
        <v>1200</v>
      </c>
      <c r="M2736" t="str">
        <f t="shared" si="232"/>
        <v xml:space="preserve">N35DC   </v>
      </c>
      <c r="N2736">
        <v>1</v>
      </c>
      <c r="O2736">
        <v>1700</v>
      </c>
    </row>
    <row r="2737" spans="1:15" x14ac:dyDescent="0.25">
      <c r="A2737" t="str">
        <f>"10/21/2020 18:33:17.199"</f>
        <v>10/21/2020 18:33:17.199</v>
      </c>
      <c r="B2737" t="str">
        <f>"18:33:25.125"</f>
        <v>18:33:25.125</v>
      </c>
      <c r="C2737" t="str">
        <f>"18:33:24.625"</f>
        <v>18:33:24.625</v>
      </c>
      <c r="D2737" t="s">
        <v>1050</v>
      </c>
      <c r="E2737">
        <v>30.731076999999999</v>
      </c>
      <c r="F2737" t="s">
        <v>926</v>
      </c>
      <c r="G2737">
        <v>-89.869645000000006</v>
      </c>
      <c r="H2737">
        <v>1600</v>
      </c>
      <c r="I2737">
        <v>5</v>
      </c>
      <c r="J2737">
        <v>98</v>
      </c>
      <c r="K2737">
        <v>64</v>
      </c>
      <c r="L2737">
        <v>1200</v>
      </c>
      <c r="M2737" t="str">
        <f t="shared" si="232"/>
        <v xml:space="preserve">N35DC   </v>
      </c>
      <c r="N2737">
        <v>1</v>
      </c>
      <c r="O2737">
        <v>1700</v>
      </c>
    </row>
    <row r="2738" spans="1:15" x14ac:dyDescent="0.25">
      <c r="A2738" t="str">
        <f>"10/21/2020 18:33:17.199"</f>
        <v>10/21/2020 18:33:17.199</v>
      </c>
      <c r="B2738" t="str">
        <f>"18:33:25.125"</f>
        <v>18:33:25.125</v>
      </c>
      <c r="C2738" t="str">
        <f>"18:33:24.625"</f>
        <v>18:33:24.625</v>
      </c>
      <c r="D2738" t="s">
        <v>1050</v>
      </c>
      <c r="E2738">
        <v>30.731076999999999</v>
      </c>
      <c r="F2738" t="s">
        <v>926</v>
      </c>
      <c r="G2738">
        <v>-89.869645000000006</v>
      </c>
      <c r="H2738">
        <v>1600</v>
      </c>
      <c r="I2738">
        <v>5</v>
      </c>
      <c r="J2738">
        <v>98</v>
      </c>
      <c r="K2738">
        <v>64</v>
      </c>
      <c r="L2738">
        <v>1200</v>
      </c>
      <c r="M2738" t="str">
        <f t="shared" si="232"/>
        <v xml:space="preserve">N35DC   </v>
      </c>
      <c r="N2738">
        <v>1</v>
      </c>
      <c r="O2738">
        <v>1700</v>
      </c>
    </row>
    <row r="2739" spans="1:15" x14ac:dyDescent="0.25">
      <c r="A2739" t="str">
        <f>"10/21/2020 18:33:17.199"</f>
        <v>10/21/2020 18:33:17.199</v>
      </c>
      <c r="B2739" t="str">
        <f>"18:33:25.125"</f>
        <v>18:33:25.125</v>
      </c>
      <c r="C2739" t="str">
        <f>"18:33:24.625"</f>
        <v>18:33:24.625</v>
      </c>
      <c r="D2739" t="s">
        <v>1050</v>
      </c>
      <c r="E2739">
        <v>30.731076999999999</v>
      </c>
      <c r="F2739" t="s">
        <v>926</v>
      </c>
      <c r="G2739">
        <v>-89.869645000000006</v>
      </c>
      <c r="H2739">
        <v>1600</v>
      </c>
      <c r="I2739">
        <v>5</v>
      </c>
      <c r="J2739">
        <v>98</v>
      </c>
      <c r="K2739">
        <v>64</v>
      </c>
      <c r="L2739">
        <v>1200</v>
      </c>
      <c r="M2739" t="str">
        <f t="shared" si="232"/>
        <v xml:space="preserve">N35DC   </v>
      </c>
      <c r="N2739">
        <v>1</v>
      </c>
      <c r="O2739">
        <v>1700</v>
      </c>
    </row>
    <row r="2740" spans="1:15" x14ac:dyDescent="0.25">
      <c r="A2740" t="str">
        <f>"10/21/2020 18:33:19.756"</f>
        <v>10/21/2020 18:33:19.756</v>
      </c>
      <c r="B2740" t="str">
        <f>"18:33:27.703"</f>
        <v>18:33:27.703</v>
      </c>
      <c r="C2740" t="str">
        <f>"18:33:22.603"</f>
        <v>18:33:22.603</v>
      </c>
      <c r="D2740" t="s">
        <v>1051</v>
      </c>
      <c r="E2740">
        <v>30.732278999999998</v>
      </c>
      <c r="F2740" t="s">
        <v>468</v>
      </c>
      <c r="G2740">
        <v>-89.869558999999995</v>
      </c>
      <c r="H2740">
        <v>1600</v>
      </c>
      <c r="I2740">
        <v>7</v>
      </c>
      <c r="J2740">
        <v>97</v>
      </c>
      <c r="K2740">
        <v>128</v>
      </c>
      <c r="L2740">
        <v>1200</v>
      </c>
      <c r="M2740" t="str">
        <f t="shared" si="232"/>
        <v xml:space="preserve">N35DC   </v>
      </c>
      <c r="N2740">
        <v>1</v>
      </c>
      <c r="O2740">
        <v>1700</v>
      </c>
    </row>
    <row r="2741" spans="1:15" x14ac:dyDescent="0.25">
      <c r="A2741" t="str">
        <f>"10/21/2020 18:33:20.180"</f>
        <v>10/21/2020 18:33:20.180</v>
      </c>
      <c r="B2741" t="str">
        <f>"18:33:28.109"</f>
        <v>18:33:28.109</v>
      </c>
      <c r="C2741" t="str">
        <f>"18:33:27.909"</f>
        <v>18:33:27.909</v>
      </c>
      <c r="D2741" t="s">
        <v>1052</v>
      </c>
      <c r="E2741">
        <v>30.732472000000001</v>
      </c>
      <c r="F2741" t="s">
        <v>468</v>
      </c>
      <c r="G2741">
        <v>-89.869558999999995</v>
      </c>
      <c r="H2741">
        <v>1600</v>
      </c>
      <c r="I2741">
        <v>4</v>
      </c>
      <c r="J2741">
        <v>99</v>
      </c>
      <c r="K2741">
        <v>-384</v>
      </c>
      <c r="L2741">
        <v>1200</v>
      </c>
      <c r="M2741" t="str">
        <f t="shared" si="232"/>
        <v xml:space="preserve">N35DC   </v>
      </c>
      <c r="N2741">
        <v>1</v>
      </c>
      <c r="O2741">
        <v>1700</v>
      </c>
    </row>
    <row r="2742" spans="1:15" x14ac:dyDescent="0.25">
      <c r="A2742" t="str">
        <f>"10/21/2020 18:33:20.180"</f>
        <v>10/21/2020 18:33:20.180</v>
      </c>
      <c r="B2742" t="str">
        <f>"18:33:28.109"</f>
        <v>18:33:28.109</v>
      </c>
      <c r="C2742" t="str">
        <f>"18:33:27.909"</f>
        <v>18:33:27.909</v>
      </c>
      <c r="D2742" t="s">
        <v>1052</v>
      </c>
      <c r="E2742">
        <v>30.732472000000001</v>
      </c>
      <c r="F2742" t="s">
        <v>468</v>
      </c>
      <c r="G2742">
        <v>-89.869558999999995</v>
      </c>
      <c r="H2742">
        <v>1600</v>
      </c>
      <c r="I2742">
        <v>4</v>
      </c>
      <c r="J2742">
        <v>99</v>
      </c>
      <c r="K2742">
        <v>-384</v>
      </c>
      <c r="L2742">
        <v>1200</v>
      </c>
      <c r="M2742" t="str">
        <f t="shared" si="232"/>
        <v xml:space="preserve">N35DC   </v>
      </c>
      <c r="N2742">
        <v>1</v>
      </c>
      <c r="O2742">
        <v>1700</v>
      </c>
    </row>
    <row r="2743" spans="1:15" x14ac:dyDescent="0.25">
      <c r="A2743" t="str">
        <f>"10/21/2020 18:33:20.180"</f>
        <v>10/21/2020 18:33:20.180</v>
      </c>
      <c r="B2743" t="str">
        <f>"18:33:28.109"</f>
        <v>18:33:28.109</v>
      </c>
      <c r="C2743" t="str">
        <f>"18:33:27.909"</f>
        <v>18:33:27.909</v>
      </c>
      <c r="D2743" t="s">
        <v>1052</v>
      </c>
      <c r="E2743">
        <v>30.732472000000001</v>
      </c>
      <c r="F2743" t="s">
        <v>468</v>
      </c>
      <c r="G2743">
        <v>-89.869558999999995</v>
      </c>
      <c r="H2743">
        <v>1600</v>
      </c>
      <c r="I2743">
        <v>4</v>
      </c>
      <c r="J2743">
        <v>99</v>
      </c>
      <c r="K2743">
        <v>-384</v>
      </c>
      <c r="L2743">
        <v>1200</v>
      </c>
      <c r="M2743" t="str">
        <f t="shared" si="232"/>
        <v xml:space="preserve">N35DC   </v>
      </c>
      <c r="N2743">
        <v>1</v>
      </c>
      <c r="O2743">
        <v>1700</v>
      </c>
    </row>
    <row r="2744" spans="1:15" x14ac:dyDescent="0.25">
      <c r="A2744" t="str">
        <f>"10/21/2020 18:33:20.180"</f>
        <v>10/21/2020 18:33:20.180</v>
      </c>
      <c r="B2744" t="str">
        <f>"18:33:28.109"</f>
        <v>18:33:28.109</v>
      </c>
      <c r="C2744" t="str">
        <f>"18:33:27.909"</f>
        <v>18:33:27.909</v>
      </c>
      <c r="D2744" t="s">
        <v>1052</v>
      </c>
      <c r="E2744">
        <v>30.732472000000001</v>
      </c>
      <c r="F2744" t="s">
        <v>468</v>
      </c>
      <c r="G2744">
        <v>-89.869558999999995</v>
      </c>
      <c r="H2744">
        <v>1600</v>
      </c>
      <c r="I2744">
        <v>4</v>
      </c>
      <c r="J2744">
        <v>99</v>
      </c>
      <c r="K2744">
        <v>-384</v>
      </c>
      <c r="L2744">
        <v>1200</v>
      </c>
      <c r="M2744" t="str">
        <f t="shared" si="232"/>
        <v xml:space="preserve">N35DC   </v>
      </c>
      <c r="N2744">
        <v>1</v>
      </c>
      <c r="O2744">
        <v>1700</v>
      </c>
    </row>
    <row r="2745" spans="1:15" x14ac:dyDescent="0.25">
      <c r="A2745" t="str">
        <f>"10/21/2020 18:33:20.180"</f>
        <v>10/21/2020 18:33:20.180</v>
      </c>
      <c r="B2745" t="str">
        <f>"18:33:28.109"</f>
        <v>18:33:28.109</v>
      </c>
      <c r="C2745" t="str">
        <f>"18:33:27.909"</f>
        <v>18:33:27.909</v>
      </c>
      <c r="D2745" t="s">
        <v>1052</v>
      </c>
      <c r="E2745">
        <v>30.732472000000001</v>
      </c>
      <c r="F2745" t="s">
        <v>468</v>
      </c>
      <c r="G2745">
        <v>-89.869558999999995</v>
      </c>
      <c r="H2745">
        <v>1600</v>
      </c>
      <c r="I2745">
        <v>4</v>
      </c>
      <c r="J2745">
        <v>99</v>
      </c>
      <c r="K2745">
        <v>-384</v>
      </c>
      <c r="L2745">
        <v>1200</v>
      </c>
      <c r="M2745" t="str">
        <f t="shared" si="232"/>
        <v xml:space="preserve">N35DC   </v>
      </c>
      <c r="N2745">
        <v>1</v>
      </c>
      <c r="O2745">
        <v>1700</v>
      </c>
    </row>
    <row r="2746" spans="1:15" x14ac:dyDescent="0.25">
      <c r="A2746" t="str">
        <f>"10/21/2020 18:33:20.611"</f>
        <v>10/21/2020 18:33:20.611</v>
      </c>
      <c r="B2746" t="str">
        <f>"18:33:28.531"</f>
        <v>18:33:28.531</v>
      </c>
      <c r="C2746" t="str">
        <f>"18:33:28.331"</f>
        <v>18:33:28.331</v>
      </c>
      <c r="D2746" t="s">
        <v>1053</v>
      </c>
      <c r="E2746">
        <v>30.732644000000001</v>
      </c>
      <c r="F2746" t="s">
        <v>468</v>
      </c>
      <c r="G2746">
        <v>-89.869558999999995</v>
      </c>
      <c r="H2746">
        <v>1600</v>
      </c>
      <c r="I2746">
        <v>3</v>
      </c>
      <c r="J2746">
        <v>99</v>
      </c>
      <c r="K2746">
        <v>-384</v>
      </c>
      <c r="L2746">
        <v>1200</v>
      </c>
      <c r="M2746" t="str">
        <f t="shared" si="232"/>
        <v xml:space="preserve">N35DC   </v>
      </c>
      <c r="N2746">
        <v>1</v>
      </c>
      <c r="O2746">
        <v>1700</v>
      </c>
    </row>
    <row r="2747" spans="1:15" x14ac:dyDescent="0.25">
      <c r="A2747" t="str">
        <f>"10/21/2020 18:33:21.042"</f>
        <v>10/21/2020 18:33:21.042</v>
      </c>
      <c r="B2747" t="str">
        <f>"18:33:28.961"</f>
        <v>18:33:28.961</v>
      </c>
      <c r="C2747" t="str">
        <f>"18:33:28.861"</f>
        <v>18:33:28.861</v>
      </c>
      <c r="D2747" t="s">
        <v>1054</v>
      </c>
      <c r="E2747">
        <v>30.732880000000002</v>
      </c>
      <c r="F2747" t="s">
        <v>1055</v>
      </c>
      <c r="G2747">
        <v>-89.869516000000004</v>
      </c>
      <c r="H2747">
        <v>1600</v>
      </c>
      <c r="I2747">
        <v>3</v>
      </c>
      <c r="J2747">
        <v>99</v>
      </c>
      <c r="K2747">
        <v>-448</v>
      </c>
      <c r="L2747">
        <v>1200</v>
      </c>
      <c r="M2747" t="str">
        <f t="shared" si="232"/>
        <v xml:space="preserve">N35DC   </v>
      </c>
      <c r="N2747">
        <v>1</v>
      </c>
      <c r="O2747">
        <v>1700</v>
      </c>
    </row>
    <row r="2748" spans="1:15" x14ac:dyDescent="0.25">
      <c r="A2748" t="str">
        <f>"10/21/2020 18:33:21.042"</f>
        <v>10/21/2020 18:33:21.042</v>
      </c>
      <c r="B2748" t="str">
        <f>"18:33:28.961"</f>
        <v>18:33:28.961</v>
      </c>
      <c r="C2748" t="str">
        <f>"18:33:28.861"</f>
        <v>18:33:28.861</v>
      </c>
      <c r="D2748" t="s">
        <v>1054</v>
      </c>
      <c r="E2748">
        <v>30.732880000000002</v>
      </c>
      <c r="F2748" t="s">
        <v>1055</v>
      </c>
      <c r="G2748">
        <v>-89.869516000000004</v>
      </c>
      <c r="H2748">
        <v>1600</v>
      </c>
      <c r="I2748">
        <v>3</v>
      </c>
      <c r="J2748">
        <v>99</v>
      </c>
      <c r="K2748">
        <v>-448</v>
      </c>
      <c r="L2748">
        <v>1200</v>
      </c>
      <c r="M2748" t="str">
        <f t="shared" si="232"/>
        <v xml:space="preserve">N35DC   </v>
      </c>
      <c r="N2748">
        <v>1</v>
      </c>
      <c r="O2748">
        <v>1700</v>
      </c>
    </row>
    <row r="2749" spans="1:15" x14ac:dyDescent="0.25">
      <c r="A2749" t="str">
        <f>"10/21/2020 18:33:21.042"</f>
        <v>10/21/2020 18:33:21.042</v>
      </c>
      <c r="B2749" t="str">
        <f>"18:33:28.961"</f>
        <v>18:33:28.961</v>
      </c>
      <c r="C2749" t="str">
        <f>"18:33:28.861"</f>
        <v>18:33:28.861</v>
      </c>
      <c r="D2749" t="s">
        <v>1054</v>
      </c>
      <c r="E2749">
        <v>30.732880000000002</v>
      </c>
      <c r="F2749" t="s">
        <v>1055</v>
      </c>
      <c r="G2749">
        <v>-89.869516000000004</v>
      </c>
      <c r="H2749">
        <v>1600</v>
      </c>
      <c r="I2749">
        <v>3</v>
      </c>
      <c r="J2749">
        <v>99</v>
      </c>
      <c r="K2749">
        <v>-448</v>
      </c>
      <c r="L2749">
        <v>1200</v>
      </c>
      <c r="M2749" t="str">
        <f t="shared" si="232"/>
        <v xml:space="preserve">N35DC   </v>
      </c>
      <c r="N2749">
        <v>1</v>
      </c>
      <c r="O2749">
        <v>1700</v>
      </c>
    </row>
    <row r="2750" spans="1:15" x14ac:dyDescent="0.25">
      <c r="A2750" t="str">
        <f>"10/21/2020 18:33:21.042"</f>
        <v>10/21/2020 18:33:21.042</v>
      </c>
      <c r="B2750" t="str">
        <f>"18:33:28.961"</f>
        <v>18:33:28.961</v>
      </c>
      <c r="C2750" t="str">
        <f>"18:33:28.861"</f>
        <v>18:33:28.861</v>
      </c>
      <c r="D2750" t="s">
        <v>1054</v>
      </c>
      <c r="E2750">
        <v>30.732880000000002</v>
      </c>
      <c r="F2750" t="s">
        <v>1055</v>
      </c>
      <c r="G2750">
        <v>-89.869516000000004</v>
      </c>
      <c r="H2750">
        <v>1600</v>
      </c>
      <c r="I2750">
        <v>3</v>
      </c>
      <c r="J2750">
        <v>99</v>
      </c>
      <c r="K2750">
        <v>-448</v>
      </c>
      <c r="L2750">
        <v>1200</v>
      </c>
      <c r="M2750" t="str">
        <f t="shared" si="232"/>
        <v xml:space="preserve">N35DC   </v>
      </c>
      <c r="N2750">
        <v>1</v>
      </c>
      <c r="O2750">
        <v>1700</v>
      </c>
    </row>
    <row r="2751" spans="1:15" x14ac:dyDescent="0.25">
      <c r="A2751" t="str">
        <f>"10/21/2020 18:33:21.042"</f>
        <v>10/21/2020 18:33:21.042</v>
      </c>
      <c r="B2751" t="str">
        <f>"18:33:28.961"</f>
        <v>18:33:28.961</v>
      </c>
      <c r="C2751" t="str">
        <f>"18:33:28.861"</f>
        <v>18:33:28.861</v>
      </c>
      <c r="D2751" t="s">
        <v>1054</v>
      </c>
      <c r="E2751">
        <v>30.732880000000002</v>
      </c>
      <c r="F2751" t="s">
        <v>1055</v>
      </c>
      <c r="G2751">
        <v>-89.869516000000004</v>
      </c>
      <c r="H2751">
        <v>1600</v>
      </c>
      <c r="I2751">
        <v>3</v>
      </c>
      <c r="J2751">
        <v>99</v>
      </c>
      <c r="K2751">
        <v>-448</v>
      </c>
      <c r="L2751">
        <v>1200</v>
      </c>
      <c r="M2751" t="str">
        <f t="shared" si="232"/>
        <v xml:space="preserve">N35DC   </v>
      </c>
      <c r="N2751">
        <v>1</v>
      </c>
      <c r="O2751">
        <v>1700</v>
      </c>
    </row>
    <row r="2752" spans="1:15" x14ac:dyDescent="0.25">
      <c r="A2752" t="str">
        <f>"10/21/2020 18:33:23.111"</f>
        <v>10/21/2020 18:33:23.111</v>
      </c>
      <c r="B2752" t="str">
        <f>"18:33:31.000"</f>
        <v>18:33:31.000</v>
      </c>
      <c r="C2752" t="str">
        <f>"18:33:30.800"</f>
        <v>18:33:30.800</v>
      </c>
      <c r="D2752" t="s">
        <v>1056</v>
      </c>
      <c r="E2752">
        <v>30.733781</v>
      </c>
      <c r="F2752" t="s">
        <v>1057</v>
      </c>
      <c r="G2752">
        <v>-89.869472999999999</v>
      </c>
      <c r="H2752">
        <v>1600</v>
      </c>
      <c r="I2752">
        <v>4</v>
      </c>
      <c r="J2752">
        <v>100</v>
      </c>
      <c r="K2752">
        <v>-448</v>
      </c>
      <c r="L2752">
        <v>1200</v>
      </c>
      <c r="M2752" t="str">
        <f t="shared" si="232"/>
        <v xml:space="preserve">N35DC   </v>
      </c>
      <c r="N2752">
        <v>1</v>
      </c>
      <c r="O2752">
        <v>1675</v>
      </c>
    </row>
    <row r="2753" spans="1:15" x14ac:dyDescent="0.25">
      <c r="A2753" t="str">
        <f>"10/21/2020 18:33:23.111"</f>
        <v>10/21/2020 18:33:23.111</v>
      </c>
      <c r="B2753" t="str">
        <f>"18:33:31.000"</f>
        <v>18:33:31.000</v>
      </c>
      <c r="C2753" t="str">
        <f>"18:33:30.800"</f>
        <v>18:33:30.800</v>
      </c>
      <c r="D2753" t="s">
        <v>1056</v>
      </c>
      <c r="E2753">
        <v>30.733781</v>
      </c>
      <c r="F2753" t="s">
        <v>1057</v>
      </c>
      <c r="G2753">
        <v>-89.869472999999999</v>
      </c>
      <c r="H2753">
        <v>1600</v>
      </c>
      <c r="I2753">
        <v>4</v>
      </c>
      <c r="J2753">
        <v>100</v>
      </c>
      <c r="K2753">
        <v>-448</v>
      </c>
      <c r="L2753">
        <v>1200</v>
      </c>
      <c r="M2753" t="str">
        <f t="shared" si="232"/>
        <v xml:space="preserve">N35DC   </v>
      </c>
      <c r="N2753">
        <v>1</v>
      </c>
      <c r="O2753">
        <v>1675</v>
      </c>
    </row>
    <row r="2754" spans="1:15" x14ac:dyDescent="0.25">
      <c r="A2754" t="str">
        <f>"10/21/2020 18:33:23.111"</f>
        <v>10/21/2020 18:33:23.111</v>
      </c>
      <c r="B2754" t="str">
        <f>"18:33:31.000"</f>
        <v>18:33:31.000</v>
      </c>
      <c r="C2754" t="str">
        <f>"18:33:30.800"</f>
        <v>18:33:30.800</v>
      </c>
      <c r="D2754" t="s">
        <v>1056</v>
      </c>
      <c r="E2754">
        <v>30.733781</v>
      </c>
      <c r="F2754" t="s">
        <v>1057</v>
      </c>
      <c r="G2754">
        <v>-89.869472999999999</v>
      </c>
      <c r="H2754">
        <v>1600</v>
      </c>
      <c r="I2754">
        <v>4</v>
      </c>
      <c r="J2754">
        <v>100</v>
      </c>
      <c r="K2754">
        <v>-448</v>
      </c>
      <c r="L2754">
        <v>1200</v>
      </c>
      <c r="M2754" t="str">
        <f t="shared" si="232"/>
        <v xml:space="preserve">N35DC   </v>
      </c>
      <c r="N2754">
        <v>1</v>
      </c>
      <c r="O2754">
        <v>1675</v>
      </c>
    </row>
    <row r="2755" spans="1:15" x14ac:dyDescent="0.25">
      <c r="A2755" t="str">
        <f>"10/21/2020 18:33:23.111"</f>
        <v>10/21/2020 18:33:23.111</v>
      </c>
      <c r="B2755" t="str">
        <f>"18:33:31.000"</f>
        <v>18:33:31.000</v>
      </c>
      <c r="C2755" t="str">
        <f>"18:33:30.800"</f>
        <v>18:33:30.800</v>
      </c>
      <c r="D2755" t="s">
        <v>1056</v>
      </c>
      <c r="E2755">
        <v>30.733781</v>
      </c>
      <c r="F2755" t="s">
        <v>1057</v>
      </c>
      <c r="G2755">
        <v>-89.869472999999999</v>
      </c>
      <c r="H2755">
        <v>1600</v>
      </c>
      <c r="I2755">
        <v>4</v>
      </c>
      <c r="J2755">
        <v>100</v>
      </c>
      <c r="K2755">
        <v>-448</v>
      </c>
      <c r="L2755">
        <v>1200</v>
      </c>
      <c r="M2755" t="str">
        <f t="shared" si="232"/>
        <v xml:space="preserve">N35DC   </v>
      </c>
      <c r="N2755">
        <v>1</v>
      </c>
      <c r="O2755">
        <v>1675</v>
      </c>
    </row>
    <row r="2756" spans="1:15" x14ac:dyDescent="0.25">
      <c r="A2756" t="str">
        <f>"10/21/2020 18:33:23.111"</f>
        <v>10/21/2020 18:33:23.111</v>
      </c>
      <c r="B2756" t="str">
        <f>"18:33:31.000"</f>
        <v>18:33:31.000</v>
      </c>
      <c r="C2756" t="str">
        <f>"18:33:30.800"</f>
        <v>18:33:30.800</v>
      </c>
      <c r="D2756" t="s">
        <v>1056</v>
      </c>
      <c r="E2756">
        <v>30.733781</v>
      </c>
      <c r="F2756" t="s">
        <v>1057</v>
      </c>
      <c r="G2756">
        <v>-89.869472999999999</v>
      </c>
      <c r="H2756">
        <v>1600</v>
      </c>
      <c r="I2756">
        <v>4</v>
      </c>
      <c r="J2756">
        <v>100</v>
      </c>
      <c r="K2756">
        <v>-448</v>
      </c>
      <c r="L2756">
        <v>1200</v>
      </c>
      <c r="M2756" t="str">
        <f t="shared" si="232"/>
        <v xml:space="preserve">N35DC   </v>
      </c>
      <c r="N2756">
        <v>1</v>
      </c>
      <c r="O2756">
        <v>1675</v>
      </c>
    </row>
    <row r="2757" spans="1:15" x14ac:dyDescent="0.25">
      <c r="A2757" t="str">
        <f>"10/21/2020 18:33:24.171"</f>
        <v>10/21/2020 18:33:24.171</v>
      </c>
      <c r="B2757" t="str">
        <f>"18:33:32.094"</f>
        <v>18:33:32.094</v>
      </c>
      <c r="C2757" t="str">
        <f>"18:33:31.794"</f>
        <v>18:33:31.794</v>
      </c>
      <c r="D2757" t="s">
        <v>1058</v>
      </c>
      <c r="E2757">
        <v>30.734296000000001</v>
      </c>
      <c r="F2757" t="s">
        <v>1055</v>
      </c>
      <c r="G2757">
        <v>-89.869516000000004</v>
      </c>
      <c r="H2757">
        <v>1600</v>
      </c>
      <c r="I2757">
        <v>3</v>
      </c>
      <c r="J2757">
        <v>100</v>
      </c>
      <c r="K2757">
        <v>-448</v>
      </c>
      <c r="L2757">
        <v>1200</v>
      </c>
      <c r="M2757" t="str">
        <f t="shared" si="232"/>
        <v xml:space="preserve">N35DC   </v>
      </c>
      <c r="N2757">
        <v>1</v>
      </c>
      <c r="O2757">
        <v>1675</v>
      </c>
    </row>
    <row r="2758" spans="1:15" x14ac:dyDescent="0.25">
      <c r="A2758" t="str">
        <f>"10/21/2020 18:33:24.171"</f>
        <v>10/21/2020 18:33:24.171</v>
      </c>
      <c r="B2758" t="str">
        <f>"18:33:32.094"</f>
        <v>18:33:32.094</v>
      </c>
      <c r="C2758" t="str">
        <f>"18:33:31.794"</f>
        <v>18:33:31.794</v>
      </c>
      <c r="D2758" t="s">
        <v>1058</v>
      </c>
      <c r="E2758">
        <v>30.734296000000001</v>
      </c>
      <c r="F2758" t="s">
        <v>1055</v>
      </c>
      <c r="G2758">
        <v>-89.869516000000004</v>
      </c>
      <c r="H2758">
        <v>1600</v>
      </c>
      <c r="I2758">
        <v>3</v>
      </c>
      <c r="J2758">
        <v>100</v>
      </c>
      <c r="K2758">
        <v>-448</v>
      </c>
      <c r="L2758">
        <v>1200</v>
      </c>
      <c r="M2758" t="str">
        <f t="shared" si="232"/>
        <v xml:space="preserve">N35DC   </v>
      </c>
      <c r="N2758">
        <v>1</v>
      </c>
      <c r="O2758">
        <v>1675</v>
      </c>
    </row>
    <row r="2759" spans="1:15" x14ac:dyDescent="0.25">
      <c r="A2759" t="str">
        <f>"10/21/2020 18:33:24.171"</f>
        <v>10/21/2020 18:33:24.171</v>
      </c>
      <c r="B2759" t="str">
        <f>"18:33:32.094"</f>
        <v>18:33:32.094</v>
      </c>
      <c r="C2759" t="str">
        <f>"18:33:31.794"</f>
        <v>18:33:31.794</v>
      </c>
      <c r="D2759" t="s">
        <v>1058</v>
      </c>
      <c r="E2759">
        <v>30.734296000000001</v>
      </c>
      <c r="F2759" t="s">
        <v>1055</v>
      </c>
      <c r="G2759">
        <v>-89.869516000000004</v>
      </c>
      <c r="H2759">
        <v>1600</v>
      </c>
      <c r="I2759">
        <v>3</v>
      </c>
      <c r="J2759">
        <v>100</v>
      </c>
      <c r="K2759">
        <v>-448</v>
      </c>
      <c r="L2759">
        <v>1200</v>
      </c>
      <c r="M2759" t="str">
        <f t="shared" ref="M2759:M2822" si="241">"N35DC   "</f>
        <v xml:space="preserve">N35DC   </v>
      </c>
      <c r="N2759">
        <v>1</v>
      </c>
      <c r="O2759">
        <v>1675</v>
      </c>
    </row>
    <row r="2760" spans="1:15" x14ac:dyDescent="0.25">
      <c r="A2760" t="str">
        <f>"10/21/2020 18:33:24.171"</f>
        <v>10/21/2020 18:33:24.171</v>
      </c>
      <c r="B2760" t="str">
        <f>"18:33:32.094"</f>
        <v>18:33:32.094</v>
      </c>
      <c r="C2760" t="str">
        <f>"18:33:31.794"</f>
        <v>18:33:31.794</v>
      </c>
      <c r="D2760" t="s">
        <v>1058</v>
      </c>
      <c r="E2760">
        <v>30.734296000000001</v>
      </c>
      <c r="F2760" t="s">
        <v>1055</v>
      </c>
      <c r="G2760">
        <v>-89.869516000000004</v>
      </c>
      <c r="H2760">
        <v>1600</v>
      </c>
      <c r="I2760">
        <v>3</v>
      </c>
      <c r="J2760">
        <v>100</v>
      </c>
      <c r="K2760">
        <v>-448</v>
      </c>
      <c r="L2760">
        <v>1200</v>
      </c>
      <c r="M2760" t="str">
        <f t="shared" si="241"/>
        <v xml:space="preserve">N35DC   </v>
      </c>
      <c r="N2760">
        <v>1</v>
      </c>
      <c r="O2760">
        <v>1675</v>
      </c>
    </row>
    <row r="2761" spans="1:15" x14ac:dyDescent="0.25">
      <c r="A2761" t="str">
        <f>"10/21/2020 18:33:24.171"</f>
        <v>10/21/2020 18:33:24.171</v>
      </c>
      <c r="B2761" t="str">
        <f>"18:33:32.094"</f>
        <v>18:33:32.094</v>
      </c>
      <c r="C2761" t="str">
        <f>"18:33:31.794"</f>
        <v>18:33:31.794</v>
      </c>
      <c r="D2761" t="s">
        <v>1058</v>
      </c>
      <c r="E2761">
        <v>30.734296000000001</v>
      </c>
      <c r="F2761" t="s">
        <v>1055</v>
      </c>
      <c r="G2761">
        <v>-89.869516000000004</v>
      </c>
      <c r="H2761">
        <v>1600</v>
      </c>
      <c r="I2761">
        <v>3</v>
      </c>
      <c r="J2761">
        <v>100</v>
      </c>
      <c r="K2761">
        <v>-448</v>
      </c>
      <c r="L2761">
        <v>1200</v>
      </c>
      <c r="M2761" t="str">
        <f t="shared" si="241"/>
        <v xml:space="preserve">N35DC   </v>
      </c>
      <c r="N2761">
        <v>1</v>
      </c>
      <c r="O2761">
        <v>1675</v>
      </c>
    </row>
    <row r="2762" spans="1:15" x14ac:dyDescent="0.25">
      <c r="A2762" t="str">
        <f>"10/21/2020 18:33:27.054"</f>
        <v>10/21/2020 18:33:27.054</v>
      </c>
      <c r="B2762" t="str">
        <f>"18:33:34.992"</f>
        <v>18:33:34.992</v>
      </c>
      <c r="C2762" t="str">
        <f>"18:33:34.692"</f>
        <v>18:33:34.692</v>
      </c>
      <c r="D2762" t="s">
        <v>1059</v>
      </c>
      <c r="E2762">
        <v>30.735648000000001</v>
      </c>
      <c r="F2762" t="s">
        <v>1060</v>
      </c>
      <c r="G2762">
        <v>-89.869429999999994</v>
      </c>
      <c r="H2762">
        <v>1600</v>
      </c>
      <c r="I2762">
        <v>3</v>
      </c>
      <c r="J2762">
        <v>101</v>
      </c>
      <c r="K2762">
        <v>-384</v>
      </c>
      <c r="L2762">
        <v>1200</v>
      </c>
      <c r="M2762" t="str">
        <f t="shared" si="241"/>
        <v xml:space="preserve">N35DC   </v>
      </c>
      <c r="N2762">
        <v>1</v>
      </c>
      <c r="O2762">
        <v>1650</v>
      </c>
    </row>
    <row r="2763" spans="1:15" x14ac:dyDescent="0.25">
      <c r="A2763" t="str">
        <f>"10/21/2020 18:33:27.054"</f>
        <v>10/21/2020 18:33:27.054</v>
      </c>
      <c r="B2763" t="str">
        <f>"18:33:34.992"</f>
        <v>18:33:34.992</v>
      </c>
      <c r="C2763" t="str">
        <f>"18:33:34.692"</f>
        <v>18:33:34.692</v>
      </c>
      <c r="D2763" t="s">
        <v>1059</v>
      </c>
      <c r="E2763">
        <v>30.735648000000001</v>
      </c>
      <c r="F2763" t="s">
        <v>1060</v>
      </c>
      <c r="G2763">
        <v>-89.869429999999994</v>
      </c>
      <c r="H2763">
        <v>1600</v>
      </c>
      <c r="I2763">
        <v>3</v>
      </c>
      <c r="J2763">
        <v>101</v>
      </c>
      <c r="K2763">
        <v>-384</v>
      </c>
      <c r="L2763">
        <v>1200</v>
      </c>
      <c r="M2763" t="str">
        <f t="shared" si="241"/>
        <v xml:space="preserve">N35DC   </v>
      </c>
      <c r="N2763">
        <v>1</v>
      </c>
      <c r="O2763">
        <v>1650</v>
      </c>
    </row>
    <row r="2764" spans="1:15" x14ac:dyDescent="0.25">
      <c r="A2764" t="str">
        <f>"10/21/2020 18:33:27.054"</f>
        <v>10/21/2020 18:33:27.054</v>
      </c>
      <c r="B2764" t="str">
        <f>"18:33:34.992"</f>
        <v>18:33:34.992</v>
      </c>
      <c r="C2764" t="str">
        <f>"18:33:34.692"</f>
        <v>18:33:34.692</v>
      </c>
      <c r="D2764" t="s">
        <v>1059</v>
      </c>
      <c r="E2764">
        <v>30.735648000000001</v>
      </c>
      <c r="F2764" t="s">
        <v>1060</v>
      </c>
      <c r="G2764">
        <v>-89.869429999999994</v>
      </c>
      <c r="H2764">
        <v>1600</v>
      </c>
      <c r="I2764">
        <v>3</v>
      </c>
      <c r="J2764">
        <v>101</v>
      </c>
      <c r="K2764">
        <v>-384</v>
      </c>
      <c r="L2764">
        <v>1200</v>
      </c>
      <c r="M2764" t="str">
        <f t="shared" si="241"/>
        <v xml:space="preserve">N35DC   </v>
      </c>
      <c r="N2764">
        <v>1</v>
      </c>
      <c r="O2764">
        <v>1650</v>
      </c>
    </row>
    <row r="2765" spans="1:15" x14ac:dyDescent="0.25">
      <c r="A2765" t="str">
        <f>"10/21/2020 18:33:27.054"</f>
        <v>10/21/2020 18:33:27.054</v>
      </c>
      <c r="B2765" t="str">
        <f>"18:33:34.992"</f>
        <v>18:33:34.992</v>
      </c>
      <c r="C2765" t="str">
        <f>"18:33:34.692"</f>
        <v>18:33:34.692</v>
      </c>
      <c r="D2765" t="s">
        <v>1059</v>
      </c>
      <c r="E2765">
        <v>30.735648000000001</v>
      </c>
      <c r="F2765" t="s">
        <v>1060</v>
      </c>
      <c r="G2765">
        <v>-89.869429999999994</v>
      </c>
      <c r="H2765">
        <v>1600</v>
      </c>
      <c r="I2765">
        <v>3</v>
      </c>
      <c r="J2765">
        <v>101</v>
      </c>
      <c r="K2765">
        <v>-384</v>
      </c>
      <c r="L2765">
        <v>1200</v>
      </c>
      <c r="M2765" t="str">
        <f t="shared" si="241"/>
        <v xml:space="preserve">N35DC   </v>
      </c>
      <c r="N2765">
        <v>1</v>
      </c>
      <c r="O2765">
        <v>1650</v>
      </c>
    </row>
    <row r="2766" spans="1:15" x14ac:dyDescent="0.25">
      <c r="A2766" t="str">
        <f>"10/21/2020 18:33:27.054"</f>
        <v>10/21/2020 18:33:27.054</v>
      </c>
      <c r="B2766" t="str">
        <f>"18:33:34.992"</f>
        <v>18:33:34.992</v>
      </c>
      <c r="C2766" t="str">
        <f>"18:33:34.692"</f>
        <v>18:33:34.692</v>
      </c>
      <c r="D2766" t="s">
        <v>1059</v>
      </c>
      <c r="E2766">
        <v>30.735648000000001</v>
      </c>
      <c r="F2766" t="s">
        <v>1060</v>
      </c>
      <c r="G2766">
        <v>-89.869429999999994</v>
      </c>
      <c r="H2766">
        <v>1600</v>
      </c>
      <c r="I2766">
        <v>3</v>
      </c>
      <c r="J2766">
        <v>101</v>
      </c>
      <c r="K2766">
        <v>-384</v>
      </c>
      <c r="L2766">
        <v>1200</v>
      </c>
      <c r="M2766" t="str">
        <f t="shared" si="241"/>
        <v xml:space="preserve">N35DC   </v>
      </c>
      <c r="N2766">
        <v>1</v>
      </c>
      <c r="O2766">
        <v>1650</v>
      </c>
    </row>
    <row r="2767" spans="1:15" x14ac:dyDescent="0.25">
      <c r="A2767" t="str">
        <f>"10/21/2020 18:33:28.165"</f>
        <v>10/21/2020 18:33:28.165</v>
      </c>
      <c r="B2767" t="str">
        <f>"18:33:36.086"</f>
        <v>18:33:36.086</v>
      </c>
      <c r="C2767" t="str">
        <f>"18:33:35.686"</f>
        <v>18:33:35.686</v>
      </c>
      <c r="D2767" t="s">
        <v>1061</v>
      </c>
      <c r="E2767">
        <v>30.736184000000002</v>
      </c>
      <c r="F2767" t="s">
        <v>1062</v>
      </c>
      <c r="G2767">
        <v>-89.869451999999995</v>
      </c>
      <c r="H2767">
        <v>1600</v>
      </c>
      <c r="I2767">
        <v>3</v>
      </c>
      <c r="J2767">
        <v>101</v>
      </c>
      <c r="K2767">
        <v>-384</v>
      </c>
      <c r="L2767">
        <v>1200</v>
      </c>
      <c r="M2767" t="str">
        <f t="shared" si="241"/>
        <v xml:space="preserve">N35DC   </v>
      </c>
      <c r="N2767">
        <v>1</v>
      </c>
      <c r="O2767">
        <v>1650</v>
      </c>
    </row>
    <row r="2768" spans="1:15" x14ac:dyDescent="0.25">
      <c r="A2768" t="str">
        <f>"10/21/2020 18:33:28.165"</f>
        <v>10/21/2020 18:33:28.165</v>
      </c>
      <c r="B2768" t="str">
        <f>"18:33:36.086"</f>
        <v>18:33:36.086</v>
      </c>
      <c r="C2768" t="str">
        <f>"18:33:35.686"</f>
        <v>18:33:35.686</v>
      </c>
      <c r="D2768" t="s">
        <v>1061</v>
      </c>
      <c r="E2768">
        <v>30.736184000000002</v>
      </c>
      <c r="F2768" t="s">
        <v>1062</v>
      </c>
      <c r="G2768">
        <v>-89.869451999999995</v>
      </c>
      <c r="H2768">
        <v>1600</v>
      </c>
      <c r="I2768">
        <v>3</v>
      </c>
      <c r="J2768">
        <v>101</v>
      </c>
      <c r="K2768">
        <v>-384</v>
      </c>
      <c r="L2768">
        <v>1200</v>
      </c>
      <c r="M2768" t="str">
        <f t="shared" si="241"/>
        <v xml:space="preserve">N35DC   </v>
      </c>
      <c r="N2768">
        <v>1</v>
      </c>
      <c r="O2768">
        <v>1650</v>
      </c>
    </row>
    <row r="2769" spans="1:15" x14ac:dyDescent="0.25">
      <c r="A2769" t="str">
        <f>"10/21/2020 18:33:28.165"</f>
        <v>10/21/2020 18:33:28.165</v>
      </c>
      <c r="B2769" t="str">
        <f>"18:33:36.086"</f>
        <v>18:33:36.086</v>
      </c>
      <c r="C2769" t="str">
        <f>"18:33:35.686"</f>
        <v>18:33:35.686</v>
      </c>
      <c r="D2769" t="s">
        <v>1061</v>
      </c>
      <c r="E2769">
        <v>30.736184000000002</v>
      </c>
      <c r="F2769" t="s">
        <v>1062</v>
      </c>
      <c r="G2769">
        <v>-89.869451999999995</v>
      </c>
      <c r="H2769">
        <v>1600</v>
      </c>
      <c r="I2769">
        <v>3</v>
      </c>
      <c r="J2769">
        <v>101</v>
      </c>
      <c r="K2769">
        <v>-384</v>
      </c>
      <c r="L2769">
        <v>1200</v>
      </c>
      <c r="M2769" t="str">
        <f t="shared" si="241"/>
        <v xml:space="preserve">N35DC   </v>
      </c>
      <c r="N2769">
        <v>1</v>
      </c>
      <c r="O2769">
        <v>1650</v>
      </c>
    </row>
    <row r="2770" spans="1:15" x14ac:dyDescent="0.25">
      <c r="A2770" t="str">
        <f>"10/21/2020 18:33:28.165"</f>
        <v>10/21/2020 18:33:28.165</v>
      </c>
      <c r="B2770" t="str">
        <f>"18:33:36.086"</f>
        <v>18:33:36.086</v>
      </c>
      <c r="C2770" t="str">
        <f>"18:33:35.686"</f>
        <v>18:33:35.686</v>
      </c>
      <c r="D2770" t="s">
        <v>1061</v>
      </c>
      <c r="E2770">
        <v>30.736184000000002</v>
      </c>
      <c r="F2770" t="s">
        <v>1062</v>
      </c>
      <c r="G2770">
        <v>-89.869451999999995</v>
      </c>
      <c r="H2770">
        <v>1600</v>
      </c>
      <c r="I2770">
        <v>3</v>
      </c>
      <c r="J2770">
        <v>101</v>
      </c>
      <c r="K2770">
        <v>-384</v>
      </c>
      <c r="L2770">
        <v>1200</v>
      </c>
      <c r="M2770" t="str">
        <f t="shared" si="241"/>
        <v xml:space="preserve">N35DC   </v>
      </c>
      <c r="N2770">
        <v>1</v>
      </c>
      <c r="O2770">
        <v>1650</v>
      </c>
    </row>
    <row r="2771" spans="1:15" x14ac:dyDescent="0.25">
      <c r="A2771" t="str">
        <f>"10/21/2020 18:33:28.165"</f>
        <v>10/21/2020 18:33:28.165</v>
      </c>
      <c r="B2771" t="str">
        <f>"18:33:36.086"</f>
        <v>18:33:36.086</v>
      </c>
      <c r="C2771" t="str">
        <f>"18:33:35.686"</f>
        <v>18:33:35.686</v>
      </c>
      <c r="D2771" t="s">
        <v>1061</v>
      </c>
      <c r="E2771">
        <v>30.736184000000002</v>
      </c>
      <c r="F2771" t="s">
        <v>1062</v>
      </c>
      <c r="G2771">
        <v>-89.869451999999995</v>
      </c>
      <c r="H2771">
        <v>1600</v>
      </c>
      <c r="I2771">
        <v>3</v>
      </c>
      <c r="J2771">
        <v>101</v>
      </c>
      <c r="K2771">
        <v>-384</v>
      </c>
      <c r="L2771">
        <v>1200</v>
      </c>
      <c r="M2771" t="str">
        <f t="shared" si="241"/>
        <v xml:space="preserve">N35DC   </v>
      </c>
      <c r="N2771">
        <v>1</v>
      </c>
      <c r="O2771">
        <v>1650</v>
      </c>
    </row>
    <row r="2772" spans="1:15" x14ac:dyDescent="0.25">
      <c r="A2772" t="str">
        <f>"10/21/2020 18:33:30.791"</f>
        <v>10/21/2020 18:33:30.791</v>
      </c>
      <c r="B2772" t="str">
        <f>"18:33:38.711"</f>
        <v>18:33:38.711</v>
      </c>
      <c r="C2772" t="str">
        <f>"18:33:38.611"</f>
        <v>18:33:38.611</v>
      </c>
      <c r="D2772" t="s">
        <v>1063</v>
      </c>
      <c r="E2772">
        <v>30.737428999999999</v>
      </c>
      <c r="F2772" t="s">
        <v>1064</v>
      </c>
      <c r="G2772">
        <v>-89.869365999999999</v>
      </c>
      <c r="H2772">
        <v>1500</v>
      </c>
      <c r="I2772">
        <v>4</v>
      </c>
      <c r="J2772">
        <v>102</v>
      </c>
      <c r="K2772">
        <v>-448</v>
      </c>
      <c r="L2772">
        <v>1200</v>
      </c>
      <c r="M2772" t="str">
        <f t="shared" si="241"/>
        <v xml:space="preserve">N35DC   </v>
      </c>
      <c r="N2772">
        <v>1</v>
      </c>
      <c r="O2772">
        <v>1625</v>
      </c>
    </row>
    <row r="2773" spans="1:15" x14ac:dyDescent="0.25">
      <c r="A2773" t="str">
        <f>"10/21/2020 18:33:30.791"</f>
        <v>10/21/2020 18:33:30.791</v>
      </c>
      <c r="B2773" t="str">
        <f>"18:33:38.711"</f>
        <v>18:33:38.711</v>
      </c>
      <c r="C2773" t="str">
        <f>"18:33:38.611"</f>
        <v>18:33:38.611</v>
      </c>
      <c r="D2773" t="s">
        <v>1063</v>
      </c>
      <c r="E2773">
        <v>30.737428999999999</v>
      </c>
      <c r="F2773" t="s">
        <v>1064</v>
      </c>
      <c r="G2773">
        <v>-89.869365999999999</v>
      </c>
      <c r="H2773">
        <v>1500</v>
      </c>
      <c r="I2773">
        <v>4</v>
      </c>
      <c r="J2773">
        <v>102</v>
      </c>
      <c r="K2773">
        <v>-448</v>
      </c>
      <c r="L2773">
        <v>1200</v>
      </c>
      <c r="M2773" t="str">
        <f t="shared" si="241"/>
        <v xml:space="preserve">N35DC   </v>
      </c>
      <c r="N2773">
        <v>1</v>
      </c>
      <c r="O2773">
        <v>1625</v>
      </c>
    </row>
    <row r="2774" spans="1:15" x14ac:dyDescent="0.25">
      <c r="A2774" t="str">
        <f>"10/21/2020 18:33:30.791"</f>
        <v>10/21/2020 18:33:30.791</v>
      </c>
      <c r="B2774" t="str">
        <f>"18:33:38.711"</f>
        <v>18:33:38.711</v>
      </c>
      <c r="C2774" t="str">
        <f>"18:33:38.611"</f>
        <v>18:33:38.611</v>
      </c>
      <c r="D2774" t="s">
        <v>1063</v>
      </c>
      <c r="E2774">
        <v>30.737428999999999</v>
      </c>
      <c r="F2774" t="s">
        <v>1064</v>
      </c>
      <c r="G2774">
        <v>-89.869365999999999</v>
      </c>
      <c r="H2774">
        <v>1500</v>
      </c>
      <c r="I2774">
        <v>4</v>
      </c>
      <c r="J2774">
        <v>102</v>
      </c>
      <c r="K2774">
        <v>-448</v>
      </c>
      <c r="L2774">
        <v>1200</v>
      </c>
      <c r="M2774" t="str">
        <f t="shared" si="241"/>
        <v xml:space="preserve">N35DC   </v>
      </c>
      <c r="N2774">
        <v>1</v>
      </c>
      <c r="O2774">
        <v>1625</v>
      </c>
    </row>
    <row r="2775" spans="1:15" x14ac:dyDescent="0.25">
      <c r="A2775" t="str">
        <f>"10/21/2020 18:33:30.791"</f>
        <v>10/21/2020 18:33:30.791</v>
      </c>
      <c r="B2775" t="str">
        <f>"18:33:38.711"</f>
        <v>18:33:38.711</v>
      </c>
      <c r="C2775" t="str">
        <f>"18:33:38.611"</f>
        <v>18:33:38.611</v>
      </c>
      <c r="D2775" t="s">
        <v>1063</v>
      </c>
      <c r="E2775">
        <v>30.737428999999999</v>
      </c>
      <c r="F2775" t="s">
        <v>1064</v>
      </c>
      <c r="G2775">
        <v>-89.869365999999999</v>
      </c>
      <c r="H2775">
        <v>1500</v>
      </c>
      <c r="I2775">
        <v>4</v>
      </c>
      <c r="J2775">
        <v>102</v>
      </c>
      <c r="K2775">
        <v>-448</v>
      </c>
      <c r="L2775">
        <v>1200</v>
      </c>
      <c r="M2775" t="str">
        <f t="shared" si="241"/>
        <v xml:space="preserve">N35DC   </v>
      </c>
      <c r="N2775">
        <v>1</v>
      </c>
      <c r="O2775">
        <v>1625</v>
      </c>
    </row>
    <row r="2776" spans="1:15" x14ac:dyDescent="0.25">
      <c r="A2776" t="str">
        <f>"10/21/2020 18:33:30.791"</f>
        <v>10/21/2020 18:33:30.791</v>
      </c>
      <c r="B2776" t="str">
        <f>"18:33:38.711"</f>
        <v>18:33:38.711</v>
      </c>
      <c r="C2776" t="str">
        <f>"18:33:38.611"</f>
        <v>18:33:38.611</v>
      </c>
      <c r="D2776" t="s">
        <v>1063</v>
      </c>
      <c r="E2776">
        <v>30.737428999999999</v>
      </c>
      <c r="F2776" t="s">
        <v>1064</v>
      </c>
      <c r="G2776">
        <v>-89.869365999999999</v>
      </c>
      <c r="H2776">
        <v>1500</v>
      </c>
      <c r="I2776">
        <v>4</v>
      </c>
      <c r="J2776">
        <v>102</v>
      </c>
      <c r="K2776">
        <v>-448</v>
      </c>
      <c r="L2776">
        <v>1200</v>
      </c>
      <c r="M2776" t="str">
        <f t="shared" si="241"/>
        <v xml:space="preserve">N35DC   </v>
      </c>
      <c r="N2776">
        <v>1</v>
      </c>
      <c r="O2776">
        <v>1625</v>
      </c>
    </row>
    <row r="2777" spans="1:15" x14ac:dyDescent="0.25">
      <c r="A2777" t="str">
        <f>"10/21/2020 18:33:31.324"</f>
        <v>10/21/2020 18:33:31.324</v>
      </c>
      <c r="B2777" t="str">
        <f>"18:33:39.234"</f>
        <v>18:33:39.234</v>
      </c>
      <c r="C2777" t="str">
        <f>"18:33:39.234"</f>
        <v>18:33:39.234</v>
      </c>
      <c r="D2777" t="s">
        <v>1065</v>
      </c>
      <c r="E2777">
        <v>30.737686</v>
      </c>
      <c r="F2777" t="s">
        <v>1066</v>
      </c>
      <c r="G2777">
        <v>-89.869409000000005</v>
      </c>
      <c r="H2777">
        <v>1500</v>
      </c>
      <c r="I2777">
        <v>4</v>
      </c>
      <c r="J2777">
        <v>102</v>
      </c>
      <c r="K2777">
        <v>-512</v>
      </c>
      <c r="L2777">
        <v>1200</v>
      </c>
      <c r="M2777" t="str">
        <f t="shared" si="241"/>
        <v xml:space="preserve">N35DC   </v>
      </c>
      <c r="N2777">
        <v>1</v>
      </c>
      <c r="O2777">
        <v>1725</v>
      </c>
    </row>
    <row r="2778" spans="1:15" x14ac:dyDescent="0.25">
      <c r="A2778" t="str">
        <f>"10/21/2020 18:33:31.706"</f>
        <v>10/21/2020 18:33:31.706</v>
      </c>
      <c r="B2778" t="str">
        <f>"18:33:39.641"</f>
        <v>18:33:39.641</v>
      </c>
      <c r="C2778" t="str">
        <f>"18:33:39.241"</f>
        <v>18:33:39.241</v>
      </c>
      <c r="D2778" t="s">
        <v>1067</v>
      </c>
      <c r="E2778">
        <v>30.737879</v>
      </c>
      <c r="F2778" t="s">
        <v>1066</v>
      </c>
      <c r="G2778">
        <v>-89.869409000000005</v>
      </c>
      <c r="H2778">
        <v>1500</v>
      </c>
      <c r="I2778">
        <v>4</v>
      </c>
      <c r="J2778">
        <v>102</v>
      </c>
      <c r="K2778">
        <v>-512</v>
      </c>
      <c r="L2778">
        <v>1200</v>
      </c>
      <c r="M2778" t="str">
        <f t="shared" si="241"/>
        <v xml:space="preserve">N35DC   </v>
      </c>
      <c r="N2778">
        <v>1</v>
      </c>
      <c r="O2778">
        <v>1625</v>
      </c>
    </row>
    <row r="2779" spans="1:15" x14ac:dyDescent="0.25">
      <c r="A2779" t="str">
        <f>"10/21/2020 18:33:31.706"</f>
        <v>10/21/2020 18:33:31.706</v>
      </c>
      <c r="B2779" t="str">
        <f>"18:33:39.641"</f>
        <v>18:33:39.641</v>
      </c>
      <c r="C2779" t="str">
        <f>"18:33:39.241"</f>
        <v>18:33:39.241</v>
      </c>
      <c r="D2779" t="s">
        <v>1067</v>
      </c>
      <c r="E2779">
        <v>30.737879</v>
      </c>
      <c r="F2779" t="s">
        <v>1066</v>
      </c>
      <c r="G2779">
        <v>-89.869409000000005</v>
      </c>
      <c r="H2779">
        <v>1500</v>
      </c>
      <c r="I2779">
        <v>4</v>
      </c>
      <c r="J2779">
        <v>102</v>
      </c>
      <c r="K2779">
        <v>-512</v>
      </c>
      <c r="L2779">
        <v>1200</v>
      </c>
      <c r="M2779" t="str">
        <f t="shared" si="241"/>
        <v xml:space="preserve">N35DC   </v>
      </c>
      <c r="N2779">
        <v>1</v>
      </c>
      <c r="O2779">
        <v>1625</v>
      </c>
    </row>
    <row r="2780" spans="1:15" x14ac:dyDescent="0.25">
      <c r="A2780" t="str">
        <f>"10/21/2020 18:33:31.706"</f>
        <v>10/21/2020 18:33:31.706</v>
      </c>
      <c r="B2780" t="str">
        <f>"18:33:39.641"</f>
        <v>18:33:39.641</v>
      </c>
      <c r="C2780" t="str">
        <f>"18:33:39.241"</f>
        <v>18:33:39.241</v>
      </c>
      <c r="D2780" t="s">
        <v>1067</v>
      </c>
      <c r="E2780">
        <v>30.737879</v>
      </c>
      <c r="F2780" t="s">
        <v>1066</v>
      </c>
      <c r="G2780">
        <v>-89.869409000000005</v>
      </c>
      <c r="H2780">
        <v>1500</v>
      </c>
      <c r="I2780">
        <v>4</v>
      </c>
      <c r="J2780">
        <v>102</v>
      </c>
      <c r="K2780">
        <v>-512</v>
      </c>
      <c r="L2780">
        <v>1200</v>
      </c>
      <c r="M2780" t="str">
        <f t="shared" si="241"/>
        <v xml:space="preserve">N35DC   </v>
      </c>
      <c r="N2780">
        <v>1</v>
      </c>
      <c r="O2780">
        <v>1625</v>
      </c>
    </row>
    <row r="2781" spans="1:15" x14ac:dyDescent="0.25">
      <c r="A2781" t="str">
        <f>"10/21/2020 18:33:31.706"</f>
        <v>10/21/2020 18:33:31.706</v>
      </c>
      <c r="B2781" t="str">
        <f>"18:33:39.641"</f>
        <v>18:33:39.641</v>
      </c>
      <c r="C2781" t="str">
        <f>"18:33:39.241"</f>
        <v>18:33:39.241</v>
      </c>
      <c r="D2781" t="s">
        <v>1067</v>
      </c>
      <c r="E2781">
        <v>30.737879</v>
      </c>
      <c r="F2781" t="s">
        <v>1066</v>
      </c>
      <c r="G2781">
        <v>-89.869409000000005</v>
      </c>
      <c r="H2781">
        <v>1500</v>
      </c>
      <c r="I2781">
        <v>4</v>
      </c>
      <c r="J2781">
        <v>102</v>
      </c>
      <c r="K2781">
        <v>-512</v>
      </c>
      <c r="L2781">
        <v>1200</v>
      </c>
      <c r="M2781" t="str">
        <f t="shared" si="241"/>
        <v xml:space="preserve">N35DC   </v>
      </c>
      <c r="N2781">
        <v>1</v>
      </c>
      <c r="O2781">
        <v>1625</v>
      </c>
    </row>
    <row r="2782" spans="1:15" x14ac:dyDescent="0.25">
      <c r="A2782" t="str">
        <f>"10/21/2020 18:33:31.706"</f>
        <v>10/21/2020 18:33:31.706</v>
      </c>
      <c r="B2782" t="str">
        <f>"18:33:39.641"</f>
        <v>18:33:39.641</v>
      </c>
      <c r="C2782" t="str">
        <f>"18:33:39.241"</f>
        <v>18:33:39.241</v>
      </c>
      <c r="D2782" t="s">
        <v>1067</v>
      </c>
      <c r="E2782">
        <v>30.737879</v>
      </c>
      <c r="F2782" t="s">
        <v>1066</v>
      </c>
      <c r="G2782">
        <v>-89.869409000000005</v>
      </c>
      <c r="H2782">
        <v>1500</v>
      </c>
      <c r="I2782">
        <v>4</v>
      </c>
      <c r="J2782">
        <v>102</v>
      </c>
      <c r="K2782">
        <v>-512</v>
      </c>
      <c r="L2782">
        <v>1200</v>
      </c>
      <c r="M2782" t="str">
        <f t="shared" si="241"/>
        <v xml:space="preserve">N35DC   </v>
      </c>
      <c r="N2782">
        <v>1</v>
      </c>
      <c r="O2782">
        <v>1625</v>
      </c>
    </row>
    <row r="2783" spans="1:15" x14ac:dyDescent="0.25">
      <c r="A2783" t="str">
        <f>"10/21/2020 18:33:33.784"</f>
        <v>10/21/2020 18:33:33.784</v>
      </c>
      <c r="B2783" t="str">
        <f>"18:33:41.711"</f>
        <v>18:33:41.711</v>
      </c>
      <c r="C2783" t="str">
        <f>"18:33:41.211"</f>
        <v>18:33:41.211</v>
      </c>
      <c r="D2783" t="s">
        <v>1068</v>
      </c>
      <c r="E2783">
        <v>30.738823</v>
      </c>
      <c r="F2783" t="s">
        <v>1069</v>
      </c>
      <c r="G2783">
        <v>-89.869300999999993</v>
      </c>
      <c r="H2783">
        <v>1500</v>
      </c>
      <c r="I2783">
        <v>5</v>
      </c>
      <c r="J2783">
        <v>102</v>
      </c>
      <c r="K2783">
        <v>-384</v>
      </c>
      <c r="L2783">
        <v>1200</v>
      </c>
      <c r="M2783" t="str">
        <f t="shared" si="241"/>
        <v xml:space="preserve">N35DC   </v>
      </c>
      <c r="N2783">
        <v>1</v>
      </c>
      <c r="O2783">
        <v>1600</v>
      </c>
    </row>
    <row r="2784" spans="1:15" x14ac:dyDescent="0.25">
      <c r="A2784" t="str">
        <f>"10/21/2020 18:33:33.784"</f>
        <v>10/21/2020 18:33:33.784</v>
      </c>
      <c r="B2784" t="str">
        <f>"18:33:41.711"</f>
        <v>18:33:41.711</v>
      </c>
      <c r="C2784" t="str">
        <f>"18:33:41.211"</f>
        <v>18:33:41.211</v>
      </c>
      <c r="D2784" t="s">
        <v>1068</v>
      </c>
      <c r="E2784">
        <v>30.738823</v>
      </c>
      <c r="F2784" t="s">
        <v>1069</v>
      </c>
      <c r="G2784">
        <v>-89.869300999999993</v>
      </c>
      <c r="H2784">
        <v>1500</v>
      </c>
      <c r="I2784">
        <v>5</v>
      </c>
      <c r="J2784">
        <v>102</v>
      </c>
      <c r="K2784">
        <v>-384</v>
      </c>
      <c r="L2784">
        <v>1200</v>
      </c>
      <c r="M2784" t="str">
        <f t="shared" si="241"/>
        <v xml:space="preserve">N35DC   </v>
      </c>
      <c r="N2784">
        <v>1</v>
      </c>
      <c r="O2784">
        <v>1600</v>
      </c>
    </row>
    <row r="2785" spans="1:15" x14ac:dyDescent="0.25">
      <c r="A2785" t="str">
        <f>"10/21/2020 18:33:33.784"</f>
        <v>10/21/2020 18:33:33.784</v>
      </c>
      <c r="B2785" t="str">
        <f>"18:33:41.711"</f>
        <v>18:33:41.711</v>
      </c>
      <c r="C2785" t="str">
        <f>"18:33:41.211"</f>
        <v>18:33:41.211</v>
      </c>
      <c r="D2785" t="s">
        <v>1068</v>
      </c>
      <c r="E2785">
        <v>30.738823</v>
      </c>
      <c r="F2785" t="s">
        <v>1069</v>
      </c>
      <c r="G2785">
        <v>-89.869300999999993</v>
      </c>
      <c r="H2785">
        <v>1500</v>
      </c>
      <c r="I2785">
        <v>5</v>
      </c>
      <c r="J2785">
        <v>102</v>
      </c>
      <c r="K2785">
        <v>-384</v>
      </c>
      <c r="L2785">
        <v>1200</v>
      </c>
      <c r="M2785" t="str">
        <f t="shared" si="241"/>
        <v xml:space="preserve">N35DC   </v>
      </c>
      <c r="N2785">
        <v>1</v>
      </c>
      <c r="O2785">
        <v>1600</v>
      </c>
    </row>
    <row r="2786" spans="1:15" x14ac:dyDescent="0.25">
      <c r="A2786" t="str">
        <f>"10/21/2020 18:33:33.784"</f>
        <v>10/21/2020 18:33:33.784</v>
      </c>
      <c r="B2786" t="str">
        <f>"18:33:41.711"</f>
        <v>18:33:41.711</v>
      </c>
      <c r="C2786" t="str">
        <f>"18:33:41.211"</f>
        <v>18:33:41.211</v>
      </c>
      <c r="D2786" t="s">
        <v>1068</v>
      </c>
      <c r="E2786">
        <v>30.738823</v>
      </c>
      <c r="F2786" t="s">
        <v>1069</v>
      </c>
      <c r="G2786">
        <v>-89.869300999999993</v>
      </c>
      <c r="H2786">
        <v>1500</v>
      </c>
      <c r="I2786">
        <v>5</v>
      </c>
      <c r="J2786">
        <v>102</v>
      </c>
      <c r="K2786">
        <v>-384</v>
      </c>
      <c r="L2786">
        <v>1200</v>
      </c>
      <c r="M2786" t="str">
        <f t="shared" si="241"/>
        <v xml:space="preserve">N35DC   </v>
      </c>
      <c r="N2786">
        <v>1</v>
      </c>
      <c r="O2786">
        <v>1600</v>
      </c>
    </row>
    <row r="2787" spans="1:15" x14ac:dyDescent="0.25">
      <c r="A2787" t="str">
        <f>"10/21/2020 18:33:33.784"</f>
        <v>10/21/2020 18:33:33.784</v>
      </c>
      <c r="B2787" t="str">
        <f>"18:33:41.711"</f>
        <v>18:33:41.711</v>
      </c>
      <c r="C2787" t="str">
        <f>"18:33:41.211"</f>
        <v>18:33:41.211</v>
      </c>
      <c r="D2787" t="s">
        <v>1068</v>
      </c>
      <c r="E2787">
        <v>30.738823</v>
      </c>
      <c r="F2787" t="s">
        <v>1069</v>
      </c>
      <c r="G2787">
        <v>-89.869300999999993</v>
      </c>
      <c r="H2787">
        <v>1500</v>
      </c>
      <c r="I2787">
        <v>5</v>
      </c>
      <c r="J2787">
        <v>102</v>
      </c>
      <c r="K2787">
        <v>-384</v>
      </c>
      <c r="L2787">
        <v>1200</v>
      </c>
      <c r="M2787" t="str">
        <f t="shared" si="241"/>
        <v xml:space="preserve">N35DC   </v>
      </c>
      <c r="N2787">
        <v>1</v>
      </c>
      <c r="O2787">
        <v>1600</v>
      </c>
    </row>
    <row r="2788" spans="1:15" x14ac:dyDescent="0.25">
      <c r="A2788" t="str">
        <f>"10/21/2020 18:33:34.243"</f>
        <v>10/21/2020 18:33:34.243</v>
      </c>
      <c r="B2788" t="str">
        <f>"18:33:42.164"</f>
        <v>18:33:42.164</v>
      </c>
      <c r="C2788" t="str">
        <f>"18:33:41.264"</f>
        <v>18:33:41.264</v>
      </c>
      <c r="D2788" t="s">
        <v>1070</v>
      </c>
      <c r="E2788">
        <v>30.739059000000001</v>
      </c>
      <c r="F2788" t="s">
        <v>1069</v>
      </c>
      <c r="G2788">
        <v>-89.869300999999993</v>
      </c>
      <c r="H2788">
        <v>1500</v>
      </c>
      <c r="I2788">
        <v>5</v>
      </c>
      <c r="J2788">
        <v>102</v>
      </c>
      <c r="K2788">
        <v>-384</v>
      </c>
      <c r="L2788">
        <v>1200</v>
      </c>
      <c r="M2788" t="str">
        <f t="shared" si="241"/>
        <v xml:space="preserve">N35DC   </v>
      </c>
      <c r="N2788">
        <v>1</v>
      </c>
      <c r="O2788">
        <v>1600</v>
      </c>
    </row>
    <row r="2789" spans="1:15" x14ac:dyDescent="0.25">
      <c r="A2789" t="str">
        <f>"10/21/2020 18:33:34.771"</f>
        <v>10/21/2020 18:33:34.771</v>
      </c>
      <c r="B2789" t="str">
        <f>"18:33:42.719"</f>
        <v>18:33:42.719</v>
      </c>
      <c r="C2789" t="str">
        <f>"18:33:42.319"</f>
        <v>18:33:42.319</v>
      </c>
      <c r="D2789" t="s">
        <v>1071</v>
      </c>
      <c r="E2789">
        <v>30.739317</v>
      </c>
      <c r="F2789" t="s">
        <v>1072</v>
      </c>
      <c r="G2789">
        <v>-89.869258000000002</v>
      </c>
      <c r="H2789">
        <v>1500</v>
      </c>
      <c r="I2789">
        <v>5</v>
      </c>
      <c r="J2789">
        <v>103</v>
      </c>
      <c r="K2789">
        <v>-384</v>
      </c>
      <c r="L2789">
        <v>1200</v>
      </c>
      <c r="M2789" t="str">
        <f t="shared" si="241"/>
        <v xml:space="preserve">N35DC   </v>
      </c>
      <c r="N2789">
        <v>1</v>
      </c>
      <c r="O2789">
        <v>1600</v>
      </c>
    </row>
    <row r="2790" spans="1:15" x14ac:dyDescent="0.25">
      <c r="A2790" t="str">
        <f>"10/21/2020 18:33:34.771"</f>
        <v>10/21/2020 18:33:34.771</v>
      </c>
      <c r="B2790" t="str">
        <f>"18:33:42.719"</f>
        <v>18:33:42.719</v>
      </c>
      <c r="C2790" t="str">
        <f>"18:33:42.319"</f>
        <v>18:33:42.319</v>
      </c>
      <c r="D2790" t="s">
        <v>1071</v>
      </c>
      <c r="E2790">
        <v>30.739317</v>
      </c>
      <c r="F2790" t="s">
        <v>1072</v>
      </c>
      <c r="G2790">
        <v>-89.869258000000002</v>
      </c>
      <c r="H2790">
        <v>1500</v>
      </c>
      <c r="I2790">
        <v>5</v>
      </c>
      <c r="J2790">
        <v>103</v>
      </c>
      <c r="K2790">
        <v>-384</v>
      </c>
      <c r="L2790">
        <v>1200</v>
      </c>
      <c r="M2790" t="str">
        <f t="shared" si="241"/>
        <v xml:space="preserve">N35DC   </v>
      </c>
      <c r="N2790">
        <v>1</v>
      </c>
      <c r="O2790">
        <v>1600</v>
      </c>
    </row>
    <row r="2791" spans="1:15" x14ac:dyDescent="0.25">
      <c r="A2791" t="str">
        <f>"10/21/2020 18:33:34.771"</f>
        <v>10/21/2020 18:33:34.771</v>
      </c>
      <c r="B2791" t="str">
        <f>"18:33:42.719"</f>
        <v>18:33:42.719</v>
      </c>
      <c r="C2791" t="str">
        <f>"18:33:42.319"</f>
        <v>18:33:42.319</v>
      </c>
      <c r="D2791" t="s">
        <v>1071</v>
      </c>
      <c r="E2791">
        <v>30.739317</v>
      </c>
      <c r="F2791" t="s">
        <v>1072</v>
      </c>
      <c r="G2791">
        <v>-89.869258000000002</v>
      </c>
      <c r="H2791">
        <v>1500</v>
      </c>
      <c r="I2791">
        <v>5</v>
      </c>
      <c r="J2791">
        <v>103</v>
      </c>
      <c r="K2791">
        <v>-384</v>
      </c>
      <c r="L2791">
        <v>1200</v>
      </c>
      <c r="M2791" t="str">
        <f t="shared" si="241"/>
        <v xml:space="preserve">N35DC   </v>
      </c>
      <c r="N2791">
        <v>1</v>
      </c>
      <c r="O2791">
        <v>1600</v>
      </c>
    </row>
    <row r="2792" spans="1:15" x14ac:dyDescent="0.25">
      <c r="A2792" t="str">
        <f>"10/21/2020 18:33:34.771"</f>
        <v>10/21/2020 18:33:34.771</v>
      </c>
      <c r="B2792" t="str">
        <f>"18:33:42.719"</f>
        <v>18:33:42.719</v>
      </c>
      <c r="C2792" t="str">
        <f>"18:33:42.319"</f>
        <v>18:33:42.319</v>
      </c>
      <c r="D2792" t="s">
        <v>1071</v>
      </c>
      <c r="E2792">
        <v>30.739317</v>
      </c>
      <c r="F2792" t="s">
        <v>1072</v>
      </c>
      <c r="G2792">
        <v>-89.869258000000002</v>
      </c>
      <c r="H2792">
        <v>1500</v>
      </c>
      <c r="I2792">
        <v>5</v>
      </c>
      <c r="J2792">
        <v>103</v>
      </c>
      <c r="K2792">
        <v>-384</v>
      </c>
      <c r="L2792">
        <v>1200</v>
      </c>
      <c r="M2792" t="str">
        <f t="shared" si="241"/>
        <v xml:space="preserve">N35DC   </v>
      </c>
      <c r="N2792">
        <v>1</v>
      </c>
      <c r="O2792">
        <v>1600</v>
      </c>
    </row>
    <row r="2793" spans="1:15" x14ac:dyDescent="0.25">
      <c r="A2793" t="str">
        <f>"10/21/2020 18:33:34.771"</f>
        <v>10/21/2020 18:33:34.771</v>
      </c>
      <c r="B2793" t="str">
        <f>"18:33:42.719"</f>
        <v>18:33:42.719</v>
      </c>
      <c r="C2793" t="str">
        <f>"18:33:42.319"</f>
        <v>18:33:42.319</v>
      </c>
      <c r="D2793" t="s">
        <v>1071</v>
      </c>
      <c r="E2793">
        <v>30.739317</v>
      </c>
      <c r="F2793" t="s">
        <v>1072</v>
      </c>
      <c r="G2793">
        <v>-89.869258000000002</v>
      </c>
      <c r="H2793">
        <v>1500</v>
      </c>
      <c r="I2793">
        <v>5</v>
      </c>
      <c r="J2793">
        <v>103</v>
      </c>
      <c r="K2793">
        <v>-384</v>
      </c>
      <c r="L2793">
        <v>1200</v>
      </c>
      <c r="M2793" t="str">
        <f t="shared" si="241"/>
        <v xml:space="preserve">N35DC   </v>
      </c>
      <c r="N2793">
        <v>1</v>
      </c>
      <c r="O2793">
        <v>1600</v>
      </c>
    </row>
    <row r="2794" spans="1:15" x14ac:dyDescent="0.25">
      <c r="A2794" t="str">
        <f>"10/21/2020 18:33:37.823"</f>
        <v>10/21/2020 18:33:37.823</v>
      </c>
      <c r="B2794" t="str">
        <f>"18:33:45.758"</f>
        <v>18:33:45.758</v>
      </c>
      <c r="C2794" t="str">
        <f>"18:33:45.558"</f>
        <v>18:33:45.558</v>
      </c>
      <c r="D2794" t="s">
        <v>1073</v>
      </c>
      <c r="E2794">
        <v>30.740798000000002</v>
      </c>
      <c r="F2794" t="s">
        <v>1074</v>
      </c>
      <c r="G2794">
        <v>-89.869193999999993</v>
      </c>
      <c r="H2794">
        <v>1500</v>
      </c>
      <c r="I2794">
        <v>4</v>
      </c>
      <c r="J2794">
        <v>104</v>
      </c>
      <c r="K2794">
        <v>-576</v>
      </c>
      <c r="L2794">
        <v>1200</v>
      </c>
      <c r="M2794" t="str">
        <f t="shared" si="241"/>
        <v xml:space="preserve">N35DC   </v>
      </c>
      <c r="N2794">
        <v>1</v>
      </c>
      <c r="O2794">
        <v>1575</v>
      </c>
    </row>
    <row r="2795" spans="1:15" x14ac:dyDescent="0.25">
      <c r="A2795" t="str">
        <f>"10/21/2020 18:33:37.823"</f>
        <v>10/21/2020 18:33:37.823</v>
      </c>
      <c r="B2795" t="str">
        <f>"18:33:45.758"</f>
        <v>18:33:45.758</v>
      </c>
      <c r="C2795" t="str">
        <f>"18:33:45.558"</f>
        <v>18:33:45.558</v>
      </c>
      <c r="D2795" t="s">
        <v>1073</v>
      </c>
      <c r="E2795">
        <v>30.740798000000002</v>
      </c>
      <c r="F2795" t="s">
        <v>1074</v>
      </c>
      <c r="G2795">
        <v>-89.869193999999993</v>
      </c>
      <c r="H2795">
        <v>1500</v>
      </c>
      <c r="I2795">
        <v>4</v>
      </c>
      <c r="J2795">
        <v>104</v>
      </c>
      <c r="K2795">
        <v>-576</v>
      </c>
      <c r="L2795">
        <v>1200</v>
      </c>
      <c r="M2795" t="str">
        <f t="shared" si="241"/>
        <v xml:space="preserve">N35DC   </v>
      </c>
      <c r="N2795">
        <v>1</v>
      </c>
      <c r="O2795">
        <v>1575</v>
      </c>
    </row>
    <row r="2796" spans="1:15" x14ac:dyDescent="0.25">
      <c r="A2796" t="str">
        <f>"10/21/2020 18:33:37.823"</f>
        <v>10/21/2020 18:33:37.823</v>
      </c>
      <c r="B2796" t="str">
        <f>"18:33:45.758"</f>
        <v>18:33:45.758</v>
      </c>
      <c r="C2796" t="str">
        <f>"18:33:45.558"</f>
        <v>18:33:45.558</v>
      </c>
      <c r="D2796" t="s">
        <v>1073</v>
      </c>
      <c r="E2796">
        <v>30.740798000000002</v>
      </c>
      <c r="F2796" t="s">
        <v>1074</v>
      </c>
      <c r="G2796">
        <v>-89.869193999999993</v>
      </c>
      <c r="H2796">
        <v>1500</v>
      </c>
      <c r="I2796">
        <v>4</v>
      </c>
      <c r="J2796">
        <v>104</v>
      </c>
      <c r="K2796">
        <v>-576</v>
      </c>
      <c r="L2796">
        <v>1200</v>
      </c>
      <c r="M2796" t="str">
        <f t="shared" si="241"/>
        <v xml:space="preserve">N35DC   </v>
      </c>
      <c r="N2796">
        <v>1</v>
      </c>
      <c r="O2796">
        <v>1575</v>
      </c>
    </row>
    <row r="2797" spans="1:15" x14ac:dyDescent="0.25">
      <c r="A2797" t="str">
        <f>"10/21/2020 18:33:37.823"</f>
        <v>10/21/2020 18:33:37.823</v>
      </c>
      <c r="B2797" t="str">
        <f>"18:33:45.758"</f>
        <v>18:33:45.758</v>
      </c>
      <c r="C2797" t="str">
        <f>"18:33:45.558"</f>
        <v>18:33:45.558</v>
      </c>
      <c r="D2797" t="s">
        <v>1073</v>
      </c>
      <c r="E2797">
        <v>30.740798000000002</v>
      </c>
      <c r="F2797" t="s">
        <v>1074</v>
      </c>
      <c r="G2797">
        <v>-89.869193999999993</v>
      </c>
      <c r="H2797">
        <v>1500</v>
      </c>
      <c r="I2797">
        <v>4</v>
      </c>
      <c r="J2797">
        <v>104</v>
      </c>
      <c r="K2797">
        <v>-576</v>
      </c>
      <c r="L2797">
        <v>1200</v>
      </c>
      <c r="M2797" t="str">
        <f t="shared" si="241"/>
        <v xml:space="preserve">N35DC   </v>
      </c>
      <c r="N2797">
        <v>1</v>
      </c>
      <c r="O2797">
        <v>1575</v>
      </c>
    </row>
    <row r="2798" spans="1:15" x14ac:dyDescent="0.25">
      <c r="A2798" t="str">
        <f>"10/21/2020 18:33:37.823"</f>
        <v>10/21/2020 18:33:37.823</v>
      </c>
      <c r="B2798" t="str">
        <f>"18:33:45.758"</f>
        <v>18:33:45.758</v>
      </c>
      <c r="C2798" t="str">
        <f>"18:33:45.558"</f>
        <v>18:33:45.558</v>
      </c>
      <c r="D2798" t="s">
        <v>1073</v>
      </c>
      <c r="E2798">
        <v>30.740798000000002</v>
      </c>
      <c r="F2798" t="s">
        <v>1074</v>
      </c>
      <c r="G2798">
        <v>-89.869193999999993</v>
      </c>
      <c r="H2798">
        <v>1500</v>
      </c>
      <c r="I2798">
        <v>4</v>
      </c>
      <c r="J2798">
        <v>104</v>
      </c>
      <c r="K2798">
        <v>-576</v>
      </c>
      <c r="L2798">
        <v>1200</v>
      </c>
      <c r="M2798" t="str">
        <f t="shared" si="241"/>
        <v xml:space="preserve">N35DC   </v>
      </c>
      <c r="N2798">
        <v>1</v>
      </c>
      <c r="O2798">
        <v>1575</v>
      </c>
    </row>
    <row r="2799" spans="1:15" x14ac:dyDescent="0.25">
      <c r="A2799" t="str">
        <f>"10/21/2020 18:33:38.783"</f>
        <v>10/21/2020 18:33:38.783</v>
      </c>
      <c r="B2799" t="str">
        <f>"18:33:46.672"</f>
        <v>18:33:46.672</v>
      </c>
      <c r="C2799" t="str">
        <f>"18:33:46.472"</f>
        <v>18:33:46.472</v>
      </c>
      <c r="D2799" t="s">
        <v>1075</v>
      </c>
      <c r="E2799">
        <v>30.741226999999999</v>
      </c>
      <c r="F2799" t="s">
        <v>1076</v>
      </c>
      <c r="G2799">
        <v>-89.869151000000002</v>
      </c>
      <c r="H2799">
        <v>1500</v>
      </c>
      <c r="I2799">
        <v>4</v>
      </c>
      <c r="J2799">
        <v>105</v>
      </c>
      <c r="K2799">
        <v>-640</v>
      </c>
      <c r="L2799">
        <v>1200</v>
      </c>
      <c r="M2799" t="str">
        <f t="shared" si="241"/>
        <v xml:space="preserve">N35DC   </v>
      </c>
      <c r="N2799">
        <v>1</v>
      </c>
      <c r="O2799">
        <v>1550</v>
      </c>
    </row>
    <row r="2800" spans="1:15" x14ac:dyDescent="0.25">
      <c r="A2800" t="str">
        <f>"10/21/2020 18:33:38.783"</f>
        <v>10/21/2020 18:33:38.783</v>
      </c>
      <c r="B2800" t="str">
        <f>"18:33:46.672"</f>
        <v>18:33:46.672</v>
      </c>
      <c r="C2800" t="str">
        <f>"18:33:46.472"</f>
        <v>18:33:46.472</v>
      </c>
      <c r="D2800" t="s">
        <v>1075</v>
      </c>
      <c r="E2800">
        <v>30.741226999999999</v>
      </c>
      <c r="F2800" t="s">
        <v>1076</v>
      </c>
      <c r="G2800">
        <v>-89.869151000000002</v>
      </c>
      <c r="H2800">
        <v>1500</v>
      </c>
      <c r="I2800">
        <v>4</v>
      </c>
      <c r="J2800">
        <v>105</v>
      </c>
      <c r="K2800">
        <v>-640</v>
      </c>
      <c r="L2800">
        <v>1200</v>
      </c>
      <c r="M2800" t="str">
        <f t="shared" si="241"/>
        <v xml:space="preserve">N35DC   </v>
      </c>
      <c r="N2800">
        <v>1</v>
      </c>
      <c r="O2800">
        <v>1550</v>
      </c>
    </row>
    <row r="2801" spans="1:15" x14ac:dyDescent="0.25">
      <c r="A2801" t="str">
        <f>"10/21/2020 18:33:38.783"</f>
        <v>10/21/2020 18:33:38.783</v>
      </c>
      <c r="B2801" t="str">
        <f>"18:33:46.672"</f>
        <v>18:33:46.672</v>
      </c>
      <c r="C2801" t="str">
        <f>"18:33:46.472"</f>
        <v>18:33:46.472</v>
      </c>
      <c r="D2801" t="s">
        <v>1075</v>
      </c>
      <c r="E2801">
        <v>30.741226999999999</v>
      </c>
      <c r="F2801" t="s">
        <v>1076</v>
      </c>
      <c r="G2801">
        <v>-89.869151000000002</v>
      </c>
      <c r="H2801">
        <v>1500</v>
      </c>
      <c r="I2801">
        <v>4</v>
      </c>
      <c r="J2801">
        <v>105</v>
      </c>
      <c r="K2801">
        <v>-640</v>
      </c>
      <c r="L2801">
        <v>1200</v>
      </c>
      <c r="M2801" t="str">
        <f t="shared" si="241"/>
        <v xml:space="preserve">N35DC   </v>
      </c>
      <c r="N2801">
        <v>1</v>
      </c>
      <c r="O2801">
        <v>1550</v>
      </c>
    </row>
    <row r="2802" spans="1:15" x14ac:dyDescent="0.25">
      <c r="A2802" t="str">
        <f>"10/21/2020 18:33:38.783"</f>
        <v>10/21/2020 18:33:38.783</v>
      </c>
      <c r="B2802" t="str">
        <f>"18:33:46.672"</f>
        <v>18:33:46.672</v>
      </c>
      <c r="C2802" t="str">
        <f>"18:33:46.472"</f>
        <v>18:33:46.472</v>
      </c>
      <c r="D2802" t="s">
        <v>1075</v>
      </c>
      <c r="E2802">
        <v>30.741226999999999</v>
      </c>
      <c r="F2802" t="s">
        <v>1076</v>
      </c>
      <c r="G2802">
        <v>-89.869151000000002</v>
      </c>
      <c r="H2802">
        <v>1500</v>
      </c>
      <c r="I2802">
        <v>4</v>
      </c>
      <c r="J2802">
        <v>105</v>
      </c>
      <c r="K2802">
        <v>-640</v>
      </c>
      <c r="L2802">
        <v>1200</v>
      </c>
      <c r="M2802" t="str">
        <f t="shared" si="241"/>
        <v xml:space="preserve">N35DC   </v>
      </c>
      <c r="N2802">
        <v>1</v>
      </c>
      <c r="O2802">
        <v>1550</v>
      </c>
    </row>
    <row r="2803" spans="1:15" x14ac:dyDescent="0.25">
      <c r="A2803" t="str">
        <f>"10/21/2020 18:33:38.783"</f>
        <v>10/21/2020 18:33:38.783</v>
      </c>
      <c r="B2803" t="str">
        <f>"18:33:46.672"</f>
        <v>18:33:46.672</v>
      </c>
      <c r="C2803" t="str">
        <f>"18:33:46.472"</f>
        <v>18:33:46.472</v>
      </c>
      <c r="D2803" t="s">
        <v>1075</v>
      </c>
      <c r="E2803">
        <v>30.741226999999999</v>
      </c>
      <c r="F2803" t="s">
        <v>1076</v>
      </c>
      <c r="G2803">
        <v>-89.869151000000002</v>
      </c>
      <c r="H2803">
        <v>1500</v>
      </c>
      <c r="I2803">
        <v>4</v>
      </c>
      <c r="J2803">
        <v>105</v>
      </c>
      <c r="K2803">
        <v>-640</v>
      </c>
      <c r="L2803">
        <v>1200</v>
      </c>
      <c r="M2803" t="str">
        <f t="shared" si="241"/>
        <v xml:space="preserve">N35DC   </v>
      </c>
      <c r="N2803">
        <v>1</v>
      </c>
      <c r="O2803">
        <v>1550</v>
      </c>
    </row>
    <row r="2804" spans="1:15" x14ac:dyDescent="0.25">
      <c r="A2804" t="str">
        <f>"10/21/2020 18:33:41.814"</f>
        <v>10/21/2020 18:33:41.814</v>
      </c>
      <c r="B2804" t="str">
        <f t="shared" ref="B2804:C2808" si="242">"18:33:49.719"</f>
        <v>18:33:49.719</v>
      </c>
      <c r="C2804" t="str">
        <f t="shared" si="242"/>
        <v>18:33:49.719</v>
      </c>
      <c r="D2804" t="s">
        <v>1077</v>
      </c>
      <c r="E2804">
        <v>30.742729000000001</v>
      </c>
      <c r="F2804" t="s">
        <v>1078</v>
      </c>
      <c r="G2804">
        <v>-89.869086999999993</v>
      </c>
      <c r="H2804">
        <v>1400</v>
      </c>
      <c r="I2804">
        <v>6</v>
      </c>
      <c r="J2804">
        <v>107</v>
      </c>
      <c r="K2804">
        <v>-640</v>
      </c>
      <c r="L2804">
        <v>1200</v>
      </c>
      <c r="M2804" t="str">
        <f t="shared" si="241"/>
        <v xml:space="preserve">N35DC   </v>
      </c>
      <c r="N2804">
        <v>1</v>
      </c>
      <c r="O2804">
        <v>1525</v>
      </c>
    </row>
    <row r="2805" spans="1:15" x14ac:dyDescent="0.25">
      <c r="A2805" t="str">
        <f>"10/21/2020 18:33:41.814"</f>
        <v>10/21/2020 18:33:41.814</v>
      </c>
      <c r="B2805" t="str">
        <f t="shared" si="242"/>
        <v>18:33:49.719</v>
      </c>
      <c r="C2805" t="str">
        <f t="shared" si="242"/>
        <v>18:33:49.719</v>
      </c>
      <c r="D2805" t="s">
        <v>1077</v>
      </c>
      <c r="E2805">
        <v>30.742729000000001</v>
      </c>
      <c r="F2805" t="s">
        <v>1078</v>
      </c>
      <c r="G2805">
        <v>-89.869086999999993</v>
      </c>
      <c r="H2805">
        <v>1400</v>
      </c>
      <c r="I2805">
        <v>6</v>
      </c>
      <c r="J2805">
        <v>107</v>
      </c>
      <c r="K2805">
        <v>-640</v>
      </c>
      <c r="L2805">
        <v>1200</v>
      </c>
      <c r="M2805" t="str">
        <f t="shared" si="241"/>
        <v xml:space="preserve">N35DC   </v>
      </c>
      <c r="N2805">
        <v>1</v>
      </c>
      <c r="O2805">
        <v>1525</v>
      </c>
    </row>
    <row r="2806" spans="1:15" x14ac:dyDescent="0.25">
      <c r="A2806" t="str">
        <f>"10/21/2020 18:33:41.814"</f>
        <v>10/21/2020 18:33:41.814</v>
      </c>
      <c r="B2806" t="str">
        <f t="shared" si="242"/>
        <v>18:33:49.719</v>
      </c>
      <c r="C2806" t="str">
        <f t="shared" si="242"/>
        <v>18:33:49.719</v>
      </c>
      <c r="D2806" t="s">
        <v>1077</v>
      </c>
      <c r="E2806">
        <v>30.742729000000001</v>
      </c>
      <c r="F2806" t="s">
        <v>1078</v>
      </c>
      <c r="G2806">
        <v>-89.869086999999993</v>
      </c>
      <c r="H2806">
        <v>1400</v>
      </c>
      <c r="I2806">
        <v>6</v>
      </c>
      <c r="J2806">
        <v>107</v>
      </c>
      <c r="K2806">
        <v>-640</v>
      </c>
      <c r="L2806">
        <v>1200</v>
      </c>
      <c r="M2806" t="str">
        <f t="shared" si="241"/>
        <v xml:space="preserve">N35DC   </v>
      </c>
      <c r="N2806">
        <v>1</v>
      </c>
      <c r="O2806">
        <v>1525</v>
      </c>
    </row>
    <row r="2807" spans="1:15" x14ac:dyDescent="0.25">
      <c r="A2807" t="str">
        <f>"10/21/2020 18:33:41.814"</f>
        <v>10/21/2020 18:33:41.814</v>
      </c>
      <c r="B2807" t="str">
        <f t="shared" si="242"/>
        <v>18:33:49.719</v>
      </c>
      <c r="C2807" t="str">
        <f t="shared" si="242"/>
        <v>18:33:49.719</v>
      </c>
      <c r="D2807" t="s">
        <v>1077</v>
      </c>
      <c r="E2807">
        <v>30.742729000000001</v>
      </c>
      <c r="F2807" t="s">
        <v>1078</v>
      </c>
      <c r="G2807">
        <v>-89.869086999999993</v>
      </c>
      <c r="H2807">
        <v>1400</v>
      </c>
      <c r="I2807">
        <v>6</v>
      </c>
      <c r="J2807">
        <v>107</v>
      </c>
      <c r="K2807">
        <v>-640</v>
      </c>
      <c r="L2807">
        <v>1200</v>
      </c>
      <c r="M2807" t="str">
        <f t="shared" si="241"/>
        <v xml:space="preserve">N35DC   </v>
      </c>
      <c r="N2807">
        <v>1</v>
      </c>
      <c r="O2807">
        <v>1525</v>
      </c>
    </row>
    <row r="2808" spans="1:15" x14ac:dyDescent="0.25">
      <c r="A2808" t="str">
        <f>"10/21/2020 18:33:41.814"</f>
        <v>10/21/2020 18:33:41.814</v>
      </c>
      <c r="B2808" t="str">
        <f t="shared" si="242"/>
        <v>18:33:49.719</v>
      </c>
      <c r="C2808" t="str">
        <f t="shared" si="242"/>
        <v>18:33:49.719</v>
      </c>
      <c r="D2808" t="s">
        <v>1077</v>
      </c>
      <c r="E2808">
        <v>30.742729000000001</v>
      </c>
      <c r="F2808" t="s">
        <v>1078</v>
      </c>
      <c r="G2808">
        <v>-89.869086999999993</v>
      </c>
      <c r="H2808">
        <v>1400</v>
      </c>
      <c r="I2808">
        <v>6</v>
      </c>
      <c r="J2808">
        <v>107</v>
      </c>
      <c r="K2808">
        <v>-640</v>
      </c>
      <c r="L2808">
        <v>1200</v>
      </c>
      <c r="M2808" t="str">
        <f t="shared" si="241"/>
        <v xml:space="preserve">N35DC   </v>
      </c>
      <c r="N2808">
        <v>1</v>
      </c>
      <c r="O2808">
        <v>1525</v>
      </c>
    </row>
    <row r="2809" spans="1:15" x14ac:dyDescent="0.25">
      <c r="A2809" t="str">
        <f t="shared" ref="A2809:A2814" si="243">"10/21/2020 18:33:42.877"</f>
        <v>10/21/2020 18:33:42.877</v>
      </c>
      <c r="B2809" t="str">
        <f t="shared" ref="B2809:B2814" si="244">"18:33:50.789"</f>
        <v>18:33:50.789</v>
      </c>
      <c r="C2809" t="str">
        <f t="shared" ref="C2809:C2814" si="245">"18:33:50.689"</f>
        <v>18:33:50.689</v>
      </c>
      <c r="D2809" t="s">
        <v>1079</v>
      </c>
      <c r="E2809">
        <v>30.743265000000001</v>
      </c>
      <c r="F2809" t="s">
        <v>1078</v>
      </c>
      <c r="G2809">
        <v>-89.869086999999993</v>
      </c>
      <c r="H2809">
        <v>1400</v>
      </c>
      <c r="I2809">
        <v>7</v>
      </c>
      <c r="J2809">
        <v>107</v>
      </c>
      <c r="K2809">
        <v>-704</v>
      </c>
      <c r="L2809">
        <v>1200</v>
      </c>
      <c r="M2809" t="str">
        <f t="shared" si="241"/>
        <v xml:space="preserve">N35DC   </v>
      </c>
      <c r="N2809">
        <v>1</v>
      </c>
      <c r="O2809">
        <v>1525</v>
      </c>
    </row>
    <row r="2810" spans="1:15" x14ac:dyDescent="0.25">
      <c r="A2810" t="str">
        <f t="shared" si="243"/>
        <v>10/21/2020 18:33:42.877</v>
      </c>
      <c r="B2810" t="str">
        <f t="shared" si="244"/>
        <v>18:33:50.789</v>
      </c>
      <c r="C2810" t="str">
        <f t="shared" si="245"/>
        <v>18:33:50.689</v>
      </c>
      <c r="D2810" t="s">
        <v>1079</v>
      </c>
      <c r="E2810">
        <v>30.743265000000001</v>
      </c>
      <c r="F2810" t="s">
        <v>1078</v>
      </c>
      <c r="G2810">
        <v>-89.869086999999993</v>
      </c>
      <c r="H2810">
        <v>1400</v>
      </c>
      <c r="I2810">
        <v>7</v>
      </c>
      <c r="J2810">
        <v>107</v>
      </c>
      <c r="K2810">
        <v>-704</v>
      </c>
      <c r="L2810">
        <v>1200</v>
      </c>
      <c r="M2810" t="str">
        <f t="shared" si="241"/>
        <v xml:space="preserve">N35DC   </v>
      </c>
      <c r="N2810">
        <v>1</v>
      </c>
      <c r="O2810">
        <v>1525</v>
      </c>
    </row>
    <row r="2811" spans="1:15" x14ac:dyDescent="0.25">
      <c r="A2811" t="str">
        <f t="shared" si="243"/>
        <v>10/21/2020 18:33:42.877</v>
      </c>
      <c r="B2811" t="str">
        <f t="shared" si="244"/>
        <v>18:33:50.789</v>
      </c>
      <c r="C2811" t="str">
        <f t="shared" si="245"/>
        <v>18:33:50.689</v>
      </c>
      <c r="D2811" t="s">
        <v>1079</v>
      </c>
      <c r="E2811">
        <v>30.743265000000001</v>
      </c>
      <c r="F2811" t="s">
        <v>1078</v>
      </c>
      <c r="G2811">
        <v>-89.869086999999993</v>
      </c>
      <c r="H2811">
        <v>1400</v>
      </c>
      <c r="I2811">
        <v>7</v>
      </c>
      <c r="J2811">
        <v>107</v>
      </c>
      <c r="K2811">
        <v>-704</v>
      </c>
      <c r="L2811">
        <v>1200</v>
      </c>
      <c r="M2811" t="str">
        <f t="shared" si="241"/>
        <v xml:space="preserve">N35DC   </v>
      </c>
      <c r="N2811">
        <v>1</v>
      </c>
      <c r="O2811">
        <v>1525</v>
      </c>
    </row>
    <row r="2812" spans="1:15" x14ac:dyDescent="0.25">
      <c r="A2812" t="str">
        <f t="shared" si="243"/>
        <v>10/21/2020 18:33:42.877</v>
      </c>
      <c r="B2812" t="str">
        <f t="shared" si="244"/>
        <v>18:33:50.789</v>
      </c>
      <c r="C2812" t="str">
        <f t="shared" si="245"/>
        <v>18:33:50.689</v>
      </c>
      <c r="D2812" t="s">
        <v>1079</v>
      </c>
      <c r="E2812">
        <v>30.743265000000001</v>
      </c>
      <c r="F2812" t="s">
        <v>1078</v>
      </c>
      <c r="G2812">
        <v>-89.869086999999993</v>
      </c>
      <c r="H2812">
        <v>1400</v>
      </c>
      <c r="I2812">
        <v>7</v>
      </c>
      <c r="J2812">
        <v>107</v>
      </c>
      <c r="K2812">
        <v>-704</v>
      </c>
      <c r="L2812">
        <v>1200</v>
      </c>
      <c r="M2812" t="str">
        <f t="shared" si="241"/>
        <v xml:space="preserve">N35DC   </v>
      </c>
      <c r="N2812">
        <v>1</v>
      </c>
      <c r="O2812">
        <v>1525</v>
      </c>
    </row>
    <row r="2813" spans="1:15" x14ac:dyDescent="0.25">
      <c r="A2813" t="str">
        <f t="shared" si="243"/>
        <v>10/21/2020 18:33:42.877</v>
      </c>
      <c r="B2813" t="str">
        <f t="shared" si="244"/>
        <v>18:33:50.789</v>
      </c>
      <c r="C2813" t="str">
        <f t="shared" si="245"/>
        <v>18:33:50.689</v>
      </c>
      <c r="D2813" t="s">
        <v>1079</v>
      </c>
      <c r="E2813">
        <v>30.743265000000001</v>
      </c>
      <c r="F2813" t="s">
        <v>1078</v>
      </c>
      <c r="G2813">
        <v>-89.869086999999993</v>
      </c>
      <c r="H2813">
        <v>1400</v>
      </c>
      <c r="I2813">
        <v>7</v>
      </c>
      <c r="J2813">
        <v>107</v>
      </c>
      <c r="K2813">
        <v>-704</v>
      </c>
      <c r="L2813">
        <v>1200</v>
      </c>
      <c r="M2813" t="str">
        <f t="shared" si="241"/>
        <v xml:space="preserve">N35DC   </v>
      </c>
      <c r="N2813">
        <v>1</v>
      </c>
      <c r="O2813">
        <v>1525</v>
      </c>
    </row>
    <row r="2814" spans="1:15" x14ac:dyDescent="0.25">
      <c r="A2814" t="str">
        <f t="shared" si="243"/>
        <v>10/21/2020 18:33:42.877</v>
      </c>
      <c r="B2814" t="str">
        <f t="shared" si="244"/>
        <v>18:33:50.789</v>
      </c>
      <c r="C2814" t="str">
        <f t="shared" si="245"/>
        <v>18:33:50.689</v>
      </c>
      <c r="D2814" t="s">
        <v>1079</v>
      </c>
      <c r="E2814">
        <v>30.743265000000001</v>
      </c>
      <c r="F2814" t="s">
        <v>1078</v>
      </c>
      <c r="G2814">
        <v>-89.869086999999993</v>
      </c>
      <c r="H2814">
        <v>1400</v>
      </c>
      <c r="I2814">
        <v>7</v>
      </c>
      <c r="J2814">
        <v>107</v>
      </c>
      <c r="K2814">
        <v>-704</v>
      </c>
      <c r="L2814">
        <v>1200</v>
      </c>
      <c r="M2814" t="str">
        <f t="shared" si="241"/>
        <v xml:space="preserve">N35DC   </v>
      </c>
      <c r="N2814">
        <v>1</v>
      </c>
      <c r="O2814">
        <v>1625</v>
      </c>
    </row>
    <row r="2815" spans="1:15" x14ac:dyDescent="0.25">
      <c r="A2815" t="str">
        <f>"10/21/2020 18:33:45.807"</f>
        <v>10/21/2020 18:33:45.807</v>
      </c>
      <c r="B2815" t="str">
        <f>"18:33:53.711"</f>
        <v>18:33:53.711</v>
      </c>
      <c r="C2815" t="str">
        <f>"18:33:52.911"</f>
        <v>18:33:52.911</v>
      </c>
      <c r="D2815" t="s">
        <v>1080</v>
      </c>
      <c r="E2815">
        <v>30.744681</v>
      </c>
      <c r="F2815" t="s">
        <v>1081</v>
      </c>
      <c r="G2815">
        <v>-89.868915000000001</v>
      </c>
      <c r="H2815">
        <v>1400</v>
      </c>
      <c r="I2815">
        <v>10</v>
      </c>
      <c r="J2815">
        <v>107</v>
      </c>
      <c r="K2815">
        <v>-448</v>
      </c>
      <c r="L2815">
        <v>1200</v>
      </c>
      <c r="M2815" t="str">
        <f t="shared" si="241"/>
        <v xml:space="preserve">N35DC   </v>
      </c>
      <c r="N2815">
        <v>1</v>
      </c>
      <c r="O2815">
        <v>1500</v>
      </c>
    </row>
    <row r="2816" spans="1:15" x14ac:dyDescent="0.25">
      <c r="A2816" t="str">
        <f>"10/21/2020 18:33:45.807"</f>
        <v>10/21/2020 18:33:45.807</v>
      </c>
      <c r="B2816" t="str">
        <f>"18:33:53.711"</f>
        <v>18:33:53.711</v>
      </c>
      <c r="C2816" t="str">
        <f>"18:33:52.911"</f>
        <v>18:33:52.911</v>
      </c>
      <c r="D2816" t="s">
        <v>1080</v>
      </c>
      <c r="E2816">
        <v>30.744681</v>
      </c>
      <c r="F2816" t="s">
        <v>1081</v>
      </c>
      <c r="G2816">
        <v>-89.868915000000001</v>
      </c>
      <c r="H2816">
        <v>1400</v>
      </c>
      <c r="I2816">
        <v>10</v>
      </c>
      <c r="J2816">
        <v>107</v>
      </c>
      <c r="K2816">
        <v>-448</v>
      </c>
      <c r="L2816">
        <v>1200</v>
      </c>
      <c r="M2816" t="str">
        <f t="shared" si="241"/>
        <v xml:space="preserve">N35DC   </v>
      </c>
      <c r="N2816">
        <v>1</v>
      </c>
      <c r="O2816">
        <v>1500</v>
      </c>
    </row>
    <row r="2817" spans="1:15" x14ac:dyDescent="0.25">
      <c r="A2817" t="str">
        <f>"10/21/2020 18:33:45.807"</f>
        <v>10/21/2020 18:33:45.807</v>
      </c>
      <c r="B2817" t="str">
        <f>"18:33:53.711"</f>
        <v>18:33:53.711</v>
      </c>
      <c r="C2817" t="str">
        <f>"18:33:52.911"</f>
        <v>18:33:52.911</v>
      </c>
      <c r="D2817" t="s">
        <v>1080</v>
      </c>
      <c r="E2817">
        <v>30.744681</v>
      </c>
      <c r="F2817" t="s">
        <v>1081</v>
      </c>
      <c r="G2817">
        <v>-89.868915000000001</v>
      </c>
      <c r="H2817">
        <v>1400</v>
      </c>
      <c r="I2817">
        <v>10</v>
      </c>
      <c r="J2817">
        <v>107</v>
      </c>
      <c r="K2817">
        <v>-448</v>
      </c>
      <c r="L2817">
        <v>1200</v>
      </c>
      <c r="M2817" t="str">
        <f t="shared" si="241"/>
        <v xml:space="preserve">N35DC   </v>
      </c>
      <c r="N2817">
        <v>1</v>
      </c>
      <c r="O2817">
        <v>1500</v>
      </c>
    </row>
    <row r="2818" spans="1:15" x14ac:dyDescent="0.25">
      <c r="A2818" t="str">
        <f>"10/21/2020 18:33:45.807"</f>
        <v>10/21/2020 18:33:45.807</v>
      </c>
      <c r="B2818" t="str">
        <f>"18:33:53.711"</f>
        <v>18:33:53.711</v>
      </c>
      <c r="C2818" t="str">
        <f>"18:33:52.911"</f>
        <v>18:33:52.911</v>
      </c>
      <c r="D2818" t="s">
        <v>1080</v>
      </c>
      <c r="E2818">
        <v>30.744681</v>
      </c>
      <c r="F2818" t="s">
        <v>1081</v>
      </c>
      <c r="G2818">
        <v>-89.868915000000001</v>
      </c>
      <c r="H2818">
        <v>1400</v>
      </c>
      <c r="I2818">
        <v>10</v>
      </c>
      <c r="J2818">
        <v>107</v>
      </c>
      <c r="K2818">
        <v>-448</v>
      </c>
      <c r="L2818">
        <v>1200</v>
      </c>
      <c r="M2818" t="str">
        <f t="shared" si="241"/>
        <v xml:space="preserve">N35DC   </v>
      </c>
      <c r="N2818">
        <v>1</v>
      </c>
      <c r="O2818">
        <v>1500</v>
      </c>
    </row>
    <row r="2819" spans="1:15" x14ac:dyDescent="0.25">
      <c r="A2819" t="str">
        <f>"10/21/2020 18:33:45.807"</f>
        <v>10/21/2020 18:33:45.807</v>
      </c>
      <c r="B2819" t="str">
        <f>"18:33:53.711"</f>
        <v>18:33:53.711</v>
      </c>
      <c r="C2819" t="str">
        <f>"18:33:52.911"</f>
        <v>18:33:52.911</v>
      </c>
      <c r="D2819" t="s">
        <v>1080</v>
      </c>
      <c r="E2819">
        <v>30.744681</v>
      </c>
      <c r="F2819" t="s">
        <v>1081</v>
      </c>
      <c r="G2819">
        <v>-89.868915000000001</v>
      </c>
      <c r="H2819">
        <v>1400</v>
      </c>
      <c r="I2819">
        <v>10</v>
      </c>
      <c r="J2819">
        <v>107</v>
      </c>
      <c r="K2819">
        <v>-448</v>
      </c>
      <c r="L2819">
        <v>1200</v>
      </c>
      <c r="M2819" t="str">
        <f t="shared" si="241"/>
        <v xml:space="preserve">N35DC   </v>
      </c>
      <c r="N2819">
        <v>1</v>
      </c>
      <c r="O2819">
        <v>1500</v>
      </c>
    </row>
    <row r="2820" spans="1:15" x14ac:dyDescent="0.25">
      <c r="A2820" t="str">
        <f>"10/21/2020 18:33:46.323"</f>
        <v>10/21/2020 18:33:46.323</v>
      </c>
      <c r="B2820" t="str">
        <f>"18:33:54.203"</f>
        <v>18:33:54.203</v>
      </c>
      <c r="C2820" t="str">
        <f>"18:33:50.703"</f>
        <v>18:33:50.703</v>
      </c>
      <c r="D2820" t="s">
        <v>1082</v>
      </c>
      <c r="E2820">
        <v>30.744959999999999</v>
      </c>
      <c r="F2820" t="s">
        <v>1083</v>
      </c>
      <c r="G2820">
        <v>-89.868871999999996</v>
      </c>
      <c r="H2820">
        <v>1400</v>
      </c>
      <c r="I2820">
        <v>7</v>
      </c>
      <c r="J2820">
        <v>107</v>
      </c>
      <c r="K2820">
        <v>-704</v>
      </c>
      <c r="L2820">
        <v>1200</v>
      </c>
      <c r="M2820" t="str">
        <f t="shared" si="241"/>
        <v xml:space="preserve">N35DC   </v>
      </c>
      <c r="N2820">
        <v>1</v>
      </c>
      <c r="O2820">
        <v>1625</v>
      </c>
    </row>
    <row r="2821" spans="1:15" x14ac:dyDescent="0.25">
      <c r="A2821" t="str">
        <f>"10/21/2020 18:33:46.776"</f>
        <v>10/21/2020 18:33:46.776</v>
      </c>
      <c r="B2821" t="str">
        <f>"18:33:54.719"</f>
        <v>18:33:54.719</v>
      </c>
      <c r="C2821" t="str">
        <f>"18:33:54.419"</f>
        <v>18:33:54.419</v>
      </c>
      <c r="D2821" t="s">
        <v>1084</v>
      </c>
      <c r="E2821">
        <v>30.745196</v>
      </c>
      <c r="F2821" t="s">
        <v>1085</v>
      </c>
      <c r="G2821">
        <v>-89.868829000000005</v>
      </c>
      <c r="H2821">
        <v>1400</v>
      </c>
      <c r="I2821">
        <v>11</v>
      </c>
      <c r="J2821">
        <v>107</v>
      </c>
      <c r="K2821">
        <v>-576</v>
      </c>
      <c r="L2821">
        <v>1200</v>
      </c>
      <c r="M2821" t="str">
        <f t="shared" si="241"/>
        <v xml:space="preserve">N35DC   </v>
      </c>
      <c r="N2821">
        <v>1</v>
      </c>
      <c r="O2821">
        <v>1475</v>
      </c>
    </row>
    <row r="2822" spans="1:15" x14ac:dyDescent="0.25">
      <c r="A2822" t="str">
        <f>"10/21/2020 18:33:46.776"</f>
        <v>10/21/2020 18:33:46.776</v>
      </c>
      <c r="B2822" t="str">
        <f>"18:33:54.719"</f>
        <v>18:33:54.719</v>
      </c>
      <c r="C2822" t="str">
        <f>"18:33:54.419"</f>
        <v>18:33:54.419</v>
      </c>
      <c r="D2822" t="s">
        <v>1084</v>
      </c>
      <c r="E2822">
        <v>30.745196</v>
      </c>
      <c r="F2822" t="s">
        <v>1085</v>
      </c>
      <c r="G2822">
        <v>-89.868829000000005</v>
      </c>
      <c r="H2822">
        <v>1400</v>
      </c>
      <c r="I2822">
        <v>11</v>
      </c>
      <c r="J2822">
        <v>107</v>
      </c>
      <c r="K2822">
        <v>-576</v>
      </c>
      <c r="L2822">
        <v>1200</v>
      </c>
      <c r="M2822" t="str">
        <f t="shared" si="241"/>
        <v xml:space="preserve">N35DC   </v>
      </c>
      <c r="N2822">
        <v>1</v>
      </c>
      <c r="O2822">
        <v>1475</v>
      </c>
    </row>
    <row r="2823" spans="1:15" x14ac:dyDescent="0.25">
      <c r="A2823" t="str">
        <f>"10/21/2020 18:33:46.776"</f>
        <v>10/21/2020 18:33:46.776</v>
      </c>
      <c r="B2823" t="str">
        <f>"18:33:54.719"</f>
        <v>18:33:54.719</v>
      </c>
      <c r="C2823" t="str">
        <f>"18:33:54.419"</f>
        <v>18:33:54.419</v>
      </c>
      <c r="D2823" t="s">
        <v>1084</v>
      </c>
      <c r="E2823">
        <v>30.745196</v>
      </c>
      <c r="F2823" t="s">
        <v>1085</v>
      </c>
      <c r="G2823">
        <v>-89.868829000000005</v>
      </c>
      <c r="H2823">
        <v>1400</v>
      </c>
      <c r="I2823">
        <v>11</v>
      </c>
      <c r="J2823">
        <v>107</v>
      </c>
      <c r="K2823">
        <v>-576</v>
      </c>
      <c r="L2823">
        <v>1200</v>
      </c>
      <c r="M2823" t="str">
        <f t="shared" ref="M2823:M2886" si="246">"N35DC   "</f>
        <v xml:space="preserve">N35DC   </v>
      </c>
      <c r="N2823">
        <v>1</v>
      </c>
      <c r="O2823">
        <v>1475</v>
      </c>
    </row>
    <row r="2824" spans="1:15" x14ac:dyDescent="0.25">
      <c r="A2824" t="str">
        <f>"10/21/2020 18:33:46.776"</f>
        <v>10/21/2020 18:33:46.776</v>
      </c>
      <c r="B2824" t="str">
        <f>"18:33:54.719"</f>
        <v>18:33:54.719</v>
      </c>
      <c r="C2824" t="str">
        <f>"18:33:54.419"</f>
        <v>18:33:54.419</v>
      </c>
      <c r="D2824" t="s">
        <v>1084</v>
      </c>
      <c r="E2824">
        <v>30.745196</v>
      </c>
      <c r="F2824" t="s">
        <v>1085</v>
      </c>
      <c r="G2824">
        <v>-89.868829000000005</v>
      </c>
      <c r="H2824">
        <v>1400</v>
      </c>
      <c r="I2824">
        <v>11</v>
      </c>
      <c r="J2824">
        <v>107</v>
      </c>
      <c r="K2824">
        <v>-576</v>
      </c>
      <c r="L2824">
        <v>1200</v>
      </c>
      <c r="M2824" t="str">
        <f t="shared" si="246"/>
        <v xml:space="preserve">N35DC   </v>
      </c>
      <c r="N2824">
        <v>1</v>
      </c>
      <c r="O2824">
        <v>1475</v>
      </c>
    </row>
    <row r="2825" spans="1:15" x14ac:dyDescent="0.25">
      <c r="A2825" t="str">
        <f>"10/21/2020 18:33:46.776"</f>
        <v>10/21/2020 18:33:46.776</v>
      </c>
      <c r="B2825" t="str">
        <f>"18:33:54.719"</f>
        <v>18:33:54.719</v>
      </c>
      <c r="C2825" t="str">
        <f>"18:33:54.419"</f>
        <v>18:33:54.419</v>
      </c>
      <c r="D2825" t="s">
        <v>1084</v>
      </c>
      <c r="E2825">
        <v>30.745196</v>
      </c>
      <c r="F2825" t="s">
        <v>1085</v>
      </c>
      <c r="G2825">
        <v>-89.868829000000005</v>
      </c>
      <c r="H2825">
        <v>1400</v>
      </c>
      <c r="I2825">
        <v>11</v>
      </c>
      <c r="J2825">
        <v>107</v>
      </c>
      <c r="K2825">
        <v>-576</v>
      </c>
      <c r="L2825">
        <v>1200</v>
      </c>
      <c r="M2825" t="str">
        <f t="shared" si="246"/>
        <v xml:space="preserve">N35DC   </v>
      </c>
      <c r="N2825">
        <v>1</v>
      </c>
      <c r="O2825">
        <v>1475</v>
      </c>
    </row>
    <row r="2826" spans="1:15" x14ac:dyDescent="0.25">
      <c r="A2826" t="str">
        <f>"10/21/2020 18:33:47.229"</f>
        <v>10/21/2020 18:33:47.229</v>
      </c>
      <c r="B2826" t="str">
        <f>"18:33:55.117"</f>
        <v>18:33:55.117</v>
      </c>
      <c r="C2826" t="str">
        <f>"18:33:55.017"</f>
        <v>18:33:55.017</v>
      </c>
      <c r="D2826" t="s">
        <v>1086</v>
      </c>
      <c r="E2826">
        <v>30.745388999999999</v>
      </c>
      <c r="F2826" t="s">
        <v>1085</v>
      </c>
      <c r="G2826">
        <v>-89.868829000000005</v>
      </c>
      <c r="H2826">
        <v>1400</v>
      </c>
      <c r="I2826">
        <v>12</v>
      </c>
      <c r="J2826">
        <v>107</v>
      </c>
      <c r="K2826">
        <v>-704</v>
      </c>
      <c r="L2826">
        <v>1200</v>
      </c>
      <c r="M2826" t="str">
        <f t="shared" si="246"/>
        <v xml:space="preserve">N35DC   </v>
      </c>
      <c r="N2826">
        <v>1</v>
      </c>
      <c r="O2826">
        <v>1475</v>
      </c>
    </row>
    <row r="2827" spans="1:15" x14ac:dyDescent="0.25">
      <c r="A2827" t="str">
        <f>"10/21/2020 18:33:49.134"</f>
        <v>10/21/2020 18:33:49.134</v>
      </c>
      <c r="B2827" t="str">
        <f>"18:33:57.039"</f>
        <v>18:33:57.039</v>
      </c>
      <c r="C2827" t="str">
        <f>"18:33:56.539"</f>
        <v>18:33:56.539</v>
      </c>
      <c r="D2827" t="s">
        <v>1087</v>
      </c>
      <c r="E2827">
        <v>30.746355000000001</v>
      </c>
      <c r="F2827" t="s">
        <v>1088</v>
      </c>
      <c r="G2827">
        <v>-89.868722000000005</v>
      </c>
      <c r="H2827">
        <v>1400</v>
      </c>
      <c r="I2827">
        <v>12</v>
      </c>
      <c r="J2827">
        <v>108</v>
      </c>
      <c r="K2827">
        <v>-704</v>
      </c>
      <c r="L2827">
        <v>1200</v>
      </c>
      <c r="M2827" t="str">
        <f t="shared" si="246"/>
        <v xml:space="preserve">N35DC   </v>
      </c>
      <c r="N2827">
        <v>1</v>
      </c>
      <c r="O2827">
        <v>1450</v>
      </c>
    </row>
    <row r="2828" spans="1:15" x14ac:dyDescent="0.25">
      <c r="A2828" t="str">
        <f>"10/21/2020 18:33:49.656"</f>
        <v>10/21/2020 18:33:49.656</v>
      </c>
      <c r="B2828" t="str">
        <f>"18:33:57.578"</f>
        <v>18:33:57.578</v>
      </c>
      <c r="C2828" t="str">
        <f>"18:33:57.078"</f>
        <v>18:33:57.078</v>
      </c>
      <c r="D2828" t="s">
        <v>1089</v>
      </c>
      <c r="E2828">
        <v>30.746655000000001</v>
      </c>
      <c r="F2828" t="s">
        <v>1090</v>
      </c>
      <c r="G2828">
        <v>-89.868657999999996</v>
      </c>
      <c r="H2828">
        <v>1400</v>
      </c>
      <c r="I2828">
        <v>12</v>
      </c>
      <c r="J2828">
        <v>108</v>
      </c>
      <c r="K2828">
        <v>-768</v>
      </c>
      <c r="L2828">
        <v>1200</v>
      </c>
      <c r="M2828" t="str">
        <f t="shared" si="246"/>
        <v xml:space="preserve">N35DC   </v>
      </c>
      <c r="N2828">
        <v>1</v>
      </c>
      <c r="O2828">
        <v>1450</v>
      </c>
    </row>
    <row r="2829" spans="1:15" x14ac:dyDescent="0.25">
      <c r="A2829" t="str">
        <f>"10/21/2020 18:33:49.656"</f>
        <v>10/21/2020 18:33:49.656</v>
      </c>
      <c r="B2829" t="str">
        <f>"18:33:57.578"</f>
        <v>18:33:57.578</v>
      </c>
      <c r="C2829" t="str">
        <f>"18:33:57.078"</f>
        <v>18:33:57.078</v>
      </c>
      <c r="D2829" t="s">
        <v>1089</v>
      </c>
      <c r="E2829">
        <v>30.746655000000001</v>
      </c>
      <c r="F2829" t="s">
        <v>1090</v>
      </c>
      <c r="G2829">
        <v>-89.868657999999996</v>
      </c>
      <c r="H2829">
        <v>1400</v>
      </c>
      <c r="I2829">
        <v>12</v>
      </c>
      <c r="J2829">
        <v>108</v>
      </c>
      <c r="K2829">
        <v>-768</v>
      </c>
      <c r="L2829">
        <v>1200</v>
      </c>
      <c r="M2829" t="str">
        <f t="shared" si="246"/>
        <v xml:space="preserve">N35DC   </v>
      </c>
      <c r="N2829">
        <v>1</v>
      </c>
      <c r="O2829">
        <v>1450</v>
      </c>
    </row>
    <row r="2830" spans="1:15" x14ac:dyDescent="0.25">
      <c r="A2830" t="str">
        <f>"10/21/2020 18:33:49.656"</f>
        <v>10/21/2020 18:33:49.656</v>
      </c>
      <c r="B2830" t="str">
        <f>"18:33:57.578"</f>
        <v>18:33:57.578</v>
      </c>
      <c r="C2830" t="str">
        <f>"18:33:57.078"</f>
        <v>18:33:57.078</v>
      </c>
      <c r="D2830" t="s">
        <v>1089</v>
      </c>
      <c r="E2830">
        <v>30.746655000000001</v>
      </c>
      <c r="F2830" t="s">
        <v>1090</v>
      </c>
      <c r="G2830">
        <v>-89.868657999999996</v>
      </c>
      <c r="H2830">
        <v>1400</v>
      </c>
      <c r="I2830">
        <v>12</v>
      </c>
      <c r="J2830">
        <v>108</v>
      </c>
      <c r="K2830">
        <v>-768</v>
      </c>
      <c r="L2830">
        <v>1200</v>
      </c>
      <c r="M2830" t="str">
        <f t="shared" si="246"/>
        <v xml:space="preserve">N35DC   </v>
      </c>
      <c r="N2830">
        <v>1</v>
      </c>
      <c r="O2830">
        <v>1450</v>
      </c>
    </row>
    <row r="2831" spans="1:15" x14ac:dyDescent="0.25">
      <c r="A2831" t="str">
        <f>"10/21/2020 18:33:49.656"</f>
        <v>10/21/2020 18:33:49.656</v>
      </c>
      <c r="B2831" t="str">
        <f>"18:33:57.578"</f>
        <v>18:33:57.578</v>
      </c>
      <c r="C2831" t="str">
        <f>"18:33:57.078"</f>
        <v>18:33:57.078</v>
      </c>
      <c r="D2831" t="s">
        <v>1089</v>
      </c>
      <c r="E2831">
        <v>30.746655000000001</v>
      </c>
      <c r="F2831" t="s">
        <v>1090</v>
      </c>
      <c r="G2831">
        <v>-89.868657999999996</v>
      </c>
      <c r="H2831">
        <v>1400</v>
      </c>
      <c r="I2831">
        <v>12</v>
      </c>
      <c r="J2831">
        <v>108</v>
      </c>
      <c r="K2831">
        <v>-768</v>
      </c>
      <c r="L2831">
        <v>1200</v>
      </c>
      <c r="M2831" t="str">
        <f t="shared" si="246"/>
        <v xml:space="preserve">N35DC   </v>
      </c>
      <c r="N2831">
        <v>1</v>
      </c>
      <c r="O2831">
        <v>1450</v>
      </c>
    </row>
    <row r="2832" spans="1:15" x14ac:dyDescent="0.25">
      <c r="A2832" t="str">
        <f>"10/21/2020 18:33:49.656"</f>
        <v>10/21/2020 18:33:49.656</v>
      </c>
      <c r="B2832" t="str">
        <f>"18:33:57.578"</f>
        <v>18:33:57.578</v>
      </c>
      <c r="C2832" t="str">
        <f>"18:33:57.078"</f>
        <v>18:33:57.078</v>
      </c>
      <c r="D2832" t="s">
        <v>1089</v>
      </c>
      <c r="E2832">
        <v>30.746655000000001</v>
      </c>
      <c r="F2832" t="s">
        <v>1090</v>
      </c>
      <c r="G2832">
        <v>-89.868657999999996</v>
      </c>
      <c r="H2832">
        <v>1400</v>
      </c>
      <c r="I2832">
        <v>12</v>
      </c>
      <c r="J2832">
        <v>108</v>
      </c>
      <c r="K2832">
        <v>-768</v>
      </c>
      <c r="L2832">
        <v>1200</v>
      </c>
      <c r="M2832" t="str">
        <f t="shared" si="246"/>
        <v xml:space="preserve">N35DC   </v>
      </c>
      <c r="N2832">
        <v>1</v>
      </c>
      <c r="O2832">
        <v>1450</v>
      </c>
    </row>
    <row r="2833" spans="1:15" x14ac:dyDescent="0.25">
      <c r="A2833" t="str">
        <f t="shared" ref="A2833:A2838" si="247">"10/21/2020 18:33:50.558"</f>
        <v>10/21/2020 18:33:50.558</v>
      </c>
      <c r="B2833" t="str">
        <f t="shared" ref="B2833:B2838" si="248">"18:33:58.477"</f>
        <v>18:33:58.477</v>
      </c>
      <c r="C2833" t="str">
        <f>"18:33:58.177"</f>
        <v>18:33:58.177</v>
      </c>
      <c r="D2833" t="s">
        <v>1091</v>
      </c>
      <c r="E2833">
        <v>30.747105999999999</v>
      </c>
      <c r="F2833" t="s">
        <v>1092</v>
      </c>
      <c r="G2833">
        <v>-89.868593000000004</v>
      </c>
      <c r="H2833">
        <v>1400</v>
      </c>
      <c r="I2833">
        <v>12</v>
      </c>
      <c r="J2833">
        <v>109</v>
      </c>
      <c r="K2833">
        <v>-832</v>
      </c>
      <c r="L2833">
        <v>1200</v>
      </c>
      <c r="M2833" t="str">
        <f t="shared" si="246"/>
        <v xml:space="preserve">N35DC   </v>
      </c>
      <c r="N2833">
        <v>1</v>
      </c>
      <c r="O2833">
        <v>1425</v>
      </c>
    </row>
    <row r="2834" spans="1:15" x14ac:dyDescent="0.25">
      <c r="A2834" t="str">
        <f t="shared" si="247"/>
        <v>10/21/2020 18:33:50.558</v>
      </c>
      <c r="B2834" t="str">
        <f t="shared" si="248"/>
        <v>18:33:58.477</v>
      </c>
      <c r="C2834" t="str">
        <f>"18:33:58.177"</f>
        <v>18:33:58.177</v>
      </c>
      <c r="D2834" t="s">
        <v>1091</v>
      </c>
      <c r="E2834">
        <v>30.747105999999999</v>
      </c>
      <c r="F2834" t="s">
        <v>1092</v>
      </c>
      <c r="G2834">
        <v>-89.868593000000004</v>
      </c>
      <c r="H2834">
        <v>1400</v>
      </c>
      <c r="I2834">
        <v>12</v>
      </c>
      <c r="J2834">
        <v>109</v>
      </c>
      <c r="K2834">
        <v>-832</v>
      </c>
      <c r="L2834">
        <v>1200</v>
      </c>
      <c r="M2834" t="str">
        <f t="shared" si="246"/>
        <v xml:space="preserve">N35DC   </v>
      </c>
      <c r="N2834">
        <v>1</v>
      </c>
      <c r="O2834">
        <v>1425</v>
      </c>
    </row>
    <row r="2835" spans="1:15" x14ac:dyDescent="0.25">
      <c r="A2835" t="str">
        <f t="shared" si="247"/>
        <v>10/21/2020 18:33:50.558</v>
      </c>
      <c r="B2835" t="str">
        <f t="shared" si="248"/>
        <v>18:33:58.477</v>
      </c>
      <c r="C2835" t="str">
        <f>"18:33:58.177"</f>
        <v>18:33:58.177</v>
      </c>
      <c r="D2835" t="s">
        <v>1091</v>
      </c>
      <c r="E2835">
        <v>30.747105999999999</v>
      </c>
      <c r="F2835" t="s">
        <v>1092</v>
      </c>
      <c r="G2835">
        <v>-89.868593000000004</v>
      </c>
      <c r="H2835">
        <v>1400</v>
      </c>
      <c r="I2835">
        <v>12</v>
      </c>
      <c r="J2835">
        <v>109</v>
      </c>
      <c r="K2835">
        <v>-832</v>
      </c>
      <c r="L2835">
        <v>1200</v>
      </c>
      <c r="M2835" t="str">
        <f t="shared" si="246"/>
        <v xml:space="preserve">N35DC   </v>
      </c>
      <c r="N2835">
        <v>1</v>
      </c>
      <c r="O2835">
        <v>1425</v>
      </c>
    </row>
    <row r="2836" spans="1:15" x14ac:dyDescent="0.25">
      <c r="A2836" t="str">
        <f t="shared" si="247"/>
        <v>10/21/2020 18:33:50.558</v>
      </c>
      <c r="B2836" t="str">
        <f t="shared" si="248"/>
        <v>18:33:58.477</v>
      </c>
      <c r="C2836" t="str">
        <f>"18:33:58.177"</f>
        <v>18:33:58.177</v>
      </c>
      <c r="D2836" t="s">
        <v>1091</v>
      </c>
      <c r="E2836">
        <v>30.747105999999999</v>
      </c>
      <c r="F2836" t="s">
        <v>1092</v>
      </c>
      <c r="G2836">
        <v>-89.868593000000004</v>
      </c>
      <c r="H2836">
        <v>1400</v>
      </c>
      <c r="I2836">
        <v>12</v>
      </c>
      <c r="J2836">
        <v>109</v>
      </c>
      <c r="K2836">
        <v>-832</v>
      </c>
      <c r="L2836">
        <v>1200</v>
      </c>
      <c r="M2836" t="str">
        <f t="shared" si="246"/>
        <v xml:space="preserve">N35DC   </v>
      </c>
      <c r="N2836">
        <v>1</v>
      </c>
      <c r="O2836">
        <v>1425</v>
      </c>
    </row>
    <row r="2837" spans="1:15" x14ac:dyDescent="0.25">
      <c r="A2837" t="str">
        <f t="shared" si="247"/>
        <v>10/21/2020 18:33:50.558</v>
      </c>
      <c r="B2837" t="str">
        <f t="shared" si="248"/>
        <v>18:33:58.477</v>
      </c>
      <c r="C2837" t="str">
        <f>"18:33:58.177"</f>
        <v>18:33:58.177</v>
      </c>
      <c r="D2837" t="s">
        <v>1091</v>
      </c>
      <c r="E2837">
        <v>30.747105999999999</v>
      </c>
      <c r="F2837" t="s">
        <v>1092</v>
      </c>
      <c r="G2837">
        <v>-89.868593000000004</v>
      </c>
      <c r="H2837">
        <v>1400</v>
      </c>
      <c r="I2837">
        <v>12</v>
      </c>
      <c r="J2837">
        <v>109</v>
      </c>
      <c r="K2837">
        <v>-832</v>
      </c>
      <c r="L2837">
        <v>1200</v>
      </c>
      <c r="M2837" t="str">
        <f t="shared" si="246"/>
        <v xml:space="preserve">N35DC   </v>
      </c>
      <c r="N2837">
        <v>1</v>
      </c>
      <c r="O2837">
        <v>1425</v>
      </c>
    </row>
    <row r="2838" spans="1:15" x14ac:dyDescent="0.25">
      <c r="A2838" t="str">
        <f t="shared" si="247"/>
        <v>10/21/2020 18:33:50.558</v>
      </c>
      <c r="B2838" t="str">
        <f t="shared" si="248"/>
        <v>18:33:58.477</v>
      </c>
      <c r="C2838" t="str">
        <f>"18:33:57.677"</f>
        <v>18:33:57.677</v>
      </c>
      <c r="D2838" t="s">
        <v>1091</v>
      </c>
      <c r="E2838">
        <v>30.747105999999999</v>
      </c>
      <c r="F2838" t="s">
        <v>1092</v>
      </c>
      <c r="G2838">
        <v>-89.868593000000004</v>
      </c>
      <c r="H2838">
        <v>1400</v>
      </c>
      <c r="I2838">
        <v>12</v>
      </c>
      <c r="J2838">
        <v>108</v>
      </c>
      <c r="K2838">
        <v>-832</v>
      </c>
      <c r="L2838">
        <v>1200</v>
      </c>
      <c r="M2838" t="str">
        <f t="shared" si="246"/>
        <v xml:space="preserve">N35DC   </v>
      </c>
      <c r="N2838">
        <v>1</v>
      </c>
      <c r="O2838">
        <v>1450</v>
      </c>
    </row>
    <row r="2839" spans="1:15" x14ac:dyDescent="0.25">
      <c r="A2839" t="str">
        <f t="shared" ref="A2839:A2844" si="249">"10/21/2020 18:33:52.810"</f>
        <v>10/21/2020 18:33:52.810</v>
      </c>
      <c r="B2839" t="str">
        <f t="shared" ref="B2839:B2844" si="250">"18:34:00.742"</f>
        <v>18:34:00.742</v>
      </c>
      <c r="C2839" t="str">
        <f t="shared" ref="C2839:C2844" si="251">"18:34:00.442"</f>
        <v>18:34:00.442</v>
      </c>
      <c r="D2839" t="s">
        <v>1093</v>
      </c>
      <c r="E2839">
        <v>30.748265</v>
      </c>
      <c r="F2839" t="s">
        <v>1094</v>
      </c>
      <c r="G2839">
        <v>-89.868442999999999</v>
      </c>
      <c r="H2839">
        <v>1300</v>
      </c>
      <c r="I2839">
        <v>11</v>
      </c>
      <c r="J2839">
        <v>111</v>
      </c>
      <c r="K2839">
        <v>-832</v>
      </c>
      <c r="L2839">
        <v>1200</v>
      </c>
      <c r="M2839" t="str">
        <f t="shared" si="246"/>
        <v xml:space="preserve">N35DC   </v>
      </c>
      <c r="N2839">
        <v>1</v>
      </c>
      <c r="O2839">
        <v>1400</v>
      </c>
    </row>
    <row r="2840" spans="1:15" x14ac:dyDescent="0.25">
      <c r="A2840" t="str">
        <f t="shared" si="249"/>
        <v>10/21/2020 18:33:52.810</v>
      </c>
      <c r="B2840" t="str">
        <f t="shared" si="250"/>
        <v>18:34:00.742</v>
      </c>
      <c r="C2840" t="str">
        <f t="shared" si="251"/>
        <v>18:34:00.442</v>
      </c>
      <c r="D2840" t="s">
        <v>1093</v>
      </c>
      <c r="E2840">
        <v>30.748265</v>
      </c>
      <c r="F2840" t="s">
        <v>1094</v>
      </c>
      <c r="G2840">
        <v>-89.868442999999999</v>
      </c>
      <c r="H2840">
        <v>1300</v>
      </c>
      <c r="I2840">
        <v>11</v>
      </c>
      <c r="J2840">
        <v>111</v>
      </c>
      <c r="K2840">
        <v>-832</v>
      </c>
      <c r="L2840">
        <v>1200</v>
      </c>
      <c r="M2840" t="str">
        <f t="shared" si="246"/>
        <v xml:space="preserve">N35DC   </v>
      </c>
      <c r="N2840">
        <v>1</v>
      </c>
      <c r="O2840">
        <v>1400</v>
      </c>
    </row>
    <row r="2841" spans="1:15" x14ac:dyDescent="0.25">
      <c r="A2841" t="str">
        <f t="shared" si="249"/>
        <v>10/21/2020 18:33:52.810</v>
      </c>
      <c r="B2841" t="str">
        <f t="shared" si="250"/>
        <v>18:34:00.742</v>
      </c>
      <c r="C2841" t="str">
        <f t="shared" si="251"/>
        <v>18:34:00.442</v>
      </c>
      <c r="D2841" t="s">
        <v>1093</v>
      </c>
      <c r="E2841">
        <v>30.748265</v>
      </c>
      <c r="F2841" t="s">
        <v>1094</v>
      </c>
      <c r="G2841">
        <v>-89.868442999999999</v>
      </c>
      <c r="H2841">
        <v>1300</v>
      </c>
      <c r="I2841">
        <v>11</v>
      </c>
      <c r="J2841">
        <v>111</v>
      </c>
      <c r="K2841">
        <v>-832</v>
      </c>
      <c r="L2841">
        <v>1200</v>
      </c>
      <c r="M2841" t="str">
        <f t="shared" si="246"/>
        <v xml:space="preserve">N35DC   </v>
      </c>
      <c r="N2841">
        <v>1</v>
      </c>
      <c r="O2841">
        <v>1400</v>
      </c>
    </row>
    <row r="2842" spans="1:15" x14ac:dyDescent="0.25">
      <c r="A2842" t="str">
        <f t="shared" si="249"/>
        <v>10/21/2020 18:33:52.810</v>
      </c>
      <c r="B2842" t="str">
        <f t="shared" si="250"/>
        <v>18:34:00.742</v>
      </c>
      <c r="C2842" t="str">
        <f t="shared" si="251"/>
        <v>18:34:00.442</v>
      </c>
      <c r="D2842" t="s">
        <v>1093</v>
      </c>
      <c r="E2842">
        <v>30.748265</v>
      </c>
      <c r="F2842" t="s">
        <v>1094</v>
      </c>
      <c r="G2842">
        <v>-89.868442999999999</v>
      </c>
      <c r="H2842">
        <v>1300</v>
      </c>
      <c r="I2842">
        <v>11</v>
      </c>
      <c r="J2842">
        <v>111</v>
      </c>
      <c r="K2842">
        <v>-832</v>
      </c>
      <c r="L2842">
        <v>1200</v>
      </c>
      <c r="M2842" t="str">
        <f t="shared" si="246"/>
        <v xml:space="preserve">N35DC   </v>
      </c>
      <c r="N2842">
        <v>1</v>
      </c>
      <c r="O2842">
        <v>1400</v>
      </c>
    </row>
    <row r="2843" spans="1:15" x14ac:dyDescent="0.25">
      <c r="A2843" t="str">
        <f t="shared" si="249"/>
        <v>10/21/2020 18:33:52.810</v>
      </c>
      <c r="B2843" t="str">
        <f t="shared" si="250"/>
        <v>18:34:00.742</v>
      </c>
      <c r="C2843" t="str">
        <f t="shared" si="251"/>
        <v>18:34:00.442</v>
      </c>
      <c r="D2843" t="s">
        <v>1093</v>
      </c>
      <c r="E2843">
        <v>30.748265</v>
      </c>
      <c r="F2843" t="s">
        <v>1094</v>
      </c>
      <c r="G2843">
        <v>-89.868442999999999</v>
      </c>
      <c r="H2843">
        <v>1300</v>
      </c>
      <c r="I2843">
        <v>11</v>
      </c>
      <c r="J2843">
        <v>111</v>
      </c>
      <c r="K2843">
        <v>-832</v>
      </c>
      <c r="L2843">
        <v>1200</v>
      </c>
      <c r="M2843" t="str">
        <f t="shared" si="246"/>
        <v xml:space="preserve">N35DC   </v>
      </c>
      <c r="N2843">
        <v>1</v>
      </c>
      <c r="O2843">
        <v>1400</v>
      </c>
    </row>
    <row r="2844" spans="1:15" x14ac:dyDescent="0.25">
      <c r="A2844" t="str">
        <f t="shared" si="249"/>
        <v>10/21/2020 18:33:52.810</v>
      </c>
      <c r="B2844" t="str">
        <f t="shared" si="250"/>
        <v>18:34:00.742</v>
      </c>
      <c r="C2844" t="str">
        <f t="shared" si="251"/>
        <v>18:34:00.442</v>
      </c>
      <c r="D2844" t="s">
        <v>1093</v>
      </c>
      <c r="E2844">
        <v>30.748265</v>
      </c>
      <c r="F2844" t="s">
        <v>1094</v>
      </c>
      <c r="G2844">
        <v>-89.868442999999999</v>
      </c>
      <c r="H2844">
        <v>1300</v>
      </c>
      <c r="I2844">
        <v>11</v>
      </c>
      <c r="J2844">
        <v>111</v>
      </c>
      <c r="K2844">
        <v>-832</v>
      </c>
      <c r="L2844">
        <v>1200</v>
      </c>
      <c r="M2844" t="str">
        <f t="shared" si="246"/>
        <v xml:space="preserve">N35DC   </v>
      </c>
      <c r="N2844">
        <v>1</v>
      </c>
      <c r="O2844">
        <v>1400</v>
      </c>
    </row>
    <row r="2845" spans="1:15" x14ac:dyDescent="0.25">
      <c r="A2845" t="str">
        <f>"10/21/2020 18:33:53.692"</f>
        <v>10/21/2020 18:33:53.692</v>
      </c>
      <c r="B2845" t="str">
        <f>"18:34:01.617"</f>
        <v>18:34:01.617</v>
      </c>
      <c r="C2845" t="str">
        <f>"18:34:00.917"</f>
        <v>18:34:00.917</v>
      </c>
      <c r="D2845" t="s">
        <v>1095</v>
      </c>
      <c r="E2845">
        <v>30.748715000000001</v>
      </c>
      <c r="F2845" t="s">
        <v>1096</v>
      </c>
      <c r="G2845">
        <v>-89.868379000000004</v>
      </c>
      <c r="H2845">
        <v>1300</v>
      </c>
      <c r="I2845">
        <v>10</v>
      </c>
      <c r="J2845">
        <v>111</v>
      </c>
      <c r="K2845">
        <v>-896</v>
      </c>
      <c r="L2845">
        <v>1200</v>
      </c>
      <c r="M2845" t="str">
        <f t="shared" si="246"/>
        <v xml:space="preserve">N35DC   </v>
      </c>
      <c r="N2845">
        <v>1</v>
      </c>
      <c r="O2845">
        <v>1400</v>
      </c>
    </row>
    <row r="2846" spans="1:15" x14ac:dyDescent="0.25">
      <c r="A2846" t="str">
        <f>"10/21/2020 18:33:53.692"</f>
        <v>10/21/2020 18:33:53.692</v>
      </c>
      <c r="B2846" t="str">
        <f>"18:34:01.617"</f>
        <v>18:34:01.617</v>
      </c>
      <c r="C2846" t="str">
        <f>"18:34:00.917"</f>
        <v>18:34:00.917</v>
      </c>
      <c r="D2846" t="s">
        <v>1095</v>
      </c>
      <c r="E2846">
        <v>30.748715000000001</v>
      </c>
      <c r="F2846" t="s">
        <v>1096</v>
      </c>
      <c r="G2846">
        <v>-89.868379000000004</v>
      </c>
      <c r="H2846">
        <v>1300</v>
      </c>
      <c r="I2846">
        <v>10</v>
      </c>
      <c r="J2846">
        <v>111</v>
      </c>
      <c r="K2846">
        <v>-896</v>
      </c>
      <c r="L2846">
        <v>1200</v>
      </c>
      <c r="M2846" t="str">
        <f t="shared" si="246"/>
        <v xml:space="preserve">N35DC   </v>
      </c>
      <c r="N2846">
        <v>1</v>
      </c>
      <c r="O2846">
        <v>1400</v>
      </c>
    </row>
    <row r="2847" spans="1:15" x14ac:dyDescent="0.25">
      <c r="A2847" t="str">
        <f>"10/21/2020 18:33:53.692"</f>
        <v>10/21/2020 18:33:53.692</v>
      </c>
      <c r="B2847" t="str">
        <f>"18:34:01.617"</f>
        <v>18:34:01.617</v>
      </c>
      <c r="C2847" t="str">
        <f>"18:34:00.917"</f>
        <v>18:34:00.917</v>
      </c>
      <c r="D2847" t="s">
        <v>1095</v>
      </c>
      <c r="E2847">
        <v>30.748715000000001</v>
      </c>
      <c r="F2847" t="s">
        <v>1096</v>
      </c>
      <c r="G2847">
        <v>-89.868379000000004</v>
      </c>
      <c r="H2847">
        <v>1300</v>
      </c>
      <c r="I2847">
        <v>10</v>
      </c>
      <c r="J2847">
        <v>111</v>
      </c>
      <c r="K2847">
        <v>-896</v>
      </c>
      <c r="L2847">
        <v>1200</v>
      </c>
      <c r="M2847" t="str">
        <f t="shared" si="246"/>
        <v xml:space="preserve">N35DC   </v>
      </c>
      <c r="N2847">
        <v>1</v>
      </c>
      <c r="O2847">
        <v>1400</v>
      </c>
    </row>
    <row r="2848" spans="1:15" x14ac:dyDescent="0.25">
      <c r="A2848" t="str">
        <f>"10/21/2020 18:33:53.692"</f>
        <v>10/21/2020 18:33:53.692</v>
      </c>
      <c r="B2848" t="str">
        <f>"18:34:01.617"</f>
        <v>18:34:01.617</v>
      </c>
      <c r="C2848" t="str">
        <f>"18:34:00.917"</f>
        <v>18:34:00.917</v>
      </c>
      <c r="D2848" t="s">
        <v>1095</v>
      </c>
      <c r="E2848">
        <v>30.748715000000001</v>
      </c>
      <c r="F2848" t="s">
        <v>1096</v>
      </c>
      <c r="G2848">
        <v>-89.868379000000004</v>
      </c>
      <c r="H2848">
        <v>1300</v>
      </c>
      <c r="I2848">
        <v>10</v>
      </c>
      <c r="J2848">
        <v>111</v>
      </c>
      <c r="K2848">
        <v>-896</v>
      </c>
      <c r="L2848">
        <v>1200</v>
      </c>
      <c r="M2848" t="str">
        <f t="shared" si="246"/>
        <v xml:space="preserve">N35DC   </v>
      </c>
      <c r="N2848">
        <v>1</v>
      </c>
      <c r="O2848">
        <v>1400</v>
      </c>
    </row>
    <row r="2849" spans="1:15" x14ac:dyDescent="0.25">
      <c r="A2849" t="str">
        <f>"10/21/2020 18:33:53.692"</f>
        <v>10/21/2020 18:33:53.692</v>
      </c>
      <c r="B2849" t="str">
        <f>"18:34:01.617"</f>
        <v>18:34:01.617</v>
      </c>
      <c r="C2849" t="str">
        <f>"18:34:00.917"</f>
        <v>18:34:00.917</v>
      </c>
      <c r="D2849" t="s">
        <v>1095</v>
      </c>
      <c r="E2849">
        <v>30.748715000000001</v>
      </c>
      <c r="F2849" t="s">
        <v>1096</v>
      </c>
      <c r="G2849">
        <v>-89.868379000000004</v>
      </c>
      <c r="H2849">
        <v>1300</v>
      </c>
      <c r="I2849">
        <v>10</v>
      </c>
      <c r="J2849">
        <v>111</v>
      </c>
      <c r="K2849">
        <v>-896</v>
      </c>
      <c r="L2849">
        <v>1200</v>
      </c>
      <c r="M2849" t="str">
        <f t="shared" si="246"/>
        <v xml:space="preserve">N35DC   </v>
      </c>
      <c r="N2849">
        <v>1</v>
      </c>
      <c r="O2849">
        <v>1400</v>
      </c>
    </row>
    <row r="2850" spans="1:15" x14ac:dyDescent="0.25">
      <c r="A2850" t="str">
        <f>"10/21/2020 18:33:56.825"</f>
        <v>10/21/2020 18:33:56.825</v>
      </c>
      <c r="B2850" t="str">
        <f>"18:34:04.750"</f>
        <v>18:34:04.750</v>
      </c>
      <c r="C2850" t="str">
        <f>"18:34:04.350"</f>
        <v>18:34:04.350</v>
      </c>
      <c r="D2850" t="s">
        <v>1097</v>
      </c>
      <c r="E2850">
        <v>30.750302999999999</v>
      </c>
      <c r="F2850" t="s">
        <v>1098</v>
      </c>
      <c r="G2850">
        <v>-89.868270999999993</v>
      </c>
      <c r="H2850">
        <v>1300</v>
      </c>
      <c r="I2850">
        <v>6</v>
      </c>
      <c r="J2850">
        <v>112</v>
      </c>
      <c r="K2850">
        <v>-640</v>
      </c>
      <c r="L2850">
        <v>1200</v>
      </c>
      <c r="M2850" t="str">
        <f t="shared" si="246"/>
        <v xml:space="preserve">N35DC   </v>
      </c>
      <c r="N2850">
        <v>1</v>
      </c>
      <c r="O2850">
        <v>1350</v>
      </c>
    </row>
    <row r="2851" spans="1:15" x14ac:dyDescent="0.25">
      <c r="A2851" t="str">
        <f>"10/21/2020 18:33:56.825"</f>
        <v>10/21/2020 18:33:56.825</v>
      </c>
      <c r="B2851" t="str">
        <f>"18:34:04.750"</f>
        <v>18:34:04.750</v>
      </c>
      <c r="C2851" t="str">
        <f>"18:34:04.350"</f>
        <v>18:34:04.350</v>
      </c>
      <c r="D2851" t="s">
        <v>1097</v>
      </c>
      <c r="E2851">
        <v>30.750302999999999</v>
      </c>
      <c r="F2851" t="s">
        <v>1098</v>
      </c>
      <c r="G2851">
        <v>-89.868270999999993</v>
      </c>
      <c r="H2851">
        <v>1300</v>
      </c>
      <c r="I2851">
        <v>6</v>
      </c>
      <c r="J2851">
        <v>112</v>
      </c>
      <c r="K2851">
        <v>-640</v>
      </c>
      <c r="L2851">
        <v>1200</v>
      </c>
      <c r="M2851" t="str">
        <f t="shared" si="246"/>
        <v xml:space="preserve">N35DC   </v>
      </c>
      <c r="N2851">
        <v>1</v>
      </c>
      <c r="O2851">
        <v>1350</v>
      </c>
    </row>
    <row r="2852" spans="1:15" x14ac:dyDescent="0.25">
      <c r="A2852" t="str">
        <f>"10/21/2020 18:33:56.825"</f>
        <v>10/21/2020 18:33:56.825</v>
      </c>
      <c r="B2852" t="str">
        <f>"18:34:04.750"</f>
        <v>18:34:04.750</v>
      </c>
      <c r="C2852" t="str">
        <f>"18:34:04.350"</f>
        <v>18:34:04.350</v>
      </c>
      <c r="D2852" t="s">
        <v>1097</v>
      </c>
      <c r="E2852">
        <v>30.750302999999999</v>
      </c>
      <c r="F2852" t="s">
        <v>1098</v>
      </c>
      <c r="G2852">
        <v>-89.868270999999993</v>
      </c>
      <c r="H2852">
        <v>1300</v>
      </c>
      <c r="I2852">
        <v>6</v>
      </c>
      <c r="J2852">
        <v>112</v>
      </c>
      <c r="K2852">
        <v>-640</v>
      </c>
      <c r="L2852">
        <v>1200</v>
      </c>
      <c r="M2852" t="str">
        <f t="shared" si="246"/>
        <v xml:space="preserve">N35DC   </v>
      </c>
      <c r="N2852">
        <v>1</v>
      </c>
      <c r="O2852">
        <v>1350</v>
      </c>
    </row>
    <row r="2853" spans="1:15" x14ac:dyDescent="0.25">
      <c r="A2853" t="str">
        <f>"10/21/2020 18:33:56.825"</f>
        <v>10/21/2020 18:33:56.825</v>
      </c>
      <c r="B2853" t="str">
        <f>"18:34:04.750"</f>
        <v>18:34:04.750</v>
      </c>
      <c r="C2853" t="str">
        <f>"18:34:04.350"</f>
        <v>18:34:04.350</v>
      </c>
      <c r="D2853" t="s">
        <v>1097</v>
      </c>
      <c r="E2853">
        <v>30.750302999999999</v>
      </c>
      <c r="F2853" t="s">
        <v>1098</v>
      </c>
      <c r="G2853">
        <v>-89.868270999999993</v>
      </c>
      <c r="H2853">
        <v>1300</v>
      </c>
      <c r="I2853">
        <v>6</v>
      </c>
      <c r="J2853">
        <v>112</v>
      </c>
      <c r="K2853">
        <v>-640</v>
      </c>
      <c r="L2853">
        <v>1200</v>
      </c>
      <c r="M2853" t="str">
        <f t="shared" si="246"/>
        <v xml:space="preserve">N35DC   </v>
      </c>
      <c r="N2853">
        <v>1</v>
      </c>
      <c r="O2853">
        <v>1350</v>
      </c>
    </row>
    <row r="2854" spans="1:15" x14ac:dyDescent="0.25">
      <c r="A2854" t="str">
        <f>"10/21/2020 18:33:56.825"</f>
        <v>10/21/2020 18:33:56.825</v>
      </c>
      <c r="B2854" t="str">
        <f>"18:34:04.750"</f>
        <v>18:34:04.750</v>
      </c>
      <c r="C2854" t="str">
        <f>"18:34:04.350"</f>
        <v>18:34:04.350</v>
      </c>
      <c r="D2854" t="s">
        <v>1097</v>
      </c>
      <c r="E2854">
        <v>30.750302999999999</v>
      </c>
      <c r="F2854" t="s">
        <v>1098</v>
      </c>
      <c r="G2854">
        <v>-89.868270999999993</v>
      </c>
      <c r="H2854">
        <v>1300</v>
      </c>
      <c r="I2854">
        <v>6</v>
      </c>
      <c r="J2854">
        <v>112</v>
      </c>
      <c r="K2854">
        <v>-640</v>
      </c>
      <c r="L2854">
        <v>1200</v>
      </c>
      <c r="M2854" t="str">
        <f t="shared" si="246"/>
        <v xml:space="preserve">N35DC   </v>
      </c>
      <c r="N2854">
        <v>1</v>
      </c>
      <c r="O2854">
        <v>1350</v>
      </c>
    </row>
    <row r="2855" spans="1:15" x14ac:dyDescent="0.25">
      <c r="A2855" t="str">
        <f t="shared" ref="A2855:A2860" si="252">"10/21/2020 18:33:57.643"</f>
        <v>10/21/2020 18:33:57.643</v>
      </c>
      <c r="B2855" t="str">
        <f t="shared" ref="B2855:B2860" si="253">"18:34:05.586"</f>
        <v>18:34:05.586</v>
      </c>
      <c r="C2855" t="str">
        <f t="shared" ref="C2855:C2860" si="254">"18:34:05.486"</f>
        <v>18:34:05.486</v>
      </c>
      <c r="D2855" t="s">
        <v>1099</v>
      </c>
      <c r="E2855">
        <v>30.750775000000001</v>
      </c>
      <c r="F2855" t="s">
        <v>1098</v>
      </c>
      <c r="G2855">
        <v>-89.868270999999993</v>
      </c>
      <c r="H2855">
        <v>1300</v>
      </c>
      <c r="I2855">
        <v>7</v>
      </c>
      <c r="J2855">
        <v>112</v>
      </c>
      <c r="K2855">
        <v>-768</v>
      </c>
      <c r="L2855">
        <v>1200</v>
      </c>
      <c r="M2855" t="str">
        <f t="shared" si="246"/>
        <v xml:space="preserve">N35DC   </v>
      </c>
      <c r="N2855">
        <v>1</v>
      </c>
      <c r="O2855">
        <v>1350</v>
      </c>
    </row>
    <row r="2856" spans="1:15" x14ac:dyDescent="0.25">
      <c r="A2856" t="str">
        <f t="shared" si="252"/>
        <v>10/21/2020 18:33:57.643</v>
      </c>
      <c r="B2856" t="str">
        <f t="shared" si="253"/>
        <v>18:34:05.586</v>
      </c>
      <c r="C2856" t="str">
        <f t="shared" si="254"/>
        <v>18:34:05.486</v>
      </c>
      <c r="D2856" t="s">
        <v>1099</v>
      </c>
      <c r="E2856">
        <v>30.750775000000001</v>
      </c>
      <c r="F2856" t="s">
        <v>1098</v>
      </c>
      <c r="G2856">
        <v>-89.868270999999993</v>
      </c>
      <c r="H2856">
        <v>1300</v>
      </c>
      <c r="I2856">
        <v>7</v>
      </c>
      <c r="J2856">
        <v>112</v>
      </c>
      <c r="K2856">
        <v>-768</v>
      </c>
      <c r="L2856">
        <v>1200</v>
      </c>
      <c r="M2856" t="str">
        <f t="shared" si="246"/>
        <v xml:space="preserve">N35DC   </v>
      </c>
      <c r="N2856">
        <v>1</v>
      </c>
      <c r="O2856">
        <v>1350</v>
      </c>
    </row>
    <row r="2857" spans="1:15" x14ac:dyDescent="0.25">
      <c r="A2857" t="str">
        <f t="shared" si="252"/>
        <v>10/21/2020 18:33:57.643</v>
      </c>
      <c r="B2857" t="str">
        <f t="shared" si="253"/>
        <v>18:34:05.586</v>
      </c>
      <c r="C2857" t="str">
        <f t="shared" si="254"/>
        <v>18:34:05.486</v>
      </c>
      <c r="D2857" t="s">
        <v>1099</v>
      </c>
      <c r="E2857">
        <v>30.750775000000001</v>
      </c>
      <c r="F2857" t="s">
        <v>1098</v>
      </c>
      <c r="G2857">
        <v>-89.868270999999993</v>
      </c>
      <c r="H2857">
        <v>1300</v>
      </c>
      <c r="I2857">
        <v>7</v>
      </c>
      <c r="J2857">
        <v>112</v>
      </c>
      <c r="K2857">
        <v>-768</v>
      </c>
      <c r="L2857">
        <v>1200</v>
      </c>
      <c r="M2857" t="str">
        <f t="shared" si="246"/>
        <v xml:space="preserve">N35DC   </v>
      </c>
      <c r="N2857">
        <v>1</v>
      </c>
      <c r="O2857">
        <v>1350</v>
      </c>
    </row>
    <row r="2858" spans="1:15" x14ac:dyDescent="0.25">
      <c r="A2858" t="str">
        <f t="shared" si="252"/>
        <v>10/21/2020 18:33:57.643</v>
      </c>
      <c r="B2858" t="str">
        <f t="shared" si="253"/>
        <v>18:34:05.586</v>
      </c>
      <c r="C2858" t="str">
        <f t="shared" si="254"/>
        <v>18:34:05.486</v>
      </c>
      <c r="D2858" t="s">
        <v>1099</v>
      </c>
      <c r="E2858">
        <v>30.750775000000001</v>
      </c>
      <c r="F2858" t="s">
        <v>1098</v>
      </c>
      <c r="G2858">
        <v>-89.868270999999993</v>
      </c>
      <c r="H2858">
        <v>1300</v>
      </c>
      <c r="I2858">
        <v>7</v>
      </c>
      <c r="J2858">
        <v>112</v>
      </c>
      <c r="K2858">
        <v>-768</v>
      </c>
      <c r="L2858">
        <v>1200</v>
      </c>
      <c r="M2858" t="str">
        <f t="shared" si="246"/>
        <v xml:space="preserve">N35DC   </v>
      </c>
      <c r="N2858">
        <v>1</v>
      </c>
      <c r="O2858">
        <v>1350</v>
      </c>
    </row>
    <row r="2859" spans="1:15" x14ac:dyDescent="0.25">
      <c r="A2859" t="str">
        <f t="shared" si="252"/>
        <v>10/21/2020 18:33:57.643</v>
      </c>
      <c r="B2859" t="str">
        <f t="shared" si="253"/>
        <v>18:34:05.586</v>
      </c>
      <c r="C2859" t="str">
        <f t="shared" si="254"/>
        <v>18:34:05.486</v>
      </c>
      <c r="D2859" t="s">
        <v>1099</v>
      </c>
      <c r="E2859">
        <v>30.750775000000001</v>
      </c>
      <c r="F2859" t="s">
        <v>1098</v>
      </c>
      <c r="G2859">
        <v>-89.868270999999993</v>
      </c>
      <c r="H2859">
        <v>1300</v>
      </c>
      <c r="I2859">
        <v>7</v>
      </c>
      <c r="J2859">
        <v>112</v>
      </c>
      <c r="K2859">
        <v>-768</v>
      </c>
      <c r="L2859">
        <v>1200</v>
      </c>
      <c r="M2859" t="str">
        <f t="shared" si="246"/>
        <v xml:space="preserve">N35DC   </v>
      </c>
      <c r="N2859">
        <v>1</v>
      </c>
      <c r="O2859">
        <v>1350</v>
      </c>
    </row>
    <row r="2860" spans="1:15" x14ac:dyDescent="0.25">
      <c r="A2860" t="str">
        <f t="shared" si="252"/>
        <v>10/21/2020 18:33:57.643</v>
      </c>
      <c r="B2860" t="str">
        <f t="shared" si="253"/>
        <v>18:34:05.586</v>
      </c>
      <c r="C2860" t="str">
        <f t="shared" si="254"/>
        <v>18:34:05.486</v>
      </c>
      <c r="D2860" t="s">
        <v>1099</v>
      </c>
      <c r="E2860">
        <v>30.750775000000001</v>
      </c>
      <c r="F2860" t="s">
        <v>1098</v>
      </c>
      <c r="G2860">
        <v>-89.868270999999993</v>
      </c>
      <c r="H2860">
        <v>1300</v>
      </c>
      <c r="I2860">
        <v>7</v>
      </c>
      <c r="J2860">
        <v>112</v>
      </c>
      <c r="K2860">
        <v>-768</v>
      </c>
      <c r="L2860">
        <v>1200</v>
      </c>
      <c r="M2860" t="str">
        <f t="shared" si="246"/>
        <v xml:space="preserve">N35DC   </v>
      </c>
      <c r="N2860">
        <v>1</v>
      </c>
      <c r="O2860">
        <v>1350</v>
      </c>
    </row>
    <row r="2861" spans="1:15" x14ac:dyDescent="0.25">
      <c r="A2861" t="str">
        <f>"10/21/2020 18:34:00.864"</f>
        <v>10/21/2020 18:34:00.864</v>
      </c>
      <c r="B2861" t="str">
        <f>"18:34:08.750"</f>
        <v>18:34:08.750</v>
      </c>
      <c r="C2861" t="str">
        <f>"18:34:08.450"</f>
        <v>18:34:08.450</v>
      </c>
      <c r="D2861" t="s">
        <v>1100</v>
      </c>
      <c r="E2861">
        <v>30.752406000000001</v>
      </c>
      <c r="F2861" t="s">
        <v>1101</v>
      </c>
      <c r="G2861">
        <v>-89.868163999999993</v>
      </c>
      <c r="H2861">
        <v>1200</v>
      </c>
      <c r="I2861">
        <v>6</v>
      </c>
      <c r="J2861">
        <v>112</v>
      </c>
      <c r="K2861">
        <v>-896</v>
      </c>
      <c r="L2861">
        <v>1200</v>
      </c>
      <c r="M2861" t="str">
        <f t="shared" si="246"/>
        <v xml:space="preserve">N35DC   </v>
      </c>
      <c r="N2861">
        <v>1</v>
      </c>
      <c r="O2861">
        <v>1300</v>
      </c>
    </row>
    <row r="2862" spans="1:15" x14ac:dyDescent="0.25">
      <c r="A2862" t="str">
        <f>"10/21/2020 18:34:00.864"</f>
        <v>10/21/2020 18:34:00.864</v>
      </c>
      <c r="B2862" t="str">
        <f>"18:34:08.750"</f>
        <v>18:34:08.750</v>
      </c>
      <c r="C2862" t="str">
        <f>"18:34:08.450"</f>
        <v>18:34:08.450</v>
      </c>
      <c r="D2862" t="s">
        <v>1100</v>
      </c>
      <c r="E2862">
        <v>30.752406000000001</v>
      </c>
      <c r="F2862" t="s">
        <v>1101</v>
      </c>
      <c r="G2862">
        <v>-89.868163999999993</v>
      </c>
      <c r="H2862">
        <v>1200</v>
      </c>
      <c r="I2862">
        <v>6</v>
      </c>
      <c r="J2862">
        <v>112</v>
      </c>
      <c r="K2862">
        <v>-896</v>
      </c>
      <c r="L2862">
        <v>1200</v>
      </c>
      <c r="M2862" t="str">
        <f t="shared" si="246"/>
        <v xml:space="preserve">N35DC   </v>
      </c>
      <c r="N2862">
        <v>1</v>
      </c>
      <c r="O2862">
        <v>1300</v>
      </c>
    </row>
    <row r="2863" spans="1:15" x14ac:dyDescent="0.25">
      <c r="A2863" t="str">
        <f>"10/21/2020 18:34:00.864"</f>
        <v>10/21/2020 18:34:00.864</v>
      </c>
      <c r="B2863" t="str">
        <f>"18:34:08.750"</f>
        <v>18:34:08.750</v>
      </c>
      <c r="C2863" t="str">
        <f>"18:34:08.450"</f>
        <v>18:34:08.450</v>
      </c>
      <c r="D2863" t="s">
        <v>1100</v>
      </c>
      <c r="E2863">
        <v>30.752406000000001</v>
      </c>
      <c r="F2863" t="s">
        <v>1101</v>
      </c>
      <c r="G2863">
        <v>-89.868163999999993</v>
      </c>
      <c r="H2863">
        <v>1200</v>
      </c>
      <c r="I2863">
        <v>6</v>
      </c>
      <c r="J2863">
        <v>112</v>
      </c>
      <c r="K2863">
        <v>-896</v>
      </c>
      <c r="L2863">
        <v>1200</v>
      </c>
      <c r="M2863" t="str">
        <f t="shared" si="246"/>
        <v xml:space="preserve">N35DC   </v>
      </c>
      <c r="N2863">
        <v>1</v>
      </c>
      <c r="O2863">
        <v>1300</v>
      </c>
    </row>
    <row r="2864" spans="1:15" x14ac:dyDescent="0.25">
      <c r="A2864" t="str">
        <f>"10/21/2020 18:34:00.864"</f>
        <v>10/21/2020 18:34:00.864</v>
      </c>
      <c r="B2864" t="str">
        <f>"18:34:08.750"</f>
        <v>18:34:08.750</v>
      </c>
      <c r="C2864" t="str">
        <f>"18:34:08.450"</f>
        <v>18:34:08.450</v>
      </c>
      <c r="D2864" t="s">
        <v>1100</v>
      </c>
      <c r="E2864">
        <v>30.752406000000001</v>
      </c>
      <c r="F2864" t="s">
        <v>1101</v>
      </c>
      <c r="G2864">
        <v>-89.868163999999993</v>
      </c>
      <c r="H2864">
        <v>1200</v>
      </c>
      <c r="I2864">
        <v>6</v>
      </c>
      <c r="J2864">
        <v>112</v>
      </c>
      <c r="K2864">
        <v>-896</v>
      </c>
      <c r="L2864">
        <v>1200</v>
      </c>
      <c r="M2864" t="str">
        <f t="shared" si="246"/>
        <v xml:space="preserve">N35DC   </v>
      </c>
      <c r="N2864">
        <v>1</v>
      </c>
      <c r="O2864">
        <v>1300</v>
      </c>
    </row>
    <row r="2865" spans="1:15" x14ac:dyDescent="0.25">
      <c r="A2865" t="str">
        <f>"10/21/2020 18:34:00.864"</f>
        <v>10/21/2020 18:34:00.864</v>
      </c>
      <c r="B2865" t="str">
        <f>"18:34:08.750"</f>
        <v>18:34:08.750</v>
      </c>
      <c r="C2865" t="str">
        <f>"18:34:08.450"</f>
        <v>18:34:08.450</v>
      </c>
      <c r="D2865" t="s">
        <v>1100</v>
      </c>
      <c r="E2865">
        <v>30.752406000000001</v>
      </c>
      <c r="F2865" t="s">
        <v>1101</v>
      </c>
      <c r="G2865">
        <v>-89.868163999999993</v>
      </c>
      <c r="H2865">
        <v>1200</v>
      </c>
      <c r="I2865">
        <v>6</v>
      </c>
      <c r="J2865">
        <v>112</v>
      </c>
      <c r="K2865">
        <v>-896</v>
      </c>
      <c r="L2865">
        <v>1200</v>
      </c>
      <c r="M2865" t="str">
        <f t="shared" si="246"/>
        <v xml:space="preserve">N35DC   </v>
      </c>
      <c r="N2865">
        <v>1</v>
      </c>
      <c r="O2865">
        <v>1300</v>
      </c>
    </row>
    <row r="2866" spans="1:15" x14ac:dyDescent="0.25">
      <c r="A2866" t="str">
        <f>"10/21/2020 18:34:01.424"</f>
        <v>10/21/2020 18:34:01.424</v>
      </c>
      <c r="B2866" t="str">
        <f>"18:34:09.305"</f>
        <v>18:34:09.305</v>
      </c>
      <c r="C2866" t="str">
        <f>"18:34:09.005"</f>
        <v>18:34:09.005</v>
      </c>
      <c r="D2866" t="s">
        <v>1102</v>
      </c>
      <c r="E2866">
        <v>30.752707000000001</v>
      </c>
      <c r="F2866" t="s">
        <v>1101</v>
      </c>
      <c r="G2866">
        <v>-89.868163999999993</v>
      </c>
      <c r="H2866">
        <v>1200</v>
      </c>
      <c r="I2866">
        <v>6</v>
      </c>
      <c r="J2866">
        <v>112</v>
      </c>
      <c r="K2866">
        <v>-896</v>
      </c>
      <c r="L2866">
        <v>1200</v>
      </c>
      <c r="M2866" t="str">
        <f t="shared" si="246"/>
        <v xml:space="preserve">N35DC   </v>
      </c>
      <c r="N2866">
        <v>1</v>
      </c>
      <c r="O2866">
        <v>1400</v>
      </c>
    </row>
    <row r="2867" spans="1:15" x14ac:dyDescent="0.25">
      <c r="A2867" t="str">
        <f>"10/21/2020 18:34:06.882"</f>
        <v>10/21/2020 18:34:06.882</v>
      </c>
      <c r="B2867" t="str">
        <f>"18:34:14.812"</f>
        <v>18:34:14.812</v>
      </c>
      <c r="C2867" t="str">
        <f>"18:34:14.413"</f>
        <v>18:34:14.413</v>
      </c>
      <c r="D2867" t="s">
        <v>1103</v>
      </c>
      <c r="E2867">
        <v>30.755624999999998</v>
      </c>
      <c r="F2867" t="s">
        <v>1104</v>
      </c>
      <c r="G2867">
        <v>-89.867948999999996</v>
      </c>
      <c r="H2867">
        <v>1100</v>
      </c>
      <c r="I2867">
        <v>7</v>
      </c>
      <c r="J2867">
        <v>115</v>
      </c>
      <c r="K2867">
        <v>-960</v>
      </c>
      <c r="L2867">
        <v>1200</v>
      </c>
      <c r="M2867" t="str">
        <f t="shared" si="246"/>
        <v xml:space="preserve">N35DC   </v>
      </c>
      <c r="N2867">
        <v>1</v>
      </c>
      <c r="O2867">
        <v>1200</v>
      </c>
    </row>
    <row r="2868" spans="1:15" x14ac:dyDescent="0.25">
      <c r="A2868" t="str">
        <f>"10/21/2020 18:34:06.882"</f>
        <v>10/21/2020 18:34:06.882</v>
      </c>
      <c r="B2868" t="str">
        <f>"18:34:14.812"</f>
        <v>18:34:14.812</v>
      </c>
      <c r="C2868" t="str">
        <f>"18:34:14.413"</f>
        <v>18:34:14.413</v>
      </c>
      <c r="D2868" t="s">
        <v>1103</v>
      </c>
      <c r="E2868">
        <v>30.755624999999998</v>
      </c>
      <c r="F2868" t="s">
        <v>1104</v>
      </c>
      <c r="G2868">
        <v>-89.867948999999996</v>
      </c>
      <c r="H2868">
        <v>1100</v>
      </c>
      <c r="I2868">
        <v>7</v>
      </c>
      <c r="J2868">
        <v>115</v>
      </c>
      <c r="K2868">
        <v>-960</v>
      </c>
      <c r="L2868">
        <v>1200</v>
      </c>
      <c r="M2868" t="str">
        <f t="shared" si="246"/>
        <v xml:space="preserve">N35DC   </v>
      </c>
      <c r="N2868">
        <v>1</v>
      </c>
      <c r="O2868">
        <v>1200</v>
      </c>
    </row>
    <row r="2869" spans="1:15" x14ac:dyDescent="0.25">
      <c r="A2869" t="str">
        <f>"10/21/2020 18:34:06.882"</f>
        <v>10/21/2020 18:34:06.882</v>
      </c>
      <c r="B2869" t="str">
        <f>"18:34:14.812"</f>
        <v>18:34:14.812</v>
      </c>
      <c r="C2869" t="str">
        <f>"18:34:14.413"</f>
        <v>18:34:14.413</v>
      </c>
      <c r="D2869" t="s">
        <v>1103</v>
      </c>
      <c r="E2869">
        <v>30.755624999999998</v>
      </c>
      <c r="F2869" t="s">
        <v>1104</v>
      </c>
      <c r="G2869">
        <v>-89.867948999999996</v>
      </c>
      <c r="H2869">
        <v>1100</v>
      </c>
      <c r="I2869">
        <v>7</v>
      </c>
      <c r="J2869">
        <v>115</v>
      </c>
      <c r="K2869">
        <v>-960</v>
      </c>
      <c r="L2869">
        <v>1200</v>
      </c>
      <c r="M2869" t="str">
        <f t="shared" si="246"/>
        <v xml:space="preserve">N35DC   </v>
      </c>
      <c r="N2869">
        <v>1</v>
      </c>
      <c r="O2869">
        <v>1200</v>
      </c>
    </row>
    <row r="2870" spans="1:15" x14ac:dyDescent="0.25">
      <c r="A2870" t="str">
        <f>"10/21/2020 18:34:06.882"</f>
        <v>10/21/2020 18:34:06.882</v>
      </c>
      <c r="B2870" t="str">
        <f>"18:34:14.812"</f>
        <v>18:34:14.812</v>
      </c>
      <c r="C2870" t="str">
        <f>"18:34:14.413"</f>
        <v>18:34:14.413</v>
      </c>
      <c r="D2870" t="s">
        <v>1103</v>
      </c>
      <c r="E2870">
        <v>30.755624999999998</v>
      </c>
      <c r="F2870" t="s">
        <v>1104</v>
      </c>
      <c r="G2870">
        <v>-89.867948999999996</v>
      </c>
      <c r="H2870">
        <v>1100</v>
      </c>
      <c r="I2870">
        <v>7</v>
      </c>
      <c r="J2870">
        <v>115</v>
      </c>
      <c r="K2870">
        <v>-960</v>
      </c>
      <c r="L2870">
        <v>1200</v>
      </c>
      <c r="M2870" t="str">
        <f t="shared" si="246"/>
        <v xml:space="preserve">N35DC   </v>
      </c>
      <c r="N2870">
        <v>1</v>
      </c>
      <c r="O2870">
        <v>1200</v>
      </c>
    </row>
    <row r="2871" spans="1:15" x14ac:dyDescent="0.25">
      <c r="A2871" t="str">
        <f>"10/21/2020 18:34:06.882"</f>
        <v>10/21/2020 18:34:06.882</v>
      </c>
      <c r="B2871" t="str">
        <f>"18:34:14.812"</f>
        <v>18:34:14.812</v>
      </c>
      <c r="C2871" t="str">
        <f>"18:34:14.413"</f>
        <v>18:34:14.413</v>
      </c>
      <c r="D2871" t="s">
        <v>1103</v>
      </c>
      <c r="E2871">
        <v>30.755624999999998</v>
      </c>
      <c r="F2871" t="s">
        <v>1104</v>
      </c>
      <c r="G2871">
        <v>-89.867948999999996</v>
      </c>
      <c r="H2871">
        <v>1100</v>
      </c>
      <c r="I2871">
        <v>7</v>
      </c>
      <c r="J2871">
        <v>115</v>
      </c>
      <c r="K2871">
        <v>-960</v>
      </c>
      <c r="L2871">
        <v>1200</v>
      </c>
      <c r="M2871" t="str">
        <f t="shared" si="246"/>
        <v xml:space="preserve">N35DC   </v>
      </c>
      <c r="N2871">
        <v>1</v>
      </c>
      <c r="O2871">
        <v>1200</v>
      </c>
    </row>
    <row r="2872" spans="1:15" x14ac:dyDescent="0.25">
      <c r="A2872" t="str">
        <f>"10/21/2020 18:34:07.368"</f>
        <v>10/21/2020 18:34:07.368</v>
      </c>
      <c r="B2872" t="str">
        <f>"18:34:15.266"</f>
        <v>18:34:15.266</v>
      </c>
      <c r="C2872" t="str">
        <f>"18:34:14.966"</f>
        <v>18:34:14.966</v>
      </c>
      <c r="D2872" t="s">
        <v>1105</v>
      </c>
      <c r="E2872">
        <v>30.755860999999999</v>
      </c>
      <c r="F2872" t="s">
        <v>1106</v>
      </c>
      <c r="G2872">
        <v>-89.867885000000001</v>
      </c>
      <c r="H2872">
        <v>1100</v>
      </c>
      <c r="I2872">
        <v>6</v>
      </c>
      <c r="J2872">
        <v>116</v>
      </c>
      <c r="K2872">
        <v>-960</v>
      </c>
      <c r="L2872">
        <v>1200</v>
      </c>
      <c r="M2872" t="str">
        <f t="shared" si="246"/>
        <v xml:space="preserve">N35DC   </v>
      </c>
      <c r="N2872">
        <v>1</v>
      </c>
      <c r="O2872">
        <v>1300</v>
      </c>
    </row>
    <row r="2873" spans="1:15" x14ac:dyDescent="0.25">
      <c r="A2873" t="str">
        <f>"10/21/2020 18:34:07.792"</f>
        <v>10/21/2020 18:34:07.792</v>
      </c>
      <c r="B2873" t="str">
        <f>"18:34:15.727"</f>
        <v>18:34:15.727</v>
      </c>
      <c r="C2873" t="str">
        <f>"18:34:15.427"</f>
        <v>18:34:15.427</v>
      </c>
      <c r="D2873" t="s">
        <v>1107</v>
      </c>
      <c r="E2873">
        <v>30.756097</v>
      </c>
      <c r="F2873" t="s">
        <v>1106</v>
      </c>
      <c r="G2873">
        <v>-89.867885000000001</v>
      </c>
      <c r="H2873">
        <v>1100</v>
      </c>
      <c r="I2873">
        <v>6</v>
      </c>
      <c r="J2873">
        <v>116</v>
      </c>
      <c r="K2873">
        <v>-896</v>
      </c>
      <c r="L2873">
        <v>1200</v>
      </c>
      <c r="M2873" t="str">
        <f t="shared" si="246"/>
        <v xml:space="preserve">N35DC   </v>
      </c>
      <c r="N2873">
        <v>1</v>
      </c>
      <c r="O2873">
        <v>1200</v>
      </c>
    </row>
    <row r="2874" spans="1:15" x14ac:dyDescent="0.25">
      <c r="A2874" t="str">
        <f>"10/21/2020 18:34:07.792"</f>
        <v>10/21/2020 18:34:07.792</v>
      </c>
      <c r="B2874" t="str">
        <f>"18:34:15.727"</f>
        <v>18:34:15.727</v>
      </c>
      <c r="C2874" t="str">
        <f>"18:34:15.427"</f>
        <v>18:34:15.427</v>
      </c>
      <c r="D2874" t="s">
        <v>1107</v>
      </c>
      <c r="E2874">
        <v>30.756097</v>
      </c>
      <c r="F2874" t="s">
        <v>1106</v>
      </c>
      <c r="G2874">
        <v>-89.867885000000001</v>
      </c>
      <c r="H2874">
        <v>1100</v>
      </c>
      <c r="I2874">
        <v>6</v>
      </c>
      <c r="J2874">
        <v>116</v>
      </c>
      <c r="K2874">
        <v>-896</v>
      </c>
      <c r="L2874">
        <v>1200</v>
      </c>
      <c r="M2874" t="str">
        <f t="shared" si="246"/>
        <v xml:space="preserve">N35DC   </v>
      </c>
      <c r="N2874">
        <v>1</v>
      </c>
      <c r="O2874">
        <v>1200</v>
      </c>
    </row>
    <row r="2875" spans="1:15" x14ac:dyDescent="0.25">
      <c r="A2875" t="str">
        <f>"10/21/2020 18:34:07.792"</f>
        <v>10/21/2020 18:34:07.792</v>
      </c>
      <c r="B2875" t="str">
        <f>"18:34:15.727"</f>
        <v>18:34:15.727</v>
      </c>
      <c r="C2875" t="str">
        <f>"18:34:15.427"</f>
        <v>18:34:15.427</v>
      </c>
      <c r="D2875" t="s">
        <v>1107</v>
      </c>
      <c r="E2875">
        <v>30.756097</v>
      </c>
      <c r="F2875" t="s">
        <v>1106</v>
      </c>
      <c r="G2875">
        <v>-89.867885000000001</v>
      </c>
      <c r="H2875">
        <v>1100</v>
      </c>
      <c r="I2875">
        <v>6</v>
      </c>
      <c r="J2875">
        <v>116</v>
      </c>
      <c r="K2875">
        <v>-896</v>
      </c>
      <c r="L2875">
        <v>1200</v>
      </c>
      <c r="M2875" t="str">
        <f t="shared" si="246"/>
        <v xml:space="preserve">N35DC   </v>
      </c>
      <c r="N2875">
        <v>1</v>
      </c>
      <c r="O2875">
        <v>1200</v>
      </c>
    </row>
    <row r="2876" spans="1:15" x14ac:dyDescent="0.25">
      <c r="A2876" t="str">
        <f>"10/21/2020 18:34:07.792"</f>
        <v>10/21/2020 18:34:07.792</v>
      </c>
      <c r="B2876" t="str">
        <f>"18:34:15.727"</f>
        <v>18:34:15.727</v>
      </c>
      <c r="C2876" t="str">
        <f>"18:34:15.427"</f>
        <v>18:34:15.427</v>
      </c>
      <c r="D2876" t="s">
        <v>1107</v>
      </c>
      <c r="E2876">
        <v>30.756097</v>
      </c>
      <c r="F2876" t="s">
        <v>1106</v>
      </c>
      <c r="G2876">
        <v>-89.867885000000001</v>
      </c>
      <c r="H2876">
        <v>1100</v>
      </c>
      <c r="I2876">
        <v>6</v>
      </c>
      <c r="J2876">
        <v>116</v>
      </c>
      <c r="K2876">
        <v>-896</v>
      </c>
      <c r="L2876">
        <v>1200</v>
      </c>
      <c r="M2876" t="str">
        <f t="shared" si="246"/>
        <v xml:space="preserve">N35DC   </v>
      </c>
      <c r="N2876">
        <v>1</v>
      </c>
      <c r="O2876">
        <v>1200</v>
      </c>
    </row>
    <row r="2877" spans="1:15" x14ac:dyDescent="0.25">
      <c r="A2877" t="str">
        <f>"10/21/2020 18:34:07.792"</f>
        <v>10/21/2020 18:34:07.792</v>
      </c>
      <c r="B2877" t="str">
        <f>"18:34:15.727"</f>
        <v>18:34:15.727</v>
      </c>
      <c r="C2877" t="str">
        <f>"18:34:15.427"</f>
        <v>18:34:15.427</v>
      </c>
      <c r="D2877" t="s">
        <v>1107</v>
      </c>
      <c r="E2877">
        <v>30.756097</v>
      </c>
      <c r="F2877" t="s">
        <v>1106</v>
      </c>
      <c r="G2877">
        <v>-89.867885000000001</v>
      </c>
      <c r="H2877">
        <v>1100</v>
      </c>
      <c r="I2877">
        <v>6</v>
      </c>
      <c r="J2877">
        <v>116</v>
      </c>
      <c r="K2877">
        <v>-896</v>
      </c>
      <c r="L2877">
        <v>1200</v>
      </c>
      <c r="M2877" t="str">
        <f t="shared" si="246"/>
        <v xml:space="preserve">N35DC   </v>
      </c>
      <c r="N2877">
        <v>1</v>
      </c>
      <c r="O2877">
        <v>1200</v>
      </c>
    </row>
    <row r="2878" spans="1:15" x14ac:dyDescent="0.25">
      <c r="A2878" t="str">
        <f>"10/21/2020 18:34:10.877"</f>
        <v>10/21/2020 18:34:10.877</v>
      </c>
      <c r="B2878" t="str">
        <f>"18:34:18.773"</f>
        <v>18:34:18.773</v>
      </c>
      <c r="C2878" t="str">
        <f>"18:34:18.573"</f>
        <v>18:34:18.573</v>
      </c>
      <c r="D2878" t="s">
        <v>1108</v>
      </c>
      <c r="E2878">
        <v>30.757771000000002</v>
      </c>
      <c r="F2878" t="s">
        <v>464</v>
      </c>
      <c r="G2878">
        <v>-89.867841999999996</v>
      </c>
      <c r="H2878">
        <v>1100</v>
      </c>
      <c r="I2878">
        <v>3</v>
      </c>
      <c r="J2878">
        <v>117</v>
      </c>
      <c r="K2878">
        <v>-768</v>
      </c>
      <c r="L2878">
        <v>1200</v>
      </c>
      <c r="M2878" t="str">
        <f t="shared" si="246"/>
        <v xml:space="preserve">N35DC   </v>
      </c>
      <c r="N2878">
        <v>1</v>
      </c>
      <c r="O2878">
        <v>1150</v>
      </c>
    </row>
    <row r="2879" spans="1:15" x14ac:dyDescent="0.25">
      <c r="A2879" t="str">
        <f>"10/21/2020 18:34:10.877"</f>
        <v>10/21/2020 18:34:10.877</v>
      </c>
      <c r="B2879" t="str">
        <f>"18:34:18.773"</f>
        <v>18:34:18.773</v>
      </c>
      <c r="C2879" t="str">
        <f>"18:34:18.573"</f>
        <v>18:34:18.573</v>
      </c>
      <c r="D2879" t="s">
        <v>1108</v>
      </c>
      <c r="E2879">
        <v>30.757771000000002</v>
      </c>
      <c r="F2879" t="s">
        <v>464</v>
      </c>
      <c r="G2879">
        <v>-89.867841999999996</v>
      </c>
      <c r="H2879">
        <v>1100</v>
      </c>
      <c r="I2879">
        <v>3</v>
      </c>
      <c r="J2879">
        <v>117</v>
      </c>
      <c r="K2879">
        <v>-768</v>
      </c>
      <c r="L2879">
        <v>1200</v>
      </c>
      <c r="M2879" t="str">
        <f t="shared" si="246"/>
        <v xml:space="preserve">N35DC   </v>
      </c>
      <c r="N2879">
        <v>1</v>
      </c>
      <c r="O2879">
        <v>1150</v>
      </c>
    </row>
    <row r="2880" spans="1:15" x14ac:dyDescent="0.25">
      <c r="A2880" t="str">
        <f>"10/21/2020 18:34:10.877"</f>
        <v>10/21/2020 18:34:10.877</v>
      </c>
      <c r="B2880" t="str">
        <f>"18:34:18.773"</f>
        <v>18:34:18.773</v>
      </c>
      <c r="C2880" t="str">
        <f>"18:34:18.573"</f>
        <v>18:34:18.573</v>
      </c>
      <c r="D2880" t="s">
        <v>1108</v>
      </c>
      <c r="E2880">
        <v>30.757771000000002</v>
      </c>
      <c r="F2880" t="s">
        <v>464</v>
      </c>
      <c r="G2880">
        <v>-89.867841999999996</v>
      </c>
      <c r="H2880">
        <v>1100</v>
      </c>
      <c r="I2880">
        <v>3</v>
      </c>
      <c r="J2880">
        <v>117</v>
      </c>
      <c r="K2880">
        <v>-768</v>
      </c>
      <c r="L2880">
        <v>1200</v>
      </c>
      <c r="M2880" t="str">
        <f t="shared" si="246"/>
        <v xml:space="preserve">N35DC   </v>
      </c>
      <c r="N2880">
        <v>1</v>
      </c>
      <c r="O2880">
        <v>1150</v>
      </c>
    </row>
    <row r="2881" spans="1:15" x14ac:dyDescent="0.25">
      <c r="A2881" t="str">
        <f>"10/21/2020 18:34:10.877"</f>
        <v>10/21/2020 18:34:10.877</v>
      </c>
      <c r="B2881" t="str">
        <f>"18:34:18.773"</f>
        <v>18:34:18.773</v>
      </c>
      <c r="C2881" t="str">
        <f>"18:34:18.573"</f>
        <v>18:34:18.573</v>
      </c>
      <c r="D2881" t="s">
        <v>1108</v>
      </c>
      <c r="E2881">
        <v>30.757771000000002</v>
      </c>
      <c r="F2881" t="s">
        <v>464</v>
      </c>
      <c r="G2881">
        <v>-89.867841999999996</v>
      </c>
      <c r="H2881">
        <v>1100</v>
      </c>
      <c r="I2881">
        <v>3</v>
      </c>
      <c r="J2881">
        <v>117</v>
      </c>
      <c r="K2881">
        <v>-768</v>
      </c>
      <c r="L2881">
        <v>1200</v>
      </c>
      <c r="M2881" t="str">
        <f t="shared" si="246"/>
        <v xml:space="preserve">N35DC   </v>
      </c>
      <c r="N2881">
        <v>1</v>
      </c>
      <c r="O2881">
        <v>1150</v>
      </c>
    </row>
    <row r="2882" spans="1:15" x14ac:dyDescent="0.25">
      <c r="A2882" t="str">
        <f>"10/21/2020 18:34:10.877"</f>
        <v>10/21/2020 18:34:10.877</v>
      </c>
      <c r="B2882" t="str">
        <f>"18:34:18.773"</f>
        <v>18:34:18.773</v>
      </c>
      <c r="C2882" t="str">
        <f>"18:34:18.573"</f>
        <v>18:34:18.573</v>
      </c>
      <c r="D2882" t="s">
        <v>1108</v>
      </c>
      <c r="E2882">
        <v>30.757771000000002</v>
      </c>
      <c r="F2882" t="s">
        <v>464</v>
      </c>
      <c r="G2882">
        <v>-89.867841999999996</v>
      </c>
      <c r="H2882">
        <v>1100</v>
      </c>
      <c r="I2882">
        <v>3</v>
      </c>
      <c r="J2882">
        <v>117</v>
      </c>
      <c r="K2882">
        <v>-768</v>
      </c>
      <c r="L2882">
        <v>1200</v>
      </c>
      <c r="M2882" t="str">
        <f t="shared" si="246"/>
        <v xml:space="preserve">N35DC   </v>
      </c>
      <c r="N2882">
        <v>1</v>
      </c>
      <c r="O2882">
        <v>1150</v>
      </c>
    </row>
    <row r="2883" spans="1:15" x14ac:dyDescent="0.25">
      <c r="A2883" t="str">
        <f>"10/21/2020 18:34:11.887"</f>
        <v>10/21/2020 18:34:11.887</v>
      </c>
      <c r="B2883" t="str">
        <f>"18:34:19.805"</f>
        <v>18:34:19.805</v>
      </c>
      <c r="C2883" t="str">
        <f>"18:34:19.605"</f>
        <v>18:34:19.605</v>
      </c>
      <c r="D2883" t="s">
        <v>1109</v>
      </c>
      <c r="E2883">
        <v>30.758327999999999</v>
      </c>
      <c r="F2883" t="s">
        <v>464</v>
      </c>
      <c r="G2883">
        <v>-89.867841999999996</v>
      </c>
      <c r="H2883">
        <v>1100</v>
      </c>
      <c r="I2883">
        <v>2</v>
      </c>
      <c r="J2883">
        <v>117</v>
      </c>
      <c r="K2883">
        <v>-832</v>
      </c>
      <c r="L2883">
        <v>1200</v>
      </c>
      <c r="M2883" t="str">
        <f t="shared" si="246"/>
        <v xml:space="preserve">N35DC   </v>
      </c>
      <c r="N2883">
        <v>1</v>
      </c>
      <c r="O2883">
        <v>1125</v>
      </c>
    </row>
    <row r="2884" spans="1:15" x14ac:dyDescent="0.25">
      <c r="A2884" t="str">
        <f>"10/21/2020 18:34:11.887"</f>
        <v>10/21/2020 18:34:11.887</v>
      </c>
      <c r="B2884" t="str">
        <f>"18:34:19.805"</f>
        <v>18:34:19.805</v>
      </c>
      <c r="C2884" t="str">
        <f>"18:34:19.605"</f>
        <v>18:34:19.605</v>
      </c>
      <c r="D2884" t="s">
        <v>1109</v>
      </c>
      <c r="E2884">
        <v>30.758327999999999</v>
      </c>
      <c r="F2884" t="s">
        <v>464</v>
      </c>
      <c r="G2884">
        <v>-89.867841999999996</v>
      </c>
      <c r="H2884">
        <v>1100</v>
      </c>
      <c r="I2884">
        <v>2</v>
      </c>
      <c r="J2884">
        <v>117</v>
      </c>
      <c r="K2884">
        <v>-832</v>
      </c>
      <c r="L2884">
        <v>1200</v>
      </c>
      <c r="M2884" t="str">
        <f t="shared" si="246"/>
        <v xml:space="preserve">N35DC   </v>
      </c>
      <c r="N2884">
        <v>1</v>
      </c>
      <c r="O2884">
        <v>1125</v>
      </c>
    </row>
    <row r="2885" spans="1:15" x14ac:dyDescent="0.25">
      <c r="A2885" t="str">
        <f>"10/21/2020 18:34:11.887"</f>
        <v>10/21/2020 18:34:11.887</v>
      </c>
      <c r="B2885" t="str">
        <f>"18:34:19.805"</f>
        <v>18:34:19.805</v>
      </c>
      <c r="C2885" t="str">
        <f>"18:34:19.605"</f>
        <v>18:34:19.605</v>
      </c>
      <c r="D2885" t="s">
        <v>1109</v>
      </c>
      <c r="E2885">
        <v>30.758327999999999</v>
      </c>
      <c r="F2885" t="s">
        <v>464</v>
      </c>
      <c r="G2885">
        <v>-89.867841999999996</v>
      </c>
      <c r="H2885">
        <v>1100</v>
      </c>
      <c r="I2885">
        <v>2</v>
      </c>
      <c r="J2885">
        <v>117</v>
      </c>
      <c r="K2885">
        <v>-832</v>
      </c>
      <c r="L2885">
        <v>1200</v>
      </c>
      <c r="M2885" t="str">
        <f t="shared" si="246"/>
        <v xml:space="preserve">N35DC   </v>
      </c>
      <c r="N2885">
        <v>1</v>
      </c>
      <c r="O2885">
        <v>1125</v>
      </c>
    </row>
    <row r="2886" spans="1:15" x14ac:dyDescent="0.25">
      <c r="A2886" t="str">
        <f>"10/21/2020 18:34:11.887"</f>
        <v>10/21/2020 18:34:11.887</v>
      </c>
      <c r="B2886" t="str">
        <f>"18:34:19.805"</f>
        <v>18:34:19.805</v>
      </c>
      <c r="C2886" t="str">
        <f>"18:34:19.605"</f>
        <v>18:34:19.605</v>
      </c>
      <c r="D2886" t="s">
        <v>1109</v>
      </c>
      <c r="E2886">
        <v>30.758327999999999</v>
      </c>
      <c r="F2886" t="s">
        <v>464</v>
      </c>
      <c r="G2886">
        <v>-89.867841999999996</v>
      </c>
      <c r="H2886">
        <v>1100</v>
      </c>
      <c r="I2886">
        <v>2</v>
      </c>
      <c r="J2886">
        <v>117</v>
      </c>
      <c r="K2886">
        <v>-832</v>
      </c>
      <c r="L2886">
        <v>1200</v>
      </c>
      <c r="M2886" t="str">
        <f t="shared" si="246"/>
        <v xml:space="preserve">N35DC   </v>
      </c>
      <c r="N2886">
        <v>1</v>
      </c>
      <c r="O2886">
        <v>1125</v>
      </c>
    </row>
    <row r="2887" spans="1:15" x14ac:dyDescent="0.25">
      <c r="A2887" t="str">
        <f>"10/21/2020 18:34:11.887"</f>
        <v>10/21/2020 18:34:11.887</v>
      </c>
      <c r="B2887" t="str">
        <f>"18:34:19.805"</f>
        <v>18:34:19.805</v>
      </c>
      <c r="C2887" t="str">
        <f>"18:34:19.605"</f>
        <v>18:34:19.605</v>
      </c>
      <c r="D2887" t="s">
        <v>1109</v>
      </c>
      <c r="E2887">
        <v>30.758327999999999</v>
      </c>
      <c r="F2887" t="s">
        <v>464</v>
      </c>
      <c r="G2887">
        <v>-89.867841999999996</v>
      </c>
      <c r="H2887">
        <v>1100</v>
      </c>
      <c r="I2887">
        <v>2</v>
      </c>
      <c r="J2887">
        <v>117</v>
      </c>
      <c r="K2887">
        <v>-832</v>
      </c>
      <c r="L2887">
        <v>1200</v>
      </c>
      <c r="M2887" t="str">
        <f t="shared" ref="M2887:M2950" si="255">"N35DC   "</f>
        <v xml:space="preserve">N35DC   </v>
      </c>
      <c r="N2887">
        <v>1</v>
      </c>
      <c r="O2887">
        <v>1125</v>
      </c>
    </row>
    <row r="2888" spans="1:15" x14ac:dyDescent="0.25">
      <c r="A2888" t="str">
        <f>"10/21/2020 18:34:17.101"</f>
        <v>10/21/2020 18:34:17.101</v>
      </c>
      <c r="B2888" t="str">
        <f>"18:34:25.016"</f>
        <v>18:34:25.016</v>
      </c>
      <c r="C2888" t="str">
        <f>"18:34:24.516"</f>
        <v>18:34:24.516</v>
      </c>
      <c r="D2888" t="s">
        <v>1110</v>
      </c>
      <c r="E2888">
        <v>30.761161000000001</v>
      </c>
      <c r="F2888" t="s">
        <v>464</v>
      </c>
      <c r="G2888">
        <v>-89.867841999999996</v>
      </c>
      <c r="H2888">
        <v>1000</v>
      </c>
      <c r="I2888">
        <v>0</v>
      </c>
      <c r="J2888">
        <v>119</v>
      </c>
      <c r="K2888">
        <v>-832</v>
      </c>
      <c r="L2888">
        <v>1200</v>
      </c>
      <c r="M2888" t="str">
        <f t="shared" si="255"/>
        <v xml:space="preserve">N35DC   </v>
      </c>
      <c r="N2888">
        <v>1</v>
      </c>
      <c r="O2888">
        <v>1075</v>
      </c>
    </row>
    <row r="2889" spans="1:15" x14ac:dyDescent="0.25">
      <c r="A2889" t="str">
        <f>"10/21/2020 18:34:17.101"</f>
        <v>10/21/2020 18:34:17.101</v>
      </c>
      <c r="B2889" t="str">
        <f>"18:34:25.016"</f>
        <v>18:34:25.016</v>
      </c>
      <c r="C2889" t="str">
        <f>"18:34:24.516"</f>
        <v>18:34:24.516</v>
      </c>
      <c r="D2889" t="s">
        <v>1110</v>
      </c>
      <c r="E2889">
        <v>30.761161000000001</v>
      </c>
      <c r="F2889" t="s">
        <v>464</v>
      </c>
      <c r="G2889">
        <v>-89.867841999999996</v>
      </c>
      <c r="H2889">
        <v>1000</v>
      </c>
      <c r="I2889">
        <v>0</v>
      </c>
      <c r="J2889">
        <v>119</v>
      </c>
      <c r="K2889">
        <v>-832</v>
      </c>
      <c r="L2889">
        <v>1200</v>
      </c>
      <c r="M2889" t="str">
        <f t="shared" si="255"/>
        <v xml:space="preserve">N35DC   </v>
      </c>
      <c r="N2889">
        <v>1</v>
      </c>
      <c r="O2889">
        <v>1075</v>
      </c>
    </row>
    <row r="2890" spans="1:15" x14ac:dyDescent="0.25">
      <c r="A2890" t="str">
        <f>"10/21/2020 18:34:17.101"</f>
        <v>10/21/2020 18:34:17.101</v>
      </c>
      <c r="B2890" t="str">
        <f>"18:34:25.016"</f>
        <v>18:34:25.016</v>
      </c>
      <c r="C2890" t="str">
        <f>"18:34:24.516"</f>
        <v>18:34:24.516</v>
      </c>
      <c r="D2890" t="s">
        <v>1110</v>
      </c>
      <c r="E2890">
        <v>30.761161000000001</v>
      </c>
      <c r="F2890" t="s">
        <v>464</v>
      </c>
      <c r="G2890">
        <v>-89.867841999999996</v>
      </c>
      <c r="H2890">
        <v>1000</v>
      </c>
      <c r="I2890">
        <v>0</v>
      </c>
      <c r="J2890">
        <v>119</v>
      </c>
      <c r="K2890">
        <v>-832</v>
      </c>
      <c r="L2890">
        <v>1200</v>
      </c>
      <c r="M2890" t="str">
        <f t="shared" si="255"/>
        <v xml:space="preserve">N35DC   </v>
      </c>
      <c r="N2890">
        <v>1</v>
      </c>
      <c r="O2890">
        <v>1075</v>
      </c>
    </row>
    <row r="2891" spans="1:15" x14ac:dyDescent="0.25">
      <c r="A2891" t="str">
        <f>"10/21/2020 18:34:17.101"</f>
        <v>10/21/2020 18:34:17.101</v>
      </c>
      <c r="B2891" t="str">
        <f>"18:34:25.016"</f>
        <v>18:34:25.016</v>
      </c>
      <c r="C2891" t="str">
        <f>"18:34:24.516"</f>
        <v>18:34:24.516</v>
      </c>
      <c r="D2891" t="s">
        <v>1110</v>
      </c>
      <c r="E2891">
        <v>30.761161000000001</v>
      </c>
      <c r="F2891" t="s">
        <v>464</v>
      </c>
      <c r="G2891">
        <v>-89.867841999999996</v>
      </c>
      <c r="H2891">
        <v>1000</v>
      </c>
      <c r="I2891">
        <v>0</v>
      </c>
      <c r="J2891">
        <v>119</v>
      </c>
      <c r="K2891">
        <v>-832</v>
      </c>
      <c r="L2891">
        <v>1200</v>
      </c>
      <c r="M2891" t="str">
        <f t="shared" si="255"/>
        <v xml:space="preserve">N35DC   </v>
      </c>
      <c r="N2891">
        <v>1</v>
      </c>
      <c r="O2891">
        <v>1075</v>
      </c>
    </row>
    <row r="2892" spans="1:15" x14ac:dyDescent="0.25">
      <c r="A2892" t="str">
        <f>"10/21/2020 18:34:17.101"</f>
        <v>10/21/2020 18:34:17.101</v>
      </c>
      <c r="B2892" t="str">
        <f>"18:34:25.016"</f>
        <v>18:34:25.016</v>
      </c>
      <c r="C2892" t="str">
        <f>"18:34:24.516"</f>
        <v>18:34:24.516</v>
      </c>
      <c r="D2892" t="s">
        <v>1110</v>
      </c>
      <c r="E2892">
        <v>30.761161000000001</v>
      </c>
      <c r="F2892" t="s">
        <v>464</v>
      </c>
      <c r="G2892">
        <v>-89.867841999999996</v>
      </c>
      <c r="H2892">
        <v>1000</v>
      </c>
      <c r="I2892">
        <v>0</v>
      </c>
      <c r="J2892">
        <v>119</v>
      </c>
      <c r="K2892">
        <v>-832</v>
      </c>
      <c r="L2892">
        <v>1200</v>
      </c>
      <c r="M2892" t="str">
        <f t="shared" si="255"/>
        <v xml:space="preserve">N35DC   </v>
      </c>
      <c r="N2892">
        <v>1</v>
      </c>
      <c r="O2892">
        <v>1075</v>
      </c>
    </row>
    <row r="2893" spans="1:15" x14ac:dyDescent="0.25">
      <c r="A2893" t="str">
        <f>"10/21/2020 18:34:17.665"</f>
        <v>10/21/2020 18:34:17.665</v>
      </c>
      <c r="B2893" t="str">
        <f>"18:34:25.578"</f>
        <v>18:34:25.578</v>
      </c>
      <c r="C2893" t="str">
        <f>"18:34:25.478"</f>
        <v>18:34:25.478</v>
      </c>
      <c r="D2893" t="s">
        <v>1111</v>
      </c>
      <c r="E2893">
        <v>30.761482999999998</v>
      </c>
      <c r="F2893" t="s">
        <v>464</v>
      </c>
      <c r="G2893">
        <v>-89.867841999999996</v>
      </c>
      <c r="H2893">
        <v>1000</v>
      </c>
      <c r="I2893">
        <v>0</v>
      </c>
      <c r="J2893">
        <v>119</v>
      </c>
      <c r="K2893">
        <v>-832</v>
      </c>
      <c r="L2893">
        <v>1200</v>
      </c>
      <c r="M2893" t="str">
        <f t="shared" si="255"/>
        <v xml:space="preserve">N35DC   </v>
      </c>
      <c r="N2893">
        <v>1</v>
      </c>
      <c r="O2893">
        <v>1050</v>
      </c>
    </row>
    <row r="2894" spans="1:15" x14ac:dyDescent="0.25">
      <c r="A2894" t="str">
        <f>"10/21/2020 18:34:18.104"</f>
        <v>10/21/2020 18:34:18.104</v>
      </c>
      <c r="B2894" t="str">
        <f t="shared" ref="B2894:C2898" si="256">"18:34:26.031"</f>
        <v>18:34:26.031</v>
      </c>
      <c r="C2894" t="str">
        <f t="shared" si="256"/>
        <v>18:34:26.031</v>
      </c>
      <c r="D2894" t="s">
        <v>1112</v>
      </c>
      <c r="E2894">
        <v>30.761718999999999</v>
      </c>
      <c r="F2894" t="s">
        <v>464</v>
      </c>
      <c r="G2894">
        <v>-89.867841999999996</v>
      </c>
      <c r="H2894">
        <v>1000</v>
      </c>
      <c r="I2894">
        <v>-1</v>
      </c>
      <c r="J2894">
        <v>119</v>
      </c>
      <c r="K2894">
        <v>-768</v>
      </c>
      <c r="L2894">
        <v>1200</v>
      </c>
      <c r="M2894" t="str">
        <f t="shared" si="255"/>
        <v xml:space="preserve">N35DC   </v>
      </c>
      <c r="N2894">
        <v>1</v>
      </c>
      <c r="O2894">
        <v>1050</v>
      </c>
    </row>
    <row r="2895" spans="1:15" x14ac:dyDescent="0.25">
      <c r="A2895" t="str">
        <f>"10/21/2020 18:34:18.104"</f>
        <v>10/21/2020 18:34:18.104</v>
      </c>
      <c r="B2895" t="str">
        <f t="shared" si="256"/>
        <v>18:34:26.031</v>
      </c>
      <c r="C2895" t="str">
        <f t="shared" si="256"/>
        <v>18:34:26.031</v>
      </c>
      <c r="D2895" t="s">
        <v>1112</v>
      </c>
      <c r="E2895">
        <v>30.761718999999999</v>
      </c>
      <c r="F2895" t="s">
        <v>464</v>
      </c>
      <c r="G2895">
        <v>-89.867841999999996</v>
      </c>
      <c r="H2895">
        <v>1000</v>
      </c>
      <c r="I2895">
        <v>-1</v>
      </c>
      <c r="J2895">
        <v>119</v>
      </c>
      <c r="K2895">
        <v>-768</v>
      </c>
      <c r="L2895">
        <v>1200</v>
      </c>
      <c r="M2895" t="str">
        <f t="shared" si="255"/>
        <v xml:space="preserve">N35DC   </v>
      </c>
      <c r="N2895">
        <v>1</v>
      </c>
      <c r="O2895">
        <v>1050</v>
      </c>
    </row>
    <row r="2896" spans="1:15" x14ac:dyDescent="0.25">
      <c r="A2896" t="str">
        <f>"10/21/2020 18:34:18.104"</f>
        <v>10/21/2020 18:34:18.104</v>
      </c>
      <c r="B2896" t="str">
        <f t="shared" si="256"/>
        <v>18:34:26.031</v>
      </c>
      <c r="C2896" t="str">
        <f t="shared" si="256"/>
        <v>18:34:26.031</v>
      </c>
      <c r="D2896" t="s">
        <v>1112</v>
      </c>
      <c r="E2896">
        <v>30.761718999999999</v>
      </c>
      <c r="F2896" t="s">
        <v>464</v>
      </c>
      <c r="G2896">
        <v>-89.867841999999996</v>
      </c>
      <c r="H2896">
        <v>1000</v>
      </c>
      <c r="I2896">
        <v>-1</v>
      </c>
      <c r="J2896">
        <v>119</v>
      </c>
      <c r="K2896">
        <v>-768</v>
      </c>
      <c r="L2896">
        <v>1200</v>
      </c>
      <c r="M2896" t="str">
        <f t="shared" si="255"/>
        <v xml:space="preserve">N35DC   </v>
      </c>
      <c r="N2896">
        <v>1</v>
      </c>
      <c r="O2896">
        <v>1050</v>
      </c>
    </row>
    <row r="2897" spans="1:15" x14ac:dyDescent="0.25">
      <c r="A2897" t="str">
        <f>"10/21/2020 18:34:18.104"</f>
        <v>10/21/2020 18:34:18.104</v>
      </c>
      <c r="B2897" t="str">
        <f t="shared" si="256"/>
        <v>18:34:26.031</v>
      </c>
      <c r="C2897" t="str">
        <f t="shared" si="256"/>
        <v>18:34:26.031</v>
      </c>
      <c r="D2897" t="s">
        <v>1112</v>
      </c>
      <c r="E2897">
        <v>30.761718999999999</v>
      </c>
      <c r="F2897" t="s">
        <v>464</v>
      </c>
      <c r="G2897">
        <v>-89.867841999999996</v>
      </c>
      <c r="H2897">
        <v>1000</v>
      </c>
      <c r="I2897">
        <v>-1</v>
      </c>
      <c r="J2897">
        <v>119</v>
      </c>
      <c r="K2897">
        <v>-768</v>
      </c>
      <c r="L2897">
        <v>1200</v>
      </c>
      <c r="M2897" t="str">
        <f t="shared" si="255"/>
        <v xml:space="preserve">N35DC   </v>
      </c>
      <c r="N2897">
        <v>1</v>
      </c>
      <c r="O2897">
        <v>1050</v>
      </c>
    </row>
    <row r="2898" spans="1:15" x14ac:dyDescent="0.25">
      <c r="A2898" t="str">
        <f>"10/21/2020 18:34:18.104"</f>
        <v>10/21/2020 18:34:18.104</v>
      </c>
      <c r="B2898" t="str">
        <f t="shared" si="256"/>
        <v>18:34:26.031</v>
      </c>
      <c r="C2898" t="str">
        <f t="shared" si="256"/>
        <v>18:34:26.031</v>
      </c>
      <c r="D2898" t="s">
        <v>1112</v>
      </c>
      <c r="E2898">
        <v>30.761718999999999</v>
      </c>
      <c r="F2898" t="s">
        <v>464</v>
      </c>
      <c r="G2898">
        <v>-89.867841999999996</v>
      </c>
      <c r="H2898">
        <v>1000</v>
      </c>
      <c r="I2898">
        <v>-1</v>
      </c>
      <c r="J2898">
        <v>119</v>
      </c>
      <c r="K2898">
        <v>-768</v>
      </c>
      <c r="L2898">
        <v>1200</v>
      </c>
      <c r="M2898" t="str">
        <f t="shared" si="255"/>
        <v xml:space="preserve">N35DC   </v>
      </c>
      <c r="N2898">
        <v>1</v>
      </c>
      <c r="O2898">
        <v>1050</v>
      </c>
    </row>
    <row r="2899" spans="1:15" x14ac:dyDescent="0.25">
      <c r="A2899" t="str">
        <f>"10/21/2020 18:34:20.935"</f>
        <v>10/21/2020 18:34:20.935</v>
      </c>
      <c r="B2899" t="str">
        <f>"18:34:28.883"</f>
        <v>18:34:28.883</v>
      </c>
      <c r="C2899" t="str">
        <f>"18:34:28.083"</f>
        <v>18:34:28.083</v>
      </c>
      <c r="D2899" t="s">
        <v>1113</v>
      </c>
      <c r="E2899">
        <v>30.763285</v>
      </c>
      <c r="F2899" t="s">
        <v>464</v>
      </c>
      <c r="G2899">
        <v>-89.867841999999996</v>
      </c>
      <c r="H2899">
        <v>1000</v>
      </c>
      <c r="I2899">
        <v>0</v>
      </c>
      <c r="J2899">
        <v>118</v>
      </c>
      <c r="K2899">
        <v>-768</v>
      </c>
      <c r="L2899">
        <v>1200</v>
      </c>
      <c r="M2899" t="str">
        <f t="shared" si="255"/>
        <v xml:space="preserve">N35DC   </v>
      </c>
      <c r="N2899">
        <v>1</v>
      </c>
      <c r="O2899">
        <v>1025</v>
      </c>
    </row>
    <row r="2900" spans="1:15" x14ac:dyDescent="0.25">
      <c r="A2900" t="str">
        <f>"10/21/2020 18:34:20.935"</f>
        <v>10/21/2020 18:34:20.935</v>
      </c>
      <c r="B2900" t="str">
        <f>"18:34:28.883"</f>
        <v>18:34:28.883</v>
      </c>
      <c r="C2900" t="str">
        <f>"18:34:26.683"</f>
        <v>18:34:26.683</v>
      </c>
      <c r="D2900" t="s">
        <v>1113</v>
      </c>
      <c r="E2900">
        <v>30.763285</v>
      </c>
      <c r="F2900" t="s">
        <v>464</v>
      </c>
      <c r="G2900">
        <v>-89.867841999999996</v>
      </c>
      <c r="H2900">
        <v>1000</v>
      </c>
      <c r="I2900">
        <v>-1</v>
      </c>
      <c r="J2900">
        <v>119</v>
      </c>
      <c r="K2900">
        <v>-768</v>
      </c>
      <c r="L2900">
        <v>1200</v>
      </c>
      <c r="M2900" t="str">
        <f t="shared" si="255"/>
        <v xml:space="preserve">N35DC   </v>
      </c>
      <c r="N2900">
        <v>1</v>
      </c>
      <c r="O2900">
        <v>1050</v>
      </c>
    </row>
    <row r="2901" spans="1:15" x14ac:dyDescent="0.25">
      <c r="A2901" t="str">
        <f>"10/21/2020 18:34:20.935"</f>
        <v>10/21/2020 18:34:20.935</v>
      </c>
      <c r="B2901" t="str">
        <f>"18:34:28.883"</f>
        <v>18:34:28.883</v>
      </c>
      <c r="C2901" t="str">
        <f>"18:34:28.083"</f>
        <v>18:34:28.083</v>
      </c>
      <c r="D2901" t="s">
        <v>1113</v>
      </c>
      <c r="E2901">
        <v>30.763285</v>
      </c>
      <c r="F2901" t="s">
        <v>464</v>
      </c>
      <c r="G2901">
        <v>-89.867841999999996</v>
      </c>
      <c r="H2901">
        <v>1000</v>
      </c>
      <c r="I2901">
        <v>0</v>
      </c>
      <c r="J2901">
        <v>118</v>
      </c>
      <c r="K2901">
        <v>-768</v>
      </c>
      <c r="L2901">
        <v>1200</v>
      </c>
      <c r="M2901" t="str">
        <f t="shared" si="255"/>
        <v xml:space="preserve">N35DC   </v>
      </c>
      <c r="N2901">
        <v>1</v>
      </c>
      <c r="O2901">
        <v>1025</v>
      </c>
    </row>
    <row r="2902" spans="1:15" x14ac:dyDescent="0.25">
      <c r="A2902" t="str">
        <f>"10/21/2020 18:34:20.935"</f>
        <v>10/21/2020 18:34:20.935</v>
      </c>
      <c r="B2902" t="str">
        <f>"18:34:28.883"</f>
        <v>18:34:28.883</v>
      </c>
      <c r="C2902" t="str">
        <f>"18:34:26.683"</f>
        <v>18:34:26.683</v>
      </c>
      <c r="D2902" t="s">
        <v>1113</v>
      </c>
      <c r="E2902">
        <v>30.763285</v>
      </c>
      <c r="F2902" t="s">
        <v>464</v>
      </c>
      <c r="G2902">
        <v>-89.867841999999996</v>
      </c>
      <c r="H2902">
        <v>1000</v>
      </c>
      <c r="I2902">
        <v>-1</v>
      </c>
      <c r="J2902">
        <v>119</v>
      </c>
      <c r="K2902">
        <v>-768</v>
      </c>
      <c r="L2902">
        <v>1200</v>
      </c>
      <c r="M2902" t="str">
        <f t="shared" si="255"/>
        <v xml:space="preserve">N35DC   </v>
      </c>
      <c r="N2902">
        <v>1</v>
      </c>
      <c r="O2902">
        <v>1050</v>
      </c>
    </row>
    <row r="2903" spans="1:15" x14ac:dyDescent="0.25">
      <c r="A2903" t="str">
        <f>"10/21/2020 18:34:20.935"</f>
        <v>10/21/2020 18:34:20.935</v>
      </c>
      <c r="B2903" t="str">
        <f>"18:34:28.883"</f>
        <v>18:34:28.883</v>
      </c>
      <c r="C2903" t="str">
        <f>"18:34:28.083"</f>
        <v>18:34:28.083</v>
      </c>
      <c r="D2903" t="s">
        <v>1113</v>
      </c>
      <c r="E2903">
        <v>30.763285</v>
      </c>
      <c r="F2903" t="s">
        <v>464</v>
      </c>
      <c r="G2903">
        <v>-89.867841999999996</v>
      </c>
      <c r="H2903">
        <v>1000</v>
      </c>
      <c r="I2903">
        <v>0</v>
      </c>
      <c r="J2903">
        <v>118</v>
      </c>
      <c r="K2903">
        <v>-768</v>
      </c>
      <c r="L2903">
        <v>1200</v>
      </c>
      <c r="M2903" t="str">
        <f t="shared" si="255"/>
        <v xml:space="preserve">N35DC   </v>
      </c>
      <c r="N2903">
        <v>1</v>
      </c>
      <c r="O2903">
        <v>1025</v>
      </c>
    </row>
    <row r="2904" spans="1:15" x14ac:dyDescent="0.25">
      <c r="A2904" t="str">
        <f>"10/21/2020 18:34:21.894"</f>
        <v>10/21/2020 18:34:21.894</v>
      </c>
      <c r="B2904" t="str">
        <f>"18:34:29.828"</f>
        <v>18:34:29.828</v>
      </c>
      <c r="C2904" t="str">
        <f>"18:34:29.528"</f>
        <v>18:34:29.528</v>
      </c>
      <c r="D2904" t="s">
        <v>1114</v>
      </c>
      <c r="E2904">
        <v>30.763822000000001</v>
      </c>
      <c r="F2904" t="s">
        <v>464</v>
      </c>
      <c r="G2904">
        <v>-89.867841999999996</v>
      </c>
      <c r="H2904">
        <v>900</v>
      </c>
      <c r="I2904">
        <v>1</v>
      </c>
      <c r="J2904">
        <v>118</v>
      </c>
      <c r="K2904">
        <v>-704</v>
      </c>
      <c r="L2904">
        <v>1200</v>
      </c>
      <c r="M2904" t="str">
        <f t="shared" si="255"/>
        <v xml:space="preserve">N35DC   </v>
      </c>
      <c r="N2904">
        <v>1</v>
      </c>
      <c r="O2904">
        <v>1000</v>
      </c>
    </row>
    <row r="2905" spans="1:15" x14ac:dyDescent="0.25">
      <c r="A2905" t="str">
        <f>"10/21/2020 18:34:21.894"</f>
        <v>10/21/2020 18:34:21.894</v>
      </c>
      <c r="B2905" t="str">
        <f>"18:34:29.828"</f>
        <v>18:34:29.828</v>
      </c>
      <c r="C2905" t="str">
        <f>"18:34:29.528"</f>
        <v>18:34:29.528</v>
      </c>
      <c r="D2905" t="s">
        <v>1114</v>
      </c>
      <c r="E2905">
        <v>30.763822000000001</v>
      </c>
      <c r="F2905" t="s">
        <v>464</v>
      </c>
      <c r="G2905">
        <v>-89.867841999999996</v>
      </c>
      <c r="H2905">
        <v>900</v>
      </c>
      <c r="I2905">
        <v>1</v>
      </c>
      <c r="J2905">
        <v>118</v>
      </c>
      <c r="K2905">
        <v>-704</v>
      </c>
      <c r="L2905">
        <v>1200</v>
      </c>
      <c r="M2905" t="str">
        <f t="shared" si="255"/>
        <v xml:space="preserve">N35DC   </v>
      </c>
      <c r="N2905">
        <v>1</v>
      </c>
      <c r="O2905">
        <v>1000</v>
      </c>
    </row>
    <row r="2906" spans="1:15" x14ac:dyDescent="0.25">
      <c r="A2906" t="str">
        <f>"10/21/2020 18:34:21.894"</f>
        <v>10/21/2020 18:34:21.894</v>
      </c>
      <c r="B2906" t="str">
        <f>"18:34:29.828"</f>
        <v>18:34:29.828</v>
      </c>
      <c r="C2906" t="str">
        <f>"18:34:29.528"</f>
        <v>18:34:29.528</v>
      </c>
      <c r="D2906" t="s">
        <v>1114</v>
      </c>
      <c r="E2906">
        <v>30.763822000000001</v>
      </c>
      <c r="F2906" t="s">
        <v>464</v>
      </c>
      <c r="G2906">
        <v>-89.867841999999996</v>
      </c>
      <c r="H2906">
        <v>900</v>
      </c>
      <c r="I2906">
        <v>1</v>
      </c>
      <c r="J2906">
        <v>118</v>
      </c>
      <c r="K2906">
        <v>-704</v>
      </c>
      <c r="L2906">
        <v>1200</v>
      </c>
      <c r="M2906" t="str">
        <f t="shared" si="255"/>
        <v xml:space="preserve">N35DC   </v>
      </c>
      <c r="N2906">
        <v>1</v>
      </c>
      <c r="O2906">
        <v>1000</v>
      </c>
    </row>
    <row r="2907" spans="1:15" x14ac:dyDescent="0.25">
      <c r="A2907" t="str">
        <f>"10/21/2020 18:34:21.894"</f>
        <v>10/21/2020 18:34:21.894</v>
      </c>
      <c r="B2907" t="str">
        <f>"18:34:29.828"</f>
        <v>18:34:29.828</v>
      </c>
      <c r="C2907" t="str">
        <f>"18:34:29.528"</f>
        <v>18:34:29.528</v>
      </c>
      <c r="D2907" t="s">
        <v>1114</v>
      </c>
      <c r="E2907">
        <v>30.763822000000001</v>
      </c>
      <c r="F2907" t="s">
        <v>464</v>
      </c>
      <c r="G2907">
        <v>-89.867841999999996</v>
      </c>
      <c r="H2907">
        <v>900</v>
      </c>
      <c r="I2907">
        <v>1</v>
      </c>
      <c r="J2907">
        <v>118</v>
      </c>
      <c r="K2907">
        <v>-704</v>
      </c>
      <c r="L2907">
        <v>1200</v>
      </c>
      <c r="M2907" t="str">
        <f t="shared" si="255"/>
        <v xml:space="preserve">N35DC   </v>
      </c>
      <c r="N2907">
        <v>1</v>
      </c>
      <c r="O2907">
        <v>1000</v>
      </c>
    </row>
    <row r="2908" spans="1:15" x14ac:dyDescent="0.25">
      <c r="A2908" t="str">
        <f>"10/21/2020 18:34:21.894"</f>
        <v>10/21/2020 18:34:21.894</v>
      </c>
      <c r="B2908" t="str">
        <f>"18:34:29.828"</f>
        <v>18:34:29.828</v>
      </c>
      <c r="C2908" t="str">
        <f>"18:34:29.528"</f>
        <v>18:34:29.528</v>
      </c>
      <c r="D2908" t="s">
        <v>1114</v>
      </c>
      <c r="E2908">
        <v>30.763822000000001</v>
      </c>
      <c r="F2908" t="s">
        <v>464</v>
      </c>
      <c r="G2908">
        <v>-89.867841999999996</v>
      </c>
      <c r="H2908">
        <v>900</v>
      </c>
      <c r="I2908">
        <v>1</v>
      </c>
      <c r="J2908">
        <v>118</v>
      </c>
      <c r="K2908">
        <v>-704</v>
      </c>
      <c r="L2908">
        <v>1200</v>
      </c>
      <c r="M2908" t="str">
        <f t="shared" si="255"/>
        <v xml:space="preserve">N35DC   </v>
      </c>
      <c r="N2908">
        <v>1</v>
      </c>
      <c r="O2908">
        <v>1000</v>
      </c>
    </row>
    <row r="2909" spans="1:15" x14ac:dyDescent="0.25">
      <c r="A2909" t="str">
        <f>"10/21/2020 18:34:24.410"</f>
        <v>10/21/2020 18:34:24.410</v>
      </c>
      <c r="B2909" t="str">
        <f>"18:34:32.312"</f>
        <v>18:34:32.312</v>
      </c>
      <c r="C2909" t="str">
        <f>"18:34:31.812"</f>
        <v>18:34:31.812</v>
      </c>
      <c r="D2909" t="s">
        <v>1115</v>
      </c>
      <c r="E2909">
        <v>30.765173000000001</v>
      </c>
      <c r="F2909" t="s">
        <v>1116</v>
      </c>
      <c r="G2909">
        <v>-89.867778000000001</v>
      </c>
      <c r="H2909">
        <v>900</v>
      </c>
      <c r="I2909">
        <v>3</v>
      </c>
      <c r="J2909">
        <v>118</v>
      </c>
      <c r="K2909">
        <v>-768</v>
      </c>
      <c r="L2909">
        <v>1200</v>
      </c>
      <c r="M2909" t="str">
        <f t="shared" si="255"/>
        <v xml:space="preserve">N35DC   </v>
      </c>
      <c r="N2909">
        <v>1</v>
      </c>
      <c r="O2909">
        <v>1075</v>
      </c>
    </row>
    <row r="2910" spans="1:15" x14ac:dyDescent="0.25">
      <c r="A2910" t="str">
        <f>"10/21/2020 18:34:24.410"</f>
        <v>10/21/2020 18:34:24.410</v>
      </c>
      <c r="B2910" t="str">
        <f>"18:34:32.312"</f>
        <v>18:34:32.312</v>
      </c>
      <c r="C2910" t="str">
        <f>"18:34:31.812"</f>
        <v>18:34:31.812</v>
      </c>
      <c r="D2910" t="s">
        <v>1115</v>
      </c>
      <c r="E2910">
        <v>30.765173000000001</v>
      </c>
      <c r="F2910" t="s">
        <v>1116</v>
      </c>
      <c r="G2910">
        <v>-89.867778000000001</v>
      </c>
      <c r="H2910">
        <v>900</v>
      </c>
      <c r="I2910">
        <v>3</v>
      </c>
      <c r="J2910">
        <v>118</v>
      </c>
      <c r="K2910">
        <v>-768</v>
      </c>
      <c r="L2910">
        <v>1200</v>
      </c>
      <c r="M2910" t="str">
        <f t="shared" si="255"/>
        <v xml:space="preserve">N35DC   </v>
      </c>
      <c r="N2910">
        <v>1</v>
      </c>
      <c r="O2910">
        <v>1075</v>
      </c>
    </row>
    <row r="2911" spans="1:15" x14ac:dyDescent="0.25">
      <c r="A2911" t="str">
        <f>"10/21/2020 18:34:24.410"</f>
        <v>10/21/2020 18:34:24.410</v>
      </c>
      <c r="B2911" t="str">
        <f>"18:34:32.312"</f>
        <v>18:34:32.312</v>
      </c>
      <c r="C2911" t="str">
        <f>"18:34:31.812"</f>
        <v>18:34:31.812</v>
      </c>
      <c r="D2911" t="s">
        <v>1115</v>
      </c>
      <c r="E2911">
        <v>30.765173000000001</v>
      </c>
      <c r="F2911" t="s">
        <v>1116</v>
      </c>
      <c r="G2911">
        <v>-89.867778000000001</v>
      </c>
      <c r="H2911">
        <v>900</v>
      </c>
      <c r="I2911">
        <v>3</v>
      </c>
      <c r="J2911">
        <v>118</v>
      </c>
      <c r="K2911">
        <v>-768</v>
      </c>
      <c r="L2911">
        <v>1200</v>
      </c>
      <c r="M2911" t="str">
        <f t="shared" si="255"/>
        <v xml:space="preserve">N35DC   </v>
      </c>
      <c r="N2911">
        <v>1</v>
      </c>
      <c r="O2911">
        <v>1075</v>
      </c>
    </row>
    <row r="2912" spans="1:15" x14ac:dyDescent="0.25">
      <c r="A2912" t="str">
        <f>"10/21/2020 18:34:24.410"</f>
        <v>10/21/2020 18:34:24.410</v>
      </c>
      <c r="B2912" t="str">
        <f>"18:34:32.312"</f>
        <v>18:34:32.312</v>
      </c>
      <c r="C2912" t="str">
        <f>"18:34:31.812"</f>
        <v>18:34:31.812</v>
      </c>
      <c r="D2912" t="s">
        <v>1115</v>
      </c>
      <c r="E2912">
        <v>30.765173000000001</v>
      </c>
      <c r="F2912" t="s">
        <v>1116</v>
      </c>
      <c r="G2912">
        <v>-89.867778000000001</v>
      </c>
      <c r="H2912">
        <v>900</v>
      </c>
      <c r="I2912">
        <v>3</v>
      </c>
      <c r="J2912">
        <v>118</v>
      </c>
      <c r="K2912">
        <v>-768</v>
      </c>
      <c r="L2912">
        <v>1200</v>
      </c>
      <c r="M2912" t="str">
        <f t="shared" si="255"/>
        <v xml:space="preserve">N35DC   </v>
      </c>
      <c r="N2912">
        <v>1</v>
      </c>
      <c r="O2912">
        <v>1075</v>
      </c>
    </row>
    <row r="2913" spans="1:15" x14ac:dyDescent="0.25">
      <c r="A2913" t="str">
        <f>"10/21/2020 18:34:24.410"</f>
        <v>10/21/2020 18:34:24.410</v>
      </c>
      <c r="B2913" t="str">
        <f>"18:34:32.312"</f>
        <v>18:34:32.312</v>
      </c>
      <c r="C2913" t="str">
        <f>"18:34:31.812"</f>
        <v>18:34:31.812</v>
      </c>
      <c r="D2913" t="s">
        <v>1115</v>
      </c>
      <c r="E2913">
        <v>30.765173000000001</v>
      </c>
      <c r="F2913" t="s">
        <v>1116</v>
      </c>
      <c r="G2913">
        <v>-89.867778000000001</v>
      </c>
      <c r="H2913">
        <v>900</v>
      </c>
      <c r="I2913">
        <v>3</v>
      </c>
      <c r="J2913">
        <v>118</v>
      </c>
      <c r="K2913">
        <v>-768</v>
      </c>
      <c r="L2913">
        <v>1200</v>
      </c>
      <c r="M2913" t="str">
        <f t="shared" si="255"/>
        <v xml:space="preserve">N35DC   </v>
      </c>
      <c r="N2913">
        <v>1</v>
      </c>
      <c r="O2913">
        <v>1075</v>
      </c>
    </row>
    <row r="2914" spans="1:15" x14ac:dyDescent="0.25">
      <c r="A2914" t="str">
        <f t="shared" ref="A2914:A2919" si="257">"10/21/2020 18:34:25.385"</f>
        <v>10/21/2020 18:34:25.385</v>
      </c>
      <c r="B2914" t="str">
        <f t="shared" ref="B2914:B2919" si="258">"18:34:33.320"</f>
        <v>18:34:33.320</v>
      </c>
      <c r="C2914" t="str">
        <f t="shared" ref="C2914:C2919" si="259">"18:34:32.920"</f>
        <v>18:34:32.920</v>
      </c>
      <c r="D2914" t="s">
        <v>1117</v>
      </c>
      <c r="E2914">
        <v>30.765753</v>
      </c>
      <c r="F2914" t="s">
        <v>1116</v>
      </c>
      <c r="G2914">
        <v>-89.867778000000001</v>
      </c>
      <c r="H2914">
        <v>900</v>
      </c>
      <c r="I2914">
        <v>5</v>
      </c>
      <c r="J2914">
        <v>118</v>
      </c>
      <c r="K2914">
        <v>-768</v>
      </c>
      <c r="L2914">
        <v>1200</v>
      </c>
      <c r="M2914" t="str">
        <f t="shared" si="255"/>
        <v xml:space="preserve">N35DC   </v>
      </c>
      <c r="N2914">
        <v>1</v>
      </c>
      <c r="O2914">
        <v>950</v>
      </c>
    </row>
    <row r="2915" spans="1:15" x14ac:dyDescent="0.25">
      <c r="A2915" t="str">
        <f t="shared" si="257"/>
        <v>10/21/2020 18:34:25.385</v>
      </c>
      <c r="B2915" t="str">
        <f t="shared" si="258"/>
        <v>18:34:33.320</v>
      </c>
      <c r="C2915" t="str">
        <f t="shared" si="259"/>
        <v>18:34:32.920</v>
      </c>
      <c r="D2915" t="s">
        <v>1117</v>
      </c>
      <c r="E2915">
        <v>30.765753</v>
      </c>
      <c r="F2915" t="s">
        <v>1116</v>
      </c>
      <c r="G2915">
        <v>-89.867778000000001</v>
      </c>
      <c r="H2915">
        <v>900</v>
      </c>
      <c r="I2915">
        <v>5</v>
      </c>
      <c r="J2915">
        <v>118</v>
      </c>
      <c r="K2915">
        <v>-768</v>
      </c>
      <c r="L2915">
        <v>1200</v>
      </c>
      <c r="M2915" t="str">
        <f t="shared" si="255"/>
        <v xml:space="preserve">N35DC   </v>
      </c>
      <c r="N2915">
        <v>1</v>
      </c>
      <c r="O2915">
        <v>950</v>
      </c>
    </row>
    <row r="2916" spans="1:15" x14ac:dyDescent="0.25">
      <c r="A2916" t="str">
        <f t="shared" si="257"/>
        <v>10/21/2020 18:34:25.385</v>
      </c>
      <c r="B2916" t="str">
        <f t="shared" si="258"/>
        <v>18:34:33.320</v>
      </c>
      <c r="C2916" t="str">
        <f t="shared" si="259"/>
        <v>18:34:32.920</v>
      </c>
      <c r="D2916" t="s">
        <v>1117</v>
      </c>
      <c r="E2916">
        <v>30.765753</v>
      </c>
      <c r="F2916" t="s">
        <v>1116</v>
      </c>
      <c r="G2916">
        <v>-89.867778000000001</v>
      </c>
      <c r="H2916">
        <v>900</v>
      </c>
      <c r="I2916">
        <v>5</v>
      </c>
      <c r="J2916">
        <v>118</v>
      </c>
      <c r="K2916">
        <v>-768</v>
      </c>
      <c r="L2916">
        <v>1200</v>
      </c>
      <c r="M2916" t="str">
        <f t="shared" si="255"/>
        <v xml:space="preserve">N35DC   </v>
      </c>
      <c r="N2916">
        <v>1</v>
      </c>
      <c r="O2916">
        <v>950</v>
      </c>
    </row>
    <row r="2917" spans="1:15" x14ac:dyDescent="0.25">
      <c r="A2917" t="str">
        <f t="shared" si="257"/>
        <v>10/21/2020 18:34:25.385</v>
      </c>
      <c r="B2917" t="str">
        <f t="shared" si="258"/>
        <v>18:34:33.320</v>
      </c>
      <c r="C2917" t="str">
        <f t="shared" si="259"/>
        <v>18:34:32.920</v>
      </c>
      <c r="D2917" t="s">
        <v>1117</v>
      </c>
      <c r="E2917">
        <v>30.765753</v>
      </c>
      <c r="F2917" t="s">
        <v>1116</v>
      </c>
      <c r="G2917">
        <v>-89.867778000000001</v>
      </c>
      <c r="H2917">
        <v>900</v>
      </c>
      <c r="I2917">
        <v>5</v>
      </c>
      <c r="J2917">
        <v>118</v>
      </c>
      <c r="K2917">
        <v>-768</v>
      </c>
      <c r="L2917">
        <v>1200</v>
      </c>
      <c r="M2917" t="str">
        <f t="shared" si="255"/>
        <v xml:space="preserve">N35DC   </v>
      </c>
      <c r="N2917">
        <v>1</v>
      </c>
      <c r="O2917">
        <v>950</v>
      </c>
    </row>
    <row r="2918" spans="1:15" x14ac:dyDescent="0.25">
      <c r="A2918" t="str">
        <f t="shared" si="257"/>
        <v>10/21/2020 18:34:25.385</v>
      </c>
      <c r="B2918" t="str">
        <f t="shared" si="258"/>
        <v>18:34:33.320</v>
      </c>
      <c r="C2918" t="str">
        <f t="shared" si="259"/>
        <v>18:34:32.920</v>
      </c>
      <c r="D2918" t="s">
        <v>1117</v>
      </c>
      <c r="E2918">
        <v>30.765753</v>
      </c>
      <c r="F2918" t="s">
        <v>1116</v>
      </c>
      <c r="G2918">
        <v>-89.867778000000001</v>
      </c>
      <c r="H2918">
        <v>900</v>
      </c>
      <c r="I2918">
        <v>5</v>
      </c>
      <c r="J2918">
        <v>118</v>
      </c>
      <c r="K2918">
        <v>-768</v>
      </c>
      <c r="L2918">
        <v>1200</v>
      </c>
      <c r="M2918" t="str">
        <f t="shared" si="255"/>
        <v xml:space="preserve">N35DC   </v>
      </c>
      <c r="N2918">
        <v>1</v>
      </c>
      <c r="O2918">
        <v>950</v>
      </c>
    </row>
    <row r="2919" spans="1:15" x14ac:dyDescent="0.25">
      <c r="A2919" t="str">
        <f t="shared" si="257"/>
        <v>10/21/2020 18:34:25.385</v>
      </c>
      <c r="B2919" t="str">
        <f t="shared" si="258"/>
        <v>18:34:33.320</v>
      </c>
      <c r="C2919" t="str">
        <f t="shared" si="259"/>
        <v>18:34:32.920</v>
      </c>
      <c r="D2919" t="s">
        <v>1117</v>
      </c>
      <c r="E2919">
        <v>30.765753</v>
      </c>
      <c r="F2919" t="s">
        <v>1116</v>
      </c>
      <c r="G2919">
        <v>-89.867778000000001</v>
      </c>
      <c r="H2919">
        <v>900</v>
      </c>
      <c r="I2919">
        <v>5</v>
      </c>
      <c r="J2919">
        <v>118</v>
      </c>
      <c r="K2919">
        <v>-768</v>
      </c>
      <c r="L2919">
        <v>1200</v>
      </c>
      <c r="M2919" t="str">
        <f t="shared" si="255"/>
        <v xml:space="preserve">N35DC   </v>
      </c>
      <c r="N2919">
        <v>1</v>
      </c>
      <c r="O2919">
        <v>950</v>
      </c>
    </row>
    <row r="2920" spans="1:15" x14ac:dyDescent="0.25">
      <c r="A2920" t="str">
        <f t="shared" ref="A2920:A2925" si="260">"10/21/2020 18:34:28.420"</f>
        <v>10/21/2020 18:34:28.420</v>
      </c>
      <c r="B2920" t="str">
        <f t="shared" ref="B2920:B2925" si="261">"18:34:36.320"</f>
        <v>18:34:36.320</v>
      </c>
      <c r="C2920" t="str">
        <f t="shared" ref="C2920:C2925" si="262">"18:34:36.120"</f>
        <v>18:34:36.120</v>
      </c>
      <c r="D2920" t="s">
        <v>1118</v>
      </c>
      <c r="E2920">
        <v>30.767361999999999</v>
      </c>
      <c r="F2920" t="s">
        <v>1119</v>
      </c>
      <c r="G2920">
        <v>-89.867671000000001</v>
      </c>
      <c r="H2920">
        <v>900</v>
      </c>
      <c r="I2920">
        <v>8</v>
      </c>
      <c r="J2920">
        <v>117</v>
      </c>
      <c r="K2920">
        <v>-704</v>
      </c>
      <c r="L2920">
        <v>1200</v>
      </c>
      <c r="M2920" t="str">
        <f t="shared" si="255"/>
        <v xml:space="preserve">N35DC   </v>
      </c>
      <c r="N2920">
        <v>1</v>
      </c>
      <c r="O2920">
        <v>925</v>
      </c>
    </row>
    <row r="2921" spans="1:15" x14ac:dyDescent="0.25">
      <c r="A2921" t="str">
        <f t="shared" si="260"/>
        <v>10/21/2020 18:34:28.420</v>
      </c>
      <c r="B2921" t="str">
        <f t="shared" si="261"/>
        <v>18:34:36.320</v>
      </c>
      <c r="C2921" t="str">
        <f t="shared" si="262"/>
        <v>18:34:36.120</v>
      </c>
      <c r="D2921" t="s">
        <v>1118</v>
      </c>
      <c r="E2921">
        <v>30.767361999999999</v>
      </c>
      <c r="F2921" t="s">
        <v>1119</v>
      </c>
      <c r="G2921">
        <v>-89.867671000000001</v>
      </c>
      <c r="H2921">
        <v>900</v>
      </c>
      <c r="I2921">
        <v>8</v>
      </c>
      <c r="J2921">
        <v>117</v>
      </c>
      <c r="K2921">
        <v>-704</v>
      </c>
      <c r="L2921">
        <v>1200</v>
      </c>
      <c r="M2921" t="str">
        <f t="shared" si="255"/>
        <v xml:space="preserve">N35DC   </v>
      </c>
      <c r="N2921">
        <v>1</v>
      </c>
      <c r="O2921">
        <v>925</v>
      </c>
    </row>
    <row r="2922" spans="1:15" x14ac:dyDescent="0.25">
      <c r="A2922" t="str">
        <f t="shared" si="260"/>
        <v>10/21/2020 18:34:28.420</v>
      </c>
      <c r="B2922" t="str">
        <f t="shared" si="261"/>
        <v>18:34:36.320</v>
      </c>
      <c r="C2922" t="str">
        <f t="shared" si="262"/>
        <v>18:34:36.120</v>
      </c>
      <c r="D2922" t="s">
        <v>1118</v>
      </c>
      <c r="E2922">
        <v>30.767361999999999</v>
      </c>
      <c r="F2922" t="s">
        <v>1119</v>
      </c>
      <c r="G2922">
        <v>-89.867671000000001</v>
      </c>
      <c r="H2922">
        <v>900</v>
      </c>
      <c r="I2922">
        <v>8</v>
      </c>
      <c r="J2922">
        <v>117</v>
      </c>
      <c r="K2922">
        <v>-704</v>
      </c>
      <c r="L2922">
        <v>1200</v>
      </c>
      <c r="M2922" t="str">
        <f t="shared" si="255"/>
        <v xml:space="preserve">N35DC   </v>
      </c>
      <c r="N2922">
        <v>1</v>
      </c>
      <c r="O2922">
        <v>925</v>
      </c>
    </row>
    <row r="2923" spans="1:15" x14ac:dyDescent="0.25">
      <c r="A2923" t="str">
        <f t="shared" si="260"/>
        <v>10/21/2020 18:34:28.420</v>
      </c>
      <c r="B2923" t="str">
        <f t="shared" si="261"/>
        <v>18:34:36.320</v>
      </c>
      <c r="C2923" t="str">
        <f t="shared" si="262"/>
        <v>18:34:36.120</v>
      </c>
      <c r="D2923" t="s">
        <v>1118</v>
      </c>
      <c r="E2923">
        <v>30.767361999999999</v>
      </c>
      <c r="F2923" t="s">
        <v>1119</v>
      </c>
      <c r="G2923">
        <v>-89.867671000000001</v>
      </c>
      <c r="H2923">
        <v>900</v>
      </c>
      <c r="I2923">
        <v>8</v>
      </c>
      <c r="J2923">
        <v>117</v>
      </c>
      <c r="K2923">
        <v>-704</v>
      </c>
      <c r="L2923">
        <v>1200</v>
      </c>
      <c r="M2923" t="str">
        <f t="shared" si="255"/>
        <v xml:space="preserve">N35DC   </v>
      </c>
      <c r="N2923">
        <v>1</v>
      </c>
      <c r="O2923">
        <v>925</v>
      </c>
    </row>
    <row r="2924" spans="1:15" x14ac:dyDescent="0.25">
      <c r="A2924" t="str">
        <f t="shared" si="260"/>
        <v>10/21/2020 18:34:28.420</v>
      </c>
      <c r="B2924" t="str">
        <f t="shared" si="261"/>
        <v>18:34:36.320</v>
      </c>
      <c r="C2924" t="str">
        <f t="shared" si="262"/>
        <v>18:34:36.120</v>
      </c>
      <c r="D2924" t="s">
        <v>1118</v>
      </c>
      <c r="E2924">
        <v>30.767361999999999</v>
      </c>
      <c r="F2924" t="s">
        <v>1119</v>
      </c>
      <c r="G2924">
        <v>-89.867671000000001</v>
      </c>
      <c r="H2924">
        <v>900</v>
      </c>
      <c r="I2924">
        <v>8</v>
      </c>
      <c r="J2924">
        <v>117</v>
      </c>
      <c r="K2924">
        <v>-704</v>
      </c>
      <c r="L2924">
        <v>1200</v>
      </c>
      <c r="M2924" t="str">
        <f t="shared" si="255"/>
        <v xml:space="preserve">N35DC   </v>
      </c>
      <c r="N2924">
        <v>1</v>
      </c>
      <c r="O2924">
        <v>925</v>
      </c>
    </row>
    <row r="2925" spans="1:15" x14ac:dyDescent="0.25">
      <c r="A2925" t="str">
        <f t="shared" si="260"/>
        <v>10/21/2020 18:34:28.420</v>
      </c>
      <c r="B2925" t="str">
        <f t="shared" si="261"/>
        <v>18:34:36.320</v>
      </c>
      <c r="C2925" t="str">
        <f t="shared" si="262"/>
        <v>18:34:36.120</v>
      </c>
      <c r="D2925" t="s">
        <v>1118</v>
      </c>
      <c r="E2925">
        <v>30.767361999999999</v>
      </c>
      <c r="F2925" t="s">
        <v>1119</v>
      </c>
      <c r="G2925">
        <v>-89.867671000000001</v>
      </c>
      <c r="H2925">
        <v>900</v>
      </c>
      <c r="I2925">
        <v>8</v>
      </c>
      <c r="J2925">
        <v>117</v>
      </c>
      <c r="K2925">
        <v>-704</v>
      </c>
      <c r="L2925">
        <v>1200</v>
      </c>
      <c r="M2925" t="str">
        <f t="shared" si="255"/>
        <v xml:space="preserve">N35DC   </v>
      </c>
      <c r="N2925">
        <v>1</v>
      </c>
      <c r="O2925">
        <v>925</v>
      </c>
    </row>
    <row r="2926" spans="1:15" x14ac:dyDescent="0.25">
      <c r="A2926" t="str">
        <f t="shared" ref="A2926:A2931" si="263">"10/21/2020 18:34:29.302"</f>
        <v>10/21/2020 18:34:29.302</v>
      </c>
      <c r="B2926" t="str">
        <f t="shared" ref="B2926:B2931" si="264">"18:34:37.250"</f>
        <v>18:34:37.250</v>
      </c>
      <c r="C2926" t="str">
        <f t="shared" ref="C2926:C2931" si="265">"18:34:37.050"</f>
        <v>18:34:37.050</v>
      </c>
      <c r="D2926" t="s">
        <v>1120</v>
      </c>
      <c r="E2926">
        <v>30.767855999999998</v>
      </c>
      <c r="F2926" t="s">
        <v>1121</v>
      </c>
      <c r="G2926">
        <v>-89.867627999999996</v>
      </c>
      <c r="H2926">
        <v>900</v>
      </c>
      <c r="I2926">
        <v>8</v>
      </c>
      <c r="J2926">
        <v>117</v>
      </c>
      <c r="K2926">
        <v>-640</v>
      </c>
      <c r="L2926">
        <v>1200</v>
      </c>
      <c r="M2926" t="str">
        <f t="shared" si="255"/>
        <v xml:space="preserve">N35DC   </v>
      </c>
      <c r="N2926">
        <v>1</v>
      </c>
      <c r="O2926">
        <v>900</v>
      </c>
    </row>
    <row r="2927" spans="1:15" x14ac:dyDescent="0.25">
      <c r="A2927" t="str">
        <f t="shared" si="263"/>
        <v>10/21/2020 18:34:29.302</v>
      </c>
      <c r="B2927" t="str">
        <f t="shared" si="264"/>
        <v>18:34:37.250</v>
      </c>
      <c r="C2927" t="str">
        <f t="shared" si="265"/>
        <v>18:34:37.050</v>
      </c>
      <c r="D2927" t="s">
        <v>1120</v>
      </c>
      <c r="E2927">
        <v>30.767855999999998</v>
      </c>
      <c r="F2927" t="s">
        <v>1121</v>
      </c>
      <c r="G2927">
        <v>-89.867627999999996</v>
      </c>
      <c r="H2927">
        <v>900</v>
      </c>
      <c r="I2927">
        <v>8</v>
      </c>
      <c r="J2927">
        <v>117</v>
      </c>
      <c r="K2927">
        <v>-640</v>
      </c>
      <c r="L2927">
        <v>1200</v>
      </c>
      <c r="M2927" t="str">
        <f t="shared" si="255"/>
        <v xml:space="preserve">N35DC   </v>
      </c>
      <c r="N2927">
        <v>1</v>
      </c>
      <c r="O2927">
        <v>900</v>
      </c>
    </row>
    <row r="2928" spans="1:15" x14ac:dyDescent="0.25">
      <c r="A2928" t="str">
        <f t="shared" si="263"/>
        <v>10/21/2020 18:34:29.302</v>
      </c>
      <c r="B2928" t="str">
        <f t="shared" si="264"/>
        <v>18:34:37.250</v>
      </c>
      <c r="C2928" t="str">
        <f t="shared" si="265"/>
        <v>18:34:37.050</v>
      </c>
      <c r="D2928" t="s">
        <v>1120</v>
      </c>
      <c r="E2928">
        <v>30.767855999999998</v>
      </c>
      <c r="F2928" t="s">
        <v>1121</v>
      </c>
      <c r="G2928">
        <v>-89.867627999999996</v>
      </c>
      <c r="H2928">
        <v>900</v>
      </c>
      <c r="I2928">
        <v>8</v>
      </c>
      <c r="J2928">
        <v>117</v>
      </c>
      <c r="K2928">
        <v>-640</v>
      </c>
      <c r="L2928">
        <v>1200</v>
      </c>
      <c r="M2928" t="str">
        <f t="shared" si="255"/>
        <v xml:space="preserve">N35DC   </v>
      </c>
      <c r="N2928">
        <v>1</v>
      </c>
      <c r="O2928">
        <v>900</v>
      </c>
    </row>
    <row r="2929" spans="1:15" x14ac:dyDescent="0.25">
      <c r="A2929" t="str">
        <f t="shared" si="263"/>
        <v>10/21/2020 18:34:29.302</v>
      </c>
      <c r="B2929" t="str">
        <f t="shared" si="264"/>
        <v>18:34:37.250</v>
      </c>
      <c r="C2929" t="str">
        <f t="shared" si="265"/>
        <v>18:34:37.050</v>
      </c>
      <c r="D2929" t="s">
        <v>1120</v>
      </c>
      <c r="E2929">
        <v>30.767855999999998</v>
      </c>
      <c r="F2929" t="s">
        <v>1121</v>
      </c>
      <c r="G2929">
        <v>-89.867627999999996</v>
      </c>
      <c r="H2929">
        <v>900</v>
      </c>
      <c r="I2929">
        <v>8</v>
      </c>
      <c r="J2929">
        <v>117</v>
      </c>
      <c r="K2929">
        <v>-640</v>
      </c>
      <c r="L2929">
        <v>1200</v>
      </c>
      <c r="M2929" t="str">
        <f t="shared" si="255"/>
        <v xml:space="preserve">N35DC   </v>
      </c>
      <c r="N2929">
        <v>1</v>
      </c>
      <c r="O2929">
        <v>900</v>
      </c>
    </row>
    <row r="2930" spans="1:15" x14ac:dyDescent="0.25">
      <c r="A2930" t="str">
        <f t="shared" si="263"/>
        <v>10/21/2020 18:34:29.302</v>
      </c>
      <c r="B2930" t="str">
        <f t="shared" si="264"/>
        <v>18:34:37.250</v>
      </c>
      <c r="C2930" t="str">
        <f t="shared" si="265"/>
        <v>18:34:37.050</v>
      </c>
      <c r="D2930" t="s">
        <v>1120</v>
      </c>
      <c r="E2930">
        <v>30.767855999999998</v>
      </c>
      <c r="F2930" t="s">
        <v>1121</v>
      </c>
      <c r="G2930">
        <v>-89.867627999999996</v>
      </c>
      <c r="H2930">
        <v>900</v>
      </c>
      <c r="I2930">
        <v>8</v>
      </c>
      <c r="J2930">
        <v>117</v>
      </c>
      <c r="K2930">
        <v>-640</v>
      </c>
      <c r="L2930">
        <v>1200</v>
      </c>
      <c r="M2930" t="str">
        <f t="shared" si="255"/>
        <v xml:space="preserve">N35DC   </v>
      </c>
      <c r="N2930">
        <v>1</v>
      </c>
      <c r="O2930">
        <v>900</v>
      </c>
    </row>
    <row r="2931" spans="1:15" x14ac:dyDescent="0.25">
      <c r="A2931" t="str">
        <f t="shared" si="263"/>
        <v>10/21/2020 18:34:29.302</v>
      </c>
      <c r="B2931" t="str">
        <f t="shared" si="264"/>
        <v>18:34:37.250</v>
      </c>
      <c r="C2931" t="str">
        <f t="shared" si="265"/>
        <v>18:34:37.050</v>
      </c>
      <c r="D2931" t="s">
        <v>1120</v>
      </c>
      <c r="E2931">
        <v>30.767855999999998</v>
      </c>
      <c r="F2931" t="s">
        <v>1121</v>
      </c>
      <c r="G2931">
        <v>-89.867627999999996</v>
      </c>
      <c r="H2931">
        <v>900</v>
      </c>
      <c r="I2931">
        <v>8</v>
      </c>
      <c r="J2931">
        <v>117</v>
      </c>
      <c r="K2931">
        <v>-640</v>
      </c>
      <c r="L2931">
        <v>1200</v>
      </c>
      <c r="M2931" t="str">
        <f t="shared" si="255"/>
        <v xml:space="preserve">N35DC   </v>
      </c>
      <c r="N2931">
        <v>1</v>
      </c>
      <c r="O2931">
        <v>900</v>
      </c>
    </row>
    <row r="2932" spans="1:15" x14ac:dyDescent="0.25">
      <c r="A2932" t="str">
        <f t="shared" ref="A2932:A2937" si="266">"10/21/2020 18:34:32.260"</f>
        <v>10/21/2020 18:34:32.260</v>
      </c>
      <c r="B2932" t="str">
        <f t="shared" ref="B2932:B2937" si="267">"18:34:40.187"</f>
        <v>18:34:40.187</v>
      </c>
      <c r="C2932" t="str">
        <f t="shared" ref="C2932:C2937" si="268">"18:34:39.488"</f>
        <v>18:34:39.488</v>
      </c>
      <c r="D2932" t="s">
        <v>1122</v>
      </c>
      <c r="E2932">
        <v>30.769444</v>
      </c>
      <c r="F2932" t="s">
        <v>1123</v>
      </c>
      <c r="G2932">
        <v>-89.867498999999995</v>
      </c>
      <c r="H2932">
        <v>800</v>
      </c>
      <c r="I2932">
        <v>8</v>
      </c>
      <c r="J2932">
        <v>116</v>
      </c>
      <c r="K2932">
        <v>-768</v>
      </c>
      <c r="L2932">
        <v>1200</v>
      </c>
      <c r="M2932" t="str">
        <f t="shared" si="255"/>
        <v xml:space="preserve">N35DC   </v>
      </c>
      <c r="N2932">
        <v>1</v>
      </c>
      <c r="O2932">
        <v>875</v>
      </c>
    </row>
    <row r="2933" spans="1:15" x14ac:dyDescent="0.25">
      <c r="A2933" t="str">
        <f t="shared" si="266"/>
        <v>10/21/2020 18:34:32.260</v>
      </c>
      <c r="B2933" t="str">
        <f t="shared" si="267"/>
        <v>18:34:40.187</v>
      </c>
      <c r="C2933" t="str">
        <f t="shared" si="268"/>
        <v>18:34:39.488</v>
      </c>
      <c r="D2933" t="s">
        <v>1122</v>
      </c>
      <c r="E2933">
        <v>30.769444</v>
      </c>
      <c r="F2933" t="s">
        <v>1123</v>
      </c>
      <c r="G2933">
        <v>-89.867498999999995</v>
      </c>
      <c r="H2933">
        <v>800</v>
      </c>
      <c r="I2933">
        <v>8</v>
      </c>
      <c r="J2933">
        <v>116</v>
      </c>
      <c r="K2933">
        <v>-768</v>
      </c>
      <c r="L2933">
        <v>1200</v>
      </c>
      <c r="M2933" t="str">
        <f t="shared" si="255"/>
        <v xml:space="preserve">N35DC   </v>
      </c>
      <c r="N2933">
        <v>1</v>
      </c>
      <c r="O2933">
        <v>875</v>
      </c>
    </row>
    <row r="2934" spans="1:15" x14ac:dyDescent="0.25">
      <c r="A2934" t="str">
        <f t="shared" si="266"/>
        <v>10/21/2020 18:34:32.260</v>
      </c>
      <c r="B2934" t="str">
        <f t="shared" si="267"/>
        <v>18:34:40.187</v>
      </c>
      <c r="C2934" t="str">
        <f t="shared" si="268"/>
        <v>18:34:39.488</v>
      </c>
      <c r="D2934" t="s">
        <v>1122</v>
      </c>
      <c r="E2934">
        <v>30.769444</v>
      </c>
      <c r="F2934" t="s">
        <v>1123</v>
      </c>
      <c r="G2934">
        <v>-89.867498999999995</v>
      </c>
      <c r="H2934">
        <v>800</v>
      </c>
      <c r="I2934">
        <v>8</v>
      </c>
      <c r="J2934">
        <v>116</v>
      </c>
      <c r="K2934">
        <v>-768</v>
      </c>
      <c r="L2934">
        <v>1200</v>
      </c>
      <c r="M2934" t="str">
        <f t="shared" si="255"/>
        <v xml:space="preserve">N35DC   </v>
      </c>
      <c r="N2934">
        <v>1</v>
      </c>
      <c r="O2934">
        <v>875</v>
      </c>
    </row>
    <row r="2935" spans="1:15" x14ac:dyDescent="0.25">
      <c r="A2935" t="str">
        <f t="shared" si="266"/>
        <v>10/21/2020 18:34:32.260</v>
      </c>
      <c r="B2935" t="str">
        <f t="shared" si="267"/>
        <v>18:34:40.187</v>
      </c>
      <c r="C2935" t="str">
        <f t="shared" si="268"/>
        <v>18:34:39.488</v>
      </c>
      <c r="D2935" t="s">
        <v>1122</v>
      </c>
      <c r="E2935">
        <v>30.769444</v>
      </c>
      <c r="F2935" t="s">
        <v>1123</v>
      </c>
      <c r="G2935">
        <v>-89.867498999999995</v>
      </c>
      <c r="H2935">
        <v>800</v>
      </c>
      <c r="I2935">
        <v>8</v>
      </c>
      <c r="J2935">
        <v>116</v>
      </c>
      <c r="K2935">
        <v>-768</v>
      </c>
      <c r="L2935">
        <v>1200</v>
      </c>
      <c r="M2935" t="str">
        <f t="shared" si="255"/>
        <v xml:space="preserve">N35DC   </v>
      </c>
      <c r="N2935">
        <v>1</v>
      </c>
      <c r="O2935">
        <v>875</v>
      </c>
    </row>
    <row r="2936" spans="1:15" x14ac:dyDescent="0.25">
      <c r="A2936" t="str">
        <f t="shared" si="266"/>
        <v>10/21/2020 18:34:32.260</v>
      </c>
      <c r="B2936" t="str">
        <f t="shared" si="267"/>
        <v>18:34:40.187</v>
      </c>
      <c r="C2936" t="str">
        <f t="shared" si="268"/>
        <v>18:34:39.488</v>
      </c>
      <c r="D2936" t="s">
        <v>1122</v>
      </c>
      <c r="E2936">
        <v>30.769444</v>
      </c>
      <c r="F2936" t="s">
        <v>1123</v>
      </c>
      <c r="G2936">
        <v>-89.867498999999995</v>
      </c>
      <c r="H2936">
        <v>800</v>
      </c>
      <c r="I2936">
        <v>8</v>
      </c>
      <c r="J2936">
        <v>116</v>
      </c>
      <c r="K2936">
        <v>-768</v>
      </c>
      <c r="L2936">
        <v>1200</v>
      </c>
      <c r="M2936" t="str">
        <f t="shared" si="255"/>
        <v xml:space="preserve">N35DC   </v>
      </c>
      <c r="N2936">
        <v>1</v>
      </c>
      <c r="O2936">
        <v>875</v>
      </c>
    </row>
    <row r="2937" spans="1:15" x14ac:dyDescent="0.25">
      <c r="A2937" t="str">
        <f t="shared" si="266"/>
        <v>10/21/2020 18:34:32.260</v>
      </c>
      <c r="B2937" t="str">
        <f t="shared" si="267"/>
        <v>18:34:40.187</v>
      </c>
      <c r="C2937" t="str">
        <f t="shared" si="268"/>
        <v>18:34:39.488</v>
      </c>
      <c r="D2937" t="s">
        <v>1122</v>
      </c>
      <c r="E2937">
        <v>30.769444</v>
      </c>
      <c r="F2937" t="s">
        <v>1123</v>
      </c>
      <c r="G2937">
        <v>-89.867498999999995</v>
      </c>
      <c r="H2937">
        <v>800</v>
      </c>
      <c r="I2937">
        <v>8</v>
      </c>
      <c r="J2937">
        <v>116</v>
      </c>
      <c r="K2937">
        <v>-768</v>
      </c>
      <c r="L2937">
        <v>1200</v>
      </c>
      <c r="M2937" t="str">
        <f t="shared" si="255"/>
        <v xml:space="preserve">N35DC   </v>
      </c>
      <c r="N2937">
        <v>1</v>
      </c>
      <c r="O2937">
        <v>875</v>
      </c>
    </row>
    <row r="2938" spans="1:15" x14ac:dyDescent="0.25">
      <c r="A2938" t="str">
        <f t="shared" ref="A2938:A2943" si="269">"10/21/2020 18:34:35.524"</f>
        <v>10/21/2020 18:34:35.524</v>
      </c>
      <c r="B2938" t="str">
        <f t="shared" ref="B2938:B2943" si="270">"18:34:43.430"</f>
        <v>18:34:43.430</v>
      </c>
      <c r="C2938" t="str">
        <f t="shared" ref="C2938:C2943" si="271">"18:34:43.130"</f>
        <v>18:34:43.130</v>
      </c>
      <c r="D2938" t="s">
        <v>1124</v>
      </c>
      <c r="E2938">
        <v>30.771224</v>
      </c>
      <c r="F2938" t="s">
        <v>1125</v>
      </c>
      <c r="G2938">
        <v>-89.867349000000004</v>
      </c>
      <c r="H2938">
        <v>800</v>
      </c>
      <c r="I2938">
        <v>6</v>
      </c>
      <c r="J2938">
        <v>116</v>
      </c>
      <c r="K2938">
        <v>-640</v>
      </c>
      <c r="L2938">
        <v>1200</v>
      </c>
      <c r="M2938" t="str">
        <f t="shared" si="255"/>
        <v xml:space="preserve">N35DC   </v>
      </c>
      <c r="N2938">
        <v>1</v>
      </c>
      <c r="O2938">
        <v>850</v>
      </c>
    </row>
    <row r="2939" spans="1:15" x14ac:dyDescent="0.25">
      <c r="A2939" t="str">
        <f t="shared" si="269"/>
        <v>10/21/2020 18:34:35.524</v>
      </c>
      <c r="B2939" t="str">
        <f t="shared" si="270"/>
        <v>18:34:43.430</v>
      </c>
      <c r="C2939" t="str">
        <f t="shared" si="271"/>
        <v>18:34:43.130</v>
      </c>
      <c r="D2939" t="s">
        <v>1124</v>
      </c>
      <c r="E2939">
        <v>30.771224</v>
      </c>
      <c r="F2939" t="s">
        <v>1125</v>
      </c>
      <c r="G2939">
        <v>-89.867349000000004</v>
      </c>
      <c r="H2939">
        <v>800</v>
      </c>
      <c r="I2939">
        <v>6</v>
      </c>
      <c r="J2939">
        <v>116</v>
      </c>
      <c r="K2939">
        <v>-640</v>
      </c>
      <c r="L2939">
        <v>1200</v>
      </c>
      <c r="M2939" t="str">
        <f t="shared" si="255"/>
        <v xml:space="preserve">N35DC   </v>
      </c>
      <c r="N2939">
        <v>1</v>
      </c>
      <c r="O2939">
        <v>850</v>
      </c>
    </row>
    <row r="2940" spans="1:15" x14ac:dyDescent="0.25">
      <c r="A2940" t="str">
        <f t="shared" si="269"/>
        <v>10/21/2020 18:34:35.524</v>
      </c>
      <c r="B2940" t="str">
        <f t="shared" si="270"/>
        <v>18:34:43.430</v>
      </c>
      <c r="C2940" t="str">
        <f t="shared" si="271"/>
        <v>18:34:43.130</v>
      </c>
      <c r="D2940" t="s">
        <v>1124</v>
      </c>
      <c r="E2940">
        <v>30.771224</v>
      </c>
      <c r="F2940" t="s">
        <v>1125</v>
      </c>
      <c r="G2940">
        <v>-89.867349000000004</v>
      </c>
      <c r="H2940">
        <v>800</v>
      </c>
      <c r="I2940">
        <v>6</v>
      </c>
      <c r="J2940">
        <v>116</v>
      </c>
      <c r="K2940">
        <v>-640</v>
      </c>
      <c r="L2940">
        <v>1200</v>
      </c>
      <c r="M2940" t="str">
        <f t="shared" si="255"/>
        <v xml:space="preserve">N35DC   </v>
      </c>
      <c r="N2940">
        <v>1</v>
      </c>
      <c r="O2940">
        <v>850</v>
      </c>
    </row>
    <row r="2941" spans="1:15" x14ac:dyDescent="0.25">
      <c r="A2941" t="str">
        <f t="shared" si="269"/>
        <v>10/21/2020 18:34:35.524</v>
      </c>
      <c r="B2941" t="str">
        <f t="shared" si="270"/>
        <v>18:34:43.430</v>
      </c>
      <c r="C2941" t="str">
        <f t="shared" si="271"/>
        <v>18:34:43.130</v>
      </c>
      <c r="D2941" t="s">
        <v>1124</v>
      </c>
      <c r="E2941">
        <v>30.771224</v>
      </c>
      <c r="F2941" t="s">
        <v>1125</v>
      </c>
      <c r="G2941">
        <v>-89.867349000000004</v>
      </c>
      <c r="H2941">
        <v>800</v>
      </c>
      <c r="I2941">
        <v>6</v>
      </c>
      <c r="J2941">
        <v>116</v>
      </c>
      <c r="K2941">
        <v>-640</v>
      </c>
      <c r="L2941">
        <v>1200</v>
      </c>
      <c r="M2941" t="str">
        <f t="shared" si="255"/>
        <v xml:space="preserve">N35DC   </v>
      </c>
      <c r="N2941">
        <v>1</v>
      </c>
      <c r="O2941">
        <v>850</v>
      </c>
    </row>
    <row r="2942" spans="1:15" x14ac:dyDescent="0.25">
      <c r="A2942" t="str">
        <f t="shared" si="269"/>
        <v>10/21/2020 18:34:35.524</v>
      </c>
      <c r="B2942" t="str">
        <f t="shared" si="270"/>
        <v>18:34:43.430</v>
      </c>
      <c r="C2942" t="str">
        <f t="shared" si="271"/>
        <v>18:34:43.130</v>
      </c>
      <c r="D2942" t="s">
        <v>1124</v>
      </c>
      <c r="E2942">
        <v>30.771224</v>
      </c>
      <c r="F2942" t="s">
        <v>1125</v>
      </c>
      <c r="G2942">
        <v>-89.867349000000004</v>
      </c>
      <c r="H2942">
        <v>800</v>
      </c>
      <c r="I2942">
        <v>6</v>
      </c>
      <c r="J2942">
        <v>116</v>
      </c>
      <c r="K2942">
        <v>-640</v>
      </c>
      <c r="L2942">
        <v>1200</v>
      </c>
      <c r="M2942" t="str">
        <f t="shared" si="255"/>
        <v xml:space="preserve">N35DC   </v>
      </c>
      <c r="N2942">
        <v>1</v>
      </c>
      <c r="O2942">
        <v>850</v>
      </c>
    </row>
    <row r="2943" spans="1:15" x14ac:dyDescent="0.25">
      <c r="A2943" t="str">
        <f t="shared" si="269"/>
        <v>10/21/2020 18:34:35.524</v>
      </c>
      <c r="B2943" t="str">
        <f t="shared" si="270"/>
        <v>18:34:43.430</v>
      </c>
      <c r="C2943" t="str">
        <f t="shared" si="271"/>
        <v>18:34:43.130</v>
      </c>
      <c r="D2943" t="s">
        <v>1124</v>
      </c>
      <c r="E2943">
        <v>30.771224</v>
      </c>
      <c r="F2943" t="s">
        <v>1125</v>
      </c>
      <c r="G2943">
        <v>-89.867349000000004</v>
      </c>
      <c r="H2943">
        <v>800</v>
      </c>
      <c r="I2943">
        <v>6</v>
      </c>
      <c r="J2943">
        <v>116</v>
      </c>
      <c r="K2943">
        <v>-640</v>
      </c>
      <c r="L2943">
        <v>1200</v>
      </c>
      <c r="M2943" t="str">
        <f t="shared" si="255"/>
        <v xml:space="preserve">N35DC   </v>
      </c>
      <c r="N2943">
        <v>1</v>
      </c>
      <c r="O2943">
        <v>850</v>
      </c>
    </row>
    <row r="2944" spans="1:15" x14ac:dyDescent="0.25">
      <c r="A2944" t="str">
        <f t="shared" ref="A2944:A2949" si="272">"10/21/2020 18:34:36.962"</f>
        <v>10/21/2020 18:34:36.962</v>
      </c>
      <c r="B2944" t="str">
        <f t="shared" ref="B2944:B2949" si="273">"18:34:44.883"</f>
        <v>18:34:44.883</v>
      </c>
      <c r="C2944" t="str">
        <f>"18:34:44.783"</f>
        <v>18:34:44.783</v>
      </c>
      <c r="D2944" t="s">
        <v>1126</v>
      </c>
      <c r="E2944">
        <v>30.771975999999999</v>
      </c>
      <c r="F2944" t="s">
        <v>1125</v>
      </c>
      <c r="G2944">
        <v>-89.867349000000004</v>
      </c>
      <c r="H2944">
        <v>800</v>
      </c>
      <c r="I2944">
        <v>3</v>
      </c>
      <c r="J2944">
        <v>117</v>
      </c>
      <c r="K2944">
        <v>-512</v>
      </c>
      <c r="L2944">
        <v>1200</v>
      </c>
      <c r="M2944" t="str">
        <f t="shared" si="255"/>
        <v xml:space="preserve">N35DC   </v>
      </c>
      <c r="N2944">
        <v>1</v>
      </c>
      <c r="O2944">
        <v>825</v>
      </c>
    </row>
    <row r="2945" spans="1:15" x14ac:dyDescent="0.25">
      <c r="A2945" t="str">
        <f t="shared" si="272"/>
        <v>10/21/2020 18:34:36.962</v>
      </c>
      <c r="B2945" t="str">
        <f t="shared" si="273"/>
        <v>18:34:44.883</v>
      </c>
      <c r="C2945" t="str">
        <f>"18:34:44.783"</f>
        <v>18:34:44.783</v>
      </c>
      <c r="D2945" t="s">
        <v>1126</v>
      </c>
      <c r="E2945">
        <v>30.771975999999999</v>
      </c>
      <c r="F2945" t="s">
        <v>1125</v>
      </c>
      <c r="G2945">
        <v>-89.867349000000004</v>
      </c>
      <c r="H2945">
        <v>800</v>
      </c>
      <c r="I2945">
        <v>3</v>
      </c>
      <c r="J2945">
        <v>117</v>
      </c>
      <c r="K2945">
        <v>-512</v>
      </c>
      <c r="L2945">
        <v>1200</v>
      </c>
      <c r="M2945" t="str">
        <f t="shared" si="255"/>
        <v xml:space="preserve">N35DC   </v>
      </c>
      <c r="N2945">
        <v>1</v>
      </c>
      <c r="O2945">
        <v>825</v>
      </c>
    </row>
    <row r="2946" spans="1:15" x14ac:dyDescent="0.25">
      <c r="A2946" t="str">
        <f t="shared" si="272"/>
        <v>10/21/2020 18:34:36.962</v>
      </c>
      <c r="B2946" t="str">
        <f t="shared" si="273"/>
        <v>18:34:44.883</v>
      </c>
      <c r="C2946" t="str">
        <f>"18:34:44.783"</f>
        <v>18:34:44.783</v>
      </c>
      <c r="D2946" t="s">
        <v>1126</v>
      </c>
      <c r="E2946">
        <v>30.771975999999999</v>
      </c>
      <c r="F2946" t="s">
        <v>1125</v>
      </c>
      <c r="G2946">
        <v>-89.867349000000004</v>
      </c>
      <c r="H2946">
        <v>800</v>
      </c>
      <c r="I2946">
        <v>3</v>
      </c>
      <c r="J2946">
        <v>117</v>
      </c>
      <c r="K2946">
        <v>-512</v>
      </c>
      <c r="L2946">
        <v>1200</v>
      </c>
      <c r="M2946" t="str">
        <f t="shared" si="255"/>
        <v xml:space="preserve">N35DC   </v>
      </c>
      <c r="N2946">
        <v>1</v>
      </c>
      <c r="O2946">
        <v>825</v>
      </c>
    </row>
    <row r="2947" spans="1:15" x14ac:dyDescent="0.25">
      <c r="A2947" t="str">
        <f t="shared" si="272"/>
        <v>10/21/2020 18:34:36.962</v>
      </c>
      <c r="B2947" t="str">
        <f t="shared" si="273"/>
        <v>18:34:44.883</v>
      </c>
      <c r="C2947" t="str">
        <f>"18:34:44.783"</f>
        <v>18:34:44.783</v>
      </c>
      <c r="D2947" t="s">
        <v>1126</v>
      </c>
      <c r="E2947">
        <v>30.771975999999999</v>
      </c>
      <c r="F2947" t="s">
        <v>1125</v>
      </c>
      <c r="G2947">
        <v>-89.867349000000004</v>
      </c>
      <c r="H2947">
        <v>800</v>
      </c>
      <c r="I2947">
        <v>3</v>
      </c>
      <c r="J2947">
        <v>117</v>
      </c>
      <c r="K2947">
        <v>-512</v>
      </c>
      <c r="L2947">
        <v>1200</v>
      </c>
      <c r="M2947" t="str">
        <f t="shared" si="255"/>
        <v xml:space="preserve">N35DC   </v>
      </c>
      <c r="N2947">
        <v>1</v>
      </c>
      <c r="O2947">
        <v>825</v>
      </c>
    </row>
    <row r="2948" spans="1:15" x14ac:dyDescent="0.25">
      <c r="A2948" t="str">
        <f t="shared" si="272"/>
        <v>10/21/2020 18:34:36.962</v>
      </c>
      <c r="B2948" t="str">
        <f t="shared" si="273"/>
        <v>18:34:44.883</v>
      </c>
      <c r="C2948" t="str">
        <f>"18:34:44.783"</f>
        <v>18:34:44.783</v>
      </c>
      <c r="D2948" t="s">
        <v>1126</v>
      </c>
      <c r="E2948">
        <v>30.771975999999999</v>
      </c>
      <c r="F2948" t="s">
        <v>1125</v>
      </c>
      <c r="G2948">
        <v>-89.867349000000004</v>
      </c>
      <c r="H2948">
        <v>800</v>
      </c>
      <c r="I2948">
        <v>3</v>
      </c>
      <c r="J2948">
        <v>117</v>
      </c>
      <c r="K2948">
        <v>-512</v>
      </c>
      <c r="L2948">
        <v>1200</v>
      </c>
      <c r="M2948" t="str">
        <f t="shared" si="255"/>
        <v xml:space="preserve">N35DC   </v>
      </c>
      <c r="N2948">
        <v>1</v>
      </c>
      <c r="O2948">
        <v>825</v>
      </c>
    </row>
    <row r="2949" spans="1:15" x14ac:dyDescent="0.25">
      <c r="A2949" t="str">
        <f t="shared" si="272"/>
        <v>10/21/2020 18:34:36.962</v>
      </c>
      <c r="B2949" t="str">
        <f t="shared" si="273"/>
        <v>18:34:44.883</v>
      </c>
      <c r="C2949" t="str">
        <f>"18:34:43.083"</f>
        <v>18:34:43.083</v>
      </c>
      <c r="D2949" t="s">
        <v>1126</v>
      </c>
      <c r="E2949">
        <v>30.771975999999999</v>
      </c>
      <c r="F2949" t="s">
        <v>1125</v>
      </c>
      <c r="G2949">
        <v>-89.867349000000004</v>
      </c>
      <c r="H2949">
        <v>800</v>
      </c>
      <c r="I2949">
        <v>6</v>
      </c>
      <c r="J2949">
        <v>116</v>
      </c>
      <c r="K2949">
        <v>-640</v>
      </c>
      <c r="L2949">
        <v>1200</v>
      </c>
      <c r="M2949" t="str">
        <f t="shared" si="255"/>
        <v xml:space="preserve">N35DC   </v>
      </c>
      <c r="N2949">
        <v>1</v>
      </c>
      <c r="O2949">
        <v>850</v>
      </c>
    </row>
    <row r="2950" spans="1:15" x14ac:dyDescent="0.25">
      <c r="A2950" t="str">
        <f t="shared" ref="A2950:A2955" si="274">"10/21/2020 18:34:40.384"</f>
        <v>10/21/2020 18:34:40.384</v>
      </c>
      <c r="B2950" t="str">
        <f t="shared" ref="B2950:B2955" si="275">"18:34:48.289"</f>
        <v>18:34:48.289</v>
      </c>
      <c r="C2950" t="str">
        <f t="shared" ref="C2950:C2955" si="276">"18:34:48.089"</f>
        <v>18:34:48.089</v>
      </c>
      <c r="D2950" t="s">
        <v>1127</v>
      </c>
      <c r="E2950">
        <v>30.773821000000002</v>
      </c>
      <c r="F2950" t="s">
        <v>1128</v>
      </c>
      <c r="G2950">
        <v>-89.867283999999998</v>
      </c>
      <c r="H2950">
        <v>700</v>
      </c>
      <c r="I2950">
        <v>1</v>
      </c>
      <c r="J2950">
        <v>118</v>
      </c>
      <c r="K2950">
        <v>-832</v>
      </c>
      <c r="L2950">
        <v>1200</v>
      </c>
      <c r="M2950" t="str">
        <f t="shared" si="255"/>
        <v xml:space="preserve">N35DC   </v>
      </c>
      <c r="N2950">
        <v>1</v>
      </c>
      <c r="O2950">
        <v>900</v>
      </c>
    </row>
    <row r="2951" spans="1:15" x14ac:dyDescent="0.25">
      <c r="A2951" t="str">
        <f t="shared" si="274"/>
        <v>10/21/2020 18:34:40.384</v>
      </c>
      <c r="B2951" t="str">
        <f t="shared" si="275"/>
        <v>18:34:48.289</v>
      </c>
      <c r="C2951" t="str">
        <f t="shared" si="276"/>
        <v>18:34:48.089</v>
      </c>
      <c r="D2951" t="s">
        <v>1127</v>
      </c>
      <c r="E2951">
        <v>30.773821000000002</v>
      </c>
      <c r="F2951" t="s">
        <v>1128</v>
      </c>
      <c r="G2951">
        <v>-89.867283999999998</v>
      </c>
      <c r="H2951">
        <v>700</v>
      </c>
      <c r="I2951">
        <v>1</v>
      </c>
      <c r="J2951">
        <v>118</v>
      </c>
      <c r="K2951">
        <v>-832</v>
      </c>
      <c r="L2951">
        <v>1200</v>
      </c>
      <c r="M2951" t="str">
        <f t="shared" ref="M2951:M3014" si="277">"N35DC   "</f>
        <v xml:space="preserve">N35DC   </v>
      </c>
      <c r="N2951">
        <v>1</v>
      </c>
      <c r="O2951">
        <v>900</v>
      </c>
    </row>
    <row r="2952" spans="1:15" x14ac:dyDescent="0.25">
      <c r="A2952" t="str">
        <f t="shared" si="274"/>
        <v>10/21/2020 18:34:40.384</v>
      </c>
      <c r="B2952" t="str">
        <f t="shared" si="275"/>
        <v>18:34:48.289</v>
      </c>
      <c r="C2952" t="str">
        <f t="shared" si="276"/>
        <v>18:34:48.089</v>
      </c>
      <c r="D2952" t="s">
        <v>1127</v>
      </c>
      <c r="E2952">
        <v>30.773821000000002</v>
      </c>
      <c r="F2952" t="s">
        <v>1128</v>
      </c>
      <c r="G2952">
        <v>-89.867283999999998</v>
      </c>
      <c r="H2952">
        <v>700</v>
      </c>
      <c r="I2952">
        <v>1</v>
      </c>
      <c r="J2952">
        <v>118</v>
      </c>
      <c r="K2952">
        <v>-832</v>
      </c>
      <c r="L2952">
        <v>1200</v>
      </c>
      <c r="M2952" t="str">
        <f t="shared" si="277"/>
        <v xml:space="preserve">N35DC   </v>
      </c>
      <c r="N2952">
        <v>1</v>
      </c>
      <c r="O2952">
        <v>900</v>
      </c>
    </row>
    <row r="2953" spans="1:15" x14ac:dyDescent="0.25">
      <c r="A2953" t="str">
        <f t="shared" si="274"/>
        <v>10/21/2020 18:34:40.384</v>
      </c>
      <c r="B2953" t="str">
        <f t="shared" si="275"/>
        <v>18:34:48.289</v>
      </c>
      <c r="C2953" t="str">
        <f t="shared" si="276"/>
        <v>18:34:48.089</v>
      </c>
      <c r="D2953" t="s">
        <v>1127</v>
      </c>
      <c r="E2953">
        <v>30.773821000000002</v>
      </c>
      <c r="F2953" t="s">
        <v>1128</v>
      </c>
      <c r="G2953">
        <v>-89.867283999999998</v>
      </c>
      <c r="H2953">
        <v>700</v>
      </c>
      <c r="I2953">
        <v>1</v>
      </c>
      <c r="J2953">
        <v>118</v>
      </c>
      <c r="K2953">
        <v>-832</v>
      </c>
      <c r="L2953">
        <v>1200</v>
      </c>
      <c r="M2953" t="str">
        <f t="shared" si="277"/>
        <v xml:space="preserve">N35DC   </v>
      </c>
      <c r="N2953">
        <v>1</v>
      </c>
      <c r="O2953">
        <v>900</v>
      </c>
    </row>
    <row r="2954" spans="1:15" x14ac:dyDescent="0.25">
      <c r="A2954" t="str">
        <f t="shared" si="274"/>
        <v>10/21/2020 18:34:40.384</v>
      </c>
      <c r="B2954" t="str">
        <f t="shared" si="275"/>
        <v>18:34:48.289</v>
      </c>
      <c r="C2954" t="str">
        <f t="shared" si="276"/>
        <v>18:34:48.089</v>
      </c>
      <c r="D2954" t="s">
        <v>1127</v>
      </c>
      <c r="E2954">
        <v>30.773821000000002</v>
      </c>
      <c r="F2954" t="s">
        <v>1128</v>
      </c>
      <c r="G2954">
        <v>-89.867283999999998</v>
      </c>
      <c r="H2954">
        <v>700</v>
      </c>
      <c r="I2954">
        <v>1</v>
      </c>
      <c r="J2954">
        <v>118</v>
      </c>
      <c r="K2954">
        <v>-832</v>
      </c>
      <c r="L2954">
        <v>1200</v>
      </c>
      <c r="M2954" t="str">
        <f t="shared" si="277"/>
        <v xml:space="preserve">N35DC   </v>
      </c>
      <c r="N2954">
        <v>1</v>
      </c>
      <c r="O2954">
        <v>900</v>
      </c>
    </row>
    <row r="2955" spans="1:15" x14ac:dyDescent="0.25">
      <c r="A2955" t="str">
        <f t="shared" si="274"/>
        <v>10/21/2020 18:34:40.384</v>
      </c>
      <c r="B2955" t="str">
        <f t="shared" si="275"/>
        <v>18:34:48.289</v>
      </c>
      <c r="C2955" t="str">
        <f t="shared" si="276"/>
        <v>18:34:48.089</v>
      </c>
      <c r="D2955" t="s">
        <v>1127</v>
      </c>
      <c r="E2955">
        <v>30.773821000000002</v>
      </c>
      <c r="F2955" t="s">
        <v>1128</v>
      </c>
      <c r="G2955">
        <v>-89.867283999999998</v>
      </c>
      <c r="H2955">
        <v>700</v>
      </c>
      <c r="I2955">
        <v>1</v>
      </c>
      <c r="J2955">
        <v>118</v>
      </c>
      <c r="K2955">
        <v>-832</v>
      </c>
      <c r="L2955">
        <v>1200</v>
      </c>
      <c r="M2955" t="str">
        <f t="shared" si="277"/>
        <v xml:space="preserve">N35DC   </v>
      </c>
      <c r="N2955">
        <v>1</v>
      </c>
      <c r="O2955">
        <v>900</v>
      </c>
    </row>
    <row r="2956" spans="1:15" x14ac:dyDescent="0.25">
      <c r="A2956" t="str">
        <f>"10/21/2020 18:34:42.620"</f>
        <v>10/21/2020 18:34:42.620</v>
      </c>
      <c r="B2956" t="str">
        <f t="shared" ref="B2956:C2960" si="278">"18:34:50.555"</f>
        <v>18:34:50.555</v>
      </c>
      <c r="C2956" t="str">
        <f t="shared" si="278"/>
        <v>18:34:50.555</v>
      </c>
      <c r="D2956" t="s">
        <v>1129</v>
      </c>
      <c r="E2956">
        <v>30.775086999999999</v>
      </c>
      <c r="F2956" t="s">
        <v>1125</v>
      </c>
      <c r="G2956">
        <v>-89.867349000000004</v>
      </c>
      <c r="H2956">
        <v>700</v>
      </c>
      <c r="I2956">
        <v>-3</v>
      </c>
      <c r="J2956">
        <v>120</v>
      </c>
      <c r="K2956">
        <v>-704</v>
      </c>
      <c r="L2956">
        <v>1200</v>
      </c>
      <c r="M2956" t="str">
        <f t="shared" si="277"/>
        <v xml:space="preserve">N35DC   </v>
      </c>
      <c r="N2956">
        <v>1</v>
      </c>
      <c r="O2956">
        <v>750</v>
      </c>
    </row>
    <row r="2957" spans="1:15" x14ac:dyDescent="0.25">
      <c r="A2957" t="str">
        <f>"10/21/2020 18:34:42.620"</f>
        <v>10/21/2020 18:34:42.620</v>
      </c>
      <c r="B2957" t="str">
        <f t="shared" si="278"/>
        <v>18:34:50.555</v>
      </c>
      <c r="C2957" t="str">
        <f t="shared" si="278"/>
        <v>18:34:50.555</v>
      </c>
      <c r="D2957" t="s">
        <v>1129</v>
      </c>
      <c r="E2957">
        <v>30.775086999999999</v>
      </c>
      <c r="F2957" t="s">
        <v>1125</v>
      </c>
      <c r="G2957">
        <v>-89.867349000000004</v>
      </c>
      <c r="H2957">
        <v>700</v>
      </c>
      <c r="I2957">
        <v>-3</v>
      </c>
      <c r="J2957">
        <v>120</v>
      </c>
      <c r="K2957">
        <v>-704</v>
      </c>
      <c r="L2957">
        <v>1200</v>
      </c>
      <c r="M2957" t="str">
        <f t="shared" si="277"/>
        <v xml:space="preserve">N35DC   </v>
      </c>
      <c r="N2957">
        <v>1</v>
      </c>
      <c r="O2957">
        <v>750</v>
      </c>
    </row>
    <row r="2958" spans="1:15" x14ac:dyDescent="0.25">
      <c r="A2958" t="str">
        <f>"10/21/2020 18:34:42.620"</f>
        <v>10/21/2020 18:34:42.620</v>
      </c>
      <c r="B2958" t="str">
        <f t="shared" si="278"/>
        <v>18:34:50.555</v>
      </c>
      <c r="C2958" t="str">
        <f t="shared" si="278"/>
        <v>18:34:50.555</v>
      </c>
      <c r="D2958" t="s">
        <v>1129</v>
      </c>
      <c r="E2958">
        <v>30.775086999999999</v>
      </c>
      <c r="F2958" t="s">
        <v>1125</v>
      </c>
      <c r="G2958">
        <v>-89.867349000000004</v>
      </c>
      <c r="H2958">
        <v>700</v>
      </c>
      <c r="I2958">
        <v>-3</v>
      </c>
      <c r="J2958">
        <v>120</v>
      </c>
      <c r="K2958">
        <v>-704</v>
      </c>
      <c r="L2958">
        <v>1200</v>
      </c>
      <c r="M2958" t="str">
        <f t="shared" si="277"/>
        <v xml:space="preserve">N35DC   </v>
      </c>
      <c r="N2958">
        <v>1</v>
      </c>
      <c r="O2958">
        <v>750</v>
      </c>
    </row>
    <row r="2959" spans="1:15" x14ac:dyDescent="0.25">
      <c r="A2959" t="str">
        <f>"10/21/2020 18:34:42.620"</f>
        <v>10/21/2020 18:34:42.620</v>
      </c>
      <c r="B2959" t="str">
        <f t="shared" si="278"/>
        <v>18:34:50.555</v>
      </c>
      <c r="C2959" t="str">
        <f t="shared" si="278"/>
        <v>18:34:50.555</v>
      </c>
      <c r="D2959" t="s">
        <v>1129</v>
      </c>
      <c r="E2959">
        <v>30.775086999999999</v>
      </c>
      <c r="F2959" t="s">
        <v>1125</v>
      </c>
      <c r="G2959">
        <v>-89.867349000000004</v>
      </c>
      <c r="H2959">
        <v>700</v>
      </c>
      <c r="I2959">
        <v>-3</v>
      </c>
      <c r="J2959">
        <v>120</v>
      </c>
      <c r="K2959">
        <v>-704</v>
      </c>
      <c r="L2959">
        <v>1200</v>
      </c>
      <c r="M2959" t="str">
        <f t="shared" si="277"/>
        <v xml:space="preserve">N35DC   </v>
      </c>
      <c r="N2959">
        <v>1</v>
      </c>
      <c r="O2959">
        <v>750</v>
      </c>
    </row>
    <row r="2960" spans="1:15" x14ac:dyDescent="0.25">
      <c r="A2960" t="str">
        <f>"10/21/2020 18:34:42.620"</f>
        <v>10/21/2020 18:34:42.620</v>
      </c>
      <c r="B2960" t="str">
        <f t="shared" si="278"/>
        <v>18:34:50.555</v>
      </c>
      <c r="C2960" t="str">
        <f t="shared" si="278"/>
        <v>18:34:50.555</v>
      </c>
      <c r="D2960" t="s">
        <v>1129</v>
      </c>
      <c r="E2960">
        <v>30.775086999999999</v>
      </c>
      <c r="F2960" t="s">
        <v>1125</v>
      </c>
      <c r="G2960">
        <v>-89.867349000000004</v>
      </c>
      <c r="H2960">
        <v>700</v>
      </c>
      <c r="I2960">
        <v>-3</v>
      </c>
      <c r="J2960">
        <v>120</v>
      </c>
      <c r="K2960">
        <v>-704</v>
      </c>
      <c r="L2960">
        <v>1200</v>
      </c>
      <c r="M2960" t="str">
        <f t="shared" si="277"/>
        <v xml:space="preserve">N35DC   </v>
      </c>
      <c r="N2960">
        <v>1</v>
      </c>
      <c r="O2960">
        <v>750</v>
      </c>
    </row>
    <row r="2961" spans="1:15" x14ac:dyDescent="0.25">
      <c r="A2961" t="str">
        <f t="shared" ref="A2961:A2966" si="279">"10/21/2020 18:34:43.529"</f>
        <v>10/21/2020 18:34:43.529</v>
      </c>
      <c r="B2961" t="str">
        <f t="shared" ref="B2961:C2965" si="280">"18:34:51.469"</f>
        <v>18:34:51.469</v>
      </c>
      <c r="C2961" t="str">
        <f t="shared" si="280"/>
        <v>18:34:51.469</v>
      </c>
      <c r="D2961" t="s">
        <v>1130</v>
      </c>
      <c r="E2961">
        <v>30.775601999999999</v>
      </c>
      <c r="F2961" t="s">
        <v>1125</v>
      </c>
      <c r="G2961">
        <v>-89.867349000000004</v>
      </c>
      <c r="H2961">
        <v>700</v>
      </c>
      <c r="I2961">
        <v>-3</v>
      </c>
      <c r="J2961">
        <v>119</v>
      </c>
      <c r="K2961">
        <v>-704</v>
      </c>
      <c r="L2961">
        <v>1200</v>
      </c>
      <c r="M2961" t="str">
        <f t="shared" si="277"/>
        <v xml:space="preserve">N35DC   </v>
      </c>
      <c r="N2961">
        <v>1</v>
      </c>
      <c r="O2961">
        <v>750</v>
      </c>
    </row>
    <row r="2962" spans="1:15" x14ac:dyDescent="0.25">
      <c r="A2962" t="str">
        <f t="shared" si="279"/>
        <v>10/21/2020 18:34:43.529</v>
      </c>
      <c r="B2962" t="str">
        <f t="shared" si="280"/>
        <v>18:34:51.469</v>
      </c>
      <c r="C2962" t="str">
        <f t="shared" si="280"/>
        <v>18:34:51.469</v>
      </c>
      <c r="D2962" t="s">
        <v>1130</v>
      </c>
      <c r="E2962">
        <v>30.775601999999999</v>
      </c>
      <c r="F2962" t="s">
        <v>1125</v>
      </c>
      <c r="G2962">
        <v>-89.867349000000004</v>
      </c>
      <c r="H2962">
        <v>700</v>
      </c>
      <c r="I2962">
        <v>-3</v>
      </c>
      <c r="J2962">
        <v>119</v>
      </c>
      <c r="K2962">
        <v>-704</v>
      </c>
      <c r="L2962">
        <v>1200</v>
      </c>
      <c r="M2962" t="str">
        <f t="shared" si="277"/>
        <v xml:space="preserve">N35DC   </v>
      </c>
      <c r="N2962">
        <v>1</v>
      </c>
      <c r="O2962">
        <v>750</v>
      </c>
    </row>
    <row r="2963" spans="1:15" x14ac:dyDescent="0.25">
      <c r="A2963" t="str">
        <f t="shared" si="279"/>
        <v>10/21/2020 18:34:43.529</v>
      </c>
      <c r="B2963" t="str">
        <f t="shared" si="280"/>
        <v>18:34:51.469</v>
      </c>
      <c r="C2963" t="str">
        <f t="shared" si="280"/>
        <v>18:34:51.469</v>
      </c>
      <c r="D2963" t="s">
        <v>1130</v>
      </c>
      <c r="E2963">
        <v>30.775601999999999</v>
      </c>
      <c r="F2963" t="s">
        <v>1125</v>
      </c>
      <c r="G2963">
        <v>-89.867349000000004</v>
      </c>
      <c r="H2963">
        <v>700</v>
      </c>
      <c r="I2963">
        <v>-3</v>
      </c>
      <c r="J2963">
        <v>119</v>
      </c>
      <c r="K2963">
        <v>-704</v>
      </c>
      <c r="L2963">
        <v>1200</v>
      </c>
      <c r="M2963" t="str">
        <f t="shared" si="277"/>
        <v xml:space="preserve">N35DC   </v>
      </c>
      <c r="N2963">
        <v>1</v>
      </c>
      <c r="O2963">
        <v>750</v>
      </c>
    </row>
    <row r="2964" spans="1:15" x14ac:dyDescent="0.25">
      <c r="A2964" t="str">
        <f t="shared" si="279"/>
        <v>10/21/2020 18:34:43.529</v>
      </c>
      <c r="B2964" t="str">
        <f t="shared" si="280"/>
        <v>18:34:51.469</v>
      </c>
      <c r="C2964" t="str">
        <f t="shared" si="280"/>
        <v>18:34:51.469</v>
      </c>
      <c r="D2964" t="s">
        <v>1130</v>
      </c>
      <c r="E2964">
        <v>30.775601999999999</v>
      </c>
      <c r="F2964" t="s">
        <v>1125</v>
      </c>
      <c r="G2964">
        <v>-89.867349000000004</v>
      </c>
      <c r="H2964">
        <v>700</v>
      </c>
      <c r="I2964">
        <v>-3</v>
      </c>
      <c r="J2964">
        <v>119</v>
      </c>
      <c r="K2964">
        <v>-704</v>
      </c>
      <c r="L2964">
        <v>1200</v>
      </c>
      <c r="M2964" t="str">
        <f t="shared" si="277"/>
        <v xml:space="preserve">N35DC   </v>
      </c>
      <c r="N2964">
        <v>1</v>
      </c>
      <c r="O2964">
        <v>750</v>
      </c>
    </row>
    <row r="2965" spans="1:15" x14ac:dyDescent="0.25">
      <c r="A2965" t="str">
        <f t="shared" si="279"/>
        <v>10/21/2020 18:34:43.529</v>
      </c>
      <c r="B2965" t="str">
        <f t="shared" si="280"/>
        <v>18:34:51.469</v>
      </c>
      <c r="C2965" t="str">
        <f t="shared" si="280"/>
        <v>18:34:51.469</v>
      </c>
      <c r="D2965" t="s">
        <v>1130</v>
      </c>
      <c r="E2965">
        <v>30.775601999999999</v>
      </c>
      <c r="F2965" t="s">
        <v>1125</v>
      </c>
      <c r="G2965">
        <v>-89.867349000000004</v>
      </c>
      <c r="H2965">
        <v>700</v>
      </c>
      <c r="I2965">
        <v>-3</v>
      </c>
      <c r="J2965">
        <v>119</v>
      </c>
      <c r="K2965">
        <v>-704</v>
      </c>
      <c r="L2965">
        <v>1200</v>
      </c>
      <c r="M2965" t="str">
        <f t="shared" si="277"/>
        <v xml:space="preserve">N35DC   </v>
      </c>
      <c r="N2965">
        <v>1</v>
      </c>
      <c r="O2965">
        <v>750</v>
      </c>
    </row>
    <row r="2966" spans="1:15" x14ac:dyDescent="0.25">
      <c r="A2966" t="str">
        <f t="shared" si="279"/>
        <v>10/21/2020 18:34:43.529</v>
      </c>
      <c r="B2966" t="str">
        <f>"18:34:51.469"</f>
        <v>18:34:51.469</v>
      </c>
      <c r="C2966" t="str">
        <f>"18:34:50.169"</f>
        <v>18:34:50.169</v>
      </c>
      <c r="D2966" t="s">
        <v>1130</v>
      </c>
      <c r="E2966">
        <v>30.775601999999999</v>
      </c>
      <c r="F2966" t="s">
        <v>1125</v>
      </c>
      <c r="G2966">
        <v>-89.867349000000004</v>
      </c>
      <c r="H2966">
        <v>700</v>
      </c>
      <c r="I2966">
        <v>-2</v>
      </c>
      <c r="J2966">
        <v>120</v>
      </c>
      <c r="K2966">
        <v>-832</v>
      </c>
      <c r="L2966">
        <v>1200</v>
      </c>
      <c r="M2966" t="str">
        <f t="shared" si="277"/>
        <v xml:space="preserve">N35DC   </v>
      </c>
      <c r="N2966">
        <v>1</v>
      </c>
      <c r="O2966">
        <v>775</v>
      </c>
    </row>
    <row r="2967" spans="1:15" x14ac:dyDescent="0.25">
      <c r="A2967" t="str">
        <f>"10/21/2020 18:34:46.482"</f>
        <v>10/21/2020 18:34:46.482</v>
      </c>
      <c r="B2967" t="str">
        <f>"18:34:54.437"</f>
        <v>18:34:54.437</v>
      </c>
      <c r="C2967" t="str">
        <f>"18:34:50.137"</f>
        <v>18:34:50.137</v>
      </c>
      <c r="D2967" t="s">
        <v>1131</v>
      </c>
      <c r="E2967">
        <v>30.777232999999999</v>
      </c>
      <c r="F2967" t="s">
        <v>1132</v>
      </c>
      <c r="G2967">
        <v>-89.867412999999999</v>
      </c>
      <c r="H2967">
        <v>700</v>
      </c>
      <c r="I2967">
        <v>-2</v>
      </c>
      <c r="J2967">
        <v>120</v>
      </c>
      <c r="K2967">
        <v>-832</v>
      </c>
      <c r="L2967">
        <v>1200</v>
      </c>
      <c r="M2967" t="str">
        <f t="shared" si="277"/>
        <v xml:space="preserve">N35DC   </v>
      </c>
      <c r="N2967">
        <v>1</v>
      </c>
      <c r="O2967">
        <v>775</v>
      </c>
    </row>
    <row r="2968" spans="1:15" x14ac:dyDescent="0.25">
      <c r="A2968" t="str">
        <f>"10/21/2020 18:34:46.482"</f>
        <v>10/21/2020 18:34:46.482</v>
      </c>
      <c r="B2968" t="str">
        <f>"18:34:54.437"</f>
        <v>18:34:54.437</v>
      </c>
      <c r="C2968" t="str">
        <f>"18:34:50.137"</f>
        <v>18:34:50.137</v>
      </c>
      <c r="D2968" t="s">
        <v>1131</v>
      </c>
      <c r="E2968">
        <v>30.777232999999999</v>
      </c>
      <c r="F2968" t="s">
        <v>1132</v>
      </c>
      <c r="G2968">
        <v>-89.867412999999999</v>
      </c>
      <c r="H2968">
        <v>700</v>
      </c>
      <c r="I2968">
        <v>-2</v>
      </c>
      <c r="J2968">
        <v>120</v>
      </c>
      <c r="K2968">
        <v>-832</v>
      </c>
      <c r="L2968">
        <v>1200</v>
      </c>
      <c r="M2968" t="str">
        <f t="shared" si="277"/>
        <v xml:space="preserve">N35DC   </v>
      </c>
      <c r="N2968">
        <v>1</v>
      </c>
      <c r="O2968">
        <v>775</v>
      </c>
    </row>
    <row r="2969" spans="1:15" x14ac:dyDescent="0.25">
      <c r="A2969" t="str">
        <f>"10/21/2020 18:34:46.482"</f>
        <v>10/21/2020 18:34:46.482</v>
      </c>
      <c r="B2969" t="str">
        <f>"18:34:54.437"</f>
        <v>18:34:54.437</v>
      </c>
      <c r="C2969" t="str">
        <f>"18:34:50.137"</f>
        <v>18:34:50.137</v>
      </c>
      <c r="D2969" t="s">
        <v>1131</v>
      </c>
      <c r="E2969">
        <v>30.777232999999999</v>
      </c>
      <c r="F2969" t="s">
        <v>1132</v>
      </c>
      <c r="G2969">
        <v>-89.867412999999999</v>
      </c>
      <c r="H2969">
        <v>700</v>
      </c>
      <c r="I2969">
        <v>-2</v>
      </c>
      <c r="J2969">
        <v>120</v>
      </c>
      <c r="K2969">
        <v>-832</v>
      </c>
      <c r="L2969">
        <v>1200</v>
      </c>
      <c r="M2969" t="str">
        <f t="shared" si="277"/>
        <v xml:space="preserve">N35DC   </v>
      </c>
      <c r="N2969">
        <v>1</v>
      </c>
      <c r="O2969">
        <v>775</v>
      </c>
    </row>
    <row r="2970" spans="1:15" x14ac:dyDescent="0.25">
      <c r="A2970" t="str">
        <f>"10/21/2020 18:34:46.482"</f>
        <v>10/21/2020 18:34:46.482</v>
      </c>
      <c r="B2970" t="str">
        <f>"18:34:54.437"</f>
        <v>18:34:54.437</v>
      </c>
      <c r="C2970" t="str">
        <f>"18:34:50.137"</f>
        <v>18:34:50.137</v>
      </c>
      <c r="D2970" t="s">
        <v>1131</v>
      </c>
      <c r="E2970">
        <v>30.777232999999999</v>
      </c>
      <c r="F2970" t="s">
        <v>1132</v>
      </c>
      <c r="G2970">
        <v>-89.867412999999999</v>
      </c>
      <c r="H2970">
        <v>700</v>
      </c>
      <c r="I2970">
        <v>-2</v>
      </c>
      <c r="J2970">
        <v>120</v>
      </c>
      <c r="K2970">
        <v>-832</v>
      </c>
      <c r="L2970">
        <v>1200</v>
      </c>
      <c r="M2970" t="str">
        <f t="shared" si="277"/>
        <v xml:space="preserve">N35DC   </v>
      </c>
      <c r="N2970">
        <v>1</v>
      </c>
      <c r="O2970">
        <v>775</v>
      </c>
    </row>
    <row r="2971" spans="1:15" x14ac:dyDescent="0.25">
      <c r="A2971" t="str">
        <f>"10/21/2020 18:34:46.482"</f>
        <v>10/21/2020 18:34:46.482</v>
      </c>
      <c r="B2971" t="str">
        <f>"18:34:54.437"</f>
        <v>18:34:54.437</v>
      </c>
      <c r="C2971" t="str">
        <f>"18:34:50.137"</f>
        <v>18:34:50.137</v>
      </c>
      <c r="D2971" t="s">
        <v>1131</v>
      </c>
      <c r="E2971">
        <v>30.777232999999999</v>
      </c>
      <c r="F2971" t="s">
        <v>1132</v>
      </c>
      <c r="G2971">
        <v>-89.867412999999999</v>
      </c>
      <c r="H2971">
        <v>700</v>
      </c>
      <c r="I2971">
        <v>-2</v>
      </c>
      <c r="J2971">
        <v>120</v>
      </c>
      <c r="K2971">
        <v>-832</v>
      </c>
      <c r="L2971">
        <v>1200</v>
      </c>
      <c r="M2971" t="str">
        <f t="shared" si="277"/>
        <v xml:space="preserve">N35DC   </v>
      </c>
      <c r="N2971">
        <v>1</v>
      </c>
      <c r="O2971">
        <v>775</v>
      </c>
    </row>
    <row r="2972" spans="1:15" x14ac:dyDescent="0.25">
      <c r="A2972" t="str">
        <f>"10/21/2020 18:34:49.592"</f>
        <v>10/21/2020 18:34:49.592</v>
      </c>
      <c r="B2972" t="str">
        <f>"18:34:57.500"</f>
        <v>18:34:57.500</v>
      </c>
      <c r="C2972" t="str">
        <f>"18:34:56.100"</f>
        <v>18:34:56.100</v>
      </c>
      <c r="D2972" t="s">
        <v>1133</v>
      </c>
      <c r="E2972">
        <v>30.778842000000001</v>
      </c>
      <c r="F2972" t="s">
        <v>1125</v>
      </c>
      <c r="G2972">
        <v>-89.867349000000004</v>
      </c>
      <c r="H2972">
        <v>700</v>
      </c>
      <c r="I2972">
        <v>3</v>
      </c>
      <c r="J2972">
        <v>115</v>
      </c>
      <c r="K2972">
        <v>-256</v>
      </c>
      <c r="L2972">
        <v>1200</v>
      </c>
      <c r="M2972" t="str">
        <f t="shared" si="277"/>
        <v xml:space="preserve">N35DC   </v>
      </c>
      <c r="N2972">
        <v>1</v>
      </c>
      <c r="O2972">
        <v>700</v>
      </c>
    </row>
    <row r="2973" spans="1:15" x14ac:dyDescent="0.25">
      <c r="A2973" t="str">
        <f>"10/21/2020 18:34:49.592"</f>
        <v>10/21/2020 18:34:49.592</v>
      </c>
      <c r="B2973" t="str">
        <f>"18:34:57.500"</f>
        <v>18:34:57.500</v>
      </c>
      <c r="C2973" t="str">
        <f>"18:34:56.100"</f>
        <v>18:34:56.100</v>
      </c>
      <c r="D2973" t="s">
        <v>1133</v>
      </c>
      <c r="E2973">
        <v>30.778842000000001</v>
      </c>
      <c r="F2973" t="s">
        <v>1125</v>
      </c>
      <c r="G2973">
        <v>-89.867349000000004</v>
      </c>
      <c r="H2973">
        <v>700</v>
      </c>
      <c r="I2973">
        <v>3</v>
      </c>
      <c r="J2973">
        <v>115</v>
      </c>
      <c r="K2973">
        <v>-256</v>
      </c>
      <c r="L2973">
        <v>1200</v>
      </c>
      <c r="M2973" t="str">
        <f t="shared" si="277"/>
        <v xml:space="preserve">N35DC   </v>
      </c>
      <c r="N2973">
        <v>1</v>
      </c>
      <c r="O2973">
        <v>700</v>
      </c>
    </row>
    <row r="2974" spans="1:15" x14ac:dyDescent="0.25">
      <c r="A2974" t="str">
        <f>"10/21/2020 18:34:49.592"</f>
        <v>10/21/2020 18:34:49.592</v>
      </c>
      <c r="B2974" t="str">
        <f>"18:34:57.500"</f>
        <v>18:34:57.500</v>
      </c>
      <c r="C2974" t="str">
        <f>"18:34:56.100"</f>
        <v>18:34:56.100</v>
      </c>
      <c r="D2974" t="s">
        <v>1133</v>
      </c>
      <c r="E2974">
        <v>30.778842000000001</v>
      </c>
      <c r="F2974" t="s">
        <v>1125</v>
      </c>
      <c r="G2974">
        <v>-89.867349000000004</v>
      </c>
      <c r="H2974">
        <v>700</v>
      </c>
      <c r="I2974">
        <v>3</v>
      </c>
      <c r="J2974">
        <v>115</v>
      </c>
      <c r="K2974">
        <v>-256</v>
      </c>
      <c r="L2974">
        <v>1200</v>
      </c>
      <c r="M2974" t="str">
        <f t="shared" si="277"/>
        <v xml:space="preserve">N35DC   </v>
      </c>
      <c r="N2974">
        <v>1</v>
      </c>
      <c r="O2974">
        <v>700</v>
      </c>
    </row>
    <row r="2975" spans="1:15" x14ac:dyDescent="0.25">
      <c r="A2975" t="str">
        <f>"10/21/2020 18:34:49.592"</f>
        <v>10/21/2020 18:34:49.592</v>
      </c>
      <c r="B2975" t="str">
        <f>"18:34:57.500"</f>
        <v>18:34:57.500</v>
      </c>
      <c r="C2975" t="str">
        <f>"18:34:56.100"</f>
        <v>18:34:56.100</v>
      </c>
      <c r="D2975" t="s">
        <v>1133</v>
      </c>
      <c r="E2975">
        <v>30.778842000000001</v>
      </c>
      <c r="F2975" t="s">
        <v>1125</v>
      </c>
      <c r="G2975">
        <v>-89.867349000000004</v>
      </c>
      <c r="H2975">
        <v>700</v>
      </c>
      <c r="I2975">
        <v>3</v>
      </c>
      <c r="J2975">
        <v>115</v>
      </c>
      <c r="K2975">
        <v>-256</v>
      </c>
      <c r="L2975">
        <v>1200</v>
      </c>
      <c r="M2975" t="str">
        <f t="shared" si="277"/>
        <v xml:space="preserve">N35DC   </v>
      </c>
      <c r="N2975">
        <v>1</v>
      </c>
      <c r="O2975">
        <v>700</v>
      </c>
    </row>
    <row r="2976" spans="1:15" x14ac:dyDescent="0.25">
      <c r="A2976" t="str">
        <f>"10/21/2020 18:34:49.592"</f>
        <v>10/21/2020 18:34:49.592</v>
      </c>
      <c r="B2976" t="str">
        <f>"18:34:57.500"</f>
        <v>18:34:57.500</v>
      </c>
      <c r="C2976" t="str">
        <f>"18:34:56.100"</f>
        <v>18:34:56.100</v>
      </c>
      <c r="D2976" t="s">
        <v>1133</v>
      </c>
      <c r="E2976">
        <v>30.778842000000001</v>
      </c>
      <c r="F2976" t="s">
        <v>1125</v>
      </c>
      <c r="G2976">
        <v>-89.867349000000004</v>
      </c>
      <c r="H2976">
        <v>700</v>
      </c>
      <c r="I2976">
        <v>3</v>
      </c>
      <c r="J2976">
        <v>115</v>
      </c>
      <c r="K2976">
        <v>-256</v>
      </c>
      <c r="L2976">
        <v>1200</v>
      </c>
      <c r="M2976" t="str">
        <f t="shared" si="277"/>
        <v xml:space="preserve">N35DC   </v>
      </c>
      <c r="N2976">
        <v>1</v>
      </c>
      <c r="O2976">
        <v>700</v>
      </c>
    </row>
    <row r="2977" spans="1:15" x14ac:dyDescent="0.25">
      <c r="A2977" t="str">
        <f>"10/21/2020 18:34:50.622"</f>
        <v>10/21/2020 18:34:50.622</v>
      </c>
      <c r="B2977" t="str">
        <f>"18:34:58.516"</f>
        <v>18:34:58.516</v>
      </c>
      <c r="C2977" t="str">
        <f>"18:34:57.616"</f>
        <v>18:34:57.616</v>
      </c>
      <c r="D2977" t="s">
        <v>1134</v>
      </c>
      <c r="E2977">
        <v>30.779378000000001</v>
      </c>
      <c r="F2977" t="s">
        <v>1135</v>
      </c>
      <c r="G2977">
        <v>-89.867305999999999</v>
      </c>
      <c r="H2977">
        <v>600</v>
      </c>
      <c r="I2977">
        <v>7</v>
      </c>
      <c r="J2977">
        <v>113</v>
      </c>
      <c r="K2977">
        <v>-320</v>
      </c>
      <c r="L2977">
        <v>1200</v>
      </c>
      <c r="M2977" t="str">
        <f t="shared" si="277"/>
        <v xml:space="preserve">N35DC   </v>
      </c>
      <c r="N2977">
        <v>1</v>
      </c>
      <c r="O2977">
        <v>700</v>
      </c>
    </row>
    <row r="2978" spans="1:15" x14ac:dyDescent="0.25">
      <c r="A2978" t="str">
        <f>"10/21/2020 18:34:50.622"</f>
        <v>10/21/2020 18:34:50.622</v>
      </c>
      <c r="B2978" t="str">
        <f>"18:34:58.516"</f>
        <v>18:34:58.516</v>
      </c>
      <c r="C2978" t="str">
        <f>"18:34:57.616"</f>
        <v>18:34:57.616</v>
      </c>
      <c r="D2978" t="s">
        <v>1134</v>
      </c>
      <c r="E2978">
        <v>30.779378000000001</v>
      </c>
      <c r="F2978" t="s">
        <v>1135</v>
      </c>
      <c r="G2978">
        <v>-89.867305999999999</v>
      </c>
      <c r="H2978">
        <v>600</v>
      </c>
      <c r="I2978">
        <v>7</v>
      </c>
      <c r="J2978">
        <v>113</v>
      </c>
      <c r="K2978">
        <v>-320</v>
      </c>
      <c r="L2978">
        <v>1200</v>
      </c>
      <c r="M2978" t="str">
        <f t="shared" si="277"/>
        <v xml:space="preserve">N35DC   </v>
      </c>
      <c r="N2978">
        <v>1</v>
      </c>
      <c r="O2978">
        <v>700</v>
      </c>
    </row>
    <row r="2979" spans="1:15" x14ac:dyDescent="0.25">
      <c r="A2979" t="str">
        <f>"10/21/2020 18:34:50.622"</f>
        <v>10/21/2020 18:34:50.622</v>
      </c>
      <c r="B2979" t="str">
        <f>"18:34:58.516"</f>
        <v>18:34:58.516</v>
      </c>
      <c r="C2979" t="str">
        <f>"18:34:57.616"</f>
        <v>18:34:57.616</v>
      </c>
      <c r="D2979" t="s">
        <v>1134</v>
      </c>
      <c r="E2979">
        <v>30.779378000000001</v>
      </c>
      <c r="F2979" t="s">
        <v>1135</v>
      </c>
      <c r="G2979">
        <v>-89.867305999999999</v>
      </c>
      <c r="H2979">
        <v>600</v>
      </c>
      <c r="I2979">
        <v>7</v>
      </c>
      <c r="J2979">
        <v>113</v>
      </c>
      <c r="K2979">
        <v>-320</v>
      </c>
      <c r="L2979">
        <v>1200</v>
      </c>
      <c r="M2979" t="str">
        <f t="shared" si="277"/>
        <v xml:space="preserve">N35DC   </v>
      </c>
      <c r="N2979">
        <v>1</v>
      </c>
      <c r="O2979">
        <v>700</v>
      </c>
    </row>
    <row r="2980" spans="1:15" x14ac:dyDescent="0.25">
      <c r="A2980" t="str">
        <f>"10/21/2020 18:34:50.622"</f>
        <v>10/21/2020 18:34:50.622</v>
      </c>
      <c r="B2980" t="str">
        <f>"18:34:58.516"</f>
        <v>18:34:58.516</v>
      </c>
      <c r="C2980" t="str">
        <f>"18:34:57.616"</f>
        <v>18:34:57.616</v>
      </c>
      <c r="D2980" t="s">
        <v>1134</v>
      </c>
      <c r="E2980">
        <v>30.779378000000001</v>
      </c>
      <c r="F2980" t="s">
        <v>1135</v>
      </c>
      <c r="G2980">
        <v>-89.867305999999999</v>
      </c>
      <c r="H2980">
        <v>600</v>
      </c>
      <c r="I2980">
        <v>7</v>
      </c>
      <c r="J2980">
        <v>113</v>
      </c>
      <c r="K2980">
        <v>-320</v>
      </c>
      <c r="L2980">
        <v>1200</v>
      </c>
      <c r="M2980" t="str">
        <f t="shared" si="277"/>
        <v xml:space="preserve">N35DC   </v>
      </c>
      <c r="N2980">
        <v>1</v>
      </c>
      <c r="O2980">
        <v>700</v>
      </c>
    </row>
    <row r="2981" spans="1:15" x14ac:dyDescent="0.25">
      <c r="A2981" t="str">
        <f>"10/21/2020 18:34:50.622"</f>
        <v>10/21/2020 18:34:50.622</v>
      </c>
      <c r="B2981" t="str">
        <f>"18:34:58.516"</f>
        <v>18:34:58.516</v>
      </c>
      <c r="C2981" t="str">
        <f>"18:34:57.616"</f>
        <v>18:34:57.616</v>
      </c>
      <c r="D2981" t="s">
        <v>1134</v>
      </c>
      <c r="E2981">
        <v>30.779378000000001</v>
      </c>
      <c r="F2981" t="s">
        <v>1135</v>
      </c>
      <c r="G2981">
        <v>-89.867305999999999</v>
      </c>
      <c r="H2981">
        <v>600</v>
      </c>
      <c r="I2981">
        <v>7</v>
      </c>
      <c r="J2981">
        <v>113</v>
      </c>
      <c r="K2981">
        <v>-320</v>
      </c>
      <c r="L2981">
        <v>1200</v>
      </c>
      <c r="M2981" t="str">
        <f t="shared" si="277"/>
        <v xml:space="preserve">N35DC   </v>
      </c>
      <c r="N2981">
        <v>1</v>
      </c>
      <c r="O2981">
        <v>700</v>
      </c>
    </row>
    <row r="2982" spans="1:15" x14ac:dyDescent="0.25">
      <c r="A2982" t="str">
        <f>"10/21/2020 18:34:52.743"</f>
        <v>10/21/2020 18:34:52.743</v>
      </c>
      <c r="B2982" t="str">
        <f t="shared" ref="B2982:C2986" si="281">"18:35:00.648"</f>
        <v>18:35:00.648</v>
      </c>
      <c r="C2982" t="str">
        <f t="shared" si="281"/>
        <v>18:35:00.648</v>
      </c>
      <c r="D2982" t="s">
        <v>1136</v>
      </c>
      <c r="E2982">
        <v>30.780473000000001</v>
      </c>
      <c r="F2982" t="s">
        <v>1137</v>
      </c>
      <c r="G2982">
        <v>-89.867176999999998</v>
      </c>
      <c r="H2982">
        <v>600</v>
      </c>
      <c r="I2982">
        <v>15</v>
      </c>
      <c r="J2982">
        <v>112</v>
      </c>
      <c r="K2982">
        <v>-640</v>
      </c>
      <c r="L2982">
        <v>1200</v>
      </c>
      <c r="M2982" t="str">
        <f t="shared" si="277"/>
        <v xml:space="preserve">N35DC   </v>
      </c>
      <c r="N2982">
        <v>1</v>
      </c>
      <c r="O2982">
        <v>675</v>
      </c>
    </row>
    <row r="2983" spans="1:15" x14ac:dyDescent="0.25">
      <c r="A2983" t="str">
        <f>"10/21/2020 18:34:52.743"</f>
        <v>10/21/2020 18:34:52.743</v>
      </c>
      <c r="B2983" t="str">
        <f t="shared" si="281"/>
        <v>18:35:00.648</v>
      </c>
      <c r="C2983" t="str">
        <f t="shared" si="281"/>
        <v>18:35:00.648</v>
      </c>
      <c r="D2983" t="s">
        <v>1136</v>
      </c>
      <c r="E2983">
        <v>30.780473000000001</v>
      </c>
      <c r="F2983" t="s">
        <v>1137</v>
      </c>
      <c r="G2983">
        <v>-89.867176999999998</v>
      </c>
      <c r="H2983">
        <v>600</v>
      </c>
      <c r="I2983">
        <v>15</v>
      </c>
      <c r="J2983">
        <v>112</v>
      </c>
      <c r="K2983">
        <v>-640</v>
      </c>
      <c r="L2983">
        <v>1200</v>
      </c>
      <c r="M2983" t="str">
        <f t="shared" si="277"/>
        <v xml:space="preserve">N35DC   </v>
      </c>
      <c r="N2983">
        <v>1</v>
      </c>
      <c r="O2983">
        <v>675</v>
      </c>
    </row>
    <row r="2984" spans="1:15" x14ac:dyDescent="0.25">
      <c r="A2984" t="str">
        <f>"10/21/2020 18:34:52.743"</f>
        <v>10/21/2020 18:34:52.743</v>
      </c>
      <c r="B2984" t="str">
        <f t="shared" si="281"/>
        <v>18:35:00.648</v>
      </c>
      <c r="C2984" t="str">
        <f t="shared" si="281"/>
        <v>18:35:00.648</v>
      </c>
      <c r="D2984" t="s">
        <v>1136</v>
      </c>
      <c r="E2984">
        <v>30.780473000000001</v>
      </c>
      <c r="F2984" t="s">
        <v>1137</v>
      </c>
      <c r="G2984">
        <v>-89.867176999999998</v>
      </c>
      <c r="H2984">
        <v>600</v>
      </c>
      <c r="I2984">
        <v>15</v>
      </c>
      <c r="J2984">
        <v>112</v>
      </c>
      <c r="K2984">
        <v>-640</v>
      </c>
      <c r="L2984">
        <v>1200</v>
      </c>
      <c r="M2984" t="str">
        <f t="shared" si="277"/>
        <v xml:space="preserve">N35DC   </v>
      </c>
      <c r="N2984">
        <v>1</v>
      </c>
      <c r="O2984">
        <v>675</v>
      </c>
    </row>
    <row r="2985" spans="1:15" x14ac:dyDescent="0.25">
      <c r="A2985" t="str">
        <f>"10/21/2020 18:34:52.743"</f>
        <v>10/21/2020 18:34:52.743</v>
      </c>
      <c r="B2985" t="str">
        <f t="shared" si="281"/>
        <v>18:35:00.648</v>
      </c>
      <c r="C2985" t="str">
        <f t="shared" si="281"/>
        <v>18:35:00.648</v>
      </c>
      <c r="D2985" t="s">
        <v>1136</v>
      </c>
      <c r="E2985">
        <v>30.780473000000001</v>
      </c>
      <c r="F2985" t="s">
        <v>1137</v>
      </c>
      <c r="G2985">
        <v>-89.867176999999998</v>
      </c>
      <c r="H2985">
        <v>600</v>
      </c>
      <c r="I2985">
        <v>15</v>
      </c>
      <c r="J2985">
        <v>112</v>
      </c>
      <c r="K2985">
        <v>-640</v>
      </c>
      <c r="L2985">
        <v>1200</v>
      </c>
      <c r="M2985" t="str">
        <f t="shared" si="277"/>
        <v xml:space="preserve">N35DC   </v>
      </c>
      <c r="N2985">
        <v>1</v>
      </c>
      <c r="O2985">
        <v>675</v>
      </c>
    </row>
    <row r="2986" spans="1:15" x14ac:dyDescent="0.25">
      <c r="A2986" t="str">
        <f>"10/21/2020 18:34:52.743"</f>
        <v>10/21/2020 18:34:52.743</v>
      </c>
      <c r="B2986" t="str">
        <f t="shared" si="281"/>
        <v>18:35:00.648</v>
      </c>
      <c r="C2986" t="str">
        <f t="shared" si="281"/>
        <v>18:35:00.648</v>
      </c>
      <c r="D2986" t="s">
        <v>1136</v>
      </c>
      <c r="E2986">
        <v>30.780473000000001</v>
      </c>
      <c r="F2986" t="s">
        <v>1137</v>
      </c>
      <c r="G2986">
        <v>-89.867176999999998</v>
      </c>
      <c r="H2986">
        <v>600</v>
      </c>
      <c r="I2986">
        <v>15</v>
      </c>
      <c r="J2986">
        <v>112</v>
      </c>
      <c r="K2986">
        <v>-640</v>
      </c>
      <c r="L2986">
        <v>1200</v>
      </c>
      <c r="M2986" t="str">
        <f t="shared" si="277"/>
        <v xml:space="preserve">N35DC   </v>
      </c>
      <c r="N2986">
        <v>1</v>
      </c>
      <c r="O2986">
        <v>675</v>
      </c>
    </row>
    <row r="2987" spans="1:15" x14ac:dyDescent="0.25">
      <c r="A2987" t="str">
        <f>"10/21/2020 18:34:53.654"</f>
        <v>10/21/2020 18:34:53.654</v>
      </c>
      <c r="B2987" t="str">
        <f>"18:35:01.562"</f>
        <v>18:35:01.562</v>
      </c>
      <c r="C2987" t="str">
        <f>"18:35:01.062"</f>
        <v>18:35:01.062</v>
      </c>
      <c r="D2987" t="s">
        <v>1138</v>
      </c>
      <c r="E2987">
        <v>30.780988000000001</v>
      </c>
      <c r="F2987" t="s">
        <v>1139</v>
      </c>
      <c r="G2987">
        <v>-89.867069999999998</v>
      </c>
      <c r="H2987">
        <v>600</v>
      </c>
      <c r="I2987">
        <v>16</v>
      </c>
      <c r="J2987">
        <v>111</v>
      </c>
      <c r="K2987">
        <v>-704</v>
      </c>
      <c r="L2987">
        <v>1200</v>
      </c>
      <c r="M2987" t="str">
        <f t="shared" si="277"/>
        <v xml:space="preserve">N35DC   </v>
      </c>
      <c r="N2987">
        <v>1</v>
      </c>
      <c r="O2987">
        <v>675</v>
      </c>
    </row>
    <row r="2988" spans="1:15" x14ac:dyDescent="0.25">
      <c r="A2988" t="str">
        <f>"10/21/2020 18:34:53.654"</f>
        <v>10/21/2020 18:34:53.654</v>
      </c>
      <c r="B2988" t="str">
        <f>"18:35:01.562"</f>
        <v>18:35:01.562</v>
      </c>
      <c r="C2988" t="str">
        <f>"18:35:01.062"</f>
        <v>18:35:01.062</v>
      </c>
      <c r="D2988" t="s">
        <v>1138</v>
      </c>
      <c r="E2988">
        <v>30.780988000000001</v>
      </c>
      <c r="F2988" t="s">
        <v>1139</v>
      </c>
      <c r="G2988">
        <v>-89.867069999999998</v>
      </c>
      <c r="H2988">
        <v>600</v>
      </c>
      <c r="I2988">
        <v>16</v>
      </c>
      <c r="J2988">
        <v>111</v>
      </c>
      <c r="K2988">
        <v>-704</v>
      </c>
      <c r="L2988">
        <v>1200</v>
      </c>
      <c r="M2988" t="str">
        <f t="shared" si="277"/>
        <v xml:space="preserve">N35DC   </v>
      </c>
      <c r="N2988">
        <v>1</v>
      </c>
      <c r="O2988">
        <v>675</v>
      </c>
    </row>
    <row r="2989" spans="1:15" x14ac:dyDescent="0.25">
      <c r="A2989" t="str">
        <f>"10/21/2020 18:34:53.654"</f>
        <v>10/21/2020 18:34:53.654</v>
      </c>
      <c r="B2989" t="str">
        <f>"18:35:01.562"</f>
        <v>18:35:01.562</v>
      </c>
      <c r="C2989" t="str">
        <f>"18:35:01.062"</f>
        <v>18:35:01.062</v>
      </c>
      <c r="D2989" t="s">
        <v>1138</v>
      </c>
      <c r="E2989">
        <v>30.780988000000001</v>
      </c>
      <c r="F2989" t="s">
        <v>1139</v>
      </c>
      <c r="G2989">
        <v>-89.867069999999998</v>
      </c>
      <c r="H2989">
        <v>600</v>
      </c>
      <c r="I2989">
        <v>16</v>
      </c>
      <c r="J2989">
        <v>111</v>
      </c>
      <c r="K2989">
        <v>-704</v>
      </c>
      <c r="L2989">
        <v>1200</v>
      </c>
      <c r="M2989" t="str">
        <f t="shared" si="277"/>
        <v xml:space="preserve">N35DC   </v>
      </c>
      <c r="N2989">
        <v>1</v>
      </c>
      <c r="O2989">
        <v>675</v>
      </c>
    </row>
    <row r="2990" spans="1:15" x14ac:dyDescent="0.25">
      <c r="A2990" t="str">
        <f>"10/21/2020 18:34:53.654"</f>
        <v>10/21/2020 18:34:53.654</v>
      </c>
      <c r="B2990" t="str">
        <f>"18:35:01.562"</f>
        <v>18:35:01.562</v>
      </c>
      <c r="C2990" t="str">
        <f>"18:35:01.062"</f>
        <v>18:35:01.062</v>
      </c>
      <c r="D2990" t="s">
        <v>1138</v>
      </c>
      <c r="E2990">
        <v>30.780988000000001</v>
      </c>
      <c r="F2990" t="s">
        <v>1139</v>
      </c>
      <c r="G2990">
        <v>-89.867069999999998</v>
      </c>
      <c r="H2990">
        <v>600</v>
      </c>
      <c r="I2990">
        <v>16</v>
      </c>
      <c r="J2990">
        <v>111</v>
      </c>
      <c r="K2990">
        <v>-704</v>
      </c>
      <c r="L2990">
        <v>1200</v>
      </c>
      <c r="M2990" t="str">
        <f t="shared" si="277"/>
        <v xml:space="preserve">N35DC   </v>
      </c>
      <c r="N2990">
        <v>1</v>
      </c>
      <c r="O2990">
        <v>675</v>
      </c>
    </row>
    <row r="2991" spans="1:15" x14ac:dyDescent="0.25">
      <c r="A2991" t="str">
        <f>"10/21/2020 18:34:53.654"</f>
        <v>10/21/2020 18:34:53.654</v>
      </c>
      <c r="B2991" t="str">
        <f>"18:35:01.562"</f>
        <v>18:35:01.562</v>
      </c>
      <c r="C2991" t="str">
        <f>"18:35:01.062"</f>
        <v>18:35:01.062</v>
      </c>
      <c r="D2991" t="s">
        <v>1138</v>
      </c>
      <c r="E2991">
        <v>30.780988000000001</v>
      </c>
      <c r="F2991" t="s">
        <v>1139</v>
      </c>
      <c r="G2991">
        <v>-89.867069999999998</v>
      </c>
      <c r="H2991">
        <v>600</v>
      </c>
      <c r="I2991">
        <v>16</v>
      </c>
      <c r="J2991">
        <v>111</v>
      </c>
      <c r="K2991">
        <v>-704</v>
      </c>
      <c r="L2991">
        <v>1200</v>
      </c>
      <c r="M2991" t="str">
        <f t="shared" si="277"/>
        <v xml:space="preserve">N35DC   </v>
      </c>
      <c r="N2991">
        <v>1</v>
      </c>
      <c r="O2991">
        <v>675</v>
      </c>
    </row>
    <row r="2992" spans="1:15" x14ac:dyDescent="0.25">
      <c r="A2992" t="str">
        <f>"10/21/2020 18:34:54.515"</f>
        <v>10/21/2020 18:34:54.515</v>
      </c>
      <c r="B2992" t="str">
        <f>"18:35:02.422"</f>
        <v>18:35:02.422</v>
      </c>
      <c r="C2992" t="str">
        <f>"18:35:02.122"</f>
        <v>18:35:02.122</v>
      </c>
      <c r="D2992" t="s">
        <v>1140</v>
      </c>
      <c r="E2992">
        <v>30.781395</v>
      </c>
      <c r="F2992" t="s">
        <v>1141</v>
      </c>
      <c r="G2992">
        <v>-89.866984000000002</v>
      </c>
      <c r="H2992">
        <v>600</v>
      </c>
      <c r="I2992">
        <v>18</v>
      </c>
      <c r="J2992">
        <v>111</v>
      </c>
      <c r="K2992">
        <v>-960</v>
      </c>
      <c r="L2992">
        <v>1200</v>
      </c>
      <c r="M2992" t="str">
        <f t="shared" si="277"/>
        <v xml:space="preserve">N35DC   </v>
      </c>
      <c r="N2992">
        <v>1</v>
      </c>
      <c r="O2992">
        <v>650</v>
      </c>
    </row>
    <row r="2993" spans="1:15" x14ac:dyDescent="0.25">
      <c r="A2993" t="str">
        <f>"10/21/2020 18:34:54.515"</f>
        <v>10/21/2020 18:34:54.515</v>
      </c>
      <c r="B2993" t="str">
        <f>"18:35:02.422"</f>
        <v>18:35:02.422</v>
      </c>
      <c r="C2993" t="str">
        <f>"18:35:02.122"</f>
        <v>18:35:02.122</v>
      </c>
      <c r="D2993" t="s">
        <v>1140</v>
      </c>
      <c r="E2993">
        <v>30.781395</v>
      </c>
      <c r="F2993" t="s">
        <v>1141</v>
      </c>
      <c r="G2993">
        <v>-89.866984000000002</v>
      </c>
      <c r="H2993">
        <v>600</v>
      </c>
      <c r="I2993">
        <v>18</v>
      </c>
      <c r="J2993">
        <v>111</v>
      </c>
      <c r="K2993">
        <v>-960</v>
      </c>
      <c r="L2993">
        <v>1200</v>
      </c>
      <c r="M2993" t="str">
        <f t="shared" si="277"/>
        <v xml:space="preserve">N35DC   </v>
      </c>
      <c r="N2993">
        <v>1</v>
      </c>
      <c r="O2993">
        <v>650</v>
      </c>
    </row>
    <row r="2994" spans="1:15" x14ac:dyDescent="0.25">
      <c r="A2994" t="str">
        <f>"10/21/2020 18:34:54.515"</f>
        <v>10/21/2020 18:34:54.515</v>
      </c>
      <c r="B2994" t="str">
        <f>"18:35:02.422"</f>
        <v>18:35:02.422</v>
      </c>
      <c r="C2994" t="str">
        <f>"18:35:02.122"</f>
        <v>18:35:02.122</v>
      </c>
      <c r="D2994" t="s">
        <v>1140</v>
      </c>
      <c r="E2994">
        <v>30.781395</v>
      </c>
      <c r="F2994" t="s">
        <v>1141</v>
      </c>
      <c r="G2994">
        <v>-89.866984000000002</v>
      </c>
      <c r="H2994">
        <v>600</v>
      </c>
      <c r="I2994">
        <v>18</v>
      </c>
      <c r="J2994">
        <v>111</v>
      </c>
      <c r="K2994">
        <v>-960</v>
      </c>
      <c r="L2994">
        <v>1200</v>
      </c>
      <c r="M2994" t="str">
        <f t="shared" si="277"/>
        <v xml:space="preserve">N35DC   </v>
      </c>
      <c r="N2994">
        <v>1</v>
      </c>
      <c r="O2994">
        <v>650</v>
      </c>
    </row>
    <row r="2995" spans="1:15" x14ac:dyDescent="0.25">
      <c r="A2995" t="str">
        <f>"10/21/2020 18:34:54.515"</f>
        <v>10/21/2020 18:34:54.515</v>
      </c>
      <c r="B2995" t="str">
        <f>"18:35:02.422"</f>
        <v>18:35:02.422</v>
      </c>
      <c r="C2995" t="str">
        <f>"18:35:02.122"</f>
        <v>18:35:02.122</v>
      </c>
      <c r="D2995" t="s">
        <v>1140</v>
      </c>
      <c r="E2995">
        <v>30.781395</v>
      </c>
      <c r="F2995" t="s">
        <v>1141</v>
      </c>
      <c r="G2995">
        <v>-89.866984000000002</v>
      </c>
      <c r="H2995">
        <v>600</v>
      </c>
      <c r="I2995">
        <v>18</v>
      </c>
      <c r="J2995">
        <v>111</v>
      </c>
      <c r="K2995">
        <v>-960</v>
      </c>
      <c r="L2995">
        <v>1200</v>
      </c>
      <c r="M2995" t="str">
        <f t="shared" si="277"/>
        <v xml:space="preserve">N35DC   </v>
      </c>
      <c r="N2995">
        <v>1</v>
      </c>
      <c r="O2995">
        <v>650</v>
      </c>
    </row>
    <row r="2996" spans="1:15" x14ac:dyDescent="0.25">
      <c r="A2996" t="str">
        <f>"10/21/2020 18:34:54.515"</f>
        <v>10/21/2020 18:34:54.515</v>
      </c>
      <c r="B2996" t="str">
        <f>"18:35:02.422"</f>
        <v>18:35:02.422</v>
      </c>
      <c r="C2996" t="str">
        <f>"18:35:02.122"</f>
        <v>18:35:02.122</v>
      </c>
      <c r="D2996" t="s">
        <v>1140</v>
      </c>
      <c r="E2996">
        <v>30.781395</v>
      </c>
      <c r="F2996" t="s">
        <v>1141</v>
      </c>
      <c r="G2996">
        <v>-89.866984000000002</v>
      </c>
      <c r="H2996">
        <v>600</v>
      </c>
      <c r="I2996">
        <v>18</v>
      </c>
      <c r="J2996">
        <v>111</v>
      </c>
      <c r="K2996">
        <v>-960</v>
      </c>
      <c r="L2996">
        <v>1200</v>
      </c>
      <c r="M2996" t="str">
        <f t="shared" si="277"/>
        <v xml:space="preserve">N35DC   </v>
      </c>
      <c r="N2996">
        <v>1</v>
      </c>
      <c r="O2996">
        <v>650</v>
      </c>
    </row>
    <row r="2997" spans="1:15" x14ac:dyDescent="0.25">
      <c r="A2997" t="str">
        <f>"10/21/2020 18:34:57.407"</f>
        <v>10/21/2020 18:34:57.407</v>
      </c>
      <c r="B2997" t="str">
        <f>"18:35:05.344"</f>
        <v>18:35:05.344</v>
      </c>
      <c r="C2997" t="str">
        <f>"18:35:05.244"</f>
        <v>18:35:05.244</v>
      </c>
      <c r="D2997" t="s">
        <v>1142</v>
      </c>
      <c r="E2997">
        <v>30.782919</v>
      </c>
      <c r="F2997" t="s">
        <v>1143</v>
      </c>
      <c r="G2997">
        <v>-89.866662000000005</v>
      </c>
      <c r="H2997">
        <v>600</v>
      </c>
      <c r="I2997">
        <v>23</v>
      </c>
      <c r="J2997">
        <v>111</v>
      </c>
      <c r="K2997">
        <v>-1024</v>
      </c>
      <c r="L2997">
        <v>1200</v>
      </c>
      <c r="M2997" t="str">
        <f t="shared" si="277"/>
        <v xml:space="preserve">N35DC   </v>
      </c>
      <c r="N2997">
        <v>1</v>
      </c>
      <c r="O2997">
        <v>600</v>
      </c>
    </row>
    <row r="2998" spans="1:15" x14ac:dyDescent="0.25">
      <c r="A2998" t="str">
        <f>"10/21/2020 18:34:57.407"</f>
        <v>10/21/2020 18:34:57.407</v>
      </c>
      <c r="B2998" t="str">
        <f>"18:35:05.344"</f>
        <v>18:35:05.344</v>
      </c>
      <c r="C2998" t="str">
        <f>"18:35:05.244"</f>
        <v>18:35:05.244</v>
      </c>
      <c r="D2998" t="s">
        <v>1142</v>
      </c>
      <c r="E2998">
        <v>30.782919</v>
      </c>
      <c r="F2998" t="s">
        <v>1143</v>
      </c>
      <c r="G2998">
        <v>-89.866662000000005</v>
      </c>
      <c r="H2998">
        <v>600</v>
      </c>
      <c r="I2998">
        <v>23</v>
      </c>
      <c r="J2998">
        <v>111</v>
      </c>
      <c r="K2998">
        <v>-1024</v>
      </c>
      <c r="L2998">
        <v>1200</v>
      </c>
      <c r="M2998" t="str">
        <f t="shared" si="277"/>
        <v xml:space="preserve">N35DC   </v>
      </c>
      <c r="N2998">
        <v>1</v>
      </c>
      <c r="O2998">
        <v>600</v>
      </c>
    </row>
    <row r="2999" spans="1:15" x14ac:dyDescent="0.25">
      <c r="A2999" t="str">
        <f>"10/21/2020 18:34:57.407"</f>
        <v>10/21/2020 18:34:57.407</v>
      </c>
      <c r="B2999" t="str">
        <f>"18:35:05.344"</f>
        <v>18:35:05.344</v>
      </c>
      <c r="C2999" t="str">
        <f>"18:35:05.244"</f>
        <v>18:35:05.244</v>
      </c>
      <c r="D2999" t="s">
        <v>1142</v>
      </c>
      <c r="E2999">
        <v>30.782919</v>
      </c>
      <c r="F2999" t="s">
        <v>1143</v>
      </c>
      <c r="G2999">
        <v>-89.866662000000005</v>
      </c>
      <c r="H2999">
        <v>600</v>
      </c>
      <c r="I2999">
        <v>23</v>
      </c>
      <c r="J2999">
        <v>111</v>
      </c>
      <c r="K2999">
        <v>-1024</v>
      </c>
      <c r="L2999">
        <v>1200</v>
      </c>
      <c r="M2999" t="str">
        <f t="shared" si="277"/>
        <v xml:space="preserve">N35DC   </v>
      </c>
      <c r="N2999">
        <v>1</v>
      </c>
      <c r="O2999">
        <v>600</v>
      </c>
    </row>
    <row r="3000" spans="1:15" x14ac:dyDescent="0.25">
      <c r="A3000" t="str">
        <f>"10/21/2020 18:34:57.407"</f>
        <v>10/21/2020 18:34:57.407</v>
      </c>
      <c r="B3000" t="str">
        <f>"18:35:05.344"</f>
        <v>18:35:05.344</v>
      </c>
      <c r="C3000" t="str">
        <f>"18:35:05.244"</f>
        <v>18:35:05.244</v>
      </c>
      <c r="D3000" t="s">
        <v>1142</v>
      </c>
      <c r="E3000">
        <v>30.782919</v>
      </c>
      <c r="F3000" t="s">
        <v>1143</v>
      </c>
      <c r="G3000">
        <v>-89.866662000000005</v>
      </c>
      <c r="H3000">
        <v>600</v>
      </c>
      <c r="I3000">
        <v>23</v>
      </c>
      <c r="J3000">
        <v>111</v>
      </c>
      <c r="K3000">
        <v>-1024</v>
      </c>
      <c r="L3000">
        <v>1200</v>
      </c>
      <c r="M3000" t="str">
        <f t="shared" si="277"/>
        <v xml:space="preserve">N35DC   </v>
      </c>
      <c r="N3000">
        <v>1</v>
      </c>
      <c r="O3000">
        <v>600</v>
      </c>
    </row>
    <row r="3001" spans="1:15" x14ac:dyDescent="0.25">
      <c r="A3001" t="str">
        <f>"10/21/2020 18:36:05.529"</f>
        <v>10/21/2020 18:36:05.529</v>
      </c>
      <c r="B3001" t="str">
        <f>"18:36:13.469"</f>
        <v>18:36:13.469</v>
      </c>
      <c r="C3001" t="str">
        <f>"18:36:13.069"</f>
        <v>18:36:13.069</v>
      </c>
      <c r="D3001" t="s">
        <v>1144</v>
      </c>
      <c r="E3001">
        <v>30.818646000000001</v>
      </c>
      <c r="F3001" t="s">
        <v>1145</v>
      </c>
      <c r="G3001">
        <v>-89.865309999999994</v>
      </c>
      <c r="H3001">
        <v>700</v>
      </c>
      <c r="I3001">
        <v>-24</v>
      </c>
      <c r="J3001">
        <v>112</v>
      </c>
      <c r="K3001">
        <v>896</v>
      </c>
      <c r="L3001">
        <v>1200</v>
      </c>
      <c r="M3001" t="str">
        <f t="shared" si="277"/>
        <v xml:space="preserve">N35DC   </v>
      </c>
      <c r="N3001">
        <v>1</v>
      </c>
      <c r="O3001">
        <v>725</v>
      </c>
    </row>
    <row r="3002" spans="1:15" x14ac:dyDescent="0.25">
      <c r="A3002" t="str">
        <f>"10/21/2020 18:36:05.529"</f>
        <v>10/21/2020 18:36:05.529</v>
      </c>
      <c r="B3002" t="str">
        <f>"18:36:13.469"</f>
        <v>18:36:13.469</v>
      </c>
      <c r="C3002" t="str">
        <f>"18:36:13.069"</f>
        <v>18:36:13.069</v>
      </c>
      <c r="D3002" t="s">
        <v>1144</v>
      </c>
      <c r="E3002">
        <v>30.818646000000001</v>
      </c>
      <c r="F3002" t="s">
        <v>1145</v>
      </c>
      <c r="G3002">
        <v>-89.865309999999994</v>
      </c>
      <c r="H3002">
        <v>700</v>
      </c>
      <c r="I3002">
        <v>-24</v>
      </c>
      <c r="J3002">
        <v>112</v>
      </c>
      <c r="K3002">
        <v>896</v>
      </c>
      <c r="L3002">
        <v>1200</v>
      </c>
      <c r="M3002" t="str">
        <f t="shared" si="277"/>
        <v xml:space="preserve">N35DC   </v>
      </c>
      <c r="N3002">
        <v>1</v>
      </c>
      <c r="O3002">
        <v>725</v>
      </c>
    </row>
    <row r="3003" spans="1:15" x14ac:dyDescent="0.25">
      <c r="A3003" t="str">
        <f>"10/21/2020 18:36:05.529"</f>
        <v>10/21/2020 18:36:05.529</v>
      </c>
      <c r="B3003" t="str">
        <f>"18:36:13.469"</f>
        <v>18:36:13.469</v>
      </c>
      <c r="C3003" t="str">
        <f>"18:36:13.069"</f>
        <v>18:36:13.069</v>
      </c>
      <c r="D3003" t="s">
        <v>1144</v>
      </c>
      <c r="E3003">
        <v>30.818646000000001</v>
      </c>
      <c r="F3003" t="s">
        <v>1145</v>
      </c>
      <c r="G3003">
        <v>-89.865309999999994</v>
      </c>
      <c r="H3003">
        <v>700</v>
      </c>
      <c r="I3003">
        <v>-24</v>
      </c>
      <c r="J3003">
        <v>112</v>
      </c>
      <c r="K3003">
        <v>896</v>
      </c>
      <c r="L3003">
        <v>1200</v>
      </c>
      <c r="M3003" t="str">
        <f t="shared" si="277"/>
        <v xml:space="preserve">N35DC   </v>
      </c>
      <c r="N3003">
        <v>1</v>
      </c>
      <c r="O3003">
        <v>725</v>
      </c>
    </row>
    <row r="3004" spans="1:15" x14ac:dyDescent="0.25">
      <c r="A3004" t="str">
        <f>"10/21/2020 18:36:05.529"</f>
        <v>10/21/2020 18:36:05.529</v>
      </c>
      <c r="B3004" t="str">
        <f>"18:36:13.469"</f>
        <v>18:36:13.469</v>
      </c>
      <c r="C3004" t="str">
        <f>"18:36:13.069"</f>
        <v>18:36:13.069</v>
      </c>
      <c r="D3004" t="s">
        <v>1144</v>
      </c>
      <c r="E3004">
        <v>30.818646000000001</v>
      </c>
      <c r="F3004" t="s">
        <v>1145</v>
      </c>
      <c r="G3004">
        <v>-89.865309999999994</v>
      </c>
      <c r="H3004">
        <v>700</v>
      </c>
      <c r="I3004">
        <v>-24</v>
      </c>
      <c r="J3004">
        <v>112</v>
      </c>
      <c r="K3004">
        <v>896</v>
      </c>
      <c r="L3004">
        <v>1200</v>
      </c>
      <c r="M3004" t="str">
        <f t="shared" si="277"/>
        <v xml:space="preserve">N35DC   </v>
      </c>
      <c r="N3004">
        <v>1</v>
      </c>
      <c r="O3004">
        <v>725</v>
      </c>
    </row>
    <row r="3005" spans="1:15" x14ac:dyDescent="0.25">
      <c r="A3005" t="str">
        <f>"10/21/2020 18:36:05.529"</f>
        <v>10/21/2020 18:36:05.529</v>
      </c>
      <c r="B3005" t="str">
        <f>"18:36:13.469"</f>
        <v>18:36:13.469</v>
      </c>
      <c r="C3005" t="str">
        <f>"18:36:13.069"</f>
        <v>18:36:13.069</v>
      </c>
      <c r="D3005" t="s">
        <v>1144</v>
      </c>
      <c r="E3005">
        <v>30.818646000000001</v>
      </c>
      <c r="F3005" t="s">
        <v>1145</v>
      </c>
      <c r="G3005">
        <v>-89.865309999999994</v>
      </c>
      <c r="H3005">
        <v>700</v>
      </c>
      <c r="I3005">
        <v>-24</v>
      </c>
      <c r="J3005">
        <v>112</v>
      </c>
      <c r="K3005">
        <v>896</v>
      </c>
      <c r="L3005">
        <v>1200</v>
      </c>
      <c r="M3005" t="str">
        <f t="shared" si="277"/>
        <v xml:space="preserve">N35DC   </v>
      </c>
      <c r="N3005">
        <v>1</v>
      </c>
      <c r="O3005">
        <v>725</v>
      </c>
    </row>
    <row r="3006" spans="1:15" x14ac:dyDescent="0.25">
      <c r="A3006" t="str">
        <f>"10/21/2020 18:36:06.442"</f>
        <v>10/21/2020 18:36:06.442</v>
      </c>
      <c r="B3006" t="str">
        <f>"18:36:14.398"</f>
        <v>18:36:14.398</v>
      </c>
      <c r="C3006" t="str">
        <f>"18:36:14.098"</f>
        <v>18:36:14.098</v>
      </c>
      <c r="D3006" t="s">
        <v>1146</v>
      </c>
      <c r="E3006">
        <v>30.819118</v>
      </c>
      <c r="F3006" t="s">
        <v>1147</v>
      </c>
      <c r="G3006">
        <v>-89.865416999999994</v>
      </c>
      <c r="H3006">
        <v>700</v>
      </c>
      <c r="I3006">
        <v>-22</v>
      </c>
      <c r="J3006">
        <v>112</v>
      </c>
      <c r="K3006">
        <v>1024</v>
      </c>
      <c r="L3006">
        <v>1200</v>
      </c>
      <c r="M3006" t="str">
        <f t="shared" si="277"/>
        <v xml:space="preserve">N35DC   </v>
      </c>
      <c r="N3006">
        <v>1</v>
      </c>
      <c r="O3006">
        <v>750</v>
      </c>
    </row>
    <row r="3007" spans="1:15" x14ac:dyDescent="0.25">
      <c r="A3007" t="str">
        <f>"10/21/2020 18:36:06.442"</f>
        <v>10/21/2020 18:36:06.442</v>
      </c>
      <c r="B3007" t="str">
        <f>"18:36:14.398"</f>
        <v>18:36:14.398</v>
      </c>
      <c r="C3007" t="str">
        <f>"18:36:14.098"</f>
        <v>18:36:14.098</v>
      </c>
      <c r="D3007" t="s">
        <v>1146</v>
      </c>
      <c r="E3007">
        <v>30.819118</v>
      </c>
      <c r="F3007" t="s">
        <v>1147</v>
      </c>
      <c r="G3007">
        <v>-89.865416999999994</v>
      </c>
      <c r="H3007">
        <v>700</v>
      </c>
      <c r="I3007">
        <v>-22</v>
      </c>
      <c r="J3007">
        <v>112</v>
      </c>
      <c r="K3007">
        <v>1024</v>
      </c>
      <c r="L3007">
        <v>1200</v>
      </c>
      <c r="M3007" t="str">
        <f t="shared" si="277"/>
        <v xml:space="preserve">N35DC   </v>
      </c>
      <c r="N3007">
        <v>1</v>
      </c>
      <c r="O3007">
        <v>750</v>
      </c>
    </row>
    <row r="3008" spans="1:15" x14ac:dyDescent="0.25">
      <c r="A3008" t="str">
        <f>"10/21/2020 18:36:06.442"</f>
        <v>10/21/2020 18:36:06.442</v>
      </c>
      <c r="B3008" t="str">
        <f>"18:36:14.398"</f>
        <v>18:36:14.398</v>
      </c>
      <c r="C3008" t="str">
        <f>"18:36:14.098"</f>
        <v>18:36:14.098</v>
      </c>
      <c r="D3008" t="s">
        <v>1146</v>
      </c>
      <c r="E3008">
        <v>30.819118</v>
      </c>
      <c r="F3008" t="s">
        <v>1147</v>
      </c>
      <c r="G3008">
        <v>-89.865416999999994</v>
      </c>
      <c r="H3008">
        <v>700</v>
      </c>
      <c r="I3008">
        <v>-22</v>
      </c>
      <c r="J3008">
        <v>112</v>
      </c>
      <c r="K3008">
        <v>1024</v>
      </c>
      <c r="L3008">
        <v>1200</v>
      </c>
      <c r="M3008" t="str">
        <f t="shared" si="277"/>
        <v xml:space="preserve">N35DC   </v>
      </c>
      <c r="N3008">
        <v>1</v>
      </c>
      <c r="O3008">
        <v>750</v>
      </c>
    </row>
    <row r="3009" spans="1:15" x14ac:dyDescent="0.25">
      <c r="A3009" t="str">
        <f>"10/21/2020 18:36:06.442"</f>
        <v>10/21/2020 18:36:06.442</v>
      </c>
      <c r="B3009" t="str">
        <f>"18:36:14.398"</f>
        <v>18:36:14.398</v>
      </c>
      <c r="C3009" t="str">
        <f>"18:36:14.098"</f>
        <v>18:36:14.098</v>
      </c>
      <c r="D3009" t="s">
        <v>1146</v>
      </c>
      <c r="E3009">
        <v>30.819118</v>
      </c>
      <c r="F3009" t="s">
        <v>1147</v>
      </c>
      <c r="G3009">
        <v>-89.865416999999994</v>
      </c>
      <c r="H3009">
        <v>700</v>
      </c>
      <c r="I3009">
        <v>-22</v>
      </c>
      <c r="J3009">
        <v>112</v>
      </c>
      <c r="K3009">
        <v>1024</v>
      </c>
      <c r="L3009">
        <v>1200</v>
      </c>
      <c r="M3009" t="str">
        <f t="shared" si="277"/>
        <v xml:space="preserve">N35DC   </v>
      </c>
      <c r="N3009">
        <v>1</v>
      </c>
      <c r="O3009">
        <v>750</v>
      </c>
    </row>
    <row r="3010" spans="1:15" x14ac:dyDescent="0.25">
      <c r="A3010" t="str">
        <f>"10/21/2020 18:36:06.442"</f>
        <v>10/21/2020 18:36:06.442</v>
      </c>
      <c r="B3010" t="str">
        <f>"18:36:14.398"</f>
        <v>18:36:14.398</v>
      </c>
      <c r="C3010" t="str">
        <f>"18:36:14.098"</f>
        <v>18:36:14.098</v>
      </c>
      <c r="D3010" t="s">
        <v>1146</v>
      </c>
      <c r="E3010">
        <v>30.819118</v>
      </c>
      <c r="F3010" t="s">
        <v>1147</v>
      </c>
      <c r="G3010">
        <v>-89.865416999999994</v>
      </c>
      <c r="H3010">
        <v>700</v>
      </c>
      <c r="I3010">
        <v>-22</v>
      </c>
      <c r="J3010">
        <v>112</v>
      </c>
      <c r="K3010">
        <v>1024</v>
      </c>
      <c r="L3010">
        <v>1200</v>
      </c>
      <c r="M3010" t="str">
        <f t="shared" si="277"/>
        <v xml:space="preserve">N35DC   </v>
      </c>
      <c r="N3010">
        <v>1</v>
      </c>
      <c r="O3010">
        <v>750</v>
      </c>
    </row>
    <row r="3011" spans="1:15" x14ac:dyDescent="0.25">
      <c r="A3011" t="str">
        <f>"10/21/2020 18:36:08.568"</f>
        <v>10/21/2020 18:36:08.568</v>
      </c>
      <c r="B3011" t="str">
        <f>"18:36:16.508"</f>
        <v>18:36:16.508</v>
      </c>
      <c r="C3011" t="str">
        <f>"18:36:16.208"</f>
        <v>18:36:16.208</v>
      </c>
      <c r="D3011" t="s">
        <v>1148</v>
      </c>
      <c r="E3011">
        <v>30.820212000000001</v>
      </c>
      <c r="F3011" t="s">
        <v>1149</v>
      </c>
      <c r="G3011">
        <v>-89.865632000000005</v>
      </c>
      <c r="H3011">
        <v>800</v>
      </c>
      <c r="I3011">
        <v>-17</v>
      </c>
      <c r="J3011">
        <v>111</v>
      </c>
      <c r="K3011">
        <v>1216</v>
      </c>
      <c r="L3011">
        <v>1200</v>
      </c>
      <c r="M3011" t="str">
        <f t="shared" si="277"/>
        <v xml:space="preserve">N35DC   </v>
      </c>
      <c r="N3011">
        <v>1</v>
      </c>
      <c r="O3011">
        <v>775</v>
      </c>
    </row>
    <row r="3012" spans="1:15" x14ac:dyDescent="0.25">
      <c r="A3012" t="str">
        <f>"10/21/2020 18:36:08.568"</f>
        <v>10/21/2020 18:36:08.568</v>
      </c>
      <c r="B3012" t="str">
        <f>"18:36:16.508"</f>
        <v>18:36:16.508</v>
      </c>
      <c r="C3012" t="str">
        <f>"18:36:16.208"</f>
        <v>18:36:16.208</v>
      </c>
      <c r="D3012" t="s">
        <v>1148</v>
      </c>
      <c r="E3012">
        <v>30.820212000000001</v>
      </c>
      <c r="F3012" t="s">
        <v>1149</v>
      </c>
      <c r="G3012">
        <v>-89.865632000000005</v>
      </c>
      <c r="H3012">
        <v>800</v>
      </c>
      <c r="I3012">
        <v>-17</v>
      </c>
      <c r="J3012">
        <v>111</v>
      </c>
      <c r="K3012">
        <v>1216</v>
      </c>
      <c r="L3012">
        <v>1200</v>
      </c>
      <c r="M3012" t="str">
        <f t="shared" si="277"/>
        <v xml:space="preserve">N35DC   </v>
      </c>
      <c r="N3012">
        <v>1</v>
      </c>
      <c r="O3012">
        <v>775</v>
      </c>
    </row>
    <row r="3013" spans="1:15" x14ac:dyDescent="0.25">
      <c r="A3013" t="str">
        <f>"10/21/2020 18:36:08.568"</f>
        <v>10/21/2020 18:36:08.568</v>
      </c>
      <c r="B3013" t="str">
        <f>"18:36:16.508"</f>
        <v>18:36:16.508</v>
      </c>
      <c r="C3013" t="str">
        <f>"18:36:16.208"</f>
        <v>18:36:16.208</v>
      </c>
      <c r="D3013" t="s">
        <v>1148</v>
      </c>
      <c r="E3013">
        <v>30.820212000000001</v>
      </c>
      <c r="F3013" t="s">
        <v>1149</v>
      </c>
      <c r="G3013">
        <v>-89.865632000000005</v>
      </c>
      <c r="H3013">
        <v>800</v>
      </c>
      <c r="I3013">
        <v>-17</v>
      </c>
      <c r="J3013">
        <v>111</v>
      </c>
      <c r="K3013">
        <v>1216</v>
      </c>
      <c r="L3013">
        <v>1200</v>
      </c>
      <c r="M3013" t="str">
        <f t="shared" si="277"/>
        <v xml:space="preserve">N35DC   </v>
      </c>
      <c r="N3013">
        <v>1</v>
      </c>
      <c r="O3013">
        <v>775</v>
      </c>
    </row>
    <row r="3014" spans="1:15" x14ac:dyDescent="0.25">
      <c r="A3014" t="str">
        <f>"10/21/2020 18:36:08.568"</f>
        <v>10/21/2020 18:36:08.568</v>
      </c>
      <c r="B3014" t="str">
        <f>"18:36:16.508"</f>
        <v>18:36:16.508</v>
      </c>
      <c r="C3014" t="str">
        <f>"18:36:16.208"</f>
        <v>18:36:16.208</v>
      </c>
      <c r="D3014" t="s">
        <v>1148</v>
      </c>
      <c r="E3014">
        <v>30.820212000000001</v>
      </c>
      <c r="F3014" t="s">
        <v>1149</v>
      </c>
      <c r="G3014">
        <v>-89.865632000000005</v>
      </c>
      <c r="H3014">
        <v>800</v>
      </c>
      <c r="I3014">
        <v>-17</v>
      </c>
      <c r="J3014">
        <v>111</v>
      </c>
      <c r="K3014">
        <v>1216</v>
      </c>
      <c r="L3014">
        <v>1200</v>
      </c>
      <c r="M3014" t="str">
        <f t="shared" si="277"/>
        <v xml:space="preserve">N35DC   </v>
      </c>
      <c r="N3014">
        <v>1</v>
      </c>
      <c r="O3014">
        <v>775</v>
      </c>
    </row>
    <row r="3015" spans="1:15" x14ac:dyDescent="0.25">
      <c r="A3015" t="str">
        <f>"10/21/2020 18:36:08.568"</f>
        <v>10/21/2020 18:36:08.568</v>
      </c>
      <c r="B3015" t="str">
        <f>"18:36:16.508"</f>
        <v>18:36:16.508</v>
      </c>
      <c r="C3015" t="str">
        <f>"18:36:16.208"</f>
        <v>18:36:16.208</v>
      </c>
      <c r="D3015" t="s">
        <v>1148</v>
      </c>
      <c r="E3015">
        <v>30.820212000000001</v>
      </c>
      <c r="F3015" t="s">
        <v>1149</v>
      </c>
      <c r="G3015">
        <v>-89.865632000000005</v>
      </c>
      <c r="H3015">
        <v>800</v>
      </c>
      <c r="I3015">
        <v>-17</v>
      </c>
      <c r="J3015">
        <v>111</v>
      </c>
      <c r="K3015">
        <v>1216</v>
      </c>
      <c r="L3015">
        <v>1200</v>
      </c>
      <c r="M3015" t="str">
        <f t="shared" ref="M3015:M3078" si="282">"N35DC   "</f>
        <v xml:space="preserve">N35DC   </v>
      </c>
      <c r="N3015">
        <v>1</v>
      </c>
      <c r="O3015">
        <v>775</v>
      </c>
    </row>
    <row r="3016" spans="1:15" x14ac:dyDescent="0.25">
      <c r="A3016" t="str">
        <f>"10/21/2020 18:36:09.580"</f>
        <v>10/21/2020 18:36:09.580</v>
      </c>
      <c r="B3016" t="str">
        <f t="shared" ref="B3016:C3020" si="283">"18:36:17.516"</f>
        <v>18:36:17.516</v>
      </c>
      <c r="C3016" t="str">
        <f t="shared" si="283"/>
        <v>18:36:17.516</v>
      </c>
      <c r="D3016" t="s">
        <v>1150</v>
      </c>
      <c r="E3016">
        <v>30.820748999999999</v>
      </c>
      <c r="F3016" t="s">
        <v>1151</v>
      </c>
      <c r="G3016">
        <v>-89.865696</v>
      </c>
      <c r="H3016">
        <v>800</v>
      </c>
      <c r="I3016">
        <v>-14</v>
      </c>
      <c r="J3016">
        <v>110</v>
      </c>
      <c r="K3016">
        <v>1344</v>
      </c>
      <c r="L3016">
        <v>1200</v>
      </c>
      <c r="M3016" t="str">
        <f t="shared" si="282"/>
        <v xml:space="preserve">N35DC   </v>
      </c>
      <c r="N3016">
        <v>1</v>
      </c>
      <c r="O3016">
        <v>825</v>
      </c>
    </row>
    <row r="3017" spans="1:15" x14ac:dyDescent="0.25">
      <c r="A3017" t="str">
        <f>"10/21/2020 18:36:09.580"</f>
        <v>10/21/2020 18:36:09.580</v>
      </c>
      <c r="B3017" t="str">
        <f t="shared" si="283"/>
        <v>18:36:17.516</v>
      </c>
      <c r="C3017" t="str">
        <f t="shared" si="283"/>
        <v>18:36:17.516</v>
      </c>
      <c r="D3017" t="s">
        <v>1150</v>
      </c>
      <c r="E3017">
        <v>30.820748999999999</v>
      </c>
      <c r="F3017" t="s">
        <v>1151</v>
      </c>
      <c r="G3017">
        <v>-89.865696</v>
      </c>
      <c r="H3017">
        <v>800</v>
      </c>
      <c r="I3017">
        <v>-14</v>
      </c>
      <c r="J3017">
        <v>110</v>
      </c>
      <c r="K3017">
        <v>1344</v>
      </c>
      <c r="L3017">
        <v>1200</v>
      </c>
      <c r="M3017" t="str">
        <f t="shared" si="282"/>
        <v xml:space="preserve">N35DC   </v>
      </c>
      <c r="N3017">
        <v>1</v>
      </c>
      <c r="O3017">
        <v>825</v>
      </c>
    </row>
    <row r="3018" spans="1:15" x14ac:dyDescent="0.25">
      <c r="A3018" t="str">
        <f>"10/21/2020 18:36:09.580"</f>
        <v>10/21/2020 18:36:09.580</v>
      </c>
      <c r="B3018" t="str">
        <f t="shared" si="283"/>
        <v>18:36:17.516</v>
      </c>
      <c r="C3018" t="str">
        <f t="shared" si="283"/>
        <v>18:36:17.516</v>
      </c>
      <c r="D3018" t="s">
        <v>1150</v>
      </c>
      <c r="E3018">
        <v>30.820748999999999</v>
      </c>
      <c r="F3018" t="s">
        <v>1151</v>
      </c>
      <c r="G3018">
        <v>-89.865696</v>
      </c>
      <c r="H3018">
        <v>800</v>
      </c>
      <c r="I3018">
        <v>-14</v>
      </c>
      <c r="J3018">
        <v>110</v>
      </c>
      <c r="K3018">
        <v>1344</v>
      </c>
      <c r="L3018">
        <v>1200</v>
      </c>
      <c r="M3018" t="str">
        <f t="shared" si="282"/>
        <v xml:space="preserve">N35DC   </v>
      </c>
      <c r="N3018">
        <v>1</v>
      </c>
      <c r="O3018">
        <v>825</v>
      </c>
    </row>
    <row r="3019" spans="1:15" x14ac:dyDescent="0.25">
      <c r="A3019" t="str">
        <f>"10/21/2020 18:36:09.580"</f>
        <v>10/21/2020 18:36:09.580</v>
      </c>
      <c r="B3019" t="str">
        <f t="shared" si="283"/>
        <v>18:36:17.516</v>
      </c>
      <c r="C3019" t="str">
        <f t="shared" si="283"/>
        <v>18:36:17.516</v>
      </c>
      <c r="D3019" t="s">
        <v>1150</v>
      </c>
      <c r="E3019">
        <v>30.820748999999999</v>
      </c>
      <c r="F3019" t="s">
        <v>1151</v>
      </c>
      <c r="G3019">
        <v>-89.865696</v>
      </c>
      <c r="H3019">
        <v>800</v>
      </c>
      <c r="I3019">
        <v>-14</v>
      </c>
      <c r="J3019">
        <v>110</v>
      </c>
      <c r="K3019">
        <v>1344</v>
      </c>
      <c r="L3019">
        <v>1200</v>
      </c>
      <c r="M3019" t="str">
        <f t="shared" si="282"/>
        <v xml:space="preserve">N35DC   </v>
      </c>
      <c r="N3019">
        <v>1</v>
      </c>
      <c r="O3019">
        <v>825</v>
      </c>
    </row>
    <row r="3020" spans="1:15" x14ac:dyDescent="0.25">
      <c r="A3020" t="str">
        <f>"10/21/2020 18:36:09.580"</f>
        <v>10/21/2020 18:36:09.580</v>
      </c>
      <c r="B3020" t="str">
        <f t="shared" si="283"/>
        <v>18:36:17.516</v>
      </c>
      <c r="C3020" t="str">
        <f t="shared" si="283"/>
        <v>18:36:17.516</v>
      </c>
      <c r="D3020" t="s">
        <v>1150</v>
      </c>
      <c r="E3020">
        <v>30.820748999999999</v>
      </c>
      <c r="F3020" t="s">
        <v>1151</v>
      </c>
      <c r="G3020">
        <v>-89.865696</v>
      </c>
      <c r="H3020">
        <v>800</v>
      </c>
      <c r="I3020">
        <v>-14</v>
      </c>
      <c r="J3020">
        <v>110</v>
      </c>
      <c r="K3020">
        <v>1344</v>
      </c>
      <c r="L3020">
        <v>1200</v>
      </c>
      <c r="M3020" t="str">
        <f t="shared" si="282"/>
        <v xml:space="preserve">N35DC   </v>
      </c>
      <c r="N3020">
        <v>1</v>
      </c>
      <c r="O3020">
        <v>825</v>
      </c>
    </row>
    <row r="3021" spans="1:15" x14ac:dyDescent="0.25">
      <c r="A3021" t="str">
        <f>"10/21/2020 18:36:12.148"</f>
        <v>10/21/2020 18:36:12.148</v>
      </c>
      <c r="B3021" t="str">
        <f>"18:36:20.062"</f>
        <v>18:36:20.062</v>
      </c>
      <c r="C3021" t="str">
        <f>"18:36:19.962"</f>
        <v>18:36:19.962</v>
      </c>
      <c r="D3021" t="s">
        <v>1152</v>
      </c>
      <c r="E3021">
        <v>30.822015</v>
      </c>
      <c r="F3021" t="s">
        <v>1153</v>
      </c>
      <c r="G3021">
        <v>-89.865910999999997</v>
      </c>
      <c r="H3021">
        <v>800</v>
      </c>
      <c r="I3021">
        <v>-13</v>
      </c>
      <c r="J3021">
        <v>109</v>
      </c>
      <c r="K3021">
        <v>1344</v>
      </c>
      <c r="L3021">
        <v>1200</v>
      </c>
      <c r="M3021" t="str">
        <f t="shared" si="282"/>
        <v xml:space="preserve">N35DC   </v>
      </c>
      <c r="N3021">
        <v>1</v>
      </c>
      <c r="O3021">
        <v>875</v>
      </c>
    </row>
    <row r="3022" spans="1:15" x14ac:dyDescent="0.25">
      <c r="A3022" t="str">
        <f>"10/21/2020 18:36:12.148"</f>
        <v>10/21/2020 18:36:12.148</v>
      </c>
      <c r="B3022" t="str">
        <f>"18:36:20.062"</f>
        <v>18:36:20.062</v>
      </c>
      <c r="C3022" t="str">
        <f>"18:36:19.962"</f>
        <v>18:36:19.962</v>
      </c>
      <c r="D3022" t="s">
        <v>1152</v>
      </c>
      <c r="E3022">
        <v>30.822015</v>
      </c>
      <c r="F3022" t="s">
        <v>1153</v>
      </c>
      <c r="G3022">
        <v>-89.865910999999997</v>
      </c>
      <c r="H3022">
        <v>800</v>
      </c>
      <c r="I3022">
        <v>-13</v>
      </c>
      <c r="J3022">
        <v>109</v>
      </c>
      <c r="K3022">
        <v>1344</v>
      </c>
      <c r="L3022">
        <v>1200</v>
      </c>
      <c r="M3022" t="str">
        <f t="shared" si="282"/>
        <v xml:space="preserve">N35DC   </v>
      </c>
      <c r="N3022">
        <v>1</v>
      </c>
      <c r="O3022">
        <v>875</v>
      </c>
    </row>
    <row r="3023" spans="1:15" x14ac:dyDescent="0.25">
      <c r="A3023" t="str">
        <f>"10/21/2020 18:36:12.148"</f>
        <v>10/21/2020 18:36:12.148</v>
      </c>
      <c r="B3023" t="str">
        <f>"18:36:20.062"</f>
        <v>18:36:20.062</v>
      </c>
      <c r="C3023" t="str">
        <f>"18:36:19.962"</f>
        <v>18:36:19.962</v>
      </c>
      <c r="D3023" t="s">
        <v>1152</v>
      </c>
      <c r="E3023">
        <v>30.822015</v>
      </c>
      <c r="F3023" t="s">
        <v>1153</v>
      </c>
      <c r="G3023">
        <v>-89.865910999999997</v>
      </c>
      <c r="H3023">
        <v>800</v>
      </c>
      <c r="I3023">
        <v>-13</v>
      </c>
      <c r="J3023">
        <v>109</v>
      </c>
      <c r="K3023">
        <v>1344</v>
      </c>
      <c r="L3023">
        <v>1200</v>
      </c>
      <c r="M3023" t="str">
        <f t="shared" si="282"/>
        <v xml:space="preserve">N35DC   </v>
      </c>
      <c r="N3023">
        <v>1</v>
      </c>
      <c r="O3023">
        <v>875</v>
      </c>
    </row>
    <row r="3024" spans="1:15" x14ac:dyDescent="0.25">
      <c r="A3024" t="str">
        <f>"10/21/2020 18:36:12.148"</f>
        <v>10/21/2020 18:36:12.148</v>
      </c>
      <c r="B3024" t="str">
        <f>"18:36:20.062"</f>
        <v>18:36:20.062</v>
      </c>
      <c r="C3024" t="str">
        <f>"18:36:19.962"</f>
        <v>18:36:19.962</v>
      </c>
      <c r="D3024" t="s">
        <v>1152</v>
      </c>
      <c r="E3024">
        <v>30.822015</v>
      </c>
      <c r="F3024" t="s">
        <v>1153</v>
      </c>
      <c r="G3024">
        <v>-89.865910999999997</v>
      </c>
      <c r="H3024">
        <v>800</v>
      </c>
      <c r="I3024">
        <v>-13</v>
      </c>
      <c r="J3024">
        <v>109</v>
      </c>
      <c r="K3024">
        <v>1344</v>
      </c>
      <c r="L3024">
        <v>1200</v>
      </c>
      <c r="M3024" t="str">
        <f t="shared" si="282"/>
        <v xml:space="preserve">N35DC   </v>
      </c>
      <c r="N3024">
        <v>1</v>
      </c>
      <c r="O3024">
        <v>875</v>
      </c>
    </row>
    <row r="3025" spans="1:15" x14ac:dyDescent="0.25">
      <c r="A3025" t="str">
        <f>"10/21/2020 18:36:12.148"</f>
        <v>10/21/2020 18:36:12.148</v>
      </c>
      <c r="B3025" t="str">
        <f>"18:36:20.062"</f>
        <v>18:36:20.062</v>
      </c>
      <c r="C3025" t="str">
        <f>"18:36:19.962"</f>
        <v>18:36:19.962</v>
      </c>
      <c r="D3025" t="s">
        <v>1152</v>
      </c>
      <c r="E3025">
        <v>30.822015</v>
      </c>
      <c r="F3025" t="s">
        <v>1153</v>
      </c>
      <c r="G3025">
        <v>-89.865910999999997</v>
      </c>
      <c r="H3025">
        <v>800</v>
      </c>
      <c r="I3025">
        <v>-13</v>
      </c>
      <c r="J3025">
        <v>109</v>
      </c>
      <c r="K3025">
        <v>1344</v>
      </c>
      <c r="L3025">
        <v>1200</v>
      </c>
      <c r="M3025" t="str">
        <f t="shared" si="282"/>
        <v xml:space="preserve">N35DC   </v>
      </c>
      <c r="N3025">
        <v>1</v>
      </c>
      <c r="O3025">
        <v>875</v>
      </c>
    </row>
    <row r="3026" spans="1:15" x14ac:dyDescent="0.25">
      <c r="A3026" t="str">
        <f>"10/21/2020 18:36:13.063"</f>
        <v>10/21/2020 18:36:13.063</v>
      </c>
      <c r="B3026" t="str">
        <f>"18:36:20.984"</f>
        <v>18:36:20.984</v>
      </c>
      <c r="C3026" t="str">
        <f>"18:36:20.484"</f>
        <v>18:36:20.484</v>
      </c>
      <c r="D3026" t="s">
        <v>1154</v>
      </c>
      <c r="E3026">
        <v>30.822465000000001</v>
      </c>
      <c r="F3026" t="s">
        <v>1155</v>
      </c>
      <c r="G3026">
        <v>-89.865975000000006</v>
      </c>
      <c r="H3026">
        <v>800</v>
      </c>
      <c r="I3026">
        <v>-13</v>
      </c>
      <c r="J3026">
        <v>109</v>
      </c>
      <c r="K3026">
        <v>1344</v>
      </c>
      <c r="L3026">
        <v>1200</v>
      </c>
      <c r="M3026" t="str">
        <f t="shared" si="282"/>
        <v xml:space="preserve">N35DC   </v>
      </c>
      <c r="N3026">
        <v>1</v>
      </c>
      <c r="O3026">
        <v>875</v>
      </c>
    </row>
    <row r="3027" spans="1:15" x14ac:dyDescent="0.25">
      <c r="A3027" t="str">
        <f>"10/21/2020 18:36:13.063"</f>
        <v>10/21/2020 18:36:13.063</v>
      </c>
      <c r="B3027" t="str">
        <f>"18:36:20.984"</f>
        <v>18:36:20.984</v>
      </c>
      <c r="C3027" t="str">
        <f>"18:36:20.484"</f>
        <v>18:36:20.484</v>
      </c>
      <c r="D3027" t="s">
        <v>1154</v>
      </c>
      <c r="E3027">
        <v>30.822465000000001</v>
      </c>
      <c r="F3027" t="s">
        <v>1155</v>
      </c>
      <c r="G3027">
        <v>-89.865975000000006</v>
      </c>
      <c r="H3027">
        <v>800</v>
      </c>
      <c r="I3027">
        <v>-13</v>
      </c>
      <c r="J3027">
        <v>109</v>
      </c>
      <c r="K3027">
        <v>1344</v>
      </c>
      <c r="L3027">
        <v>1200</v>
      </c>
      <c r="M3027" t="str">
        <f t="shared" si="282"/>
        <v xml:space="preserve">N35DC   </v>
      </c>
      <c r="N3027">
        <v>1</v>
      </c>
      <c r="O3027">
        <v>875</v>
      </c>
    </row>
    <row r="3028" spans="1:15" x14ac:dyDescent="0.25">
      <c r="A3028" t="str">
        <f>"10/21/2020 18:36:13.063"</f>
        <v>10/21/2020 18:36:13.063</v>
      </c>
      <c r="B3028" t="str">
        <f>"18:36:20.984"</f>
        <v>18:36:20.984</v>
      </c>
      <c r="C3028" t="str">
        <f>"18:36:20.484"</f>
        <v>18:36:20.484</v>
      </c>
      <c r="D3028" t="s">
        <v>1154</v>
      </c>
      <c r="E3028">
        <v>30.822465000000001</v>
      </c>
      <c r="F3028" t="s">
        <v>1155</v>
      </c>
      <c r="G3028">
        <v>-89.865975000000006</v>
      </c>
      <c r="H3028">
        <v>800</v>
      </c>
      <c r="I3028">
        <v>-13</v>
      </c>
      <c r="J3028">
        <v>109</v>
      </c>
      <c r="K3028">
        <v>1344</v>
      </c>
      <c r="L3028">
        <v>1200</v>
      </c>
      <c r="M3028" t="str">
        <f t="shared" si="282"/>
        <v xml:space="preserve">N35DC   </v>
      </c>
      <c r="N3028">
        <v>1</v>
      </c>
      <c r="O3028">
        <v>875</v>
      </c>
    </row>
    <row r="3029" spans="1:15" x14ac:dyDescent="0.25">
      <c r="A3029" t="str">
        <f>"10/21/2020 18:36:13.063"</f>
        <v>10/21/2020 18:36:13.063</v>
      </c>
      <c r="B3029" t="str">
        <f>"18:36:20.984"</f>
        <v>18:36:20.984</v>
      </c>
      <c r="C3029" t="str">
        <f>"18:36:20.484"</f>
        <v>18:36:20.484</v>
      </c>
      <c r="D3029" t="s">
        <v>1154</v>
      </c>
      <c r="E3029">
        <v>30.822465000000001</v>
      </c>
      <c r="F3029" t="s">
        <v>1155</v>
      </c>
      <c r="G3029">
        <v>-89.865975000000006</v>
      </c>
      <c r="H3029">
        <v>800</v>
      </c>
      <c r="I3029">
        <v>-13</v>
      </c>
      <c r="J3029">
        <v>109</v>
      </c>
      <c r="K3029">
        <v>1344</v>
      </c>
      <c r="L3029">
        <v>1200</v>
      </c>
      <c r="M3029" t="str">
        <f t="shared" si="282"/>
        <v xml:space="preserve">N35DC   </v>
      </c>
      <c r="N3029">
        <v>1</v>
      </c>
      <c r="O3029">
        <v>875</v>
      </c>
    </row>
    <row r="3030" spans="1:15" x14ac:dyDescent="0.25">
      <c r="A3030" t="str">
        <f>"10/21/2020 18:36:13.063"</f>
        <v>10/21/2020 18:36:13.063</v>
      </c>
      <c r="B3030" t="str">
        <f>"18:36:20.984"</f>
        <v>18:36:20.984</v>
      </c>
      <c r="C3030" t="str">
        <f>"18:36:20.484"</f>
        <v>18:36:20.484</v>
      </c>
      <c r="D3030" t="s">
        <v>1154</v>
      </c>
      <c r="E3030">
        <v>30.822465000000001</v>
      </c>
      <c r="F3030" t="s">
        <v>1155</v>
      </c>
      <c r="G3030">
        <v>-89.865975000000006</v>
      </c>
      <c r="H3030">
        <v>800</v>
      </c>
      <c r="I3030">
        <v>-13</v>
      </c>
      <c r="J3030">
        <v>109</v>
      </c>
      <c r="K3030">
        <v>1344</v>
      </c>
      <c r="L3030">
        <v>1200</v>
      </c>
      <c r="M3030" t="str">
        <f t="shared" si="282"/>
        <v xml:space="preserve">N35DC   </v>
      </c>
      <c r="N3030">
        <v>1</v>
      </c>
      <c r="O3030">
        <v>875</v>
      </c>
    </row>
    <row r="3031" spans="1:15" x14ac:dyDescent="0.25">
      <c r="A3031" t="str">
        <f>"10/21/2020 18:36:16.580"</f>
        <v>10/21/2020 18:36:16.580</v>
      </c>
      <c r="B3031" t="str">
        <f>"18:36:24.508"</f>
        <v>18:36:24.508</v>
      </c>
      <c r="C3031" t="str">
        <f>"18:36:24.008"</f>
        <v>18:36:24.008</v>
      </c>
      <c r="D3031" t="s">
        <v>1156</v>
      </c>
      <c r="E3031">
        <v>30.824245999999999</v>
      </c>
      <c r="F3031" t="s">
        <v>1157</v>
      </c>
      <c r="G3031">
        <v>-89.866275999999999</v>
      </c>
      <c r="H3031">
        <v>900</v>
      </c>
      <c r="I3031">
        <v>-17</v>
      </c>
      <c r="J3031">
        <v>109</v>
      </c>
      <c r="K3031">
        <v>960</v>
      </c>
      <c r="L3031">
        <v>1200</v>
      </c>
      <c r="M3031" t="str">
        <f t="shared" si="282"/>
        <v xml:space="preserve">N35DC   </v>
      </c>
      <c r="N3031">
        <v>1</v>
      </c>
      <c r="O3031">
        <v>950</v>
      </c>
    </row>
    <row r="3032" spans="1:15" x14ac:dyDescent="0.25">
      <c r="A3032" t="str">
        <f>"10/21/2020 18:36:16.580"</f>
        <v>10/21/2020 18:36:16.580</v>
      </c>
      <c r="B3032" t="str">
        <f>"18:36:24.508"</f>
        <v>18:36:24.508</v>
      </c>
      <c r="C3032" t="str">
        <f>"18:36:24.008"</f>
        <v>18:36:24.008</v>
      </c>
      <c r="D3032" t="s">
        <v>1156</v>
      </c>
      <c r="E3032">
        <v>30.824245999999999</v>
      </c>
      <c r="F3032" t="s">
        <v>1157</v>
      </c>
      <c r="G3032">
        <v>-89.866275999999999</v>
      </c>
      <c r="H3032">
        <v>900</v>
      </c>
      <c r="I3032">
        <v>-17</v>
      </c>
      <c r="J3032">
        <v>109</v>
      </c>
      <c r="K3032">
        <v>960</v>
      </c>
      <c r="L3032">
        <v>1200</v>
      </c>
      <c r="M3032" t="str">
        <f t="shared" si="282"/>
        <v xml:space="preserve">N35DC   </v>
      </c>
      <c r="N3032">
        <v>1</v>
      </c>
      <c r="O3032">
        <v>950</v>
      </c>
    </row>
    <row r="3033" spans="1:15" x14ac:dyDescent="0.25">
      <c r="A3033" t="str">
        <f>"10/21/2020 18:36:16.580"</f>
        <v>10/21/2020 18:36:16.580</v>
      </c>
      <c r="B3033" t="str">
        <f>"18:36:24.508"</f>
        <v>18:36:24.508</v>
      </c>
      <c r="C3033" t="str">
        <f>"18:36:24.008"</f>
        <v>18:36:24.008</v>
      </c>
      <c r="D3033" t="s">
        <v>1156</v>
      </c>
      <c r="E3033">
        <v>30.824245999999999</v>
      </c>
      <c r="F3033" t="s">
        <v>1157</v>
      </c>
      <c r="G3033">
        <v>-89.866275999999999</v>
      </c>
      <c r="H3033">
        <v>900</v>
      </c>
      <c r="I3033">
        <v>-17</v>
      </c>
      <c r="J3033">
        <v>109</v>
      </c>
      <c r="K3033">
        <v>960</v>
      </c>
      <c r="L3033">
        <v>1200</v>
      </c>
      <c r="M3033" t="str">
        <f t="shared" si="282"/>
        <v xml:space="preserve">N35DC   </v>
      </c>
      <c r="N3033">
        <v>1</v>
      </c>
      <c r="O3033">
        <v>950</v>
      </c>
    </row>
    <row r="3034" spans="1:15" x14ac:dyDescent="0.25">
      <c r="A3034" t="str">
        <f>"10/21/2020 18:36:16.580"</f>
        <v>10/21/2020 18:36:16.580</v>
      </c>
      <c r="B3034" t="str">
        <f>"18:36:24.508"</f>
        <v>18:36:24.508</v>
      </c>
      <c r="C3034" t="str">
        <f>"18:36:24.008"</f>
        <v>18:36:24.008</v>
      </c>
      <c r="D3034" t="s">
        <v>1156</v>
      </c>
      <c r="E3034">
        <v>30.824245999999999</v>
      </c>
      <c r="F3034" t="s">
        <v>1157</v>
      </c>
      <c r="G3034">
        <v>-89.866275999999999</v>
      </c>
      <c r="H3034">
        <v>900</v>
      </c>
      <c r="I3034">
        <v>-17</v>
      </c>
      <c r="J3034">
        <v>109</v>
      </c>
      <c r="K3034">
        <v>960</v>
      </c>
      <c r="L3034">
        <v>1200</v>
      </c>
      <c r="M3034" t="str">
        <f t="shared" si="282"/>
        <v xml:space="preserve">N35DC   </v>
      </c>
      <c r="N3034">
        <v>1</v>
      </c>
      <c r="O3034">
        <v>950</v>
      </c>
    </row>
    <row r="3035" spans="1:15" x14ac:dyDescent="0.25">
      <c r="A3035" t="str">
        <f>"10/21/2020 18:36:16.580"</f>
        <v>10/21/2020 18:36:16.580</v>
      </c>
      <c r="B3035" t="str">
        <f>"18:36:24.508"</f>
        <v>18:36:24.508</v>
      </c>
      <c r="C3035" t="str">
        <f>"18:36:24.008"</f>
        <v>18:36:24.008</v>
      </c>
      <c r="D3035" t="s">
        <v>1156</v>
      </c>
      <c r="E3035">
        <v>30.824245999999999</v>
      </c>
      <c r="F3035" t="s">
        <v>1157</v>
      </c>
      <c r="G3035">
        <v>-89.866275999999999</v>
      </c>
      <c r="H3035">
        <v>900</v>
      </c>
      <c r="I3035">
        <v>-17</v>
      </c>
      <c r="J3035">
        <v>109</v>
      </c>
      <c r="K3035">
        <v>960</v>
      </c>
      <c r="L3035">
        <v>1200</v>
      </c>
      <c r="M3035" t="str">
        <f t="shared" si="282"/>
        <v xml:space="preserve">N35DC   </v>
      </c>
      <c r="N3035">
        <v>1</v>
      </c>
      <c r="O3035">
        <v>950</v>
      </c>
    </row>
    <row r="3036" spans="1:15" x14ac:dyDescent="0.25">
      <c r="A3036" t="str">
        <f>"10/21/2020 18:36:17.565"</f>
        <v>10/21/2020 18:36:17.565</v>
      </c>
      <c r="B3036" t="str">
        <f>"18:36:25.477"</f>
        <v>18:36:25.477</v>
      </c>
      <c r="C3036" t="str">
        <f>"18:36:25.277"</f>
        <v>18:36:25.277</v>
      </c>
      <c r="D3036" t="s">
        <v>1158</v>
      </c>
      <c r="E3036">
        <v>30.824739999999998</v>
      </c>
      <c r="F3036" t="s">
        <v>1159</v>
      </c>
      <c r="G3036">
        <v>-89.866361999999995</v>
      </c>
      <c r="H3036">
        <v>900</v>
      </c>
      <c r="I3036">
        <v>-19</v>
      </c>
      <c r="J3036">
        <v>109</v>
      </c>
      <c r="K3036">
        <v>832</v>
      </c>
      <c r="L3036">
        <v>1200</v>
      </c>
      <c r="M3036" t="str">
        <f t="shared" si="282"/>
        <v xml:space="preserve">N35DC   </v>
      </c>
      <c r="N3036">
        <v>1</v>
      </c>
      <c r="O3036">
        <v>975</v>
      </c>
    </row>
    <row r="3037" spans="1:15" x14ac:dyDescent="0.25">
      <c r="A3037" t="str">
        <f>"10/21/2020 18:36:17.565"</f>
        <v>10/21/2020 18:36:17.565</v>
      </c>
      <c r="B3037" t="str">
        <f>"18:36:25.477"</f>
        <v>18:36:25.477</v>
      </c>
      <c r="C3037" t="str">
        <f>"18:36:25.277"</f>
        <v>18:36:25.277</v>
      </c>
      <c r="D3037" t="s">
        <v>1158</v>
      </c>
      <c r="E3037">
        <v>30.824739999999998</v>
      </c>
      <c r="F3037" t="s">
        <v>1159</v>
      </c>
      <c r="G3037">
        <v>-89.866361999999995</v>
      </c>
      <c r="H3037">
        <v>900</v>
      </c>
      <c r="I3037">
        <v>-19</v>
      </c>
      <c r="J3037">
        <v>109</v>
      </c>
      <c r="K3037">
        <v>832</v>
      </c>
      <c r="L3037">
        <v>1200</v>
      </c>
      <c r="M3037" t="str">
        <f t="shared" si="282"/>
        <v xml:space="preserve">N35DC   </v>
      </c>
      <c r="N3037">
        <v>1</v>
      </c>
      <c r="O3037">
        <v>975</v>
      </c>
    </row>
    <row r="3038" spans="1:15" x14ac:dyDescent="0.25">
      <c r="A3038" t="str">
        <f>"10/21/2020 18:36:17.565"</f>
        <v>10/21/2020 18:36:17.565</v>
      </c>
      <c r="B3038" t="str">
        <f>"18:36:25.477"</f>
        <v>18:36:25.477</v>
      </c>
      <c r="C3038" t="str">
        <f>"18:36:25.277"</f>
        <v>18:36:25.277</v>
      </c>
      <c r="D3038" t="s">
        <v>1158</v>
      </c>
      <c r="E3038">
        <v>30.824739999999998</v>
      </c>
      <c r="F3038" t="s">
        <v>1159</v>
      </c>
      <c r="G3038">
        <v>-89.866361999999995</v>
      </c>
      <c r="H3038">
        <v>900</v>
      </c>
      <c r="I3038">
        <v>-19</v>
      </c>
      <c r="J3038">
        <v>109</v>
      </c>
      <c r="K3038">
        <v>832</v>
      </c>
      <c r="L3038">
        <v>1200</v>
      </c>
      <c r="M3038" t="str">
        <f t="shared" si="282"/>
        <v xml:space="preserve">N35DC   </v>
      </c>
      <c r="N3038">
        <v>1</v>
      </c>
      <c r="O3038">
        <v>975</v>
      </c>
    </row>
    <row r="3039" spans="1:15" x14ac:dyDescent="0.25">
      <c r="A3039" t="str">
        <f>"10/21/2020 18:36:17.565"</f>
        <v>10/21/2020 18:36:17.565</v>
      </c>
      <c r="B3039" t="str">
        <f>"18:36:25.477"</f>
        <v>18:36:25.477</v>
      </c>
      <c r="C3039" t="str">
        <f>"18:36:25.277"</f>
        <v>18:36:25.277</v>
      </c>
      <c r="D3039" t="s">
        <v>1158</v>
      </c>
      <c r="E3039">
        <v>30.824739999999998</v>
      </c>
      <c r="F3039" t="s">
        <v>1159</v>
      </c>
      <c r="G3039">
        <v>-89.866361999999995</v>
      </c>
      <c r="H3039">
        <v>900</v>
      </c>
      <c r="I3039">
        <v>-19</v>
      </c>
      <c r="J3039">
        <v>109</v>
      </c>
      <c r="K3039">
        <v>832</v>
      </c>
      <c r="L3039">
        <v>1200</v>
      </c>
      <c r="M3039" t="str">
        <f t="shared" si="282"/>
        <v xml:space="preserve">N35DC   </v>
      </c>
      <c r="N3039">
        <v>1</v>
      </c>
      <c r="O3039">
        <v>975</v>
      </c>
    </row>
    <row r="3040" spans="1:15" x14ac:dyDescent="0.25">
      <c r="A3040" t="str">
        <f>"10/21/2020 18:36:17.565"</f>
        <v>10/21/2020 18:36:17.565</v>
      </c>
      <c r="B3040" t="str">
        <f>"18:36:25.477"</f>
        <v>18:36:25.477</v>
      </c>
      <c r="C3040" t="str">
        <f>"18:36:25.277"</f>
        <v>18:36:25.277</v>
      </c>
      <c r="D3040" t="s">
        <v>1158</v>
      </c>
      <c r="E3040">
        <v>30.824739999999998</v>
      </c>
      <c r="F3040" t="s">
        <v>1159</v>
      </c>
      <c r="G3040">
        <v>-89.866361999999995</v>
      </c>
      <c r="H3040">
        <v>900</v>
      </c>
      <c r="I3040">
        <v>-19</v>
      </c>
      <c r="J3040">
        <v>109</v>
      </c>
      <c r="K3040">
        <v>832</v>
      </c>
      <c r="L3040">
        <v>1200</v>
      </c>
      <c r="M3040" t="str">
        <f t="shared" si="282"/>
        <v xml:space="preserve">N35DC   </v>
      </c>
      <c r="N3040">
        <v>1</v>
      </c>
      <c r="O3040">
        <v>975</v>
      </c>
    </row>
    <row r="3041" spans="1:15" x14ac:dyDescent="0.25">
      <c r="A3041" t="str">
        <f>"10/21/2020 18:36:20.548"</f>
        <v>10/21/2020 18:36:20.548</v>
      </c>
      <c r="B3041" t="str">
        <f>"18:36:28.469"</f>
        <v>18:36:28.469</v>
      </c>
      <c r="C3041" t="str">
        <f>"18:36:28.069"</f>
        <v>18:36:28.069</v>
      </c>
      <c r="D3041" t="s">
        <v>1160</v>
      </c>
      <c r="E3041">
        <v>30.826263000000001</v>
      </c>
      <c r="F3041" t="s">
        <v>1161</v>
      </c>
      <c r="G3041">
        <v>-89.866704999999996</v>
      </c>
      <c r="H3041">
        <v>1000</v>
      </c>
      <c r="I3041">
        <v>-24</v>
      </c>
      <c r="J3041">
        <v>110</v>
      </c>
      <c r="K3041">
        <v>576</v>
      </c>
      <c r="L3041">
        <v>1200</v>
      </c>
      <c r="M3041" t="str">
        <f t="shared" si="282"/>
        <v xml:space="preserve">N35DC   </v>
      </c>
      <c r="N3041">
        <v>1</v>
      </c>
      <c r="O3041">
        <v>1000</v>
      </c>
    </row>
    <row r="3042" spans="1:15" x14ac:dyDescent="0.25">
      <c r="A3042" t="str">
        <f>"10/21/2020 18:36:20.548"</f>
        <v>10/21/2020 18:36:20.548</v>
      </c>
      <c r="B3042" t="str">
        <f>"18:36:28.469"</f>
        <v>18:36:28.469</v>
      </c>
      <c r="C3042" t="str">
        <f>"18:36:28.069"</f>
        <v>18:36:28.069</v>
      </c>
      <c r="D3042" t="s">
        <v>1160</v>
      </c>
      <c r="E3042">
        <v>30.826263000000001</v>
      </c>
      <c r="F3042" t="s">
        <v>1161</v>
      </c>
      <c r="G3042">
        <v>-89.866704999999996</v>
      </c>
      <c r="H3042">
        <v>1000</v>
      </c>
      <c r="I3042">
        <v>-24</v>
      </c>
      <c r="J3042">
        <v>110</v>
      </c>
      <c r="K3042">
        <v>576</v>
      </c>
      <c r="L3042">
        <v>1200</v>
      </c>
      <c r="M3042" t="str">
        <f t="shared" si="282"/>
        <v xml:space="preserve">N35DC   </v>
      </c>
      <c r="N3042">
        <v>1</v>
      </c>
      <c r="O3042">
        <v>1000</v>
      </c>
    </row>
    <row r="3043" spans="1:15" x14ac:dyDescent="0.25">
      <c r="A3043" t="str">
        <f>"10/21/2020 18:36:20.548"</f>
        <v>10/21/2020 18:36:20.548</v>
      </c>
      <c r="B3043" t="str">
        <f>"18:36:28.469"</f>
        <v>18:36:28.469</v>
      </c>
      <c r="C3043" t="str">
        <f>"18:36:28.069"</f>
        <v>18:36:28.069</v>
      </c>
      <c r="D3043" t="s">
        <v>1160</v>
      </c>
      <c r="E3043">
        <v>30.826263000000001</v>
      </c>
      <c r="F3043" t="s">
        <v>1161</v>
      </c>
      <c r="G3043">
        <v>-89.866704999999996</v>
      </c>
      <c r="H3043">
        <v>1000</v>
      </c>
      <c r="I3043">
        <v>-24</v>
      </c>
      <c r="J3043">
        <v>110</v>
      </c>
      <c r="K3043">
        <v>576</v>
      </c>
      <c r="L3043">
        <v>1200</v>
      </c>
      <c r="M3043" t="str">
        <f t="shared" si="282"/>
        <v xml:space="preserve">N35DC   </v>
      </c>
      <c r="N3043">
        <v>1</v>
      </c>
      <c r="O3043">
        <v>1000</v>
      </c>
    </row>
    <row r="3044" spans="1:15" x14ac:dyDescent="0.25">
      <c r="A3044" t="str">
        <f>"10/21/2020 18:36:20.548"</f>
        <v>10/21/2020 18:36:20.548</v>
      </c>
      <c r="B3044" t="str">
        <f>"18:36:28.469"</f>
        <v>18:36:28.469</v>
      </c>
      <c r="C3044" t="str">
        <f>"18:36:28.069"</f>
        <v>18:36:28.069</v>
      </c>
      <c r="D3044" t="s">
        <v>1160</v>
      </c>
      <c r="E3044">
        <v>30.826263000000001</v>
      </c>
      <c r="F3044" t="s">
        <v>1161</v>
      </c>
      <c r="G3044">
        <v>-89.866704999999996</v>
      </c>
      <c r="H3044">
        <v>1000</v>
      </c>
      <c r="I3044">
        <v>-24</v>
      </c>
      <c r="J3044">
        <v>110</v>
      </c>
      <c r="K3044">
        <v>576</v>
      </c>
      <c r="L3044">
        <v>1200</v>
      </c>
      <c r="M3044" t="str">
        <f t="shared" si="282"/>
        <v xml:space="preserve">N35DC   </v>
      </c>
      <c r="N3044">
        <v>1</v>
      </c>
      <c r="O3044">
        <v>1000</v>
      </c>
    </row>
    <row r="3045" spans="1:15" x14ac:dyDescent="0.25">
      <c r="A3045" t="str">
        <f>"10/21/2020 18:36:20.548"</f>
        <v>10/21/2020 18:36:20.548</v>
      </c>
      <c r="B3045" t="str">
        <f>"18:36:28.469"</f>
        <v>18:36:28.469</v>
      </c>
      <c r="C3045" t="str">
        <f>"18:36:28.069"</f>
        <v>18:36:28.069</v>
      </c>
      <c r="D3045" t="s">
        <v>1160</v>
      </c>
      <c r="E3045">
        <v>30.826263000000001</v>
      </c>
      <c r="F3045" t="s">
        <v>1161</v>
      </c>
      <c r="G3045">
        <v>-89.866704999999996</v>
      </c>
      <c r="H3045">
        <v>1000</v>
      </c>
      <c r="I3045">
        <v>-24</v>
      </c>
      <c r="J3045">
        <v>110</v>
      </c>
      <c r="K3045">
        <v>576</v>
      </c>
      <c r="L3045">
        <v>1200</v>
      </c>
      <c r="M3045" t="str">
        <f t="shared" si="282"/>
        <v xml:space="preserve">N35DC   </v>
      </c>
      <c r="N3045">
        <v>1</v>
      </c>
      <c r="O3045">
        <v>900</v>
      </c>
    </row>
    <row r="3046" spans="1:15" x14ac:dyDescent="0.25">
      <c r="A3046" t="str">
        <f t="shared" ref="A3046:A3051" si="284">"10/21/2020 18:36:21.511"</f>
        <v>10/21/2020 18:36:21.511</v>
      </c>
      <c r="B3046" t="str">
        <f t="shared" ref="B3046:B3051" si="285">"18:36:29.437"</f>
        <v>18:36:29.437</v>
      </c>
      <c r="C3046" t="str">
        <f t="shared" ref="C3046:C3051" si="286">"18:36:29.038"</f>
        <v>18:36:29.038</v>
      </c>
      <c r="D3046" t="s">
        <v>1162</v>
      </c>
      <c r="E3046">
        <v>30.826757000000001</v>
      </c>
      <c r="F3046" t="s">
        <v>1163</v>
      </c>
      <c r="G3046">
        <v>-89.866855000000001</v>
      </c>
      <c r="H3046">
        <v>1000</v>
      </c>
      <c r="I3046">
        <v>-26</v>
      </c>
      <c r="J3046">
        <v>110</v>
      </c>
      <c r="K3046">
        <v>832</v>
      </c>
      <c r="L3046">
        <v>1200</v>
      </c>
      <c r="M3046" t="str">
        <f t="shared" si="282"/>
        <v xml:space="preserve">N35DC   </v>
      </c>
      <c r="N3046">
        <v>1</v>
      </c>
      <c r="O3046">
        <v>1025</v>
      </c>
    </row>
    <row r="3047" spans="1:15" x14ac:dyDescent="0.25">
      <c r="A3047" t="str">
        <f t="shared" si="284"/>
        <v>10/21/2020 18:36:21.511</v>
      </c>
      <c r="B3047" t="str">
        <f t="shared" si="285"/>
        <v>18:36:29.437</v>
      </c>
      <c r="C3047" t="str">
        <f t="shared" si="286"/>
        <v>18:36:29.038</v>
      </c>
      <c r="D3047" t="s">
        <v>1162</v>
      </c>
      <c r="E3047">
        <v>30.826757000000001</v>
      </c>
      <c r="F3047" t="s">
        <v>1163</v>
      </c>
      <c r="G3047">
        <v>-89.866855000000001</v>
      </c>
      <c r="H3047">
        <v>1000</v>
      </c>
      <c r="I3047">
        <v>-26</v>
      </c>
      <c r="J3047">
        <v>110</v>
      </c>
      <c r="K3047">
        <v>832</v>
      </c>
      <c r="L3047">
        <v>1200</v>
      </c>
      <c r="M3047" t="str">
        <f t="shared" si="282"/>
        <v xml:space="preserve">N35DC   </v>
      </c>
      <c r="N3047">
        <v>1</v>
      </c>
      <c r="O3047">
        <v>1025</v>
      </c>
    </row>
    <row r="3048" spans="1:15" x14ac:dyDescent="0.25">
      <c r="A3048" t="str">
        <f t="shared" si="284"/>
        <v>10/21/2020 18:36:21.511</v>
      </c>
      <c r="B3048" t="str">
        <f t="shared" si="285"/>
        <v>18:36:29.437</v>
      </c>
      <c r="C3048" t="str">
        <f t="shared" si="286"/>
        <v>18:36:29.038</v>
      </c>
      <c r="D3048" t="s">
        <v>1162</v>
      </c>
      <c r="E3048">
        <v>30.826757000000001</v>
      </c>
      <c r="F3048" t="s">
        <v>1163</v>
      </c>
      <c r="G3048">
        <v>-89.866855000000001</v>
      </c>
      <c r="H3048">
        <v>1000</v>
      </c>
      <c r="I3048">
        <v>-26</v>
      </c>
      <c r="J3048">
        <v>110</v>
      </c>
      <c r="K3048">
        <v>832</v>
      </c>
      <c r="L3048">
        <v>1200</v>
      </c>
      <c r="M3048" t="str">
        <f t="shared" si="282"/>
        <v xml:space="preserve">N35DC   </v>
      </c>
      <c r="N3048">
        <v>1</v>
      </c>
      <c r="O3048">
        <v>1025</v>
      </c>
    </row>
    <row r="3049" spans="1:15" x14ac:dyDescent="0.25">
      <c r="A3049" t="str">
        <f t="shared" si="284"/>
        <v>10/21/2020 18:36:21.511</v>
      </c>
      <c r="B3049" t="str">
        <f t="shared" si="285"/>
        <v>18:36:29.437</v>
      </c>
      <c r="C3049" t="str">
        <f t="shared" si="286"/>
        <v>18:36:29.038</v>
      </c>
      <c r="D3049" t="s">
        <v>1162</v>
      </c>
      <c r="E3049">
        <v>30.826757000000001</v>
      </c>
      <c r="F3049" t="s">
        <v>1163</v>
      </c>
      <c r="G3049">
        <v>-89.866855000000001</v>
      </c>
      <c r="H3049">
        <v>1000</v>
      </c>
      <c r="I3049">
        <v>-26</v>
      </c>
      <c r="J3049">
        <v>110</v>
      </c>
      <c r="K3049">
        <v>832</v>
      </c>
      <c r="L3049">
        <v>1200</v>
      </c>
      <c r="M3049" t="str">
        <f t="shared" si="282"/>
        <v xml:space="preserve">N35DC   </v>
      </c>
      <c r="N3049">
        <v>1</v>
      </c>
      <c r="O3049">
        <v>1025</v>
      </c>
    </row>
    <row r="3050" spans="1:15" x14ac:dyDescent="0.25">
      <c r="A3050" t="str">
        <f t="shared" si="284"/>
        <v>10/21/2020 18:36:21.511</v>
      </c>
      <c r="B3050" t="str">
        <f t="shared" si="285"/>
        <v>18:36:29.437</v>
      </c>
      <c r="C3050" t="str">
        <f t="shared" si="286"/>
        <v>18:36:29.038</v>
      </c>
      <c r="D3050" t="s">
        <v>1162</v>
      </c>
      <c r="E3050">
        <v>30.826757000000001</v>
      </c>
      <c r="F3050" t="s">
        <v>1163</v>
      </c>
      <c r="G3050">
        <v>-89.866855000000001</v>
      </c>
      <c r="H3050">
        <v>1000</v>
      </c>
      <c r="I3050">
        <v>-26</v>
      </c>
      <c r="J3050">
        <v>110</v>
      </c>
      <c r="K3050">
        <v>832</v>
      </c>
      <c r="L3050">
        <v>1200</v>
      </c>
      <c r="M3050" t="str">
        <f t="shared" si="282"/>
        <v xml:space="preserve">N35DC   </v>
      </c>
      <c r="N3050">
        <v>1</v>
      </c>
      <c r="O3050">
        <v>1025</v>
      </c>
    </row>
    <row r="3051" spans="1:15" x14ac:dyDescent="0.25">
      <c r="A3051" t="str">
        <f t="shared" si="284"/>
        <v>10/21/2020 18:36:21.511</v>
      </c>
      <c r="B3051" t="str">
        <f t="shared" si="285"/>
        <v>18:36:29.437</v>
      </c>
      <c r="C3051" t="str">
        <f t="shared" si="286"/>
        <v>18:36:29.038</v>
      </c>
      <c r="D3051" t="s">
        <v>1162</v>
      </c>
      <c r="E3051">
        <v>30.826757000000001</v>
      </c>
      <c r="F3051" t="s">
        <v>1163</v>
      </c>
      <c r="G3051">
        <v>-89.866855000000001</v>
      </c>
      <c r="H3051">
        <v>1000</v>
      </c>
      <c r="I3051">
        <v>-26</v>
      </c>
      <c r="J3051">
        <v>110</v>
      </c>
      <c r="K3051">
        <v>832</v>
      </c>
      <c r="L3051">
        <v>1200</v>
      </c>
      <c r="M3051" t="str">
        <f t="shared" si="282"/>
        <v xml:space="preserve">N35DC   </v>
      </c>
      <c r="N3051">
        <v>1</v>
      </c>
      <c r="O3051">
        <v>1025</v>
      </c>
    </row>
    <row r="3052" spans="1:15" x14ac:dyDescent="0.25">
      <c r="A3052" t="str">
        <f>"10/21/2020 18:36:24.458"</f>
        <v>10/21/2020 18:36:24.458</v>
      </c>
      <c r="B3052" t="str">
        <f>"18:36:32.367"</f>
        <v>18:36:32.367</v>
      </c>
      <c r="C3052" t="str">
        <f>"18:36:31.967"</f>
        <v>18:36:31.967</v>
      </c>
      <c r="D3052" t="s">
        <v>1164</v>
      </c>
      <c r="E3052">
        <v>30.828237999999999</v>
      </c>
      <c r="F3052" t="s">
        <v>1125</v>
      </c>
      <c r="G3052">
        <v>-89.867349000000004</v>
      </c>
      <c r="H3052">
        <v>1000</v>
      </c>
      <c r="I3052">
        <v>-31</v>
      </c>
      <c r="J3052">
        <v>108</v>
      </c>
      <c r="K3052">
        <v>1152</v>
      </c>
      <c r="L3052">
        <v>1200</v>
      </c>
      <c r="M3052" t="str">
        <f t="shared" si="282"/>
        <v xml:space="preserve">N35DC   </v>
      </c>
      <c r="N3052">
        <v>1</v>
      </c>
      <c r="O3052">
        <v>1050</v>
      </c>
    </row>
    <row r="3053" spans="1:15" x14ac:dyDescent="0.25">
      <c r="A3053" t="str">
        <f>"10/21/2020 18:36:24.458"</f>
        <v>10/21/2020 18:36:24.458</v>
      </c>
      <c r="B3053" t="str">
        <f>"18:36:32.367"</f>
        <v>18:36:32.367</v>
      </c>
      <c r="C3053" t="str">
        <f>"18:36:31.967"</f>
        <v>18:36:31.967</v>
      </c>
      <c r="D3053" t="s">
        <v>1164</v>
      </c>
      <c r="E3053">
        <v>30.828237999999999</v>
      </c>
      <c r="F3053" t="s">
        <v>1125</v>
      </c>
      <c r="G3053">
        <v>-89.867349000000004</v>
      </c>
      <c r="H3053">
        <v>1000</v>
      </c>
      <c r="I3053">
        <v>-31</v>
      </c>
      <c r="J3053">
        <v>108</v>
      </c>
      <c r="K3053">
        <v>1152</v>
      </c>
      <c r="L3053">
        <v>1200</v>
      </c>
      <c r="M3053" t="str">
        <f t="shared" si="282"/>
        <v xml:space="preserve">N35DC   </v>
      </c>
      <c r="N3053">
        <v>1</v>
      </c>
      <c r="O3053">
        <v>1050</v>
      </c>
    </row>
    <row r="3054" spans="1:15" x14ac:dyDescent="0.25">
      <c r="A3054" t="str">
        <f>"10/21/2020 18:36:24.458"</f>
        <v>10/21/2020 18:36:24.458</v>
      </c>
      <c r="B3054" t="str">
        <f>"18:36:32.367"</f>
        <v>18:36:32.367</v>
      </c>
      <c r="C3054" t="str">
        <f>"18:36:31.967"</f>
        <v>18:36:31.967</v>
      </c>
      <c r="D3054" t="s">
        <v>1164</v>
      </c>
      <c r="E3054">
        <v>30.828237999999999</v>
      </c>
      <c r="F3054" t="s">
        <v>1125</v>
      </c>
      <c r="G3054">
        <v>-89.867349000000004</v>
      </c>
      <c r="H3054">
        <v>1000</v>
      </c>
      <c r="I3054">
        <v>-31</v>
      </c>
      <c r="J3054">
        <v>108</v>
      </c>
      <c r="K3054">
        <v>1152</v>
      </c>
      <c r="L3054">
        <v>1200</v>
      </c>
      <c r="M3054" t="str">
        <f t="shared" si="282"/>
        <v xml:space="preserve">N35DC   </v>
      </c>
      <c r="N3054">
        <v>1</v>
      </c>
      <c r="O3054">
        <v>1050</v>
      </c>
    </row>
    <row r="3055" spans="1:15" x14ac:dyDescent="0.25">
      <c r="A3055" t="str">
        <f>"10/21/2020 18:36:24.458"</f>
        <v>10/21/2020 18:36:24.458</v>
      </c>
      <c r="B3055" t="str">
        <f>"18:36:32.367"</f>
        <v>18:36:32.367</v>
      </c>
      <c r="C3055" t="str">
        <f>"18:36:31.967"</f>
        <v>18:36:31.967</v>
      </c>
      <c r="D3055" t="s">
        <v>1164</v>
      </c>
      <c r="E3055">
        <v>30.828237999999999</v>
      </c>
      <c r="F3055" t="s">
        <v>1125</v>
      </c>
      <c r="G3055">
        <v>-89.867349000000004</v>
      </c>
      <c r="H3055">
        <v>1000</v>
      </c>
      <c r="I3055">
        <v>-31</v>
      </c>
      <c r="J3055">
        <v>108</v>
      </c>
      <c r="K3055">
        <v>1152</v>
      </c>
      <c r="L3055">
        <v>1200</v>
      </c>
      <c r="M3055" t="str">
        <f t="shared" si="282"/>
        <v xml:space="preserve">N35DC   </v>
      </c>
      <c r="N3055">
        <v>1</v>
      </c>
      <c r="O3055">
        <v>1050</v>
      </c>
    </row>
    <row r="3056" spans="1:15" x14ac:dyDescent="0.25">
      <c r="A3056" t="str">
        <f>"10/21/2020 18:36:24.936"</f>
        <v>10/21/2020 18:36:24.936</v>
      </c>
      <c r="B3056" t="str">
        <f>"18:36:32.844"</f>
        <v>18:36:32.844</v>
      </c>
      <c r="C3056" t="str">
        <f>"18:36:32.444"</f>
        <v>18:36:32.444</v>
      </c>
      <c r="D3056" t="s">
        <v>1165</v>
      </c>
      <c r="E3056">
        <v>30.828516</v>
      </c>
      <c r="F3056" t="s">
        <v>1132</v>
      </c>
      <c r="G3056">
        <v>-89.867412999999999</v>
      </c>
      <c r="H3056">
        <v>1000</v>
      </c>
      <c r="I3056">
        <v>-32</v>
      </c>
      <c r="J3056">
        <v>108</v>
      </c>
      <c r="K3056">
        <v>1216</v>
      </c>
      <c r="L3056">
        <v>1200</v>
      </c>
      <c r="M3056" t="str">
        <f t="shared" si="282"/>
        <v xml:space="preserve">N35DC   </v>
      </c>
      <c r="N3056">
        <v>1</v>
      </c>
      <c r="O3056">
        <v>1075</v>
      </c>
    </row>
    <row r="3057" spans="1:15" x14ac:dyDescent="0.25">
      <c r="A3057" t="str">
        <f>"10/21/2020 18:36:25.499"</f>
        <v>10/21/2020 18:36:25.499</v>
      </c>
      <c r="B3057" t="str">
        <f t="shared" ref="B3057:C3061" si="287">"18:36:33.414"</f>
        <v>18:36:33.414</v>
      </c>
      <c r="C3057" t="str">
        <f t="shared" si="287"/>
        <v>18:36:33.414</v>
      </c>
      <c r="D3057" t="s">
        <v>1166</v>
      </c>
      <c r="E3057">
        <v>30.828795</v>
      </c>
      <c r="F3057" t="s">
        <v>1123</v>
      </c>
      <c r="G3057">
        <v>-89.867498999999995</v>
      </c>
      <c r="H3057">
        <v>1000</v>
      </c>
      <c r="I3057">
        <v>-33</v>
      </c>
      <c r="J3057">
        <v>107</v>
      </c>
      <c r="K3057">
        <v>1344</v>
      </c>
      <c r="L3057">
        <v>1200</v>
      </c>
      <c r="M3057" t="str">
        <f t="shared" si="282"/>
        <v xml:space="preserve">N35DC   </v>
      </c>
      <c r="N3057">
        <v>1</v>
      </c>
      <c r="O3057">
        <v>1100</v>
      </c>
    </row>
    <row r="3058" spans="1:15" x14ac:dyDescent="0.25">
      <c r="A3058" t="str">
        <f>"10/21/2020 18:36:25.499"</f>
        <v>10/21/2020 18:36:25.499</v>
      </c>
      <c r="B3058" t="str">
        <f t="shared" si="287"/>
        <v>18:36:33.414</v>
      </c>
      <c r="C3058" t="str">
        <f t="shared" si="287"/>
        <v>18:36:33.414</v>
      </c>
      <c r="D3058" t="s">
        <v>1166</v>
      </c>
      <c r="E3058">
        <v>30.828795</v>
      </c>
      <c r="F3058" t="s">
        <v>1123</v>
      </c>
      <c r="G3058">
        <v>-89.867498999999995</v>
      </c>
      <c r="H3058">
        <v>1000</v>
      </c>
      <c r="I3058">
        <v>-33</v>
      </c>
      <c r="J3058">
        <v>107</v>
      </c>
      <c r="K3058">
        <v>1344</v>
      </c>
      <c r="L3058">
        <v>1200</v>
      </c>
      <c r="M3058" t="str">
        <f t="shared" si="282"/>
        <v xml:space="preserve">N35DC   </v>
      </c>
      <c r="N3058">
        <v>1</v>
      </c>
      <c r="O3058">
        <v>1100</v>
      </c>
    </row>
    <row r="3059" spans="1:15" x14ac:dyDescent="0.25">
      <c r="A3059" t="str">
        <f>"10/21/2020 18:36:25.499"</f>
        <v>10/21/2020 18:36:25.499</v>
      </c>
      <c r="B3059" t="str">
        <f t="shared" si="287"/>
        <v>18:36:33.414</v>
      </c>
      <c r="C3059" t="str">
        <f t="shared" si="287"/>
        <v>18:36:33.414</v>
      </c>
      <c r="D3059" t="s">
        <v>1166</v>
      </c>
      <c r="E3059">
        <v>30.828795</v>
      </c>
      <c r="F3059" t="s">
        <v>1123</v>
      </c>
      <c r="G3059">
        <v>-89.867498999999995</v>
      </c>
      <c r="H3059">
        <v>1000</v>
      </c>
      <c r="I3059">
        <v>-33</v>
      </c>
      <c r="J3059">
        <v>107</v>
      </c>
      <c r="K3059">
        <v>1344</v>
      </c>
      <c r="L3059">
        <v>1200</v>
      </c>
      <c r="M3059" t="str">
        <f t="shared" si="282"/>
        <v xml:space="preserve">N35DC   </v>
      </c>
      <c r="N3059">
        <v>1</v>
      </c>
      <c r="O3059">
        <v>1100</v>
      </c>
    </row>
    <row r="3060" spans="1:15" x14ac:dyDescent="0.25">
      <c r="A3060" t="str">
        <f>"10/21/2020 18:36:25.499"</f>
        <v>10/21/2020 18:36:25.499</v>
      </c>
      <c r="B3060" t="str">
        <f t="shared" si="287"/>
        <v>18:36:33.414</v>
      </c>
      <c r="C3060" t="str">
        <f t="shared" si="287"/>
        <v>18:36:33.414</v>
      </c>
      <c r="D3060" t="s">
        <v>1166</v>
      </c>
      <c r="E3060">
        <v>30.828795</v>
      </c>
      <c r="F3060" t="s">
        <v>1123</v>
      </c>
      <c r="G3060">
        <v>-89.867498999999995</v>
      </c>
      <c r="H3060">
        <v>1000</v>
      </c>
      <c r="I3060">
        <v>-33</v>
      </c>
      <c r="J3060">
        <v>107</v>
      </c>
      <c r="K3060">
        <v>1344</v>
      </c>
      <c r="L3060">
        <v>1200</v>
      </c>
      <c r="M3060" t="str">
        <f t="shared" si="282"/>
        <v xml:space="preserve">N35DC   </v>
      </c>
      <c r="N3060">
        <v>1</v>
      </c>
      <c r="O3060">
        <v>1100</v>
      </c>
    </row>
    <row r="3061" spans="1:15" x14ac:dyDescent="0.25">
      <c r="A3061" t="str">
        <f>"10/21/2020 18:36:25.499"</f>
        <v>10/21/2020 18:36:25.499</v>
      </c>
      <c r="B3061" t="str">
        <f t="shared" si="287"/>
        <v>18:36:33.414</v>
      </c>
      <c r="C3061" t="str">
        <f t="shared" si="287"/>
        <v>18:36:33.414</v>
      </c>
      <c r="D3061" t="s">
        <v>1166</v>
      </c>
      <c r="E3061">
        <v>30.828795</v>
      </c>
      <c r="F3061" t="s">
        <v>1123</v>
      </c>
      <c r="G3061">
        <v>-89.867498999999995</v>
      </c>
      <c r="H3061">
        <v>1000</v>
      </c>
      <c r="I3061">
        <v>-33</v>
      </c>
      <c r="J3061">
        <v>107</v>
      </c>
      <c r="K3061">
        <v>1344</v>
      </c>
      <c r="L3061">
        <v>1200</v>
      </c>
      <c r="M3061" t="str">
        <f t="shared" si="282"/>
        <v xml:space="preserve">N35DC   </v>
      </c>
      <c r="N3061">
        <v>1</v>
      </c>
      <c r="O3061">
        <v>1100</v>
      </c>
    </row>
    <row r="3062" spans="1:15" x14ac:dyDescent="0.25">
      <c r="A3062" t="str">
        <f>"10/21/2020 18:36:28.159"</f>
        <v>10/21/2020 18:36:28.159</v>
      </c>
      <c r="B3062" t="str">
        <f>"18:36:36.102"</f>
        <v>18:36:36.102</v>
      </c>
      <c r="C3062" t="str">
        <f>"18:36:35.702"</f>
        <v>18:36:35.702</v>
      </c>
      <c r="D3062" t="s">
        <v>1167</v>
      </c>
      <c r="E3062">
        <v>30.830103999999999</v>
      </c>
      <c r="F3062" t="s">
        <v>1168</v>
      </c>
      <c r="G3062">
        <v>-89.867992000000001</v>
      </c>
      <c r="H3062">
        <v>1100</v>
      </c>
      <c r="I3062">
        <v>-33</v>
      </c>
      <c r="J3062">
        <v>105</v>
      </c>
      <c r="K3062">
        <v>1600</v>
      </c>
      <c r="L3062">
        <v>1200</v>
      </c>
      <c r="M3062" t="str">
        <f t="shared" si="282"/>
        <v xml:space="preserve">N35DC   </v>
      </c>
      <c r="N3062">
        <v>1</v>
      </c>
      <c r="O3062">
        <v>1150</v>
      </c>
    </row>
    <row r="3063" spans="1:15" x14ac:dyDescent="0.25">
      <c r="A3063" t="str">
        <f>"10/21/2020 18:36:28.792"</f>
        <v>10/21/2020 18:36:28.792</v>
      </c>
      <c r="B3063" t="str">
        <f t="shared" ref="B3063:C3066" si="288">"18:36:36.687"</f>
        <v>18:36:36.687</v>
      </c>
      <c r="C3063" t="str">
        <f t="shared" si="288"/>
        <v>18:36:36.687</v>
      </c>
      <c r="D3063" t="s">
        <v>1169</v>
      </c>
      <c r="E3063">
        <v>30.830383000000001</v>
      </c>
      <c r="F3063" t="s">
        <v>1170</v>
      </c>
      <c r="G3063">
        <v>-89.868099999999998</v>
      </c>
      <c r="H3063">
        <v>1100</v>
      </c>
      <c r="I3063">
        <v>-36</v>
      </c>
      <c r="J3063">
        <v>105</v>
      </c>
      <c r="K3063">
        <v>1536</v>
      </c>
      <c r="L3063">
        <v>1200</v>
      </c>
      <c r="M3063" t="str">
        <f t="shared" si="282"/>
        <v xml:space="preserve">N35DC   </v>
      </c>
      <c r="N3063">
        <v>1</v>
      </c>
      <c r="O3063">
        <v>1175</v>
      </c>
    </row>
    <row r="3064" spans="1:15" x14ac:dyDescent="0.25">
      <c r="A3064" t="str">
        <f>"10/21/2020 18:36:28.792"</f>
        <v>10/21/2020 18:36:28.792</v>
      </c>
      <c r="B3064" t="str">
        <f t="shared" si="288"/>
        <v>18:36:36.687</v>
      </c>
      <c r="C3064" t="str">
        <f t="shared" si="288"/>
        <v>18:36:36.687</v>
      </c>
      <c r="D3064" t="s">
        <v>1169</v>
      </c>
      <c r="E3064">
        <v>30.830383000000001</v>
      </c>
      <c r="F3064" t="s">
        <v>1170</v>
      </c>
      <c r="G3064">
        <v>-89.868099999999998</v>
      </c>
      <c r="H3064">
        <v>1100</v>
      </c>
      <c r="I3064">
        <v>-36</v>
      </c>
      <c r="J3064">
        <v>105</v>
      </c>
      <c r="K3064">
        <v>1536</v>
      </c>
      <c r="L3064">
        <v>1200</v>
      </c>
      <c r="M3064" t="str">
        <f t="shared" si="282"/>
        <v xml:space="preserve">N35DC   </v>
      </c>
      <c r="N3064">
        <v>1</v>
      </c>
      <c r="O3064">
        <v>1175</v>
      </c>
    </row>
    <row r="3065" spans="1:15" x14ac:dyDescent="0.25">
      <c r="A3065" t="str">
        <f>"10/21/2020 18:36:28.792"</f>
        <v>10/21/2020 18:36:28.792</v>
      </c>
      <c r="B3065" t="str">
        <f t="shared" si="288"/>
        <v>18:36:36.687</v>
      </c>
      <c r="C3065" t="str">
        <f t="shared" si="288"/>
        <v>18:36:36.687</v>
      </c>
      <c r="D3065" t="s">
        <v>1169</v>
      </c>
      <c r="E3065">
        <v>30.830383000000001</v>
      </c>
      <c r="F3065" t="s">
        <v>1170</v>
      </c>
      <c r="G3065">
        <v>-89.868099999999998</v>
      </c>
      <c r="H3065">
        <v>1100</v>
      </c>
      <c r="I3065">
        <v>-36</v>
      </c>
      <c r="J3065">
        <v>105</v>
      </c>
      <c r="K3065">
        <v>1536</v>
      </c>
      <c r="L3065">
        <v>1200</v>
      </c>
      <c r="M3065" t="str">
        <f t="shared" si="282"/>
        <v xml:space="preserve">N35DC   </v>
      </c>
      <c r="N3065">
        <v>1</v>
      </c>
      <c r="O3065">
        <v>1175</v>
      </c>
    </row>
    <row r="3066" spans="1:15" x14ac:dyDescent="0.25">
      <c r="A3066" t="str">
        <f>"10/21/2020 18:36:28.792"</f>
        <v>10/21/2020 18:36:28.792</v>
      </c>
      <c r="B3066" t="str">
        <f t="shared" si="288"/>
        <v>18:36:36.687</v>
      </c>
      <c r="C3066" t="str">
        <f t="shared" si="288"/>
        <v>18:36:36.687</v>
      </c>
      <c r="D3066" t="s">
        <v>1169</v>
      </c>
      <c r="E3066">
        <v>30.830383000000001</v>
      </c>
      <c r="F3066" t="s">
        <v>1170</v>
      </c>
      <c r="G3066">
        <v>-89.868099999999998</v>
      </c>
      <c r="H3066">
        <v>1100</v>
      </c>
      <c r="I3066">
        <v>-36</v>
      </c>
      <c r="J3066">
        <v>105</v>
      </c>
      <c r="K3066">
        <v>1536</v>
      </c>
      <c r="L3066">
        <v>1200</v>
      </c>
      <c r="M3066" t="str">
        <f t="shared" si="282"/>
        <v xml:space="preserve">N35DC   </v>
      </c>
      <c r="N3066">
        <v>1</v>
      </c>
      <c r="O3066">
        <v>1175</v>
      </c>
    </row>
    <row r="3067" spans="1:15" x14ac:dyDescent="0.25">
      <c r="A3067" t="str">
        <f t="shared" ref="A3067:A3072" si="289">"10/21/2020 18:36:29.579"</f>
        <v>10/21/2020 18:36:29.579</v>
      </c>
      <c r="B3067" t="str">
        <f t="shared" ref="B3067:B3072" si="290">"18:36:37.523"</f>
        <v>18:36:37.523</v>
      </c>
      <c r="C3067" t="str">
        <f>"18:36:37.223"</f>
        <v>18:36:37.223</v>
      </c>
      <c r="D3067" t="s">
        <v>1171</v>
      </c>
      <c r="E3067">
        <v>30.830812000000002</v>
      </c>
      <c r="F3067" t="s">
        <v>1098</v>
      </c>
      <c r="G3067">
        <v>-89.868270999999993</v>
      </c>
      <c r="H3067">
        <v>1100</v>
      </c>
      <c r="I3067">
        <v>-37</v>
      </c>
      <c r="J3067">
        <v>105</v>
      </c>
      <c r="K3067">
        <v>1408</v>
      </c>
      <c r="L3067">
        <v>1200</v>
      </c>
      <c r="M3067" t="str">
        <f t="shared" si="282"/>
        <v xml:space="preserve">N35DC   </v>
      </c>
      <c r="N3067">
        <v>1</v>
      </c>
      <c r="O3067">
        <v>1200</v>
      </c>
    </row>
    <row r="3068" spans="1:15" x14ac:dyDescent="0.25">
      <c r="A3068" t="str">
        <f t="shared" si="289"/>
        <v>10/21/2020 18:36:29.579</v>
      </c>
      <c r="B3068" t="str">
        <f t="shared" si="290"/>
        <v>18:36:37.523</v>
      </c>
      <c r="C3068" t="str">
        <f>"18:36:37.223"</f>
        <v>18:36:37.223</v>
      </c>
      <c r="D3068" t="s">
        <v>1171</v>
      </c>
      <c r="E3068">
        <v>30.830812000000002</v>
      </c>
      <c r="F3068" t="s">
        <v>1098</v>
      </c>
      <c r="G3068">
        <v>-89.868270999999993</v>
      </c>
      <c r="H3068">
        <v>1100</v>
      </c>
      <c r="I3068">
        <v>-37</v>
      </c>
      <c r="J3068">
        <v>105</v>
      </c>
      <c r="K3068">
        <v>1408</v>
      </c>
      <c r="L3068">
        <v>1200</v>
      </c>
      <c r="M3068" t="str">
        <f t="shared" si="282"/>
        <v xml:space="preserve">N35DC   </v>
      </c>
      <c r="N3068">
        <v>1</v>
      </c>
      <c r="O3068">
        <v>1200</v>
      </c>
    </row>
    <row r="3069" spans="1:15" x14ac:dyDescent="0.25">
      <c r="A3069" t="str">
        <f t="shared" si="289"/>
        <v>10/21/2020 18:36:29.579</v>
      </c>
      <c r="B3069" t="str">
        <f t="shared" si="290"/>
        <v>18:36:37.523</v>
      </c>
      <c r="C3069" t="str">
        <f>"18:36:37.223"</f>
        <v>18:36:37.223</v>
      </c>
      <c r="D3069" t="s">
        <v>1171</v>
      </c>
      <c r="E3069">
        <v>30.830812000000002</v>
      </c>
      <c r="F3069" t="s">
        <v>1098</v>
      </c>
      <c r="G3069">
        <v>-89.868270999999993</v>
      </c>
      <c r="H3069">
        <v>1100</v>
      </c>
      <c r="I3069">
        <v>-37</v>
      </c>
      <c r="J3069">
        <v>105</v>
      </c>
      <c r="K3069">
        <v>1408</v>
      </c>
      <c r="L3069">
        <v>1200</v>
      </c>
      <c r="M3069" t="str">
        <f t="shared" si="282"/>
        <v xml:space="preserve">N35DC   </v>
      </c>
      <c r="N3069">
        <v>1</v>
      </c>
      <c r="O3069">
        <v>1200</v>
      </c>
    </row>
    <row r="3070" spans="1:15" x14ac:dyDescent="0.25">
      <c r="A3070" t="str">
        <f t="shared" si="289"/>
        <v>10/21/2020 18:36:29.579</v>
      </c>
      <c r="B3070" t="str">
        <f t="shared" si="290"/>
        <v>18:36:37.523</v>
      </c>
      <c r="C3070" t="str">
        <f>"18:36:37.223"</f>
        <v>18:36:37.223</v>
      </c>
      <c r="D3070" t="s">
        <v>1171</v>
      </c>
      <c r="E3070">
        <v>30.830812000000002</v>
      </c>
      <c r="F3070" t="s">
        <v>1098</v>
      </c>
      <c r="G3070">
        <v>-89.868270999999993</v>
      </c>
      <c r="H3070">
        <v>1100</v>
      </c>
      <c r="I3070">
        <v>-37</v>
      </c>
      <c r="J3070">
        <v>105</v>
      </c>
      <c r="K3070">
        <v>1408</v>
      </c>
      <c r="L3070">
        <v>1200</v>
      </c>
      <c r="M3070" t="str">
        <f t="shared" si="282"/>
        <v xml:space="preserve">N35DC   </v>
      </c>
      <c r="N3070">
        <v>1</v>
      </c>
      <c r="O3070">
        <v>1200</v>
      </c>
    </row>
    <row r="3071" spans="1:15" x14ac:dyDescent="0.25">
      <c r="A3071" t="str">
        <f t="shared" si="289"/>
        <v>10/21/2020 18:36:29.579</v>
      </c>
      <c r="B3071" t="str">
        <f t="shared" si="290"/>
        <v>18:36:37.523</v>
      </c>
      <c r="C3071" t="str">
        <f>"18:36:36.223"</f>
        <v>18:36:36.223</v>
      </c>
      <c r="D3071" t="s">
        <v>1171</v>
      </c>
      <c r="E3071">
        <v>30.830812000000002</v>
      </c>
      <c r="F3071" t="s">
        <v>1098</v>
      </c>
      <c r="G3071">
        <v>-89.868270999999993</v>
      </c>
      <c r="H3071">
        <v>1100</v>
      </c>
      <c r="I3071">
        <v>-35</v>
      </c>
      <c r="J3071">
        <v>105</v>
      </c>
      <c r="K3071">
        <v>1664</v>
      </c>
      <c r="L3071">
        <v>1200</v>
      </c>
      <c r="M3071" t="str">
        <f t="shared" si="282"/>
        <v xml:space="preserve">N35DC   </v>
      </c>
      <c r="N3071">
        <v>1</v>
      </c>
      <c r="O3071">
        <v>1175</v>
      </c>
    </row>
    <row r="3072" spans="1:15" x14ac:dyDescent="0.25">
      <c r="A3072" t="str">
        <f t="shared" si="289"/>
        <v>10/21/2020 18:36:29.579</v>
      </c>
      <c r="B3072" t="str">
        <f t="shared" si="290"/>
        <v>18:36:37.523</v>
      </c>
      <c r="C3072" t="str">
        <f>"18:36:37.223"</f>
        <v>18:36:37.223</v>
      </c>
      <c r="D3072" t="s">
        <v>1171</v>
      </c>
      <c r="E3072">
        <v>30.830812000000002</v>
      </c>
      <c r="F3072" t="s">
        <v>1098</v>
      </c>
      <c r="G3072">
        <v>-89.868270999999993</v>
      </c>
      <c r="H3072">
        <v>1100</v>
      </c>
      <c r="I3072">
        <v>-37</v>
      </c>
      <c r="J3072">
        <v>105</v>
      </c>
      <c r="K3072">
        <v>1408</v>
      </c>
      <c r="L3072">
        <v>1200</v>
      </c>
      <c r="M3072" t="str">
        <f t="shared" si="282"/>
        <v xml:space="preserve">N35DC   </v>
      </c>
      <c r="N3072">
        <v>1</v>
      </c>
      <c r="O3072">
        <v>1200</v>
      </c>
    </row>
    <row r="3073" spans="1:15" x14ac:dyDescent="0.25">
      <c r="A3073" t="str">
        <f t="shared" ref="A3073:A3078" si="291">"10/21/2020 18:36:31.520"</f>
        <v>10/21/2020 18:36:31.520</v>
      </c>
      <c r="B3073" t="str">
        <f t="shared" ref="B3073:B3078" si="292">"18:36:39.477"</f>
        <v>18:36:39.477</v>
      </c>
      <c r="C3073" t="str">
        <f t="shared" ref="C3073:C3078" si="293">"18:36:38.977"</f>
        <v>18:36:38.977</v>
      </c>
      <c r="D3073" t="s">
        <v>1172</v>
      </c>
      <c r="E3073">
        <v>30.831734999999998</v>
      </c>
      <c r="F3073" t="s">
        <v>1088</v>
      </c>
      <c r="G3073">
        <v>-89.868722000000005</v>
      </c>
      <c r="H3073">
        <v>1200</v>
      </c>
      <c r="I3073">
        <v>-42</v>
      </c>
      <c r="J3073">
        <v>105</v>
      </c>
      <c r="K3073">
        <v>896</v>
      </c>
      <c r="L3073">
        <v>1200</v>
      </c>
      <c r="M3073" t="str">
        <f t="shared" si="282"/>
        <v xml:space="preserve">N35DC   </v>
      </c>
      <c r="N3073">
        <v>1</v>
      </c>
      <c r="O3073">
        <v>1225</v>
      </c>
    </row>
    <row r="3074" spans="1:15" x14ac:dyDescent="0.25">
      <c r="A3074" t="str">
        <f t="shared" si="291"/>
        <v>10/21/2020 18:36:31.520</v>
      </c>
      <c r="B3074" t="str">
        <f t="shared" si="292"/>
        <v>18:36:39.477</v>
      </c>
      <c r="C3074" t="str">
        <f t="shared" si="293"/>
        <v>18:36:38.977</v>
      </c>
      <c r="D3074" t="s">
        <v>1172</v>
      </c>
      <c r="E3074">
        <v>30.831734999999998</v>
      </c>
      <c r="F3074" t="s">
        <v>1088</v>
      </c>
      <c r="G3074">
        <v>-89.868722000000005</v>
      </c>
      <c r="H3074">
        <v>1200</v>
      </c>
      <c r="I3074">
        <v>-42</v>
      </c>
      <c r="J3074">
        <v>105</v>
      </c>
      <c r="K3074">
        <v>896</v>
      </c>
      <c r="L3074">
        <v>1200</v>
      </c>
      <c r="M3074" t="str">
        <f t="shared" si="282"/>
        <v xml:space="preserve">N35DC   </v>
      </c>
      <c r="N3074">
        <v>1</v>
      </c>
      <c r="O3074">
        <v>1225</v>
      </c>
    </row>
    <row r="3075" spans="1:15" x14ac:dyDescent="0.25">
      <c r="A3075" t="str">
        <f t="shared" si="291"/>
        <v>10/21/2020 18:36:31.520</v>
      </c>
      <c r="B3075" t="str">
        <f t="shared" si="292"/>
        <v>18:36:39.477</v>
      </c>
      <c r="C3075" t="str">
        <f t="shared" si="293"/>
        <v>18:36:38.977</v>
      </c>
      <c r="D3075" t="s">
        <v>1172</v>
      </c>
      <c r="E3075">
        <v>30.831734999999998</v>
      </c>
      <c r="F3075" t="s">
        <v>1088</v>
      </c>
      <c r="G3075">
        <v>-89.868722000000005</v>
      </c>
      <c r="H3075">
        <v>1200</v>
      </c>
      <c r="I3075">
        <v>-42</v>
      </c>
      <c r="J3075">
        <v>105</v>
      </c>
      <c r="K3075">
        <v>896</v>
      </c>
      <c r="L3075">
        <v>1200</v>
      </c>
      <c r="M3075" t="str">
        <f t="shared" si="282"/>
        <v xml:space="preserve">N35DC   </v>
      </c>
      <c r="N3075">
        <v>1</v>
      </c>
      <c r="O3075">
        <v>1225</v>
      </c>
    </row>
    <row r="3076" spans="1:15" x14ac:dyDescent="0.25">
      <c r="A3076" t="str">
        <f t="shared" si="291"/>
        <v>10/21/2020 18:36:31.520</v>
      </c>
      <c r="B3076" t="str">
        <f t="shared" si="292"/>
        <v>18:36:39.477</v>
      </c>
      <c r="C3076" t="str">
        <f t="shared" si="293"/>
        <v>18:36:38.977</v>
      </c>
      <c r="D3076" t="s">
        <v>1172</v>
      </c>
      <c r="E3076">
        <v>30.831734999999998</v>
      </c>
      <c r="F3076" t="s">
        <v>1088</v>
      </c>
      <c r="G3076">
        <v>-89.868722000000005</v>
      </c>
      <c r="H3076">
        <v>1200</v>
      </c>
      <c r="I3076">
        <v>-42</v>
      </c>
      <c r="J3076">
        <v>105</v>
      </c>
      <c r="K3076">
        <v>896</v>
      </c>
      <c r="L3076">
        <v>1200</v>
      </c>
      <c r="M3076" t="str">
        <f t="shared" si="282"/>
        <v xml:space="preserve">N35DC   </v>
      </c>
      <c r="N3076">
        <v>1</v>
      </c>
      <c r="O3076">
        <v>1225</v>
      </c>
    </row>
    <row r="3077" spans="1:15" x14ac:dyDescent="0.25">
      <c r="A3077" t="str">
        <f t="shared" si="291"/>
        <v>10/21/2020 18:36:31.520</v>
      </c>
      <c r="B3077" t="str">
        <f t="shared" si="292"/>
        <v>18:36:39.477</v>
      </c>
      <c r="C3077" t="str">
        <f t="shared" si="293"/>
        <v>18:36:38.977</v>
      </c>
      <c r="D3077" t="s">
        <v>1172</v>
      </c>
      <c r="E3077">
        <v>30.831734999999998</v>
      </c>
      <c r="F3077" t="s">
        <v>1088</v>
      </c>
      <c r="G3077">
        <v>-89.868722000000005</v>
      </c>
      <c r="H3077">
        <v>1200</v>
      </c>
      <c r="I3077">
        <v>-42</v>
      </c>
      <c r="J3077">
        <v>105</v>
      </c>
      <c r="K3077">
        <v>896</v>
      </c>
      <c r="L3077">
        <v>1200</v>
      </c>
      <c r="M3077" t="str">
        <f t="shared" si="282"/>
        <v xml:space="preserve">N35DC   </v>
      </c>
      <c r="N3077">
        <v>1</v>
      </c>
      <c r="O3077">
        <v>1225</v>
      </c>
    </row>
    <row r="3078" spans="1:15" x14ac:dyDescent="0.25">
      <c r="A3078" t="str">
        <f t="shared" si="291"/>
        <v>10/21/2020 18:36:31.520</v>
      </c>
      <c r="B3078" t="str">
        <f t="shared" si="292"/>
        <v>18:36:39.477</v>
      </c>
      <c r="C3078" t="str">
        <f t="shared" si="293"/>
        <v>18:36:38.977</v>
      </c>
      <c r="D3078" t="s">
        <v>1172</v>
      </c>
      <c r="E3078">
        <v>30.831734999999998</v>
      </c>
      <c r="F3078" t="s">
        <v>1088</v>
      </c>
      <c r="G3078">
        <v>-89.868722000000005</v>
      </c>
      <c r="H3078">
        <v>1200</v>
      </c>
      <c r="I3078">
        <v>-42</v>
      </c>
      <c r="J3078">
        <v>105</v>
      </c>
      <c r="K3078">
        <v>896</v>
      </c>
      <c r="L3078">
        <v>1200</v>
      </c>
      <c r="M3078" t="str">
        <f t="shared" si="282"/>
        <v xml:space="preserve">N35DC   </v>
      </c>
      <c r="N3078">
        <v>1</v>
      </c>
      <c r="O3078">
        <v>1225</v>
      </c>
    </row>
    <row r="3079" spans="1:15" x14ac:dyDescent="0.25">
      <c r="A3079" t="str">
        <f t="shared" ref="A3079:A3084" si="294">"10/21/2020 18:36:32.432"</f>
        <v>10/21/2020 18:36:32.432</v>
      </c>
      <c r="B3079" t="str">
        <f t="shared" ref="B3079:B3084" si="295">"18:36:40.359"</f>
        <v>18:36:40.359</v>
      </c>
      <c r="C3079" t="str">
        <f t="shared" ref="C3079:C3084" si="296">"18:36:40.059"</f>
        <v>18:36:40.059</v>
      </c>
      <c r="D3079" t="s">
        <v>1173</v>
      </c>
      <c r="E3079">
        <v>30.832142999999999</v>
      </c>
      <c r="F3079" t="s">
        <v>1174</v>
      </c>
      <c r="G3079">
        <v>-89.868937000000003</v>
      </c>
      <c r="H3079">
        <v>1200</v>
      </c>
      <c r="I3079">
        <v>-44</v>
      </c>
      <c r="J3079">
        <v>105</v>
      </c>
      <c r="K3079">
        <v>832</v>
      </c>
      <c r="L3079">
        <v>1200</v>
      </c>
      <c r="M3079" t="str">
        <f t="shared" ref="M3079:M3142" si="297">"N35DC   "</f>
        <v xml:space="preserve">N35DC   </v>
      </c>
      <c r="N3079">
        <v>1</v>
      </c>
      <c r="O3079">
        <v>1250</v>
      </c>
    </row>
    <row r="3080" spans="1:15" x14ac:dyDescent="0.25">
      <c r="A3080" t="str">
        <f t="shared" si="294"/>
        <v>10/21/2020 18:36:32.432</v>
      </c>
      <c r="B3080" t="str">
        <f t="shared" si="295"/>
        <v>18:36:40.359</v>
      </c>
      <c r="C3080" t="str">
        <f t="shared" si="296"/>
        <v>18:36:40.059</v>
      </c>
      <c r="D3080" t="s">
        <v>1173</v>
      </c>
      <c r="E3080">
        <v>30.832142999999999</v>
      </c>
      <c r="F3080" t="s">
        <v>1174</v>
      </c>
      <c r="G3080">
        <v>-89.868937000000003</v>
      </c>
      <c r="H3080">
        <v>1200</v>
      </c>
      <c r="I3080">
        <v>-44</v>
      </c>
      <c r="J3080">
        <v>105</v>
      </c>
      <c r="K3080">
        <v>832</v>
      </c>
      <c r="L3080">
        <v>1200</v>
      </c>
      <c r="M3080" t="str">
        <f t="shared" si="297"/>
        <v xml:space="preserve">N35DC   </v>
      </c>
      <c r="N3080">
        <v>1</v>
      </c>
      <c r="O3080">
        <v>1250</v>
      </c>
    </row>
    <row r="3081" spans="1:15" x14ac:dyDescent="0.25">
      <c r="A3081" t="str">
        <f t="shared" si="294"/>
        <v>10/21/2020 18:36:32.432</v>
      </c>
      <c r="B3081" t="str">
        <f t="shared" si="295"/>
        <v>18:36:40.359</v>
      </c>
      <c r="C3081" t="str">
        <f t="shared" si="296"/>
        <v>18:36:40.059</v>
      </c>
      <c r="D3081" t="s">
        <v>1173</v>
      </c>
      <c r="E3081">
        <v>30.832142999999999</v>
      </c>
      <c r="F3081" t="s">
        <v>1174</v>
      </c>
      <c r="G3081">
        <v>-89.868937000000003</v>
      </c>
      <c r="H3081">
        <v>1200</v>
      </c>
      <c r="I3081">
        <v>-44</v>
      </c>
      <c r="J3081">
        <v>105</v>
      </c>
      <c r="K3081">
        <v>832</v>
      </c>
      <c r="L3081">
        <v>1200</v>
      </c>
      <c r="M3081" t="str">
        <f t="shared" si="297"/>
        <v xml:space="preserve">N35DC   </v>
      </c>
      <c r="N3081">
        <v>1</v>
      </c>
      <c r="O3081">
        <v>1250</v>
      </c>
    </row>
    <row r="3082" spans="1:15" x14ac:dyDescent="0.25">
      <c r="A3082" t="str">
        <f t="shared" si="294"/>
        <v>10/21/2020 18:36:32.432</v>
      </c>
      <c r="B3082" t="str">
        <f t="shared" si="295"/>
        <v>18:36:40.359</v>
      </c>
      <c r="C3082" t="str">
        <f t="shared" si="296"/>
        <v>18:36:40.059</v>
      </c>
      <c r="D3082" t="s">
        <v>1173</v>
      </c>
      <c r="E3082">
        <v>30.832142999999999</v>
      </c>
      <c r="F3082" t="s">
        <v>1174</v>
      </c>
      <c r="G3082">
        <v>-89.868937000000003</v>
      </c>
      <c r="H3082">
        <v>1200</v>
      </c>
      <c r="I3082">
        <v>-44</v>
      </c>
      <c r="J3082">
        <v>105</v>
      </c>
      <c r="K3082">
        <v>832</v>
      </c>
      <c r="L3082">
        <v>1200</v>
      </c>
      <c r="M3082" t="str">
        <f t="shared" si="297"/>
        <v xml:space="preserve">N35DC   </v>
      </c>
      <c r="N3082">
        <v>1</v>
      </c>
      <c r="O3082">
        <v>1250</v>
      </c>
    </row>
    <row r="3083" spans="1:15" x14ac:dyDescent="0.25">
      <c r="A3083" t="str">
        <f t="shared" si="294"/>
        <v>10/21/2020 18:36:32.432</v>
      </c>
      <c r="B3083" t="str">
        <f t="shared" si="295"/>
        <v>18:36:40.359</v>
      </c>
      <c r="C3083" t="str">
        <f t="shared" si="296"/>
        <v>18:36:40.059</v>
      </c>
      <c r="D3083" t="s">
        <v>1173</v>
      </c>
      <c r="E3083">
        <v>30.832142999999999</v>
      </c>
      <c r="F3083" t="s">
        <v>1174</v>
      </c>
      <c r="G3083">
        <v>-89.868937000000003</v>
      </c>
      <c r="H3083">
        <v>1200</v>
      </c>
      <c r="I3083">
        <v>-44</v>
      </c>
      <c r="J3083">
        <v>105</v>
      </c>
      <c r="K3083">
        <v>832</v>
      </c>
      <c r="L3083">
        <v>1200</v>
      </c>
      <c r="M3083" t="str">
        <f t="shared" si="297"/>
        <v xml:space="preserve">N35DC   </v>
      </c>
      <c r="N3083">
        <v>1</v>
      </c>
      <c r="O3083">
        <v>1250</v>
      </c>
    </row>
    <row r="3084" spans="1:15" x14ac:dyDescent="0.25">
      <c r="A3084" t="str">
        <f t="shared" si="294"/>
        <v>10/21/2020 18:36:32.432</v>
      </c>
      <c r="B3084" t="str">
        <f t="shared" si="295"/>
        <v>18:36:40.359</v>
      </c>
      <c r="C3084" t="str">
        <f t="shared" si="296"/>
        <v>18:36:40.059</v>
      </c>
      <c r="D3084" t="s">
        <v>1173</v>
      </c>
      <c r="E3084">
        <v>30.832142999999999</v>
      </c>
      <c r="F3084" t="s">
        <v>1174</v>
      </c>
      <c r="G3084">
        <v>-89.868937000000003</v>
      </c>
      <c r="H3084">
        <v>1200</v>
      </c>
      <c r="I3084">
        <v>-44</v>
      </c>
      <c r="J3084">
        <v>105</v>
      </c>
      <c r="K3084">
        <v>832</v>
      </c>
      <c r="L3084">
        <v>1200</v>
      </c>
      <c r="M3084" t="str">
        <f t="shared" si="297"/>
        <v xml:space="preserve">N35DC   </v>
      </c>
      <c r="N3084">
        <v>1</v>
      </c>
      <c r="O3084">
        <v>1250</v>
      </c>
    </row>
    <row r="3085" spans="1:15" x14ac:dyDescent="0.25">
      <c r="A3085" t="str">
        <f>"10/21/2020 18:36:35.433"</f>
        <v>10/21/2020 18:36:35.433</v>
      </c>
      <c r="B3085" t="str">
        <f>"18:36:43.391"</f>
        <v>18:36:43.391</v>
      </c>
      <c r="C3085" t="str">
        <f>"18:36:43.291"</f>
        <v>18:36:43.291</v>
      </c>
      <c r="D3085" t="s">
        <v>1175</v>
      </c>
      <c r="E3085">
        <v>30.833645000000001</v>
      </c>
      <c r="F3085" t="s">
        <v>930</v>
      </c>
      <c r="G3085">
        <v>-89.869709</v>
      </c>
      <c r="H3085">
        <v>1200</v>
      </c>
      <c r="I3085">
        <v>-46</v>
      </c>
      <c r="J3085">
        <v>105</v>
      </c>
      <c r="K3085">
        <v>704</v>
      </c>
      <c r="L3085">
        <v>1200</v>
      </c>
      <c r="M3085" t="str">
        <f t="shared" si="297"/>
        <v xml:space="preserve">N35DC   </v>
      </c>
      <c r="N3085">
        <v>1</v>
      </c>
      <c r="O3085">
        <v>1275</v>
      </c>
    </row>
    <row r="3086" spans="1:15" x14ac:dyDescent="0.25">
      <c r="A3086" t="str">
        <f>"10/21/2020 18:36:35.433"</f>
        <v>10/21/2020 18:36:35.433</v>
      </c>
      <c r="B3086" t="str">
        <f>"18:36:43.391"</f>
        <v>18:36:43.391</v>
      </c>
      <c r="C3086" t="str">
        <f>"18:36:43.291"</f>
        <v>18:36:43.291</v>
      </c>
      <c r="D3086" t="s">
        <v>1175</v>
      </c>
      <c r="E3086">
        <v>30.833645000000001</v>
      </c>
      <c r="F3086" t="s">
        <v>930</v>
      </c>
      <c r="G3086">
        <v>-89.869709</v>
      </c>
      <c r="H3086">
        <v>1200</v>
      </c>
      <c r="I3086">
        <v>-46</v>
      </c>
      <c r="J3086">
        <v>105</v>
      </c>
      <c r="K3086">
        <v>704</v>
      </c>
      <c r="L3086">
        <v>1200</v>
      </c>
      <c r="M3086" t="str">
        <f t="shared" si="297"/>
        <v xml:space="preserve">N35DC   </v>
      </c>
      <c r="N3086">
        <v>1</v>
      </c>
      <c r="O3086">
        <v>1275</v>
      </c>
    </row>
    <row r="3087" spans="1:15" x14ac:dyDescent="0.25">
      <c r="A3087" t="str">
        <f>"10/21/2020 18:36:35.433"</f>
        <v>10/21/2020 18:36:35.433</v>
      </c>
      <c r="B3087" t="str">
        <f>"18:36:43.391"</f>
        <v>18:36:43.391</v>
      </c>
      <c r="C3087" t="str">
        <f>"18:36:43.291"</f>
        <v>18:36:43.291</v>
      </c>
      <c r="D3087" t="s">
        <v>1175</v>
      </c>
      <c r="E3087">
        <v>30.833645000000001</v>
      </c>
      <c r="F3087" t="s">
        <v>930</v>
      </c>
      <c r="G3087">
        <v>-89.869709</v>
      </c>
      <c r="H3087">
        <v>1200</v>
      </c>
      <c r="I3087">
        <v>-46</v>
      </c>
      <c r="J3087">
        <v>105</v>
      </c>
      <c r="K3087">
        <v>704</v>
      </c>
      <c r="L3087">
        <v>1200</v>
      </c>
      <c r="M3087" t="str">
        <f t="shared" si="297"/>
        <v xml:space="preserve">N35DC   </v>
      </c>
      <c r="N3087">
        <v>1</v>
      </c>
      <c r="O3087">
        <v>1275</v>
      </c>
    </row>
    <row r="3088" spans="1:15" x14ac:dyDescent="0.25">
      <c r="A3088" t="str">
        <f>"10/21/2020 18:36:35.433"</f>
        <v>10/21/2020 18:36:35.433</v>
      </c>
      <c r="B3088" t="str">
        <f>"18:36:43.391"</f>
        <v>18:36:43.391</v>
      </c>
      <c r="C3088" t="str">
        <f>"18:36:43.291"</f>
        <v>18:36:43.291</v>
      </c>
      <c r="D3088" t="s">
        <v>1175</v>
      </c>
      <c r="E3088">
        <v>30.833645000000001</v>
      </c>
      <c r="F3088" t="s">
        <v>930</v>
      </c>
      <c r="G3088">
        <v>-89.869709</v>
      </c>
      <c r="H3088">
        <v>1200</v>
      </c>
      <c r="I3088">
        <v>-46</v>
      </c>
      <c r="J3088">
        <v>105</v>
      </c>
      <c r="K3088">
        <v>704</v>
      </c>
      <c r="L3088">
        <v>1200</v>
      </c>
      <c r="M3088" t="str">
        <f t="shared" si="297"/>
        <v xml:space="preserve">N35DC   </v>
      </c>
      <c r="N3088">
        <v>1</v>
      </c>
      <c r="O3088">
        <v>1275</v>
      </c>
    </row>
    <row r="3089" spans="1:15" x14ac:dyDescent="0.25">
      <c r="A3089" t="str">
        <f>"10/21/2020 18:36:35.433"</f>
        <v>10/21/2020 18:36:35.433</v>
      </c>
      <c r="B3089" t="str">
        <f>"18:36:43.391"</f>
        <v>18:36:43.391</v>
      </c>
      <c r="C3089" t="str">
        <f>"18:36:43.291"</f>
        <v>18:36:43.291</v>
      </c>
      <c r="D3089" t="s">
        <v>1175</v>
      </c>
      <c r="E3089">
        <v>30.833645000000001</v>
      </c>
      <c r="F3089" t="s">
        <v>930</v>
      </c>
      <c r="G3089">
        <v>-89.869709</v>
      </c>
      <c r="H3089">
        <v>1200</v>
      </c>
      <c r="I3089">
        <v>-46</v>
      </c>
      <c r="J3089">
        <v>105</v>
      </c>
      <c r="K3089">
        <v>704</v>
      </c>
      <c r="L3089">
        <v>1200</v>
      </c>
      <c r="M3089" t="str">
        <f t="shared" si="297"/>
        <v xml:space="preserve">N35DC   </v>
      </c>
      <c r="N3089">
        <v>1</v>
      </c>
      <c r="O3089">
        <v>1275</v>
      </c>
    </row>
    <row r="3090" spans="1:15" x14ac:dyDescent="0.25">
      <c r="A3090" t="str">
        <f>"10/21/2020 18:36:35.944"</f>
        <v>10/21/2020 18:36:35.944</v>
      </c>
      <c r="B3090" t="str">
        <f>"18:36:43.867"</f>
        <v>18:36:43.867</v>
      </c>
      <c r="C3090" t="str">
        <f>"18:36:43.767"</f>
        <v>18:36:43.767</v>
      </c>
      <c r="D3090" t="s">
        <v>1176</v>
      </c>
      <c r="E3090">
        <v>30.833881000000002</v>
      </c>
      <c r="F3090" t="s">
        <v>1048</v>
      </c>
      <c r="G3090">
        <v>-89.869752000000005</v>
      </c>
      <c r="H3090">
        <v>1200</v>
      </c>
      <c r="I3090">
        <v>-46</v>
      </c>
      <c r="J3090">
        <v>105</v>
      </c>
      <c r="K3090">
        <v>768</v>
      </c>
      <c r="L3090">
        <v>1200</v>
      </c>
      <c r="M3090" t="str">
        <f t="shared" si="297"/>
        <v xml:space="preserve">N35DC   </v>
      </c>
      <c r="N3090">
        <v>1</v>
      </c>
      <c r="O3090">
        <v>1275</v>
      </c>
    </row>
    <row r="3091" spans="1:15" x14ac:dyDescent="0.25">
      <c r="A3091" t="str">
        <f t="shared" ref="A3091:A3096" si="298">"10/21/2020 18:36:38.467"</f>
        <v>10/21/2020 18:36:38.467</v>
      </c>
      <c r="B3091" t="str">
        <f t="shared" ref="B3091:B3096" si="299">"18:36:46.406"</f>
        <v>18:36:46.406</v>
      </c>
      <c r="C3091" t="str">
        <f t="shared" ref="C3091:C3096" si="300">"18:36:46.206"</f>
        <v>18:36:46.206</v>
      </c>
      <c r="D3091" t="s">
        <v>1177</v>
      </c>
      <c r="E3091">
        <v>30.835104000000001</v>
      </c>
      <c r="F3091" t="s">
        <v>954</v>
      </c>
      <c r="G3091">
        <v>-89.870417000000003</v>
      </c>
      <c r="H3091">
        <v>1300</v>
      </c>
      <c r="I3091">
        <v>-46</v>
      </c>
      <c r="J3091">
        <v>106</v>
      </c>
      <c r="K3091">
        <v>1024</v>
      </c>
      <c r="L3091">
        <v>1200</v>
      </c>
      <c r="M3091" t="str">
        <f t="shared" si="297"/>
        <v xml:space="preserve">N35DC   </v>
      </c>
      <c r="N3091">
        <v>1</v>
      </c>
      <c r="O3091">
        <v>1325</v>
      </c>
    </row>
    <row r="3092" spans="1:15" x14ac:dyDescent="0.25">
      <c r="A3092" t="str">
        <f t="shared" si="298"/>
        <v>10/21/2020 18:36:38.467</v>
      </c>
      <c r="B3092" t="str">
        <f t="shared" si="299"/>
        <v>18:36:46.406</v>
      </c>
      <c r="C3092" t="str">
        <f t="shared" si="300"/>
        <v>18:36:46.206</v>
      </c>
      <c r="D3092" t="s">
        <v>1177</v>
      </c>
      <c r="E3092">
        <v>30.835104000000001</v>
      </c>
      <c r="F3092" t="s">
        <v>954</v>
      </c>
      <c r="G3092">
        <v>-89.870417000000003</v>
      </c>
      <c r="H3092">
        <v>1300</v>
      </c>
      <c r="I3092">
        <v>-46</v>
      </c>
      <c r="J3092">
        <v>106</v>
      </c>
      <c r="K3092">
        <v>1024</v>
      </c>
      <c r="L3092">
        <v>1200</v>
      </c>
      <c r="M3092" t="str">
        <f t="shared" si="297"/>
        <v xml:space="preserve">N35DC   </v>
      </c>
      <c r="N3092">
        <v>1</v>
      </c>
      <c r="O3092">
        <v>1325</v>
      </c>
    </row>
    <row r="3093" spans="1:15" x14ac:dyDescent="0.25">
      <c r="A3093" t="str">
        <f t="shared" si="298"/>
        <v>10/21/2020 18:36:38.467</v>
      </c>
      <c r="B3093" t="str">
        <f t="shared" si="299"/>
        <v>18:36:46.406</v>
      </c>
      <c r="C3093" t="str">
        <f t="shared" si="300"/>
        <v>18:36:46.206</v>
      </c>
      <c r="D3093" t="s">
        <v>1177</v>
      </c>
      <c r="E3093">
        <v>30.835104000000001</v>
      </c>
      <c r="F3093" t="s">
        <v>954</v>
      </c>
      <c r="G3093">
        <v>-89.870417000000003</v>
      </c>
      <c r="H3093">
        <v>1300</v>
      </c>
      <c r="I3093">
        <v>-46</v>
      </c>
      <c r="J3093">
        <v>106</v>
      </c>
      <c r="K3093">
        <v>1024</v>
      </c>
      <c r="L3093">
        <v>1200</v>
      </c>
      <c r="M3093" t="str">
        <f t="shared" si="297"/>
        <v xml:space="preserve">N35DC   </v>
      </c>
      <c r="N3093">
        <v>1</v>
      </c>
      <c r="O3093">
        <v>1325</v>
      </c>
    </row>
    <row r="3094" spans="1:15" x14ac:dyDescent="0.25">
      <c r="A3094" t="str">
        <f t="shared" si="298"/>
        <v>10/21/2020 18:36:38.467</v>
      </c>
      <c r="B3094" t="str">
        <f t="shared" si="299"/>
        <v>18:36:46.406</v>
      </c>
      <c r="C3094" t="str">
        <f t="shared" si="300"/>
        <v>18:36:46.206</v>
      </c>
      <c r="D3094" t="s">
        <v>1177</v>
      </c>
      <c r="E3094">
        <v>30.835104000000001</v>
      </c>
      <c r="F3094" t="s">
        <v>954</v>
      </c>
      <c r="G3094">
        <v>-89.870417000000003</v>
      </c>
      <c r="H3094">
        <v>1300</v>
      </c>
      <c r="I3094">
        <v>-46</v>
      </c>
      <c r="J3094">
        <v>106</v>
      </c>
      <c r="K3094">
        <v>1024</v>
      </c>
      <c r="L3094">
        <v>1200</v>
      </c>
      <c r="M3094" t="str">
        <f t="shared" si="297"/>
        <v xml:space="preserve">N35DC   </v>
      </c>
      <c r="N3094">
        <v>1</v>
      </c>
      <c r="O3094">
        <v>1325</v>
      </c>
    </row>
    <row r="3095" spans="1:15" x14ac:dyDescent="0.25">
      <c r="A3095" t="str">
        <f t="shared" si="298"/>
        <v>10/21/2020 18:36:38.467</v>
      </c>
      <c r="B3095" t="str">
        <f t="shared" si="299"/>
        <v>18:36:46.406</v>
      </c>
      <c r="C3095" t="str">
        <f t="shared" si="300"/>
        <v>18:36:46.206</v>
      </c>
      <c r="D3095" t="s">
        <v>1177</v>
      </c>
      <c r="E3095">
        <v>30.835104000000001</v>
      </c>
      <c r="F3095" t="s">
        <v>954</v>
      </c>
      <c r="G3095">
        <v>-89.870417000000003</v>
      </c>
      <c r="H3095">
        <v>1300</v>
      </c>
      <c r="I3095">
        <v>-46</v>
      </c>
      <c r="J3095">
        <v>106</v>
      </c>
      <c r="K3095">
        <v>1024</v>
      </c>
      <c r="L3095">
        <v>1200</v>
      </c>
      <c r="M3095" t="str">
        <f t="shared" si="297"/>
        <v xml:space="preserve">N35DC   </v>
      </c>
      <c r="N3095">
        <v>1</v>
      </c>
      <c r="O3095">
        <v>1325</v>
      </c>
    </row>
    <row r="3096" spans="1:15" x14ac:dyDescent="0.25">
      <c r="A3096" t="str">
        <f t="shared" si="298"/>
        <v>10/21/2020 18:36:38.467</v>
      </c>
      <c r="B3096" t="str">
        <f t="shared" si="299"/>
        <v>18:36:46.406</v>
      </c>
      <c r="C3096" t="str">
        <f t="shared" si="300"/>
        <v>18:36:46.206</v>
      </c>
      <c r="D3096" t="s">
        <v>1177</v>
      </c>
      <c r="E3096">
        <v>30.835104000000001</v>
      </c>
      <c r="F3096" t="s">
        <v>954</v>
      </c>
      <c r="G3096">
        <v>-89.870417000000003</v>
      </c>
      <c r="H3096">
        <v>1300</v>
      </c>
      <c r="I3096">
        <v>-46</v>
      </c>
      <c r="J3096">
        <v>106</v>
      </c>
      <c r="K3096">
        <v>1024</v>
      </c>
      <c r="L3096">
        <v>1200</v>
      </c>
      <c r="M3096" t="str">
        <f t="shared" si="297"/>
        <v xml:space="preserve">N35DC   </v>
      </c>
      <c r="N3096">
        <v>1</v>
      </c>
      <c r="O3096">
        <v>1325</v>
      </c>
    </row>
    <row r="3097" spans="1:15" x14ac:dyDescent="0.25">
      <c r="A3097" t="str">
        <f>"10/21/2020 18:36:39.479"</f>
        <v>10/21/2020 18:36:39.479</v>
      </c>
      <c r="B3097" t="str">
        <f>"18:36:47.422"</f>
        <v>18:36:47.422</v>
      </c>
      <c r="C3097" t="str">
        <f>"18:36:47.122"</f>
        <v>18:36:47.122</v>
      </c>
      <c r="D3097" t="s">
        <v>1178</v>
      </c>
      <c r="E3097">
        <v>30.835598000000001</v>
      </c>
      <c r="F3097" t="s">
        <v>958</v>
      </c>
      <c r="G3097">
        <v>-89.870632000000001</v>
      </c>
      <c r="H3097">
        <v>1300</v>
      </c>
      <c r="I3097">
        <v>-46</v>
      </c>
      <c r="J3097">
        <v>106</v>
      </c>
      <c r="K3097">
        <v>1024</v>
      </c>
      <c r="L3097">
        <v>1200</v>
      </c>
      <c r="M3097" t="str">
        <f t="shared" si="297"/>
        <v xml:space="preserve">N35DC   </v>
      </c>
      <c r="N3097">
        <v>1</v>
      </c>
      <c r="O3097">
        <v>1325</v>
      </c>
    </row>
    <row r="3098" spans="1:15" x14ac:dyDescent="0.25">
      <c r="A3098" t="str">
        <f>"10/21/2020 18:36:39.479"</f>
        <v>10/21/2020 18:36:39.479</v>
      </c>
      <c r="B3098" t="str">
        <f>"18:36:47.422"</f>
        <v>18:36:47.422</v>
      </c>
      <c r="C3098" t="str">
        <f>"18:36:47.122"</f>
        <v>18:36:47.122</v>
      </c>
      <c r="D3098" t="s">
        <v>1178</v>
      </c>
      <c r="E3098">
        <v>30.835598000000001</v>
      </c>
      <c r="F3098" t="s">
        <v>958</v>
      </c>
      <c r="G3098">
        <v>-89.870632000000001</v>
      </c>
      <c r="H3098">
        <v>1300</v>
      </c>
      <c r="I3098">
        <v>-46</v>
      </c>
      <c r="J3098">
        <v>106</v>
      </c>
      <c r="K3098">
        <v>1024</v>
      </c>
      <c r="L3098">
        <v>1200</v>
      </c>
      <c r="M3098" t="str">
        <f t="shared" si="297"/>
        <v xml:space="preserve">N35DC   </v>
      </c>
      <c r="N3098">
        <v>1</v>
      </c>
      <c r="O3098">
        <v>1325</v>
      </c>
    </row>
    <row r="3099" spans="1:15" x14ac:dyDescent="0.25">
      <c r="A3099" t="str">
        <f>"10/21/2020 18:36:39.479"</f>
        <v>10/21/2020 18:36:39.479</v>
      </c>
      <c r="B3099" t="str">
        <f>"18:36:47.422"</f>
        <v>18:36:47.422</v>
      </c>
      <c r="C3099" t="str">
        <f>"18:36:47.122"</f>
        <v>18:36:47.122</v>
      </c>
      <c r="D3099" t="s">
        <v>1178</v>
      </c>
      <c r="E3099">
        <v>30.835598000000001</v>
      </c>
      <c r="F3099" t="s">
        <v>958</v>
      </c>
      <c r="G3099">
        <v>-89.870632000000001</v>
      </c>
      <c r="H3099">
        <v>1300</v>
      </c>
      <c r="I3099">
        <v>-46</v>
      </c>
      <c r="J3099">
        <v>106</v>
      </c>
      <c r="K3099">
        <v>1024</v>
      </c>
      <c r="L3099">
        <v>1200</v>
      </c>
      <c r="M3099" t="str">
        <f t="shared" si="297"/>
        <v xml:space="preserve">N35DC   </v>
      </c>
      <c r="N3099">
        <v>1</v>
      </c>
      <c r="O3099">
        <v>1325</v>
      </c>
    </row>
    <row r="3100" spans="1:15" x14ac:dyDescent="0.25">
      <c r="A3100" t="str">
        <f>"10/21/2020 18:36:39.479"</f>
        <v>10/21/2020 18:36:39.479</v>
      </c>
      <c r="B3100" t="str">
        <f>"18:36:47.422"</f>
        <v>18:36:47.422</v>
      </c>
      <c r="C3100" t="str">
        <f>"18:36:47.122"</f>
        <v>18:36:47.122</v>
      </c>
      <c r="D3100" t="s">
        <v>1178</v>
      </c>
      <c r="E3100">
        <v>30.835598000000001</v>
      </c>
      <c r="F3100" t="s">
        <v>958</v>
      </c>
      <c r="G3100">
        <v>-89.870632000000001</v>
      </c>
      <c r="H3100">
        <v>1300</v>
      </c>
      <c r="I3100">
        <v>-46</v>
      </c>
      <c r="J3100">
        <v>106</v>
      </c>
      <c r="K3100">
        <v>1024</v>
      </c>
      <c r="L3100">
        <v>1200</v>
      </c>
      <c r="M3100" t="str">
        <f t="shared" si="297"/>
        <v xml:space="preserve">N35DC   </v>
      </c>
      <c r="N3100">
        <v>1</v>
      </c>
      <c r="O3100">
        <v>1325</v>
      </c>
    </row>
    <row r="3101" spans="1:15" x14ac:dyDescent="0.25">
      <c r="A3101" t="str">
        <f>"10/21/2020 18:36:39.479"</f>
        <v>10/21/2020 18:36:39.479</v>
      </c>
      <c r="B3101" t="str">
        <f>"18:36:47.422"</f>
        <v>18:36:47.422</v>
      </c>
      <c r="C3101" t="str">
        <f>"18:36:47.122"</f>
        <v>18:36:47.122</v>
      </c>
      <c r="D3101" t="s">
        <v>1178</v>
      </c>
      <c r="E3101">
        <v>30.835598000000001</v>
      </c>
      <c r="F3101" t="s">
        <v>958</v>
      </c>
      <c r="G3101">
        <v>-89.870632000000001</v>
      </c>
      <c r="H3101">
        <v>1300</v>
      </c>
      <c r="I3101">
        <v>-46</v>
      </c>
      <c r="J3101">
        <v>106</v>
      </c>
      <c r="K3101">
        <v>1024</v>
      </c>
      <c r="L3101">
        <v>1200</v>
      </c>
      <c r="M3101" t="str">
        <f t="shared" si="297"/>
        <v xml:space="preserve">N35DC   </v>
      </c>
      <c r="N3101">
        <v>1</v>
      </c>
      <c r="O3101">
        <v>1325</v>
      </c>
    </row>
    <row r="3102" spans="1:15" x14ac:dyDescent="0.25">
      <c r="A3102" t="str">
        <f>"10/21/2020 18:36:41.627"</f>
        <v>10/21/2020 18:36:41.627</v>
      </c>
      <c r="B3102" t="str">
        <f>"18:36:49.570"</f>
        <v>18:36:49.570</v>
      </c>
      <c r="C3102" t="str">
        <f>"18:36:49.170"</f>
        <v>18:36:49.170</v>
      </c>
      <c r="D3102" t="s">
        <v>1179</v>
      </c>
      <c r="E3102">
        <v>30.836670000000002</v>
      </c>
      <c r="F3102" t="s">
        <v>1027</v>
      </c>
      <c r="G3102">
        <v>-89.871189999999999</v>
      </c>
      <c r="H3102">
        <v>1300</v>
      </c>
      <c r="I3102">
        <v>-48</v>
      </c>
      <c r="J3102">
        <v>105</v>
      </c>
      <c r="K3102">
        <v>1088</v>
      </c>
      <c r="L3102">
        <v>1200</v>
      </c>
      <c r="M3102" t="str">
        <f t="shared" si="297"/>
        <v xml:space="preserve">N35DC   </v>
      </c>
      <c r="N3102">
        <v>1</v>
      </c>
      <c r="O3102">
        <v>1375</v>
      </c>
    </row>
    <row r="3103" spans="1:15" x14ac:dyDescent="0.25">
      <c r="A3103" t="str">
        <f>"10/21/2020 18:36:41.627"</f>
        <v>10/21/2020 18:36:41.627</v>
      </c>
      <c r="B3103" t="str">
        <f>"18:36:49.570"</f>
        <v>18:36:49.570</v>
      </c>
      <c r="C3103" t="str">
        <f>"18:36:49.170"</f>
        <v>18:36:49.170</v>
      </c>
      <c r="D3103" t="s">
        <v>1179</v>
      </c>
      <c r="E3103">
        <v>30.836670000000002</v>
      </c>
      <c r="F3103" t="s">
        <v>1027</v>
      </c>
      <c r="G3103">
        <v>-89.871189999999999</v>
      </c>
      <c r="H3103">
        <v>1300</v>
      </c>
      <c r="I3103">
        <v>-48</v>
      </c>
      <c r="J3103">
        <v>105</v>
      </c>
      <c r="K3103">
        <v>1088</v>
      </c>
      <c r="L3103">
        <v>1200</v>
      </c>
      <c r="M3103" t="str">
        <f t="shared" si="297"/>
        <v xml:space="preserve">N35DC   </v>
      </c>
      <c r="N3103">
        <v>1</v>
      </c>
      <c r="O3103">
        <v>1375</v>
      </c>
    </row>
    <row r="3104" spans="1:15" x14ac:dyDescent="0.25">
      <c r="A3104" t="str">
        <f>"10/21/2020 18:36:41.627"</f>
        <v>10/21/2020 18:36:41.627</v>
      </c>
      <c r="B3104" t="str">
        <f>"18:36:49.570"</f>
        <v>18:36:49.570</v>
      </c>
      <c r="C3104" t="str">
        <f>"18:36:49.170"</f>
        <v>18:36:49.170</v>
      </c>
      <c r="D3104" t="s">
        <v>1179</v>
      </c>
      <c r="E3104">
        <v>30.836670000000002</v>
      </c>
      <c r="F3104" t="s">
        <v>1027</v>
      </c>
      <c r="G3104">
        <v>-89.871189999999999</v>
      </c>
      <c r="H3104">
        <v>1300</v>
      </c>
      <c r="I3104">
        <v>-48</v>
      </c>
      <c r="J3104">
        <v>105</v>
      </c>
      <c r="K3104">
        <v>1088</v>
      </c>
      <c r="L3104">
        <v>1200</v>
      </c>
      <c r="M3104" t="str">
        <f t="shared" si="297"/>
        <v xml:space="preserve">N35DC   </v>
      </c>
      <c r="N3104">
        <v>1</v>
      </c>
      <c r="O3104">
        <v>1375</v>
      </c>
    </row>
    <row r="3105" spans="1:15" x14ac:dyDescent="0.25">
      <c r="A3105" t="str">
        <f>"10/21/2020 18:36:41.627"</f>
        <v>10/21/2020 18:36:41.627</v>
      </c>
      <c r="B3105" t="str">
        <f>"18:36:49.570"</f>
        <v>18:36:49.570</v>
      </c>
      <c r="C3105" t="str">
        <f>"18:36:49.170"</f>
        <v>18:36:49.170</v>
      </c>
      <c r="D3105" t="s">
        <v>1179</v>
      </c>
      <c r="E3105">
        <v>30.836670000000002</v>
      </c>
      <c r="F3105" t="s">
        <v>1027</v>
      </c>
      <c r="G3105">
        <v>-89.871189999999999</v>
      </c>
      <c r="H3105">
        <v>1300</v>
      </c>
      <c r="I3105">
        <v>-48</v>
      </c>
      <c r="J3105">
        <v>105</v>
      </c>
      <c r="K3105">
        <v>1088</v>
      </c>
      <c r="L3105">
        <v>1200</v>
      </c>
      <c r="M3105" t="str">
        <f t="shared" si="297"/>
        <v xml:space="preserve">N35DC   </v>
      </c>
      <c r="N3105">
        <v>1</v>
      </c>
      <c r="O3105">
        <v>1375</v>
      </c>
    </row>
    <row r="3106" spans="1:15" x14ac:dyDescent="0.25">
      <c r="A3106" t="str">
        <f>"10/21/2020 18:36:41.627"</f>
        <v>10/21/2020 18:36:41.627</v>
      </c>
      <c r="B3106" t="str">
        <f>"18:36:49.570"</f>
        <v>18:36:49.570</v>
      </c>
      <c r="C3106" t="str">
        <f>"18:36:49.170"</f>
        <v>18:36:49.170</v>
      </c>
      <c r="D3106" t="s">
        <v>1179</v>
      </c>
      <c r="E3106">
        <v>30.836670000000002</v>
      </c>
      <c r="F3106" t="s">
        <v>1027</v>
      </c>
      <c r="G3106">
        <v>-89.871189999999999</v>
      </c>
      <c r="H3106">
        <v>1300</v>
      </c>
      <c r="I3106">
        <v>-48</v>
      </c>
      <c r="J3106">
        <v>105</v>
      </c>
      <c r="K3106">
        <v>1088</v>
      </c>
      <c r="L3106">
        <v>1200</v>
      </c>
      <c r="M3106" t="str">
        <f t="shared" si="297"/>
        <v xml:space="preserve">N35DC   </v>
      </c>
      <c r="N3106">
        <v>1</v>
      </c>
      <c r="O3106">
        <v>1375</v>
      </c>
    </row>
    <row r="3107" spans="1:15" x14ac:dyDescent="0.25">
      <c r="A3107" t="str">
        <f t="shared" ref="A3107:A3112" si="301">"10/21/2020 18:36:42.679"</f>
        <v>10/21/2020 18:36:42.679</v>
      </c>
      <c r="B3107" t="str">
        <f t="shared" ref="B3107:B3112" si="302">"18:36:50.617"</f>
        <v>18:36:50.617</v>
      </c>
      <c r="C3107" t="str">
        <f t="shared" ref="C3107:C3112" si="303">"18:36:50.117"</f>
        <v>18:36:50.117</v>
      </c>
      <c r="D3107" t="s">
        <v>1180</v>
      </c>
      <c r="E3107">
        <v>30.837185000000002</v>
      </c>
      <c r="F3107" t="s">
        <v>901</v>
      </c>
      <c r="G3107">
        <v>-89.871469000000005</v>
      </c>
      <c r="H3107">
        <v>1300</v>
      </c>
      <c r="I3107">
        <v>-48</v>
      </c>
      <c r="J3107">
        <v>104</v>
      </c>
      <c r="K3107">
        <v>1280</v>
      </c>
      <c r="L3107">
        <v>1200</v>
      </c>
      <c r="M3107" t="str">
        <f t="shared" si="297"/>
        <v xml:space="preserve">N35DC   </v>
      </c>
      <c r="N3107">
        <v>1</v>
      </c>
      <c r="O3107">
        <v>1400</v>
      </c>
    </row>
    <row r="3108" spans="1:15" x14ac:dyDescent="0.25">
      <c r="A3108" t="str">
        <f t="shared" si="301"/>
        <v>10/21/2020 18:36:42.679</v>
      </c>
      <c r="B3108" t="str">
        <f t="shared" si="302"/>
        <v>18:36:50.617</v>
      </c>
      <c r="C3108" t="str">
        <f t="shared" si="303"/>
        <v>18:36:50.117</v>
      </c>
      <c r="D3108" t="s">
        <v>1180</v>
      </c>
      <c r="E3108">
        <v>30.837185000000002</v>
      </c>
      <c r="F3108" t="s">
        <v>901</v>
      </c>
      <c r="G3108">
        <v>-89.871469000000005</v>
      </c>
      <c r="H3108">
        <v>1300</v>
      </c>
      <c r="I3108">
        <v>-48</v>
      </c>
      <c r="J3108">
        <v>104</v>
      </c>
      <c r="K3108">
        <v>1280</v>
      </c>
      <c r="L3108">
        <v>1200</v>
      </c>
      <c r="M3108" t="str">
        <f t="shared" si="297"/>
        <v xml:space="preserve">N35DC   </v>
      </c>
      <c r="N3108">
        <v>1</v>
      </c>
      <c r="O3108">
        <v>1400</v>
      </c>
    </row>
    <row r="3109" spans="1:15" x14ac:dyDescent="0.25">
      <c r="A3109" t="str">
        <f t="shared" si="301"/>
        <v>10/21/2020 18:36:42.679</v>
      </c>
      <c r="B3109" t="str">
        <f t="shared" si="302"/>
        <v>18:36:50.617</v>
      </c>
      <c r="C3109" t="str">
        <f t="shared" si="303"/>
        <v>18:36:50.117</v>
      </c>
      <c r="D3109" t="s">
        <v>1180</v>
      </c>
      <c r="E3109">
        <v>30.837185000000002</v>
      </c>
      <c r="F3109" t="s">
        <v>901</v>
      </c>
      <c r="G3109">
        <v>-89.871469000000005</v>
      </c>
      <c r="H3109">
        <v>1300</v>
      </c>
      <c r="I3109">
        <v>-48</v>
      </c>
      <c r="J3109">
        <v>104</v>
      </c>
      <c r="K3109">
        <v>1280</v>
      </c>
      <c r="L3109">
        <v>1200</v>
      </c>
      <c r="M3109" t="str">
        <f t="shared" si="297"/>
        <v xml:space="preserve">N35DC   </v>
      </c>
      <c r="N3109">
        <v>1</v>
      </c>
      <c r="O3109">
        <v>1400</v>
      </c>
    </row>
    <row r="3110" spans="1:15" x14ac:dyDescent="0.25">
      <c r="A3110" t="str">
        <f t="shared" si="301"/>
        <v>10/21/2020 18:36:42.679</v>
      </c>
      <c r="B3110" t="str">
        <f t="shared" si="302"/>
        <v>18:36:50.617</v>
      </c>
      <c r="C3110" t="str">
        <f t="shared" si="303"/>
        <v>18:36:50.117</v>
      </c>
      <c r="D3110" t="s">
        <v>1180</v>
      </c>
      <c r="E3110">
        <v>30.837185000000002</v>
      </c>
      <c r="F3110" t="s">
        <v>901</v>
      </c>
      <c r="G3110">
        <v>-89.871469000000005</v>
      </c>
      <c r="H3110">
        <v>1300</v>
      </c>
      <c r="I3110">
        <v>-48</v>
      </c>
      <c r="J3110">
        <v>104</v>
      </c>
      <c r="K3110">
        <v>1280</v>
      </c>
      <c r="L3110">
        <v>1200</v>
      </c>
      <c r="M3110" t="str">
        <f t="shared" si="297"/>
        <v xml:space="preserve">N35DC   </v>
      </c>
      <c r="N3110">
        <v>1</v>
      </c>
      <c r="O3110">
        <v>1400</v>
      </c>
    </row>
    <row r="3111" spans="1:15" x14ac:dyDescent="0.25">
      <c r="A3111" t="str">
        <f t="shared" si="301"/>
        <v>10/21/2020 18:36:42.679</v>
      </c>
      <c r="B3111" t="str">
        <f t="shared" si="302"/>
        <v>18:36:50.617</v>
      </c>
      <c r="C3111" t="str">
        <f t="shared" si="303"/>
        <v>18:36:50.117</v>
      </c>
      <c r="D3111" t="s">
        <v>1180</v>
      </c>
      <c r="E3111">
        <v>30.837185000000002</v>
      </c>
      <c r="F3111" t="s">
        <v>901</v>
      </c>
      <c r="G3111">
        <v>-89.871469000000005</v>
      </c>
      <c r="H3111">
        <v>1300</v>
      </c>
      <c r="I3111">
        <v>-48</v>
      </c>
      <c r="J3111">
        <v>104</v>
      </c>
      <c r="K3111">
        <v>1280</v>
      </c>
      <c r="L3111">
        <v>1200</v>
      </c>
      <c r="M3111" t="str">
        <f t="shared" si="297"/>
        <v xml:space="preserve">N35DC   </v>
      </c>
      <c r="N3111">
        <v>1</v>
      </c>
      <c r="O3111">
        <v>1400</v>
      </c>
    </row>
    <row r="3112" spans="1:15" x14ac:dyDescent="0.25">
      <c r="A3112" t="str">
        <f t="shared" si="301"/>
        <v>10/21/2020 18:36:42.679</v>
      </c>
      <c r="B3112" t="str">
        <f t="shared" si="302"/>
        <v>18:36:50.617</v>
      </c>
      <c r="C3112" t="str">
        <f t="shared" si="303"/>
        <v>18:36:50.117</v>
      </c>
      <c r="D3112" t="s">
        <v>1180</v>
      </c>
      <c r="E3112">
        <v>30.837185000000002</v>
      </c>
      <c r="F3112" t="s">
        <v>901</v>
      </c>
      <c r="G3112">
        <v>-89.871469000000005</v>
      </c>
      <c r="H3112">
        <v>1300</v>
      </c>
      <c r="I3112">
        <v>-48</v>
      </c>
      <c r="J3112">
        <v>104</v>
      </c>
      <c r="K3112">
        <v>1280</v>
      </c>
      <c r="L3112">
        <v>1200</v>
      </c>
      <c r="M3112" t="str">
        <f t="shared" si="297"/>
        <v xml:space="preserve">N35DC   </v>
      </c>
      <c r="N3112">
        <v>1</v>
      </c>
      <c r="O3112">
        <v>1400</v>
      </c>
    </row>
    <row r="3113" spans="1:15" x14ac:dyDescent="0.25">
      <c r="A3113" t="str">
        <f t="shared" ref="A3113:A3118" si="304">"10/21/2020 18:36:45.593"</f>
        <v>10/21/2020 18:36:45.593</v>
      </c>
      <c r="B3113" t="str">
        <f t="shared" ref="B3113:B3118" si="305">"18:36:53.555"</f>
        <v>18:36:53.555</v>
      </c>
      <c r="C3113" t="str">
        <f t="shared" ref="C3113:C3118" si="306">"18:36:53.055"</f>
        <v>18:36:53.055</v>
      </c>
      <c r="D3113" t="s">
        <v>1181</v>
      </c>
      <c r="E3113">
        <v>30.83858</v>
      </c>
      <c r="F3113" t="s">
        <v>703</v>
      </c>
      <c r="G3113">
        <v>-89.872283999999993</v>
      </c>
      <c r="H3113">
        <v>1400</v>
      </c>
      <c r="I3113">
        <v>-52</v>
      </c>
      <c r="J3113">
        <v>102</v>
      </c>
      <c r="K3113">
        <v>1600</v>
      </c>
      <c r="L3113">
        <v>1200</v>
      </c>
      <c r="M3113" t="str">
        <f t="shared" si="297"/>
        <v xml:space="preserve">N35DC   </v>
      </c>
      <c r="N3113">
        <v>1</v>
      </c>
      <c r="O3113">
        <v>1450</v>
      </c>
    </row>
    <row r="3114" spans="1:15" x14ac:dyDescent="0.25">
      <c r="A3114" t="str">
        <f t="shared" si="304"/>
        <v>10/21/2020 18:36:45.593</v>
      </c>
      <c r="B3114" t="str">
        <f t="shared" si="305"/>
        <v>18:36:53.555</v>
      </c>
      <c r="C3114" t="str">
        <f t="shared" si="306"/>
        <v>18:36:53.055</v>
      </c>
      <c r="D3114" t="s">
        <v>1181</v>
      </c>
      <c r="E3114">
        <v>30.83858</v>
      </c>
      <c r="F3114" t="s">
        <v>703</v>
      </c>
      <c r="G3114">
        <v>-89.872283999999993</v>
      </c>
      <c r="H3114">
        <v>1400</v>
      </c>
      <c r="I3114">
        <v>-52</v>
      </c>
      <c r="J3114">
        <v>102</v>
      </c>
      <c r="K3114">
        <v>1600</v>
      </c>
      <c r="L3114">
        <v>1200</v>
      </c>
      <c r="M3114" t="str">
        <f t="shared" si="297"/>
        <v xml:space="preserve">N35DC   </v>
      </c>
      <c r="N3114">
        <v>1</v>
      </c>
      <c r="O3114">
        <v>1450</v>
      </c>
    </row>
    <row r="3115" spans="1:15" x14ac:dyDescent="0.25">
      <c r="A3115" t="str">
        <f t="shared" si="304"/>
        <v>10/21/2020 18:36:45.593</v>
      </c>
      <c r="B3115" t="str">
        <f t="shared" si="305"/>
        <v>18:36:53.555</v>
      </c>
      <c r="C3115" t="str">
        <f t="shared" si="306"/>
        <v>18:36:53.055</v>
      </c>
      <c r="D3115" t="s">
        <v>1181</v>
      </c>
      <c r="E3115">
        <v>30.83858</v>
      </c>
      <c r="F3115" t="s">
        <v>703</v>
      </c>
      <c r="G3115">
        <v>-89.872283999999993</v>
      </c>
      <c r="H3115">
        <v>1400</v>
      </c>
      <c r="I3115">
        <v>-52</v>
      </c>
      <c r="J3115">
        <v>102</v>
      </c>
      <c r="K3115">
        <v>1600</v>
      </c>
      <c r="L3115">
        <v>1200</v>
      </c>
      <c r="M3115" t="str">
        <f t="shared" si="297"/>
        <v xml:space="preserve">N35DC   </v>
      </c>
      <c r="N3115">
        <v>1</v>
      </c>
      <c r="O3115">
        <v>1450</v>
      </c>
    </row>
    <row r="3116" spans="1:15" x14ac:dyDescent="0.25">
      <c r="A3116" t="str">
        <f t="shared" si="304"/>
        <v>10/21/2020 18:36:45.593</v>
      </c>
      <c r="B3116" t="str">
        <f t="shared" si="305"/>
        <v>18:36:53.555</v>
      </c>
      <c r="C3116" t="str">
        <f t="shared" si="306"/>
        <v>18:36:53.055</v>
      </c>
      <c r="D3116" t="s">
        <v>1181</v>
      </c>
      <c r="E3116">
        <v>30.83858</v>
      </c>
      <c r="F3116" t="s">
        <v>703</v>
      </c>
      <c r="G3116">
        <v>-89.872283999999993</v>
      </c>
      <c r="H3116">
        <v>1400</v>
      </c>
      <c r="I3116">
        <v>-52</v>
      </c>
      <c r="J3116">
        <v>102</v>
      </c>
      <c r="K3116">
        <v>1600</v>
      </c>
      <c r="L3116">
        <v>1200</v>
      </c>
      <c r="M3116" t="str">
        <f t="shared" si="297"/>
        <v xml:space="preserve">N35DC   </v>
      </c>
      <c r="N3116">
        <v>1</v>
      </c>
      <c r="O3116">
        <v>1450</v>
      </c>
    </row>
    <row r="3117" spans="1:15" x14ac:dyDescent="0.25">
      <c r="A3117" t="str">
        <f t="shared" si="304"/>
        <v>10/21/2020 18:36:45.593</v>
      </c>
      <c r="B3117" t="str">
        <f t="shared" si="305"/>
        <v>18:36:53.555</v>
      </c>
      <c r="C3117" t="str">
        <f t="shared" si="306"/>
        <v>18:36:53.055</v>
      </c>
      <c r="D3117" t="s">
        <v>1181</v>
      </c>
      <c r="E3117">
        <v>30.83858</v>
      </c>
      <c r="F3117" t="s">
        <v>703</v>
      </c>
      <c r="G3117">
        <v>-89.872283999999993</v>
      </c>
      <c r="H3117">
        <v>1400</v>
      </c>
      <c r="I3117">
        <v>-52</v>
      </c>
      <c r="J3117">
        <v>102</v>
      </c>
      <c r="K3117">
        <v>1600</v>
      </c>
      <c r="L3117">
        <v>1200</v>
      </c>
      <c r="M3117" t="str">
        <f t="shared" si="297"/>
        <v xml:space="preserve">N35DC   </v>
      </c>
      <c r="N3117">
        <v>1</v>
      </c>
      <c r="O3117">
        <v>1450</v>
      </c>
    </row>
    <row r="3118" spans="1:15" x14ac:dyDescent="0.25">
      <c r="A3118" t="str">
        <f t="shared" si="304"/>
        <v>10/21/2020 18:36:45.593</v>
      </c>
      <c r="B3118" t="str">
        <f t="shared" si="305"/>
        <v>18:36:53.555</v>
      </c>
      <c r="C3118" t="str">
        <f t="shared" si="306"/>
        <v>18:36:53.055</v>
      </c>
      <c r="D3118" t="s">
        <v>1181</v>
      </c>
      <c r="E3118">
        <v>30.83858</v>
      </c>
      <c r="F3118" t="s">
        <v>703</v>
      </c>
      <c r="G3118">
        <v>-89.872283999999993</v>
      </c>
      <c r="H3118">
        <v>1400</v>
      </c>
      <c r="I3118">
        <v>-52</v>
      </c>
      <c r="J3118">
        <v>102</v>
      </c>
      <c r="K3118">
        <v>1600</v>
      </c>
      <c r="L3118">
        <v>1200</v>
      </c>
      <c r="M3118" t="str">
        <f t="shared" si="297"/>
        <v xml:space="preserve">N35DC   </v>
      </c>
      <c r="N3118">
        <v>1</v>
      </c>
      <c r="O3118">
        <v>1450</v>
      </c>
    </row>
    <row r="3119" spans="1:15" x14ac:dyDescent="0.25">
      <c r="A3119" t="str">
        <f t="shared" ref="A3119:A3124" si="307">"10/21/2020 18:36:48.652"</f>
        <v>10/21/2020 18:36:48.652</v>
      </c>
      <c r="B3119" t="str">
        <f t="shared" ref="B3119:B3124" si="308">"18:36:56.602"</f>
        <v>18:36:56.602</v>
      </c>
      <c r="C3119" t="str">
        <f t="shared" ref="C3119:C3124" si="309">"18:36:56.202"</f>
        <v>18:36:56.202</v>
      </c>
      <c r="D3119" t="s">
        <v>1182</v>
      </c>
      <c r="E3119">
        <v>30.840018000000001</v>
      </c>
      <c r="F3119" t="s">
        <v>881</v>
      </c>
      <c r="G3119">
        <v>-89.873164000000003</v>
      </c>
      <c r="H3119">
        <v>1500</v>
      </c>
      <c r="I3119">
        <v>-53</v>
      </c>
      <c r="J3119">
        <v>102</v>
      </c>
      <c r="K3119">
        <v>1024</v>
      </c>
      <c r="L3119">
        <v>1200</v>
      </c>
      <c r="M3119" t="str">
        <f t="shared" si="297"/>
        <v xml:space="preserve">N35DC   </v>
      </c>
      <c r="N3119">
        <v>1</v>
      </c>
      <c r="O3119">
        <v>1525</v>
      </c>
    </row>
    <row r="3120" spans="1:15" x14ac:dyDescent="0.25">
      <c r="A3120" t="str">
        <f t="shared" si="307"/>
        <v>10/21/2020 18:36:48.652</v>
      </c>
      <c r="B3120" t="str">
        <f t="shared" si="308"/>
        <v>18:36:56.602</v>
      </c>
      <c r="C3120" t="str">
        <f t="shared" si="309"/>
        <v>18:36:56.202</v>
      </c>
      <c r="D3120" t="s">
        <v>1182</v>
      </c>
      <c r="E3120">
        <v>30.840018000000001</v>
      </c>
      <c r="F3120" t="s">
        <v>881</v>
      </c>
      <c r="G3120">
        <v>-89.873164000000003</v>
      </c>
      <c r="H3120">
        <v>1500</v>
      </c>
      <c r="I3120">
        <v>-53</v>
      </c>
      <c r="J3120">
        <v>102</v>
      </c>
      <c r="K3120">
        <v>1024</v>
      </c>
      <c r="L3120">
        <v>1200</v>
      </c>
      <c r="M3120" t="str">
        <f t="shared" si="297"/>
        <v xml:space="preserve">N35DC   </v>
      </c>
      <c r="N3120">
        <v>1</v>
      </c>
      <c r="O3120">
        <v>1525</v>
      </c>
    </row>
    <row r="3121" spans="1:15" x14ac:dyDescent="0.25">
      <c r="A3121" t="str">
        <f t="shared" si="307"/>
        <v>10/21/2020 18:36:48.652</v>
      </c>
      <c r="B3121" t="str">
        <f t="shared" si="308"/>
        <v>18:36:56.602</v>
      </c>
      <c r="C3121" t="str">
        <f t="shared" si="309"/>
        <v>18:36:56.202</v>
      </c>
      <c r="D3121" t="s">
        <v>1182</v>
      </c>
      <c r="E3121">
        <v>30.840018000000001</v>
      </c>
      <c r="F3121" t="s">
        <v>881</v>
      </c>
      <c r="G3121">
        <v>-89.873164000000003</v>
      </c>
      <c r="H3121">
        <v>1500</v>
      </c>
      <c r="I3121">
        <v>-53</v>
      </c>
      <c r="J3121">
        <v>102</v>
      </c>
      <c r="K3121">
        <v>1024</v>
      </c>
      <c r="L3121">
        <v>1200</v>
      </c>
      <c r="M3121" t="str">
        <f t="shared" si="297"/>
        <v xml:space="preserve">N35DC   </v>
      </c>
      <c r="N3121">
        <v>1</v>
      </c>
      <c r="O3121">
        <v>1525</v>
      </c>
    </row>
    <row r="3122" spans="1:15" x14ac:dyDescent="0.25">
      <c r="A3122" t="str">
        <f t="shared" si="307"/>
        <v>10/21/2020 18:36:48.652</v>
      </c>
      <c r="B3122" t="str">
        <f t="shared" si="308"/>
        <v>18:36:56.602</v>
      </c>
      <c r="C3122" t="str">
        <f t="shared" si="309"/>
        <v>18:36:56.202</v>
      </c>
      <c r="D3122" t="s">
        <v>1182</v>
      </c>
      <c r="E3122">
        <v>30.840018000000001</v>
      </c>
      <c r="F3122" t="s">
        <v>881</v>
      </c>
      <c r="G3122">
        <v>-89.873164000000003</v>
      </c>
      <c r="H3122">
        <v>1500</v>
      </c>
      <c r="I3122">
        <v>-53</v>
      </c>
      <c r="J3122">
        <v>102</v>
      </c>
      <c r="K3122">
        <v>1024</v>
      </c>
      <c r="L3122">
        <v>1200</v>
      </c>
      <c r="M3122" t="str">
        <f t="shared" si="297"/>
        <v xml:space="preserve">N35DC   </v>
      </c>
      <c r="N3122">
        <v>1</v>
      </c>
      <c r="O3122">
        <v>1525</v>
      </c>
    </row>
    <row r="3123" spans="1:15" x14ac:dyDescent="0.25">
      <c r="A3123" t="str">
        <f t="shared" si="307"/>
        <v>10/21/2020 18:36:48.652</v>
      </c>
      <c r="B3123" t="str">
        <f t="shared" si="308"/>
        <v>18:36:56.602</v>
      </c>
      <c r="C3123" t="str">
        <f t="shared" si="309"/>
        <v>18:36:56.202</v>
      </c>
      <c r="D3123" t="s">
        <v>1182</v>
      </c>
      <c r="E3123">
        <v>30.840018000000001</v>
      </c>
      <c r="F3123" t="s">
        <v>881</v>
      </c>
      <c r="G3123">
        <v>-89.873164000000003</v>
      </c>
      <c r="H3123">
        <v>1500</v>
      </c>
      <c r="I3123">
        <v>-53</v>
      </c>
      <c r="J3123">
        <v>102</v>
      </c>
      <c r="K3123">
        <v>1024</v>
      </c>
      <c r="L3123">
        <v>1200</v>
      </c>
      <c r="M3123" t="str">
        <f t="shared" si="297"/>
        <v xml:space="preserve">N35DC   </v>
      </c>
      <c r="N3123">
        <v>1</v>
      </c>
      <c r="O3123">
        <v>1525</v>
      </c>
    </row>
    <row r="3124" spans="1:15" x14ac:dyDescent="0.25">
      <c r="A3124" t="str">
        <f t="shared" si="307"/>
        <v>10/21/2020 18:36:48.652</v>
      </c>
      <c r="B3124" t="str">
        <f t="shared" si="308"/>
        <v>18:36:56.602</v>
      </c>
      <c r="C3124" t="str">
        <f t="shared" si="309"/>
        <v>18:36:56.202</v>
      </c>
      <c r="D3124" t="s">
        <v>1182</v>
      </c>
      <c r="E3124">
        <v>30.840018000000001</v>
      </c>
      <c r="F3124" t="s">
        <v>881</v>
      </c>
      <c r="G3124">
        <v>-89.873164000000003</v>
      </c>
      <c r="H3124">
        <v>1500</v>
      </c>
      <c r="I3124">
        <v>-53</v>
      </c>
      <c r="J3124">
        <v>102</v>
      </c>
      <c r="K3124">
        <v>1024</v>
      </c>
      <c r="L3124">
        <v>1200</v>
      </c>
      <c r="M3124" t="str">
        <f t="shared" si="297"/>
        <v xml:space="preserve">N35DC   </v>
      </c>
      <c r="N3124">
        <v>1</v>
      </c>
      <c r="O3124">
        <v>1525</v>
      </c>
    </row>
    <row r="3125" spans="1:15" x14ac:dyDescent="0.25">
      <c r="A3125" t="str">
        <f>"10/21/2020 18:36:51.456"</f>
        <v>10/21/2020 18:36:51.456</v>
      </c>
      <c r="B3125" t="str">
        <f>"18:36:59.422"</f>
        <v>18:36:59.422</v>
      </c>
      <c r="C3125" t="str">
        <f>"18:36:59.422"</f>
        <v>18:36:59.422</v>
      </c>
      <c r="D3125" t="s">
        <v>1183</v>
      </c>
      <c r="E3125">
        <v>30.841370000000001</v>
      </c>
      <c r="F3125" t="s">
        <v>1184</v>
      </c>
      <c r="G3125">
        <v>-89.874043</v>
      </c>
      <c r="H3125">
        <v>1500</v>
      </c>
      <c r="I3125">
        <v>-56</v>
      </c>
      <c r="J3125">
        <v>104</v>
      </c>
      <c r="K3125">
        <v>704</v>
      </c>
      <c r="L3125">
        <v>1200</v>
      </c>
      <c r="M3125" t="str">
        <f t="shared" si="297"/>
        <v xml:space="preserve">N35DC   </v>
      </c>
      <c r="N3125">
        <v>1</v>
      </c>
      <c r="O3125">
        <v>1575</v>
      </c>
    </row>
    <row r="3126" spans="1:15" x14ac:dyDescent="0.25">
      <c r="A3126" t="str">
        <f>"10/21/2020 18:36:51.456"</f>
        <v>10/21/2020 18:36:51.456</v>
      </c>
      <c r="B3126" t="str">
        <f>"18:36:59.422"</f>
        <v>18:36:59.422</v>
      </c>
      <c r="C3126" t="str">
        <f>"18:36:59.422"</f>
        <v>18:36:59.422</v>
      </c>
      <c r="D3126" t="s">
        <v>1183</v>
      </c>
      <c r="E3126">
        <v>30.841370000000001</v>
      </c>
      <c r="F3126" t="s">
        <v>1184</v>
      </c>
      <c r="G3126">
        <v>-89.874043</v>
      </c>
      <c r="H3126">
        <v>1500</v>
      </c>
      <c r="I3126">
        <v>-56</v>
      </c>
      <c r="J3126">
        <v>104</v>
      </c>
      <c r="K3126">
        <v>704</v>
      </c>
      <c r="L3126">
        <v>1200</v>
      </c>
      <c r="M3126" t="str">
        <f t="shared" si="297"/>
        <v xml:space="preserve">N35DC   </v>
      </c>
      <c r="N3126">
        <v>1</v>
      </c>
      <c r="O3126">
        <v>1575</v>
      </c>
    </row>
    <row r="3127" spans="1:15" x14ac:dyDescent="0.25">
      <c r="A3127" t="str">
        <f t="shared" ref="A3127:A3132" si="310">"10/21/2020 18:36:52.567"</f>
        <v>10/21/2020 18:36:52.567</v>
      </c>
      <c r="B3127" t="str">
        <f t="shared" ref="B3127:C3132" si="311">"18:37:00.516"</f>
        <v>18:37:00.516</v>
      </c>
      <c r="C3127" t="str">
        <f t="shared" si="311"/>
        <v>18:37:00.516</v>
      </c>
      <c r="D3127" t="s">
        <v>1185</v>
      </c>
      <c r="E3127">
        <v>30.841927999999999</v>
      </c>
      <c r="F3127" t="s">
        <v>1186</v>
      </c>
      <c r="G3127">
        <v>-89.874301000000003</v>
      </c>
      <c r="H3127">
        <v>1500</v>
      </c>
      <c r="I3127">
        <v>-57</v>
      </c>
      <c r="J3127">
        <v>104</v>
      </c>
      <c r="K3127">
        <v>640</v>
      </c>
      <c r="L3127">
        <v>1200</v>
      </c>
      <c r="M3127" t="str">
        <f t="shared" si="297"/>
        <v xml:space="preserve">N35DC   </v>
      </c>
      <c r="N3127">
        <v>1</v>
      </c>
      <c r="O3127">
        <v>1575</v>
      </c>
    </row>
    <row r="3128" spans="1:15" x14ac:dyDescent="0.25">
      <c r="A3128" t="str">
        <f t="shared" si="310"/>
        <v>10/21/2020 18:36:52.567</v>
      </c>
      <c r="B3128" t="str">
        <f t="shared" si="311"/>
        <v>18:37:00.516</v>
      </c>
      <c r="C3128" t="str">
        <f t="shared" si="311"/>
        <v>18:37:00.516</v>
      </c>
      <c r="D3128" t="s">
        <v>1185</v>
      </c>
      <c r="E3128">
        <v>30.841927999999999</v>
      </c>
      <c r="F3128" t="s">
        <v>1186</v>
      </c>
      <c r="G3128">
        <v>-89.874301000000003</v>
      </c>
      <c r="H3128">
        <v>1500</v>
      </c>
      <c r="I3128">
        <v>-57</v>
      </c>
      <c r="J3128">
        <v>104</v>
      </c>
      <c r="K3128">
        <v>640</v>
      </c>
      <c r="L3128">
        <v>1200</v>
      </c>
      <c r="M3128" t="str">
        <f t="shared" si="297"/>
        <v xml:space="preserve">N35DC   </v>
      </c>
      <c r="N3128">
        <v>1</v>
      </c>
      <c r="O3128">
        <v>1575</v>
      </c>
    </row>
    <row r="3129" spans="1:15" x14ac:dyDescent="0.25">
      <c r="A3129" t="str">
        <f t="shared" si="310"/>
        <v>10/21/2020 18:36:52.567</v>
      </c>
      <c r="B3129" t="str">
        <f t="shared" si="311"/>
        <v>18:37:00.516</v>
      </c>
      <c r="C3129" t="str">
        <f t="shared" si="311"/>
        <v>18:37:00.516</v>
      </c>
      <c r="D3129" t="s">
        <v>1185</v>
      </c>
      <c r="E3129">
        <v>30.841927999999999</v>
      </c>
      <c r="F3129" t="s">
        <v>1186</v>
      </c>
      <c r="G3129">
        <v>-89.874301000000003</v>
      </c>
      <c r="H3129">
        <v>1500</v>
      </c>
      <c r="I3129">
        <v>-57</v>
      </c>
      <c r="J3129">
        <v>104</v>
      </c>
      <c r="K3129">
        <v>640</v>
      </c>
      <c r="L3129">
        <v>1200</v>
      </c>
      <c r="M3129" t="str">
        <f t="shared" si="297"/>
        <v xml:space="preserve">N35DC   </v>
      </c>
      <c r="N3129">
        <v>1</v>
      </c>
      <c r="O3129">
        <v>1575</v>
      </c>
    </row>
    <row r="3130" spans="1:15" x14ac:dyDescent="0.25">
      <c r="A3130" t="str">
        <f t="shared" si="310"/>
        <v>10/21/2020 18:36:52.567</v>
      </c>
      <c r="B3130" t="str">
        <f t="shared" si="311"/>
        <v>18:37:00.516</v>
      </c>
      <c r="C3130" t="str">
        <f t="shared" si="311"/>
        <v>18:37:00.516</v>
      </c>
      <c r="D3130" t="s">
        <v>1185</v>
      </c>
      <c r="E3130">
        <v>30.841927999999999</v>
      </c>
      <c r="F3130" t="s">
        <v>1186</v>
      </c>
      <c r="G3130">
        <v>-89.874301000000003</v>
      </c>
      <c r="H3130">
        <v>1500</v>
      </c>
      <c r="I3130">
        <v>-57</v>
      </c>
      <c r="J3130">
        <v>104</v>
      </c>
      <c r="K3130">
        <v>640</v>
      </c>
      <c r="L3130">
        <v>1200</v>
      </c>
      <c r="M3130" t="str">
        <f t="shared" si="297"/>
        <v xml:space="preserve">N35DC   </v>
      </c>
      <c r="N3130">
        <v>1</v>
      </c>
      <c r="O3130">
        <v>1575</v>
      </c>
    </row>
    <row r="3131" spans="1:15" x14ac:dyDescent="0.25">
      <c r="A3131" t="str">
        <f t="shared" si="310"/>
        <v>10/21/2020 18:36:52.567</v>
      </c>
      <c r="B3131" t="str">
        <f t="shared" si="311"/>
        <v>18:37:00.516</v>
      </c>
      <c r="C3131" t="str">
        <f t="shared" si="311"/>
        <v>18:37:00.516</v>
      </c>
      <c r="D3131" t="s">
        <v>1185</v>
      </c>
      <c r="E3131">
        <v>30.841927999999999</v>
      </c>
      <c r="F3131" t="s">
        <v>1186</v>
      </c>
      <c r="G3131">
        <v>-89.874301000000003</v>
      </c>
      <c r="H3131">
        <v>1500</v>
      </c>
      <c r="I3131">
        <v>-57</v>
      </c>
      <c r="J3131">
        <v>104</v>
      </c>
      <c r="K3131">
        <v>640</v>
      </c>
      <c r="L3131">
        <v>1200</v>
      </c>
      <c r="M3131" t="str">
        <f t="shared" si="297"/>
        <v xml:space="preserve">N35DC   </v>
      </c>
      <c r="N3131">
        <v>1</v>
      </c>
      <c r="O3131">
        <v>1575</v>
      </c>
    </row>
    <row r="3132" spans="1:15" x14ac:dyDescent="0.25">
      <c r="A3132" t="str">
        <f t="shared" si="310"/>
        <v>10/21/2020 18:36:52.567</v>
      </c>
      <c r="B3132" t="str">
        <f t="shared" si="311"/>
        <v>18:37:00.516</v>
      </c>
      <c r="C3132" t="str">
        <f t="shared" si="311"/>
        <v>18:37:00.516</v>
      </c>
      <c r="D3132" t="s">
        <v>1185</v>
      </c>
      <c r="E3132">
        <v>30.841927999999999</v>
      </c>
      <c r="F3132" t="s">
        <v>1186</v>
      </c>
      <c r="G3132">
        <v>-89.874301000000003</v>
      </c>
      <c r="H3132">
        <v>1500</v>
      </c>
      <c r="I3132">
        <v>-57</v>
      </c>
      <c r="J3132">
        <v>104</v>
      </c>
      <c r="K3132">
        <v>640</v>
      </c>
      <c r="L3132">
        <v>1200</v>
      </c>
      <c r="M3132" t="str">
        <f t="shared" si="297"/>
        <v xml:space="preserve">N35DC   </v>
      </c>
      <c r="N3132">
        <v>1</v>
      </c>
      <c r="O3132">
        <v>1575</v>
      </c>
    </row>
    <row r="3133" spans="1:15" x14ac:dyDescent="0.25">
      <c r="A3133" t="str">
        <f t="shared" ref="A3133:A3138" si="312">"10/21/2020 18:36:55.691"</f>
        <v>10/21/2020 18:36:55.691</v>
      </c>
      <c r="B3133" t="str">
        <f t="shared" ref="B3133:B3138" si="313">"18:37:03.633"</f>
        <v>18:37:03.633</v>
      </c>
      <c r="C3133" t="str">
        <f t="shared" ref="C3133:C3138" si="314">"18:37:03.233"</f>
        <v>18:37:03.233</v>
      </c>
      <c r="D3133" t="s">
        <v>1187</v>
      </c>
      <c r="E3133">
        <v>30.843430000000001</v>
      </c>
      <c r="F3133" t="s">
        <v>1188</v>
      </c>
      <c r="G3133">
        <v>-89.875331000000003</v>
      </c>
      <c r="H3133">
        <v>1500</v>
      </c>
      <c r="I3133">
        <v>-58</v>
      </c>
      <c r="J3133">
        <v>105</v>
      </c>
      <c r="K3133">
        <v>704</v>
      </c>
      <c r="L3133">
        <v>1200</v>
      </c>
      <c r="M3133" t="str">
        <f t="shared" si="297"/>
        <v xml:space="preserve">N35DC   </v>
      </c>
      <c r="N3133">
        <v>1</v>
      </c>
      <c r="O3133">
        <v>1625</v>
      </c>
    </row>
    <row r="3134" spans="1:15" x14ac:dyDescent="0.25">
      <c r="A3134" t="str">
        <f t="shared" si="312"/>
        <v>10/21/2020 18:36:55.691</v>
      </c>
      <c r="B3134" t="str">
        <f t="shared" si="313"/>
        <v>18:37:03.633</v>
      </c>
      <c r="C3134" t="str">
        <f t="shared" si="314"/>
        <v>18:37:03.233</v>
      </c>
      <c r="D3134" t="s">
        <v>1187</v>
      </c>
      <c r="E3134">
        <v>30.843430000000001</v>
      </c>
      <c r="F3134" t="s">
        <v>1188</v>
      </c>
      <c r="G3134">
        <v>-89.875331000000003</v>
      </c>
      <c r="H3134">
        <v>1500</v>
      </c>
      <c r="I3134">
        <v>-58</v>
      </c>
      <c r="J3134">
        <v>105</v>
      </c>
      <c r="K3134">
        <v>704</v>
      </c>
      <c r="L3134">
        <v>1200</v>
      </c>
      <c r="M3134" t="str">
        <f t="shared" si="297"/>
        <v xml:space="preserve">N35DC   </v>
      </c>
      <c r="N3134">
        <v>1</v>
      </c>
      <c r="O3134">
        <v>1625</v>
      </c>
    </row>
    <row r="3135" spans="1:15" x14ac:dyDescent="0.25">
      <c r="A3135" t="str">
        <f t="shared" si="312"/>
        <v>10/21/2020 18:36:55.691</v>
      </c>
      <c r="B3135" t="str">
        <f t="shared" si="313"/>
        <v>18:37:03.633</v>
      </c>
      <c r="C3135" t="str">
        <f t="shared" si="314"/>
        <v>18:37:03.233</v>
      </c>
      <c r="D3135" t="s">
        <v>1187</v>
      </c>
      <c r="E3135">
        <v>30.843430000000001</v>
      </c>
      <c r="F3135" t="s">
        <v>1188</v>
      </c>
      <c r="G3135">
        <v>-89.875331000000003</v>
      </c>
      <c r="H3135">
        <v>1500</v>
      </c>
      <c r="I3135">
        <v>-58</v>
      </c>
      <c r="J3135">
        <v>105</v>
      </c>
      <c r="K3135">
        <v>704</v>
      </c>
      <c r="L3135">
        <v>1200</v>
      </c>
      <c r="M3135" t="str">
        <f t="shared" si="297"/>
        <v xml:space="preserve">N35DC   </v>
      </c>
      <c r="N3135">
        <v>1</v>
      </c>
      <c r="O3135">
        <v>1625</v>
      </c>
    </row>
    <row r="3136" spans="1:15" x14ac:dyDescent="0.25">
      <c r="A3136" t="str">
        <f t="shared" si="312"/>
        <v>10/21/2020 18:36:55.691</v>
      </c>
      <c r="B3136" t="str">
        <f t="shared" si="313"/>
        <v>18:37:03.633</v>
      </c>
      <c r="C3136" t="str">
        <f t="shared" si="314"/>
        <v>18:37:03.233</v>
      </c>
      <c r="D3136" t="s">
        <v>1187</v>
      </c>
      <c r="E3136">
        <v>30.843430000000001</v>
      </c>
      <c r="F3136" t="s">
        <v>1188</v>
      </c>
      <c r="G3136">
        <v>-89.875331000000003</v>
      </c>
      <c r="H3136">
        <v>1500</v>
      </c>
      <c r="I3136">
        <v>-58</v>
      </c>
      <c r="J3136">
        <v>105</v>
      </c>
      <c r="K3136">
        <v>704</v>
      </c>
      <c r="L3136">
        <v>1200</v>
      </c>
      <c r="M3136" t="str">
        <f t="shared" si="297"/>
        <v xml:space="preserve">N35DC   </v>
      </c>
      <c r="N3136">
        <v>1</v>
      </c>
      <c r="O3136">
        <v>1625</v>
      </c>
    </row>
    <row r="3137" spans="1:15" x14ac:dyDescent="0.25">
      <c r="A3137" t="str">
        <f t="shared" si="312"/>
        <v>10/21/2020 18:36:55.691</v>
      </c>
      <c r="B3137" t="str">
        <f t="shared" si="313"/>
        <v>18:37:03.633</v>
      </c>
      <c r="C3137" t="str">
        <f t="shared" si="314"/>
        <v>18:37:03.233</v>
      </c>
      <c r="D3137" t="s">
        <v>1187</v>
      </c>
      <c r="E3137">
        <v>30.843430000000001</v>
      </c>
      <c r="F3137" t="s">
        <v>1188</v>
      </c>
      <c r="G3137">
        <v>-89.875331000000003</v>
      </c>
      <c r="H3137">
        <v>1500</v>
      </c>
      <c r="I3137">
        <v>-58</v>
      </c>
      <c r="J3137">
        <v>105</v>
      </c>
      <c r="K3137">
        <v>704</v>
      </c>
      <c r="L3137">
        <v>1200</v>
      </c>
      <c r="M3137" t="str">
        <f t="shared" si="297"/>
        <v xml:space="preserve">N35DC   </v>
      </c>
      <c r="N3137">
        <v>1</v>
      </c>
      <c r="O3137">
        <v>1625</v>
      </c>
    </row>
    <row r="3138" spans="1:15" x14ac:dyDescent="0.25">
      <c r="A3138" t="str">
        <f t="shared" si="312"/>
        <v>10/21/2020 18:36:55.691</v>
      </c>
      <c r="B3138" t="str">
        <f t="shared" si="313"/>
        <v>18:37:03.633</v>
      </c>
      <c r="C3138" t="str">
        <f t="shared" si="314"/>
        <v>18:37:03.233</v>
      </c>
      <c r="D3138" t="s">
        <v>1187</v>
      </c>
      <c r="E3138">
        <v>30.843430000000001</v>
      </c>
      <c r="F3138" t="s">
        <v>1188</v>
      </c>
      <c r="G3138">
        <v>-89.875331000000003</v>
      </c>
      <c r="H3138">
        <v>1500</v>
      </c>
      <c r="I3138">
        <v>-58</v>
      </c>
      <c r="J3138">
        <v>105</v>
      </c>
      <c r="K3138">
        <v>704</v>
      </c>
      <c r="L3138">
        <v>1200</v>
      </c>
      <c r="M3138" t="str">
        <f t="shared" si="297"/>
        <v xml:space="preserve">N35DC   </v>
      </c>
      <c r="N3138">
        <v>1</v>
      </c>
      <c r="O3138">
        <v>1625</v>
      </c>
    </row>
    <row r="3139" spans="1:15" x14ac:dyDescent="0.25">
      <c r="A3139" t="str">
        <f t="shared" ref="A3139:A3144" si="315">"10/21/2020 18:36:56.710"</f>
        <v>10/21/2020 18:36:56.710</v>
      </c>
      <c r="B3139" t="str">
        <f t="shared" ref="B3139:B3144" si="316">"18:37:04.656"</f>
        <v>18:37:04.656</v>
      </c>
      <c r="D3139" t="s">
        <v>1189</v>
      </c>
      <c r="E3139">
        <v>30.843923</v>
      </c>
      <c r="F3139" t="s">
        <v>496</v>
      </c>
      <c r="G3139">
        <v>-89.875587999999993</v>
      </c>
      <c r="H3139">
        <v>1500</v>
      </c>
      <c r="I3139">
        <v>-57</v>
      </c>
      <c r="J3139">
        <v>106</v>
      </c>
      <c r="K3139">
        <v>768</v>
      </c>
      <c r="L3139">
        <v>1200</v>
      </c>
      <c r="M3139" t="str">
        <f t="shared" si="297"/>
        <v xml:space="preserve">N35DC   </v>
      </c>
      <c r="N3139">
        <v>1</v>
      </c>
      <c r="O3139">
        <v>1625</v>
      </c>
    </row>
    <row r="3140" spans="1:15" x14ac:dyDescent="0.25">
      <c r="A3140" t="str">
        <f t="shared" si="315"/>
        <v>10/21/2020 18:36:56.710</v>
      </c>
      <c r="B3140" t="str">
        <f t="shared" si="316"/>
        <v>18:37:04.656</v>
      </c>
      <c r="C3140" t="str">
        <f>"18:37:04.256"</f>
        <v>18:37:04.256</v>
      </c>
      <c r="D3140" t="s">
        <v>1189</v>
      </c>
      <c r="E3140">
        <v>30.843923</v>
      </c>
      <c r="F3140" t="s">
        <v>496</v>
      </c>
      <c r="G3140">
        <v>-89.875587999999993</v>
      </c>
      <c r="H3140">
        <v>1500</v>
      </c>
      <c r="I3140">
        <v>-57</v>
      </c>
      <c r="J3140">
        <v>105</v>
      </c>
      <c r="K3140">
        <v>768</v>
      </c>
      <c r="L3140">
        <v>1200</v>
      </c>
      <c r="M3140" t="str">
        <f t="shared" si="297"/>
        <v xml:space="preserve">N35DC   </v>
      </c>
      <c r="N3140">
        <v>1</v>
      </c>
      <c r="O3140">
        <v>1625</v>
      </c>
    </row>
    <row r="3141" spans="1:15" x14ac:dyDescent="0.25">
      <c r="A3141" t="str">
        <f t="shared" si="315"/>
        <v>10/21/2020 18:36:56.710</v>
      </c>
      <c r="B3141" t="str">
        <f t="shared" si="316"/>
        <v>18:37:04.656</v>
      </c>
      <c r="D3141" t="s">
        <v>1189</v>
      </c>
      <c r="E3141">
        <v>30.843923</v>
      </c>
      <c r="F3141" t="s">
        <v>496</v>
      </c>
      <c r="G3141">
        <v>-89.875587999999993</v>
      </c>
      <c r="H3141">
        <v>1500</v>
      </c>
      <c r="I3141">
        <v>-57</v>
      </c>
      <c r="J3141">
        <v>106</v>
      </c>
      <c r="K3141">
        <v>768</v>
      </c>
      <c r="L3141">
        <v>1200</v>
      </c>
      <c r="M3141" t="str">
        <f t="shared" si="297"/>
        <v xml:space="preserve">N35DC   </v>
      </c>
      <c r="N3141">
        <v>1</v>
      </c>
      <c r="O3141">
        <v>1625</v>
      </c>
    </row>
    <row r="3142" spans="1:15" x14ac:dyDescent="0.25">
      <c r="A3142" t="str">
        <f t="shared" si="315"/>
        <v>10/21/2020 18:36:56.710</v>
      </c>
      <c r="B3142" t="str">
        <f t="shared" si="316"/>
        <v>18:37:04.656</v>
      </c>
      <c r="C3142" t="str">
        <f>"18:37:04.256"</f>
        <v>18:37:04.256</v>
      </c>
      <c r="D3142" t="s">
        <v>1189</v>
      </c>
      <c r="E3142">
        <v>30.843923</v>
      </c>
      <c r="F3142" t="s">
        <v>496</v>
      </c>
      <c r="G3142">
        <v>-89.875587999999993</v>
      </c>
      <c r="H3142">
        <v>1500</v>
      </c>
      <c r="I3142">
        <v>-57</v>
      </c>
      <c r="J3142">
        <v>105</v>
      </c>
      <c r="K3142">
        <v>768</v>
      </c>
      <c r="L3142">
        <v>1200</v>
      </c>
      <c r="M3142" t="str">
        <f t="shared" si="297"/>
        <v xml:space="preserve">N35DC   </v>
      </c>
      <c r="N3142">
        <v>1</v>
      </c>
      <c r="O3142">
        <v>1625</v>
      </c>
    </row>
    <row r="3143" spans="1:15" x14ac:dyDescent="0.25">
      <c r="A3143" t="str">
        <f t="shared" si="315"/>
        <v>10/21/2020 18:36:56.710</v>
      </c>
      <c r="B3143" t="str">
        <f t="shared" si="316"/>
        <v>18:37:04.656</v>
      </c>
      <c r="C3143" t="str">
        <f>"18:37:04.256"</f>
        <v>18:37:04.256</v>
      </c>
      <c r="D3143" t="s">
        <v>1189</v>
      </c>
      <c r="E3143">
        <v>30.843923</v>
      </c>
      <c r="F3143" t="s">
        <v>496</v>
      </c>
      <c r="G3143">
        <v>-89.875587999999993</v>
      </c>
      <c r="H3143">
        <v>1500</v>
      </c>
      <c r="I3143">
        <v>-57</v>
      </c>
      <c r="J3143">
        <v>105</v>
      </c>
      <c r="K3143">
        <v>768</v>
      </c>
      <c r="L3143">
        <v>1200</v>
      </c>
      <c r="M3143" t="str">
        <f t="shared" ref="M3143:M3206" si="317">"N35DC   "</f>
        <v xml:space="preserve">N35DC   </v>
      </c>
      <c r="N3143">
        <v>1</v>
      </c>
      <c r="O3143">
        <v>1625</v>
      </c>
    </row>
    <row r="3144" spans="1:15" x14ac:dyDescent="0.25">
      <c r="A3144" t="str">
        <f t="shared" si="315"/>
        <v>10/21/2020 18:36:56.710</v>
      </c>
      <c r="B3144" t="str">
        <f t="shared" si="316"/>
        <v>18:37:04.656</v>
      </c>
      <c r="C3144" t="str">
        <f>"18:37:04.256"</f>
        <v>18:37:04.256</v>
      </c>
      <c r="D3144" t="s">
        <v>1189</v>
      </c>
      <c r="E3144">
        <v>30.843923</v>
      </c>
      <c r="F3144" t="s">
        <v>496</v>
      </c>
      <c r="G3144">
        <v>-89.875587999999993</v>
      </c>
      <c r="H3144">
        <v>1500</v>
      </c>
      <c r="I3144">
        <v>-57</v>
      </c>
      <c r="J3144">
        <v>105</v>
      </c>
      <c r="K3144">
        <v>768</v>
      </c>
      <c r="L3144">
        <v>1200</v>
      </c>
      <c r="M3144" t="str">
        <f t="shared" si="317"/>
        <v xml:space="preserve">N35DC   </v>
      </c>
      <c r="N3144">
        <v>1</v>
      </c>
      <c r="O3144">
        <v>1625</v>
      </c>
    </row>
    <row r="3145" spans="1:15" x14ac:dyDescent="0.25">
      <c r="A3145" t="str">
        <f>"10/21/2020 18:36:59.842"</f>
        <v>10/21/2020 18:36:59.842</v>
      </c>
      <c r="B3145" t="str">
        <f t="shared" ref="B3145:C3149" si="318">"18:37:07.789"</f>
        <v>18:37:07.789</v>
      </c>
      <c r="C3145" t="str">
        <f t="shared" si="318"/>
        <v>18:37:07.789</v>
      </c>
      <c r="D3145" t="s">
        <v>1190</v>
      </c>
      <c r="E3145">
        <v>30.845468</v>
      </c>
      <c r="F3145" t="s">
        <v>486</v>
      </c>
      <c r="G3145">
        <v>-89.876510999999994</v>
      </c>
      <c r="H3145">
        <v>1600</v>
      </c>
      <c r="I3145">
        <v>-49</v>
      </c>
      <c r="J3145">
        <v>110</v>
      </c>
      <c r="K3145">
        <v>896</v>
      </c>
      <c r="L3145">
        <v>1200</v>
      </c>
      <c r="M3145" t="str">
        <f t="shared" si="317"/>
        <v xml:space="preserve">N35DC   </v>
      </c>
      <c r="N3145">
        <v>1</v>
      </c>
      <c r="O3145">
        <v>1675</v>
      </c>
    </row>
    <row r="3146" spans="1:15" x14ac:dyDescent="0.25">
      <c r="A3146" t="str">
        <f>"10/21/2020 18:36:59.842"</f>
        <v>10/21/2020 18:36:59.842</v>
      </c>
      <c r="B3146" t="str">
        <f t="shared" si="318"/>
        <v>18:37:07.789</v>
      </c>
      <c r="C3146" t="str">
        <f t="shared" si="318"/>
        <v>18:37:07.789</v>
      </c>
      <c r="D3146" t="s">
        <v>1190</v>
      </c>
      <c r="E3146">
        <v>30.845468</v>
      </c>
      <c r="F3146" t="s">
        <v>486</v>
      </c>
      <c r="G3146">
        <v>-89.876510999999994</v>
      </c>
      <c r="H3146">
        <v>1600</v>
      </c>
      <c r="I3146">
        <v>-49</v>
      </c>
      <c r="J3146">
        <v>110</v>
      </c>
      <c r="K3146">
        <v>896</v>
      </c>
      <c r="L3146">
        <v>1200</v>
      </c>
      <c r="M3146" t="str">
        <f t="shared" si="317"/>
        <v xml:space="preserve">N35DC   </v>
      </c>
      <c r="N3146">
        <v>1</v>
      </c>
      <c r="O3146">
        <v>1675</v>
      </c>
    </row>
    <row r="3147" spans="1:15" x14ac:dyDescent="0.25">
      <c r="A3147" t="str">
        <f>"10/21/2020 18:36:59.842"</f>
        <v>10/21/2020 18:36:59.842</v>
      </c>
      <c r="B3147" t="str">
        <f t="shared" si="318"/>
        <v>18:37:07.789</v>
      </c>
      <c r="C3147" t="str">
        <f t="shared" si="318"/>
        <v>18:37:07.789</v>
      </c>
      <c r="D3147" t="s">
        <v>1190</v>
      </c>
      <c r="E3147">
        <v>30.845468</v>
      </c>
      <c r="F3147" t="s">
        <v>486</v>
      </c>
      <c r="G3147">
        <v>-89.876510999999994</v>
      </c>
      <c r="H3147">
        <v>1600</v>
      </c>
      <c r="I3147">
        <v>-49</v>
      </c>
      <c r="J3147">
        <v>110</v>
      </c>
      <c r="K3147">
        <v>896</v>
      </c>
      <c r="L3147">
        <v>1200</v>
      </c>
      <c r="M3147" t="str">
        <f t="shared" si="317"/>
        <v xml:space="preserve">N35DC   </v>
      </c>
      <c r="N3147">
        <v>1</v>
      </c>
      <c r="O3147">
        <v>1675</v>
      </c>
    </row>
    <row r="3148" spans="1:15" x14ac:dyDescent="0.25">
      <c r="A3148" t="str">
        <f>"10/21/2020 18:36:59.842"</f>
        <v>10/21/2020 18:36:59.842</v>
      </c>
      <c r="B3148" t="str">
        <f t="shared" si="318"/>
        <v>18:37:07.789</v>
      </c>
      <c r="C3148" t="str">
        <f t="shared" si="318"/>
        <v>18:37:07.789</v>
      </c>
      <c r="D3148" t="s">
        <v>1190</v>
      </c>
      <c r="E3148">
        <v>30.845468</v>
      </c>
      <c r="F3148" t="s">
        <v>486</v>
      </c>
      <c r="G3148">
        <v>-89.876510999999994</v>
      </c>
      <c r="H3148">
        <v>1600</v>
      </c>
      <c r="I3148">
        <v>-49</v>
      </c>
      <c r="J3148">
        <v>110</v>
      </c>
      <c r="K3148">
        <v>896</v>
      </c>
      <c r="L3148">
        <v>1200</v>
      </c>
      <c r="M3148" t="str">
        <f t="shared" si="317"/>
        <v xml:space="preserve">N35DC   </v>
      </c>
      <c r="N3148">
        <v>1</v>
      </c>
      <c r="O3148">
        <v>1675</v>
      </c>
    </row>
    <row r="3149" spans="1:15" x14ac:dyDescent="0.25">
      <c r="A3149" t="str">
        <f>"10/21/2020 18:36:59.842"</f>
        <v>10/21/2020 18:36:59.842</v>
      </c>
      <c r="B3149" t="str">
        <f t="shared" si="318"/>
        <v>18:37:07.789</v>
      </c>
      <c r="C3149" t="str">
        <f t="shared" si="318"/>
        <v>18:37:07.789</v>
      </c>
      <c r="D3149" t="s">
        <v>1190</v>
      </c>
      <c r="E3149">
        <v>30.845468</v>
      </c>
      <c r="F3149" t="s">
        <v>486</v>
      </c>
      <c r="G3149">
        <v>-89.876510999999994</v>
      </c>
      <c r="H3149">
        <v>1600</v>
      </c>
      <c r="I3149">
        <v>-49</v>
      </c>
      <c r="J3149">
        <v>110</v>
      </c>
      <c r="K3149">
        <v>896</v>
      </c>
      <c r="L3149">
        <v>1200</v>
      </c>
      <c r="M3149" t="str">
        <f t="shared" si="317"/>
        <v xml:space="preserve">N35DC   </v>
      </c>
      <c r="N3149">
        <v>1</v>
      </c>
      <c r="O3149">
        <v>1675</v>
      </c>
    </row>
    <row r="3150" spans="1:15" x14ac:dyDescent="0.25">
      <c r="A3150" t="str">
        <f t="shared" ref="A3150:A3155" si="319">"10/21/2020 18:37:00.801"</f>
        <v>10/21/2020 18:37:00.801</v>
      </c>
      <c r="B3150" t="str">
        <f>"18:37:08.781"</f>
        <v>18:37:08.781</v>
      </c>
      <c r="C3150" t="str">
        <f>"18:37:08.781"</f>
        <v>18:37:08.781</v>
      </c>
      <c r="D3150" t="s">
        <v>1191</v>
      </c>
      <c r="E3150">
        <v>30.845983</v>
      </c>
      <c r="F3150" t="s">
        <v>824</v>
      </c>
      <c r="G3150">
        <v>-89.87679</v>
      </c>
      <c r="H3150">
        <v>1600</v>
      </c>
      <c r="I3150">
        <v>-47</v>
      </c>
      <c r="J3150">
        <v>111</v>
      </c>
      <c r="K3150">
        <v>960</v>
      </c>
      <c r="L3150">
        <v>1200</v>
      </c>
      <c r="M3150" t="str">
        <f t="shared" si="317"/>
        <v xml:space="preserve">N35DC   </v>
      </c>
      <c r="N3150">
        <v>1</v>
      </c>
      <c r="O3150">
        <v>1700</v>
      </c>
    </row>
    <row r="3151" spans="1:15" x14ac:dyDescent="0.25">
      <c r="A3151" t="str">
        <f t="shared" si="319"/>
        <v>10/21/2020 18:37:00.801</v>
      </c>
      <c r="B3151" t="str">
        <f>"18:37:08.781"</f>
        <v>18:37:08.781</v>
      </c>
      <c r="C3151" t="str">
        <f>"18:37:08.781"</f>
        <v>18:37:08.781</v>
      </c>
      <c r="D3151" t="s">
        <v>1191</v>
      </c>
      <c r="E3151">
        <v>30.845983</v>
      </c>
      <c r="F3151" t="s">
        <v>824</v>
      </c>
      <c r="G3151">
        <v>-89.87679</v>
      </c>
      <c r="H3151">
        <v>1600</v>
      </c>
      <c r="I3151">
        <v>-47</v>
      </c>
      <c r="J3151">
        <v>111</v>
      </c>
      <c r="K3151">
        <v>960</v>
      </c>
      <c r="L3151">
        <v>1200</v>
      </c>
      <c r="M3151" t="str">
        <f t="shared" si="317"/>
        <v xml:space="preserve">N35DC   </v>
      </c>
      <c r="N3151">
        <v>1</v>
      </c>
      <c r="O3151">
        <v>1700</v>
      </c>
    </row>
    <row r="3152" spans="1:15" x14ac:dyDescent="0.25">
      <c r="A3152" t="str">
        <f t="shared" si="319"/>
        <v>10/21/2020 18:37:00.801</v>
      </c>
      <c r="B3152" t="str">
        <f>"18:37:08.781"</f>
        <v>18:37:08.781</v>
      </c>
      <c r="C3152" t="str">
        <f>"18:37:08.681"</f>
        <v>18:37:08.681</v>
      </c>
      <c r="D3152" t="s">
        <v>1191</v>
      </c>
      <c r="E3152">
        <v>30.845983</v>
      </c>
      <c r="F3152" t="s">
        <v>824</v>
      </c>
      <c r="G3152">
        <v>-89.87679</v>
      </c>
      <c r="H3152">
        <v>1600</v>
      </c>
      <c r="I3152">
        <v>-47</v>
      </c>
      <c r="J3152">
        <v>111</v>
      </c>
      <c r="K3152">
        <v>960</v>
      </c>
      <c r="L3152">
        <v>1200</v>
      </c>
      <c r="M3152" t="str">
        <f t="shared" si="317"/>
        <v xml:space="preserve">N35DC   </v>
      </c>
      <c r="N3152">
        <v>1</v>
      </c>
      <c r="O3152">
        <v>1700</v>
      </c>
    </row>
    <row r="3153" spans="1:15" x14ac:dyDescent="0.25">
      <c r="A3153" t="str">
        <f t="shared" si="319"/>
        <v>10/21/2020 18:37:00.801</v>
      </c>
      <c r="B3153" t="str">
        <f>"18:37:08.781"</f>
        <v>18:37:08.781</v>
      </c>
      <c r="C3153" t="str">
        <f>"18:37:08.681"</f>
        <v>18:37:08.681</v>
      </c>
      <c r="D3153" t="s">
        <v>1191</v>
      </c>
      <c r="E3153">
        <v>30.845983</v>
      </c>
      <c r="F3153" t="s">
        <v>824</v>
      </c>
      <c r="G3153">
        <v>-89.87679</v>
      </c>
      <c r="H3153">
        <v>1600</v>
      </c>
      <c r="I3153">
        <v>-47</v>
      </c>
      <c r="J3153">
        <v>111</v>
      </c>
      <c r="K3153">
        <v>960</v>
      </c>
      <c r="L3153">
        <v>1200</v>
      </c>
      <c r="M3153" t="str">
        <f t="shared" si="317"/>
        <v xml:space="preserve">N35DC   </v>
      </c>
      <c r="N3153">
        <v>1</v>
      </c>
      <c r="O3153">
        <v>1700</v>
      </c>
    </row>
    <row r="3154" spans="1:15" x14ac:dyDescent="0.25">
      <c r="A3154" t="str">
        <f t="shared" si="319"/>
        <v>10/21/2020 18:37:00.801</v>
      </c>
      <c r="B3154" t="str">
        <f>"18:37:08.781"</f>
        <v>18:37:08.781</v>
      </c>
      <c r="C3154" t="str">
        <f>"18:37:08.681"</f>
        <v>18:37:08.681</v>
      </c>
      <c r="D3154" t="s">
        <v>1191</v>
      </c>
      <c r="E3154">
        <v>30.845983</v>
      </c>
      <c r="F3154" t="s">
        <v>824</v>
      </c>
      <c r="G3154">
        <v>-89.87679</v>
      </c>
      <c r="H3154">
        <v>1600</v>
      </c>
      <c r="I3154">
        <v>-47</v>
      </c>
      <c r="J3154">
        <v>111</v>
      </c>
      <c r="K3154">
        <v>960</v>
      </c>
      <c r="L3154">
        <v>1200</v>
      </c>
      <c r="M3154" t="str">
        <f t="shared" si="317"/>
        <v xml:space="preserve">N35DC   </v>
      </c>
      <c r="N3154">
        <v>1</v>
      </c>
      <c r="O3154">
        <v>1700</v>
      </c>
    </row>
    <row r="3155" spans="1:15" x14ac:dyDescent="0.25">
      <c r="A3155" t="str">
        <f t="shared" si="319"/>
        <v>10/21/2020 18:37:00.801</v>
      </c>
      <c r="B3155" t="str">
        <f>"18:37:08.781"</f>
        <v>18:37:08.781</v>
      </c>
      <c r="C3155" t="str">
        <f>"18:37:08.681"</f>
        <v>18:37:08.681</v>
      </c>
      <c r="D3155" t="s">
        <v>1191</v>
      </c>
      <c r="E3155">
        <v>30.845983</v>
      </c>
      <c r="F3155" t="s">
        <v>824</v>
      </c>
      <c r="G3155">
        <v>-89.87679</v>
      </c>
      <c r="H3155">
        <v>1600</v>
      </c>
      <c r="I3155">
        <v>-47</v>
      </c>
      <c r="J3155">
        <v>111</v>
      </c>
      <c r="K3155">
        <v>960</v>
      </c>
      <c r="L3155">
        <v>1200</v>
      </c>
      <c r="M3155" t="str">
        <f t="shared" si="317"/>
        <v xml:space="preserve">N35DC   </v>
      </c>
      <c r="N3155">
        <v>1</v>
      </c>
      <c r="O3155">
        <v>1700</v>
      </c>
    </row>
    <row r="3156" spans="1:15" x14ac:dyDescent="0.25">
      <c r="A3156" t="str">
        <f t="shared" ref="A3156:A3161" si="320">"10/21/2020 18:37:02.744"</f>
        <v>10/21/2020 18:37:02.744</v>
      </c>
      <c r="B3156" t="str">
        <f t="shared" ref="B3156:B3161" si="321">"18:37:10.672"</f>
        <v>18:37:10.672</v>
      </c>
      <c r="C3156" t="str">
        <f t="shared" ref="C3156:C3161" si="322">"18:37:10.272"</f>
        <v>18:37:10.272</v>
      </c>
      <c r="D3156" t="s">
        <v>1192</v>
      </c>
      <c r="E3156">
        <v>30.847013</v>
      </c>
      <c r="F3156" t="s">
        <v>1193</v>
      </c>
      <c r="G3156">
        <v>-89.877176000000006</v>
      </c>
      <c r="H3156">
        <v>1600</v>
      </c>
      <c r="I3156">
        <v>-44</v>
      </c>
      <c r="J3156">
        <v>113</v>
      </c>
      <c r="K3156">
        <v>896</v>
      </c>
      <c r="L3156">
        <v>1200</v>
      </c>
      <c r="M3156" t="str">
        <f t="shared" si="317"/>
        <v xml:space="preserve">N35DC   </v>
      </c>
      <c r="N3156">
        <v>1</v>
      </c>
      <c r="O3156">
        <v>1725</v>
      </c>
    </row>
    <row r="3157" spans="1:15" x14ac:dyDescent="0.25">
      <c r="A3157" t="str">
        <f t="shared" si="320"/>
        <v>10/21/2020 18:37:02.744</v>
      </c>
      <c r="B3157" t="str">
        <f t="shared" si="321"/>
        <v>18:37:10.672</v>
      </c>
      <c r="C3157" t="str">
        <f t="shared" si="322"/>
        <v>18:37:10.272</v>
      </c>
      <c r="D3157" t="s">
        <v>1192</v>
      </c>
      <c r="E3157">
        <v>30.847013</v>
      </c>
      <c r="F3157" t="s">
        <v>1193</v>
      </c>
      <c r="G3157">
        <v>-89.877176000000006</v>
      </c>
      <c r="H3157">
        <v>1600</v>
      </c>
      <c r="I3157">
        <v>-44</v>
      </c>
      <c r="J3157">
        <v>113</v>
      </c>
      <c r="K3157">
        <v>896</v>
      </c>
      <c r="L3157">
        <v>1200</v>
      </c>
      <c r="M3157" t="str">
        <f t="shared" si="317"/>
        <v xml:space="preserve">N35DC   </v>
      </c>
      <c r="N3157">
        <v>1</v>
      </c>
      <c r="O3157">
        <v>1725</v>
      </c>
    </row>
    <row r="3158" spans="1:15" x14ac:dyDescent="0.25">
      <c r="A3158" t="str">
        <f t="shared" si="320"/>
        <v>10/21/2020 18:37:02.744</v>
      </c>
      <c r="B3158" t="str">
        <f t="shared" si="321"/>
        <v>18:37:10.672</v>
      </c>
      <c r="C3158" t="str">
        <f t="shared" si="322"/>
        <v>18:37:10.272</v>
      </c>
      <c r="D3158" t="s">
        <v>1192</v>
      </c>
      <c r="E3158">
        <v>30.847013</v>
      </c>
      <c r="F3158" t="s">
        <v>1193</v>
      </c>
      <c r="G3158">
        <v>-89.877176000000006</v>
      </c>
      <c r="H3158">
        <v>1600</v>
      </c>
      <c r="I3158">
        <v>-44</v>
      </c>
      <c r="J3158">
        <v>113</v>
      </c>
      <c r="K3158">
        <v>896</v>
      </c>
      <c r="L3158">
        <v>1200</v>
      </c>
      <c r="M3158" t="str">
        <f t="shared" si="317"/>
        <v xml:space="preserve">N35DC   </v>
      </c>
      <c r="N3158">
        <v>1</v>
      </c>
      <c r="O3158">
        <v>1725</v>
      </c>
    </row>
    <row r="3159" spans="1:15" x14ac:dyDescent="0.25">
      <c r="A3159" t="str">
        <f t="shared" si="320"/>
        <v>10/21/2020 18:37:02.744</v>
      </c>
      <c r="B3159" t="str">
        <f t="shared" si="321"/>
        <v>18:37:10.672</v>
      </c>
      <c r="C3159" t="str">
        <f t="shared" si="322"/>
        <v>18:37:10.272</v>
      </c>
      <c r="D3159" t="s">
        <v>1192</v>
      </c>
      <c r="E3159">
        <v>30.847013</v>
      </c>
      <c r="F3159" t="s">
        <v>1193</v>
      </c>
      <c r="G3159">
        <v>-89.877176000000006</v>
      </c>
      <c r="H3159">
        <v>1600</v>
      </c>
      <c r="I3159">
        <v>-44</v>
      </c>
      <c r="J3159">
        <v>113</v>
      </c>
      <c r="K3159">
        <v>896</v>
      </c>
      <c r="L3159">
        <v>1200</v>
      </c>
      <c r="M3159" t="str">
        <f t="shared" si="317"/>
        <v xml:space="preserve">N35DC   </v>
      </c>
      <c r="N3159">
        <v>1</v>
      </c>
      <c r="O3159">
        <v>1725</v>
      </c>
    </row>
    <row r="3160" spans="1:15" x14ac:dyDescent="0.25">
      <c r="A3160" t="str">
        <f t="shared" si="320"/>
        <v>10/21/2020 18:37:02.744</v>
      </c>
      <c r="B3160" t="str">
        <f t="shared" si="321"/>
        <v>18:37:10.672</v>
      </c>
      <c r="C3160" t="str">
        <f t="shared" si="322"/>
        <v>18:37:10.272</v>
      </c>
      <c r="D3160" t="s">
        <v>1192</v>
      </c>
      <c r="E3160">
        <v>30.847013</v>
      </c>
      <c r="F3160" t="s">
        <v>1193</v>
      </c>
      <c r="G3160">
        <v>-89.877176000000006</v>
      </c>
      <c r="H3160">
        <v>1600</v>
      </c>
      <c r="I3160">
        <v>-44</v>
      </c>
      <c r="J3160">
        <v>113</v>
      </c>
      <c r="K3160">
        <v>896</v>
      </c>
      <c r="L3160">
        <v>1200</v>
      </c>
      <c r="M3160" t="str">
        <f t="shared" si="317"/>
        <v xml:space="preserve">N35DC   </v>
      </c>
      <c r="N3160">
        <v>1</v>
      </c>
      <c r="O3160">
        <v>1725</v>
      </c>
    </row>
    <row r="3161" spans="1:15" x14ac:dyDescent="0.25">
      <c r="A3161" t="str">
        <f t="shared" si="320"/>
        <v>10/21/2020 18:37:02.744</v>
      </c>
      <c r="B3161" t="str">
        <f t="shared" si="321"/>
        <v>18:37:10.672</v>
      </c>
      <c r="C3161" t="str">
        <f t="shared" si="322"/>
        <v>18:37:10.272</v>
      </c>
      <c r="D3161" t="s">
        <v>1192</v>
      </c>
      <c r="E3161">
        <v>30.847013</v>
      </c>
      <c r="F3161" t="s">
        <v>1193</v>
      </c>
      <c r="G3161">
        <v>-89.877176000000006</v>
      </c>
      <c r="H3161">
        <v>1600</v>
      </c>
      <c r="I3161">
        <v>-44</v>
      </c>
      <c r="J3161">
        <v>113</v>
      </c>
      <c r="K3161">
        <v>896</v>
      </c>
      <c r="L3161">
        <v>1200</v>
      </c>
      <c r="M3161" t="str">
        <f t="shared" si="317"/>
        <v xml:space="preserve">N35DC   </v>
      </c>
      <c r="N3161">
        <v>1</v>
      </c>
      <c r="O3161">
        <v>1725</v>
      </c>
    </row>
    <row r="3162" spans="1:15" x14ac:dyDescent="0.25">
      <c r="A3162" t="str">
        <f t="shared" ref="A3162:A3167" si="323">"10/21/2020 18:37:03.853"</f>
        <v>10/21/2020 18:37:03.853</v>
      </c>
      <c r="B3162" t="str">
        <f t="shared" ref="B3162:B3167" si="324">"18:37:11.797"</f>
        <v>18:37:11.797</v>
      </c>
      <c r="C3162" t="str">
        <f t="shared" ref="C3162:C3167" si="325">"18:37:11.697"</f>
        <v>18:37:11.697</v>
      </c>
      <c r="D3162" t="s">
        <v>1194</v>
      </c>
      <c r="E3162">
        <v>30.847570999999999</v>
      </c>
      <c r="F3162" t="s">
        <v>810</v>
      </c>
      <c r="G3162">
        <v>-89.877454999999998</v>
      </c>
      <c r="H3162">
        <v>1600</v>
      </c>
      <c r="I3162">
        <v>-41</v>
      </c>
      <c r="J3162">
        <v>114</v>
      </c>
      <c r="K3162">
        <v>832</v>
      </c>
      <c r="L3162">
        <v>1200</v>
      </c>
      <c r="M3162" t="str">
        <f t="shared" si="317"/>
        <v xml:space="preserve">N35DC   </v>
      </c>
      <c r="N3162">
        <v>1</v>
      </c>
      <c r="O3162">
        <v>1725</v>
      </c>
    </row>
    <row r="3163" spans="1:15" x14ac:dyDescent="0.25">
      <c r="A3163" t="str">
        <f t="shared" si="323"/>
        <v>10/21/2020 18:37:03.853</v>
      </c>
      <c r="B3163" t="str">
        <f t="shared" si="324"/>
        <v>18:37:11.797</v>
      </c>
      <c r="C3163" t="str">
        <f t="shared" si="325"/>
        <v>18:37:11.697</v>
      </c>
      <c r="D3163" t="s">
        <v>1194</v>
      </c>
      <c r="E3163">
        <v>30.847570999999999</v>
      </c>
      <c r="F3163" t="s">
        <v>810</v>
      </c>
      <c r="G3163">
        <v>-89.877454999999998</v>
      </c>
      <c r="H3163">
        <v>1600</v>
      </c>
      <c r="I3163">
        <v>-41</v>
      </c>
      <c r="J3163">
        <v>114</v>
      </c>
      <c r="K3163">
        <v>832</v>
      </c>
      <c r="L3163">
        <v>1200</v>
      </c>
      <c r="M3163" t="str">
        <f t="shared" si="317"/>
        <v xml:space="preserve">N35DC   </v>
      </c>
      <c r="N3163">
        <v>1</v>
      </c>
      <c r="O3163">
        <v>1725</v>
      </c>
    </row>
    <row r="3164" spans="1:15" x14ac:dyDescent="0.25">
      <c r="A3164" t="str">
        <f t="shared" si="323"/>
        <v>10/21/2020 18:37:03.853</v>
      </c>
      <c r="B3164" t="str">
        <f t="shared" si="324"/>
        <v>18:37:11.797</v>
      </c>
      <c r="C3164" t="str">
        <f t="shared" si="325"/>
        <v>18:37:11.697</v>
      </c>
      <c r="D3164" t="s">
        <v>1194</v>
      </c>
      <c r="E3164">
        <v>30.847570999999999</v>
      </c>
      <c r="F3164" t="s">
        <v>810</v>
      </c>
      <c r="G3164">
        <v>-89.877454999999998</v>
      </c>
      <c r="H3164">
        <v>1600</v>
      </c>
      <c r="I3164">
        <v>-41</v>
      </c>
      <c r="J3164">
        <v>114</v>
      </c>
      <c r="K3164">
        <v>832</v>
      </c>
      <c r="L3164">
        <v>1200</v>
      </c>
      <c r="M3164" t="str">
        <f t="shared" si="317"/>
        <v xml:space="preserve">N35DC   </v>
      </c>
      <c r="N3164">
        <v>1</v>
      </c>
      <c r="O3164">
        <v>1725</v>
      </c>
    </row>
    <row r="3165" spans="1:15" x14ac:dyDescent="0.25">
      <c r="A3165" t="str">
        <f t="shared" si="323"/>
        <v>10/21/2020 18:37:03.853</v>
      </c>
      <c r="B3165" t="str">
        <f t="shared" si="324"/>
        <v>18:37:11.797</v>
      </c>
      <c r="C3165" t="str">
        <f t="shared" si="325"/>
        <v>18:37:11.697</v>
      </c>
      <c r="D3165" t="s">
        <v>1194</v>
      </c>
      <c r="E3165">
        <v>30.847570999999999</v>
      </c>
      <c r="F3165" t="s">
        <v>810</v>
      </c>
      <c r="G3165">
        <v>-89.877454999999998</v>
      </c>
      <c r="H3165">
        <v>1600</v>
      </c>
      <c r="I3165">
        <v>-41</v>
      </c>
      <c r="J3165">
        <v>114</v>
      </c>
      <c r="K3165">
        <v>832</v>
      </c>
      <c r="L3165">
        <v>1200</v>
      </c>
      <c r="M3165" t="str">
        <f t="shared" si="317"/>
        <v xml:space="preserve">N35DC   </v>
      </c>
      <c r="N3165">
        <v>1</v>
      </c>
      <c r="O3165">
        <v>1725</v>
      </c>
    </row>
    <row r="3166" spans="1:15" x14ac:dyDescent="0.25">
      <c r="A3166" t="str">
        <f t="shared" si="323"/>
        <v>10/21/2020 18:37:03.853</v>
      </c>
      <c r="B3166" t="str">
        <f t="shared" si="324"/>
        <v>18:37:11.797</v>
      </c>
      <c r="C3166" t="str">
        <f t="shared" si="325"/>
        <v>18:37:11.697</v>
      </c>
      <c r="D3166" t="s">
        <v>1194</v>
      </c>
      <c r="E3166">
        <v>30.847570999999999</v>
      </c>
      <c r="F3166" t="s">
        <v>810</v>
      </c>
      <c r="G3166">
        <v>-89.877454999999998</v>
      </c>
      <c r="H3166">
        <v>1600</v>
      </c>
      <c r="I3166">
        <v>-41</v>
      </c>
      <c r="J3166">
        <v>114</v>
      </c>
      <c r="K3166">
        <v>832</v>
      </c>
      <c r="L3166">
        <v>1200</v>
      </c>
      <c r="M3166" t="str">
        <f t="shared" si="317"/>
        <v xml:space="preserve">N35DC   </v>
      </c>
      <c r="N3166">
        <v>1</v>
      </c>
      <c r="O3166">
        <v>1725</v>
      </c>
    </row>
    <row r="3167" spans="1:15" x14ac:dyDescent="0.25">
      <c r="A3167" t="str">
        <f t="shared" si="323"/>
        <v>10/21/2020 18:37:03.853</v>
      </c>
      <c r="B3167" t="str">
        <f t="shared" si="324"/>
        <v>18:37:11.797</v>
      </c>
      <c r="C3167" t="str">
        <f t="shared" si="325"/>
        <v>18:37:11.697</v>
      </c>
      <c r="D3167" t="s">
        <v>1194</v>
      </c>
      <c r="E3167">
        <v>30.847570999999999</v>
      </c>
      <c r="F3167" t="s">
        <v>810</v>
      </c>
      <c r="G3167">
        <v>-89.877454999999998</v>
      </c>
      <c r="H3167">
        <v>1600</v>
      </c>
      <c r="I3167">
        <v>-41</v>
      </c>
      <c r="J3167">
        <v>114</v>
      </c>
      <c r="K3167">
        <v>832</v>
      </c>
      <c r="L3167">
        <v>1200</v>
      </c>
      <c r="M3167" t="str">
        <f t="shared" si="317"/>
        <v xml:space="preserve">N35DC   </v>
      </c>
      <c r="N3167">
        <v>1</v>
      </c>
      <c r="O3167">
        <v>1725</v>
      </c>
    </row>
    <row r="3168" spans="1:15" x14ac:dyDescent="0.25">
      <c r="A3168" t="str">
        <f>"10/21/2020 18:37:06.843"</f>
        <v>10/21/2020 18:37:06.843</v>
      </c>
      <c r="B3168" t="str">
        <f>"18:37:14.797"</f>
        <v>18:37:14.797</v>
      </c>
      <c r="C3168" t="str">
        <f>"18:37:14.697"</f>
        <v>18:37:14.697</v>
      </c>
      <c r="D3168" t="s">
        <v>1195</v>
      </c>
      <c r="E3168">
        <v>30.849201999999998</v>
      </c>
      <c r="F3168" t="s">
        <v>1196</v>
      </c>
      <c r="G3168">
        <v>-89.878078000000002</v>
      </c>
      <c r="H3168">
        <v>1700</v>
      </c>
      <c r="I3168">
        <v>-37</v>
      </c>
      <c r="J3168">
        <v>117</v>
      </c>
      <c r="K3168">
        <v>640</v>
      </c>
      <c r="L3168">
        <v>1200</v>
      </c>
      <c r="M3168" t="str">
        <f t="shared" si="317"/>
        <v xml:space="preserve">N35DC   </v>
      </c>
      <c r="N3168">
        <v>1</v>
      </c>
      <c r="O3168">
        <v>1775</v>
      </c>
    </row>
    <row r="3169" spans="1:15" x14ac:dyDescent="0.25">
      <c r="A3169" t="str">
        <f>"10/21/2020 18:37:06.843"</f>
        <v>10/21/2020 18:37:06.843</v>
      </c>
      <c r="B3169" t="str">
        <f>"18:37:14.797"</f>
        <v>18:37:14.797</v>
      </c>
      <c r="C3169" t="str">
        <f>"18:37:14.697"</f>
        <v>18:37:14.697</v>
      </c>
      <c r="D3169" t="s">
        <v>1195</v>
      </c>
      <c r="E3169">
        <v>30.849201999999998</v>
      </c>
      <c r="F3169" t="s">
        <v>1196</v>
      </c>
      <c r="G3169">
        <v>-89.878078000000002</v>
      </c>
      <c r="H3169">
        <v>1700</v>
      </c>
      <c r="I3169">
        <v>-37</v>
      </c>
      <c r="J3169">
        <v>117</v>
      </c>
      <c r="K3169">
        <v>640</v>
      </c>
      <c r="L3169">
        <v>1200</v>
      </c>
      <c r="M3169" t="str">
        <f t="shared" si="317"/>
        <v xml:space="preserve">N35DC   </v>
      </c>
      <c r="N3169">
        <v>1</v>
      </c>
      <c r="O3169">
        <v>1775</v>
      </c>
    </row>
    <row r="3170" spans="1:15" x14ac:dyDescent="0.25">
      <c r="A3170" t="str">
        <f>"10/21/2020 18:37:06.843"</f>
        <v>10/21/2020 18:37:06.843</v>
      </c>
      <c r="B3170" t="str">
        <f>"18:37:14.797"</f>
        <v>18:37:14.797</v>
      </c>
      <c r="C3170" t="str">
        <f>"18:37:14.697"</f>
        <v>18:37:14.697</v>
      </c>
      <c r="D3170" t="s">
        <v>1195</v>
      </c>
      <c r="E3170">
        <v>30.849201999999998</v>
      </c>
      <c r="F3170" t="s">
        <v>1196</v>
      </c>
      <c r="G3170">
        <v>-89.878078000000002</v>
      </c>
      <c r="H3170">
        <v>1700</v>
      </c>
      <c r="I3170">
        <v>-37</v>
      </c>
      <c r="J3170">
        <v>117</v>
      </c>
      <c r="K3170">
        <v>640</v>
      </c>
      <c r="L3170">
        <v>1200</v>
      </c>
      <c r="M3170" t="str">
        <f t="shared" si="317"/>
        <v xml:space="preserve">N35DC   </v>
      </c>
      <c r="N3170">
        <v>1</v>
      </c>
      <c r="O3170">
        <v>1775</v>
      </c>
    </row>
    <row r="3171" spans="1:15" x14ac:dyDescent="0.25">
      <c r="A3171" t="str">
        <f>"10/21/2020 18:37:06.843"</f>
        <v>10/21/2020 18:37:06.843</v>
      </c>
      <c r="B3171" t="str">
        <f>"18:37:14.797"</f>
        <v>18:37:14.797</v>
      </c>
      <c r="C3171" t="str">
        <f>"18:37:14.697"</f>
        <v>18:37:14.697</v>
      </c>
      <c r="D3171" t="s">
        <v>1195</v>
      </c>
      <c r="E3171">
        <v>30.849201999999998</v>
      </c>
      <c r="F3171" t="s">
        <v>1196</v>
      </c>
      <c r="G3171">
        <v>-89.878078000000002</v>
      </c>
      <c r="H3171">
        <v>1700</v>
      </c>
      <c r="I3171">
        <v>-37</v>
      </c>
      <c r="J3171">
        <v>117</v>
      </c>
      <c r="K3171">
        <v>640</v>
      </c>
      <c r="L3171">
        <v>1200</v>
      </c>
      <c r="M3171" t="str">
        <f t="shared" si="317"/>
        <v xml:space="preserve">N35DC   </v>
      </c>
      <c r="N3171">
        <v>1</v>
      </c>
      <c r="O3171">
        <v>1775</v>
      </c>
    </row>
    <row r="3172" spans="1:15" x14ac:dyDescent="0.25">
      <c r="A3172" t="str">
        <f>"10/21/2020 18:37:06.843"</f>
        <v>10/21/2020 18:37:06.843</v>
      </c>
      <c r="B3172" t="str">
        <f>"18:37:14.797"</f>
        <v>18:37:14.797</v>
      </c>
      <c r="C3172" t="str">
        <f>"18:37:14.697"</f>
        <v>18:37:14.697</v>
      </c>
      <c r="D3172" t="s">
        <v>1195</v>
      </c>
      <c r="E3172">
        <v>30.849201999999998</v>
      </c>
      <c r="F3172" t="s">
        <v>1196</v>
      </c>
      <c r="G3172">
        <v>-89.878078000000002</v>
      </c>
      <c r="H3172">
        <v>1700</v>
      </c>
      <c r="I3172">
        <v>-37</v>
      </c>
      <c r="J3172">
        <v>117</v>
      </c>
      <c r="K3172">
        <v>640</v>
      </c>
      <c r="L3172">
        <v>1200</v>
      </c>
      <c r="M3172" t="str">
        <f t="shared" si="317"/>
        <v xml:space="preserve">N35DC   </v>
      </c>
      <c r="N3172">
        <v>1</v>
      </c>
      <c r="O3172">
        <v>1775</v>
      </c>
    </row>
    <row r="3173" spans="1:15" x14ac:dyDescent="0.25">
      <c r="A3173" t="str">
        <f>"10/21/2020 18:37:07.495"</f>
        <v>10/21/2020 18:37:07.495</v>
      </c>
      <c r="B3173" t="str">
        <f>"18:37:15.367"</f>
        <v>18:37:15.367</v>
      </c>
      <c r="C3173" t="str">
        <f>"18:37:15.167"</f>
        <v>18:37:15.167</v>
      </c>
      <c r="D3173" t="s">
        <v>1197</v>
      </c>
      <c r="E3173">
        <v>30.849523999999999</v>
      </c>
      <c r="F3173" t="s">
        <v>1198</v>
      </c>
      <c r="G3173">
        <v>-89.878185000000002</v>
      </c>
      <c r="H3173">
        <v>1700</v>
      </c>
      <c r="I3173">
        <v>-36</v>
      </c>
      <c r="J3173">
        <v>117</v>
      </c>
      <c r="K3173">
        <v>640</v>
      </c>
      <c r="L3173">
        <v>1200</v>
      </c>
      <c r="M3173" t="str">
        <f t="shared" si="317"/>
        <v xml:space="preserve">N35DC   </v>
      </c>
      <c r="N3173">
        <v>1</v>
      </c>
      <c r="O3173">
        <v>1775</v>
      </c>
    </row>
    <row r="3174" spans="1:15" x14ac:dyDescent="0.25">
      <c r="A3174" t="str">
        <f>"10/21/2020 18:37:07.824"</f>
        <v>10/21/2020 18:37:07.824</v>
      </c>
      <c r="B3174" t="str">
        <f>"18:37:15.773"</f>
        <v>18:37:15.773</v>
      </c>
      <c r="C3174" t="str">
        <f>"18:37:15.673"</f>
        <v>18:37:15.673</v>
      </c>
      <c r="D3174" t="s">
        <v>1199</v>
      </c>
      <c r="E3174">
        <v>30.849695000000001</v>
      </c>
      <c r="F3174" t="s">
        <v>1200</v>
      </c>
      <c r="G3174">
        <v>-89.878227999999993</v>
      </c>
      <c r="H3174">
        <v>1700</v>
      </c>
      <c r="I3174">
        <v>-35</v>
      </c>
      <c r="J3174">
        <v>118</v>
      </c>
      <c r="K3174">
        <v>512</v>
      </c>
      <c r="L3174">
        <v>1200</v>
      </c>
      <c r="M3174" t="str">
        <f t="shared" si="317"/>
        <v xml:space="preserve">N35DC   </v>
      </c>
      <c r="N3174">
        <v>1</v>
      </c>
      <c r="O3174">
        <v>1775</v>
      </c>
    </row>
    <row r="3175" spans="1:15" x14ac:dyDescent="0.25">
      <c r="A3175" t="str">
        <f>"10/21/2020 18:37:07.824"</f>
        <v>10/21/2020 18:37:07.824</v>
      </c>
      <c r="B3175" t="str">
        <f>"18:37:15.773"</f>
        <v>18:37:15.773</v>
      </c>
      <c r="C3175" t="str">
        <f>"18:37:15.673"</f>
        <v>18:37:15.673</v>
      </c>
      <c r="D3175" t="s">
        <v>1199</v>
      </c>
      <c r="E3175">
        <v>30.849695000000001</v>
      </c>
      <c r="F3175" t="s">
        <v>1200</v>
      </c>
      <c r="G3175">
        <v>-89.878227999999993</v>
      </c>
      <c r="H3175">
        <v>1700</v>
      </c>
      <c r="I3175">
        <v>-35</v>
      </c>
      <c r="J3175">
        <v>118</v>
      </c>
      <c r="K3175">
        <v>512</v>
      </c>
      <c r="L3175">
        <v>1200</v>
      </c>
      <c r="M3175" t="str">
        <f t="shared" si="317"/>
        <v xml:space="preserve">N35DC   </v>
      </c>
      <c r="N3175">
        <v>1</v>
      </c>
      <c r="O3175">
        <v>1775</v>
      </c>
    </row>
    <row r="3176" spans="1:15" x14ac:dyDescent="0.25">
      <c r="A3176" t="str">
        <f>"10/21/2020 18:37:07.824"</f>
        <v>10/21/2020 18:37:07.824</v>
      </c>
      <c r="B3176" t="str">
        <f>"18:37:15.773"</f>
        <v>18:37:15.773</v>
      </c>
      <c r="C3176" t="str">
        <f>"18:37:15.673"</f>
        <v>18:37:15.673</v>
      </c>
      <c r="D3176" t="s">
        <v>1199</v>
      </c>
      <c r="E3176">
        <v>30.849695000000001</v>
      </c>
      <c r="F3176" t="s">
        <v>1200</v>
      </c>
      <c r="G3176">
        <v>-89.878227999999993</v>
      </c>
      <c r="H3176">
        <v>1700</v>
      </c>
      <c r="I3176">
        <v>-35</v>
      </c>
      <c r="J3176">
        <v>118</v>
      </c>
      <c r="K3176">
        <v>512</v>
      </c>
      <c r="L3176">
        <v>1200</v>
      </c>
      <c r="M3176" t="str">
        <f t="shared" si="317"/>
        <v xml:space="preserve">N35DC   </v>
      </c>
      <c r="N3176">
        <v>1</v>
      </c>
      <c r="O3176">
        <v>1775</v>
      </c>
    </row>
    <row r="3177" spans="1:15" x14ac:dyDescent="0.25">
      <c r="A3177" t="str">
        <f>"10/21/2020 18:37:07.824"</f>
        <v>10/21/2020 18:37:07.824</v>
      </c>
      <c r="B3177" t="str">
        <f>"18:37:15.773"</f>
        <v>18:37:15.773</v>
      </c>
      <c r="C3177" t="str">
        <f>"18:37:15.673"</f>
        <v>18:37:15.673</v>
      </c>
      <c r="D3177" t="s">
        <v>1199</v>
      </c>
      <c r="E3177">
        <v>30.849695000000001</v>
      </c>
      <c r="F3177" t="s">
        <v>1200</v>
      </c>
      <c r="G3177">
        <v>-89.878227999999993</v>
      </c>
      <c r="H3177">
        <v>1700</v>
      </c>
      <c r="I3177">
        <v>-35</v>
      </c>
      <c r="J3177">
        <v>118</v>
      </c>
      <c r="K3177">
        <v>512</v>
      </c>
      <c r="L3177">
        <v>1200</v>
      </c>
      <c r="M3177" t="str">
        <f t="shared" si="317"/>
        <v xml:space="preserve">N35DC   </v>
      </c>
      <c r="N3177">
        <v>1</v>
      </c>
      <c r="O3177">
        <v>1775</v>
      </c>
    </row>
    <row r="3178" spans="1:15" x14ac:dyDescent="0.25">
      <c r="A3178" t="str">
        <f>"10/21/2020 18:37:07.824"</f>
        <v>10/21/2020 18:37:07.824</v>
      </c>
      <c r="B3178" t="str">
        <f>"18:37:15.773"</f>
        <v>18:37:15.773</v>
      </c>
      <c r="C3178" t="str">
        <f>"18:37:15.673"</f>
        <v>18:37:15.673</v>
      </c>
      <c r="D3178" t="s">
        <v>1199</v>
      </c>
      <c r="E3178">
        <v>30.849695000000001</v>
      </c>
      <c r="F3178" t="s">
        <v>1200</v>
      </c>
      <c r="G3178">
        <v>-89.878227999999993</v>
      </c>
      <c r="H3178">
        <v>1700</v>
      </c>
      <c r="I3178">
        <v>-35</v>
      </c>
      <c r="J3178">
        <v>118</v>
      </c>
      <c r="K3178">
        <v>512</v>
      </c>
      <c r="L3178">
        <v>1200</v>
      </c>
      <c r="M3178" t="str">
        <f t="shared" si="317"/>
        <v xml:space="preserve">N35DC   </v>
      </c>
      <c r="N3178">
        <v>1</v>
      </c>
      <c r="O3178">
        <v>1775</v>
      </c>
    </row>
    <row r="3179" spans="1:15" x14ac:dyDescent="0.25">
      <c r="A3179" t="str">
        <f>"10/21/2020 18:37:08.807"</f>
        <v>10/21/2020 18:37:08.807</v>
      </c>
      <c r="B3179" t="str">
        <f>"18:37:16.742"</f>
        <v>18:37:16.742</v>
      </c>
      <c r="C3179" t="str">
        <f>"18:37:16.642"</f>
        <v>18:37:16.642</v>
      </c>
      <c r="D3179" t="s">
        <v>1201</v>
      </c>
      <c r="E3179">
        <v>30.850252999999999</v>
      </c>
      <c r="F3179" t="s">
        <v>1202</v>
      </c>
      <c r="G3179">
        <v>-89.878442000000007</v>
      </c>
      <c r="H3179">
        <v>1700</v>
      </c>
      <c r="I3179">
        <v>-33</v>
      </c>
      <c r="J3179">
        <v>120</v>
      </c>
      <c r="K3179">
        <v>192</v>
      </c>
      <c r="L3179">
        <v>1200</v>
      </c>
      <c r="M3179" t="str">
        <f t="shared" si="317"/>
        <v xml:space="preserve">N35DC   </v>
      </c>
      <c r="N3179">
        <v>1</v>
      </c>
      <c r="O3179">
        <v>1800</v>
      </c>
    </row>
    <row r="3180" spans="1:15" x14ac:dyDescent="0.25">
      <c r="A3180" t="str">
        <f>"10/21/2020 18:37:08.807"</f>
        <v>10/21/2020 18:37:08.807</v>
      </c>
      <c r="B3180" t="str">
        <f>"18:37:16.742"</f>
        <v>18:37:16.742</v>
      </c>
      <c r="C3180" t="str">
        <f>"18:37:16.642"</f>
        <v>18:37:16.642</v>
      </c>
      <c r="D3180" t="s">
        <v>1201</v>
      </c>
      <c r="E3180">
        <v>30.850252999999999</v>
      </c>
      <c r="F3180" t="s">
        <v>1202</v>
      </c>
      <c r="G3180">
        <v>-89.878442000000007</v>
      </c>
      <c r="H3180">
        <v>1700</v>
      </c>
      <c r="I3180">
        <v>-33</v>
      </c>
      <c r="J3180">
        <v>120</v>
      </c>
      <c r="K3180">
        <v>192</v>
      </c>
      <c r="L3180">
        <v>1200</v>
      </c>
      <c r="M3180" t="str">
        <f t="shared" si="317"/>
        <v xml:space="preserve">N35DC   </v>
      </c>
      <c r="N3180">
        <v>1</v>
      </c>
      <c r="O3180">
        <v>1800</v>
      </c>
    </row>
    <row r="3181" spans="1:15" x14ac:dyDescent="0.25">
      <c r="A3181" t="str">
        <f>"10/21/2020 18:37:08.807"</f>
        <v>10/21/2020 18:37:08.807</v>
      </c>
      <c r="B3181" t="str">
        <f>"18:37:16.742"</f>
        <v>18:37:16.742</v>
      </c>
      <c r="C3181" t="str">
        <f>"18:37:16.642"</f>
        <v>18:37:16.642</v>
      </c>
      <c r="D3181" t="s">
        <v>1201</v>
      </c>
      <c r="E3181">
        <v>30.850252999999999</v>
      </c>
      <c r="F3181" t="s">
        <v>1202</v>
      </c>
      <c r="G3181">
        <v>-89.878442000000007</v>
      </c>
      <c r="H3181">
        <v>1700</v>
      </c>
      <c r="I3181">
        <v>-33</v>
      </c>
      <c r="J3181">
        <v>120</v>
      </c>
      <c r="K3181">
        <v>192</v>
      </c>
      <c r="L3181">
        <v>1200</v>
      </c>
      <c r="M3181" t="str">
        <f t="shared" si="317"/>
        <v xml:space="preserve">N35DC   </v>
      </c>
      <c r="N3181">
        <v>1</v>
      </c>
      <c r="O3181">
        <v>1800</v>
      </c>
    </row>
    <row r="3182" spans="1:15" x14ac:dyDescent="0.25">
      <c r="A3182" t="str">
        <f>"10/21/2020 18:37:08.807"</f>
        <v>10/21/2020 18:37:08.807</v>
      </c>
      <c r="B3182" t="str">
        <f>"18:37:16.742"</f>
        <v>18:37:16.742</v>
      </c>
      <c r="C3182" t="str">
        <f>"18:37:16.642"</f>
        <v>18:37:16.642</v>
      </c>
      <c r="D3182" t="s">
        <v>1201</v>
      </c>
      <c r="E3182">
        <v>30.850252999999999</v>
      </c>
      <c r="F3182" t="s">
        <v>1202</v>
      </c>
      <c r="G3182">
        <v>-89.878442000000007</v>
      </c>
      <c r="H3182">
        <v>1700</v>
      </c>
      <c r="I3182">
        <v>-33</v>
      </c>
      <c r="J3182">
        <v>120</v>
      </c>
      <c r="K3182">
        <v>192</v>
      </c>
      <c r="L3182">
        <v>1200</v>
      </c>
      <c r="M3182" t="str">
        <f t="shared" si="317"/>
        <v xml:space="preserve">N35DC   </v>
      </c>
      <c r="N3182">
        <v>1</v>
      </c>
      <c r="O3182">
        <v>1800</v>
      </c>
    </row>
    <row r="3183" spans="1:15" x14ac:dyDescent="0.25">
      <c r="A3183" t="str">
        <f>"10/21/2020 18:37:08.807"</f>
        <v>10/21/2020 18:37:08.807</v>
      </c>
      <c r="B3183" t="str">
        <f>"18:37:16.742"</f>
        <v>18:37:16.742</v>
      </c>
      <c r="C3183" t="str">
        <f>"18:37:16.642"</f>
        <v>18:37:16.642</v>
      </c>
      <c r="D3183" t="s">
        <v>1201</v>
      </c>
      <c r="E3183">
        <v>30.850252999999999</v>
      </c>
      <c r="F3183" t="s">
        <v>1202</v>
      </c>
      <c r="G3183">
        <v>-89.878442000000007</v>
      </c>
      <c r="H3183">
        <v>1700</v>
      </c>
      <c r="I3183">
        <v>-33</v>
      </c>
      <c r="J3183">
        <v>120</v>
      </c>
      <c r="K3183">
        <v>192</v>
      </c>
      <c r="L3183">
        <v>1200</v>
      </c>
      <c r="M3183" t="str">
        <f t="shared" si="317"/>
        <v xml:space="preserve">N35DC   </v>
      </c>
      <c r="N3183">
        <v>1</v>
      </c>
      <c r="O3183">
        <v>1800</v>
      </c>
    </row>
    <row r="3184" spans="1:15" x14ac:dyDescent="0.25">
      <c r="A3184" t="str">
        <f>"10/21/2020 18:37:11.756"</f>
        <v>10/21/2020 18:37:11.756</v>
      </c>
      <c r="B3184" t="str">
        <f>"18:37:19.687"</f>
        <v>18:37:19.687</v>
      </c>
      <c r="C3184" t="str">
        <f>"18:37:19.288"</f>
        <v>18:37:19.288</v>
      </c>
      <c r="D3184" t="s">
        <v>1203</v>
      </c>
      <c r="E3184">
        <v>30.851948</v>
      </c>
      <c r="F3184" t="s">
        <v>1204</v>
      </c>
      <c r="G3184">
        <v>-89.878935999999996</v>
      </c>
      <c r="H3184">
        <v>1700</v>
      </c>
      <c r="I3184">
        <v>-30</v>
      </c>
      <c r="J3184">
        <v>126</v>
      </c>
      <c r="K3184">
        <v>-384</v>
      </c>
      <c r="L3184">
        <v>1200</v>
      </c>
      <c r="M3184" t="str">
        <f t="shared" si="317"/>
        <v xml:space="preserve">N35DC   </v>
      </c>
      <c r="N3184">
        <v>1</v>
      </c>
      <c r="O3184">
        <v>1775</v>
      </c>
    </row>
    <row r="3185" spans="1:15" x14ac:dyDescent="0.25">
      <c r="A3185" t="str">
        <f>"10/21/2020 18:37:11.756"</f>
        <v>10/21/2020 18:37:11.756</v>
      </c>
      <c r="B3185" t="str">
        <f>"18:37:19.687"</f>
        <v>18:37:19.687</v>
      </c>
      <c r="C3185" t="str">
        <f>"18:37:19.288"</f>
        <v>18:37:19.288</v>
      </c>
      <c r="D3185" t="s">
        <v>1203</v>
      </c>
      <c r="E3185">
        <v>30.851948</v>
      </c>
      <c r="F3185" t="s">
        <v>1204</v>
      </c>
      <c r="G3185">
        <v>-89.878935999999996</v>
      </c>
      <c r="H3185">
        <v>1700</v>
      </c>
      <c r="I3185">
        <v>-30</v>
      </c>
      <c r="J3185">
        <v>126</v>
      </c>
      <c r="K3185">
        <v>-384</v>
      </c>
      <c r="L3185">
        <v>1200</v>
      </c>
      <c r="M3185" t="str">
        <f t="shared" si="317"/>
        <v xml:space="preserve">N35DC   </v>
      </c>
      <c r="N3185">
        <v>1</v>
      </c>
      <c r="O3185">
        <v>1775</v>
      </c>
    </row>
    <row r="3186" spans="1:15" x14ac:dyDescent="0.25">
      <c r="A3186" t="str">
        <f>"10/21/2020 18:37:11.756"</f>
        <v>10/21/2020 18:37:11.756</v>
      </c>
      <c r="B3186" t="str">
        <f>"18:37:19.687"</f>
        <v>18:37:19.687</v>
      </c>
      <c r="C3186" t="str">
        <f>"18:37:19.288"</f>
        <v>18:37:19.288</v>
      </c>
      <c r="D3186" t="s">
        <v>1203</v>
      </c>
      <c r="E3186">
        <v>30.851948</v>
      </c>
      <c r="F3186" t="s">
        <v>1204</v>
      </c>
      <c r="G3186">
        <v>-89.878935999999996</v>
      </c>
      <c r="H3186">
        <v>1700</v>
      </c>
      <c r="I3186">
        <v>-30</v>
      </c>
      <c r="J3186">
        <v>126</v>
      </c>
      <c r="K3186">
        <v>-384</v>
      </c>
      <c r="L3186">
        <v>1200</v>
      </c>
      <c r="M3186" t="str">
        <f t="shared" si="317"/>
        <v xml:space="preserve">N35DC   </v>
      </c>
      <c r="N3186">
        <v>1</v>
      </c>
      <c r="O3186">
        <v>1775</v>
      </c>
    </row>
    <row r="3187" spans="1:15" x14ac:dyDescent="0.25">
      <c r="A3187" t="str">
        <f>"10/21/2020 18:37:11.756"</f>
        <v>10/21/2020 18:37:11.756</v>
      </c>
      <c r="B3187" t="str">
        <f>"18:37:19.687"</f>
        <v>18:37:19.687</v>
      </c>
      <c r="C3187" t="str">
        <f>"18:37:19.288"</f>
        <v>18:37:19.288</v>
      </c>
      <c r="D3187" t="s">
        <v>1203</v>
      </c>
      <c r="E3187">
        <v>30.851948</v>
      </c>
      <c r="F3187" t="s">
        <v>1204</v>
      </c>
      <c r="G3187">
        <v>-89.878935999999996</v>
      </c>
      <c r="H3187">
        <v>1700</v>
      </c>
      <c r="I3187">
        <v>-30</v>
      </c>
      <c r="J3187">
        <v>126</v>
      </c>
      <c r="K3187">
        <v>-384</v>
      </c>
      <c r="L3187">
        <v>1200</v>
      </c>
      <c r="M3187" t="str">
        <f t="shared" si="317"/>
        <v xml:space="preserve">N35DC   </v>
      </c>
      <c r="N3187">
        <v>1</v>
      </c>
      <c r="O3187">
        <v>1775</v>
      </c>
    </row>
    <row r="3188" spans="1:15" x14ac:dyDescent="0.25">
      <c r="A3188" t="str">
        <f>"10/21/2020 18:37:11.756"</f>
        <v>10/21/2020 18:37:11.756</v>
      </c>
      <c r="B3188" t="str">
        <f>"18:37:19.687"</f>
        <v>18:37:19.687</v>
      </c>
      <c r="C3188" t="str">
        <f>"18:37:19.288"</f>
        <v>18:37:19.288</v>
      </c>
      <c r="D3188" t="s">
        <v>1203</v>
      </c>
      <c r="E3188">
        <v>30.851948</v>
      </c>
      <c r="F3188" t="s">
        <v>1204</v>
      </c>
      <c r="G3188">
        <v>-89.878935999999996</v>
      </c>
      <c r="H3188">
        <v>1700</v>
      </c>
      <c r="I3188">
        <v>-30</v>
      </c>
      <c r="J3188">
        <v>126</v>
      </c>
      <c r="K3188">
        <v>-384</v>
      </c>
      <c r="L3188">
        <v>1200</v>
      </c>
      <c r="M3188" t="str">
        <f t="shared" si="317"/>
        <v xml:space="preserve">N35DC   </v>
      </c>
      <c r="N3188">
        <v>1</v>
      </c>
      <c r="O3188">
        <v>1775</v>
      </c>
    </row>
    <row r="3189" spans="1:15" x14ac:dyDescent="0.25">
      <c r="A3189" t="str">
        <f t="shared" ref="A3189:A3194" si="326">"10/21/2020 18:37:12.756"</f>
        <v>10/21/2020 18:37:12.756</v>
      </c>
      <c r="B3189" t="str">
        <f t="shared" ref="B3189:C3194" si="327">"18:37:20.703"</f>
        <v>18:37:20.703</v>
      </c>
      <c r="C3189" t="str">
        <f t="shared" si="327"/>
        <v>18:37:20.703</v>
      </c>
      <c r="D3189" t="s">
        <v>1205</v>
      </c>
      <c r="E3189">
        <v>30.852592000000001</v>
      </c>
      <c r="F3189" t="s">
        <v>775</v>
      </c>
      <c r="G3189">
        <v>-89.879086000000001</v>
      </c>
      <c r="H3189">
        <v>1700</v>
      </c>
      <c r="I3189">
        <v>-28</v>
      </c>
      <c r="J3189">
        <v>130</v>
      </c>
      <c r="K3189">
        <v>-640</v>
      </c>
      <c r="L3189">
        <v>1200</v>
      </c>
      <c r="M3189" t="str">
        <f t="shared" si="317"/>
        <v xml:space="preserve">N35DC   </v>
      </c>
      <c r="N3189">
        <v>1</v>
      </c>
      <c r="O3189">
        <v>1775</v>
      </c>
    </row>
    <row r="3190" spans="1:15" x14ac:dyDescent="0.25">
      <c r="A3190" t="str">
        <f t="shared" si="326"/>
        <v>10/21/2020 18:37:12.756</v>
      </c>
      <c r="B3190" t="str">
        <f t="shared" si="327"/>
        <v>18:37:20.703</v>
      </c>
      <c r="C3190" t="str">
        <f t="shared" si="327"/>
        <v>18:37:20.703</v>
      </c>
      <c r="D3190" t="s">
        <v>1205</v>
      </c>
      <c r="E3190">
        <v>30.852592000000001</v>
      </c>
      <c r="F3190" t="s">
        <v>775</v>
      </c>
      <c r="G3190">
        <v>-89.879086000000001</v>
      </c>
      <c r="H3190">
        <v>1700</v>
      </c>
      <c r="I3190">
        <v>-28</v>
      </c>
      <c r="J3190">
        <v>130</v>
      </c>
      <c r="K3190">
        <v>-640</v>
      </c>
      <c r="L3190">
        <v>1200</v>
      </c>
      <c r="M3190" t="str">
        <f t="shared" si="317"/>
        <v xml:space="preserve">N35DC   </v>
      </c>
      <c r="N3190">
        <v>1</v>
      </c>
      <c r="O3190">
        <v>1775</v>
      </c>
    </row>
    <row r="3191" spans="1:15" x14ac:dyDescent="0.25">
      <c r="A3191" t="str">
        <f t="shared" si="326"/>
        <v>10/21/2020 18:37:12.756</v>
      </c>
      <c r="B3191" t="str">
        <f t="shared" si="327"/>
        <v>18:37:20.703</v>
      </c>
      <c r="C3191" t="str">
        <f t="shared" si="327"/>
        <v>18:37:20.703</v>
      </c>
      <c r="D3191" t="s">
        <v>1205</v>
      </c>
      <c r="E3191">
        <v>30.852592000000001</v>
      </c>
      <c r="F3191" t="s">
        <v>775</v>
      </c>
      <c r="G3191">
        <v>-89.879086000000001</v>
      </c>
      <c r="H3191">
        <v>1700</v>
      </c>
      <c r="I3191">
        <v>-28</v>
      </c>
      <c r="J3191">
        <v>130</v>
      </c>
      <c r="K3191">
        <v>-640</v>
      </c>
      <c r="L3191">
        <v>1200</v>
      </c>
      <c r="M3191" t="str">
        <f t="shared" si="317"/>
        <v xml:space="preserve">N35DC   </v>
      </c>
      <c r="N3191">
        <v>1</v>
      </c>
      <c r="O3191">
        <v>1775</v>
      </c>
    </row>
    <row r="3192" spans="1:15" x14ac:dyDescent="0.25">
      <c r="A3192" t="str">
        <f t="shared" si="326"/>
        <v>10/21/2020 18:37:12.756</v>
      </c>
      <c r="B3192" t="str">
        <f t="shared" si="327"/>
        <v>18:37:20.703</v>
      </c>
      <c r="C3192" t="str">
        <f t="shared" si="327"/>
        <v>18:37:20.703</v>
      </c>
      <c r="D3192" t="s">
        <v>1205</v>
      </c>
      <c r="E3192">
        <v>30.852592000000001</v>
      </c>
      <c r="F3192" t="s">
        <v>775</v>
      </c>
      <c r="G3192">
        <v>-89.879086000000001</v>
      </c>
      <c r="H3192">
        <v>1700</v>
      </c>
      <c r="I3192">
        <v>-28</v>
      </c>
      <c r="J3192">
        <v>130</v>
      </c>
      <c r="K3192">
        <v>-640</v>
      </c>
      <c r="L3192">
        <v>1200</v>
      </c>
      <c r="M3192" t="str">
        <f t="shared" si="317"/>
        <v xml:space="preserve">N35DC   </v>
      </c>
      <c r="N3192">
        <v>1</v>
      </c>
      <c r="O3192">
        <v>1775</v>
      </c>
    </row>
    <row r="3193" spans="1:15" x14ac:dyDescent="0.25">
      <c r="A3193" t="str">
        <f t="shared" si="326"/>
        <v>10/21/2020 18:37:12.756</v>
      </c>
      <c r="B3193" t="str">
        <f t="shared" si="327"/>
        <v>18:37:20.703</v>
      </c>
      <c r="C3193" t="str">
        <f t="shared" si="327"/>
        <v>18:37:20.703</v>
      </c>
      <c r="D3193" t="s">
        <v>1205</v>
      </c>
      <c r="E3193">
        <v>30.852592000000001</v>
      </c>
      <c r="F3193" t="s">
        <v>775</v>
      </c>
      <c r="G3193">
        <v>-89.879086000000001</v>
      </c>
      <c r="H3193">
        <v>1700</v>
      </c>
      <c r="I3193">
        <v>-28</v>
      </c>
      <c r="J3193">
        <v>130</v>
      </c>
      <c r="K3193">
        <v>-640</v>
      </c>
      <c r="L3193">
        <v>1200</v>
      </c>
      <c r="M3193" t="str">
        <f t="shared" si="317"/>
        <v xml:space="preserve">N35DC   </v>
      </c>
      <c r="N3193">
        <v>1</v>
      </c>
      <c r="O3193">
        <v>1775</v>
      </c>
    </row>
    <row r="3194" spans="1:15" x14ac:dyDescent="0.25">
      <c r="A3194" t="str">
        <f t="shared" si="326"/>
        <v>10/21/2020 18:37:12.756</v>
      </c>
      <c r="B3194" t="str">
        <f t="shared" si="327"/>
        <v>18:37:20.703</v>
      </c>
      <c r="C3194" t="str">
        <f t="shared" si="327"/>
        <v>18:37:20.703</v>
      </c>
      <c r="D3194" t="s">
        <v>1205</v>
      </c>
      <c r="E3194">
        <v>30.852592000000001</v>
      </c>
      <c r="F3194" t="s">
        <v>775</v>
      </c>
      <c r="G3194">
        <v>-89.879086000000001</v>
      </c>
      <c r="H3194">
        <v>1700</v>
      </c>
      <c r="I3194">
        <v>-28</v>
      </c>
      <c r="J3194">
        <v>130</v>
      </c>
      <c r="K3194">
        <v>-640</v>
      </c>
      <c r="L3194">
        <v>1200</v>
      </c>
      <c r="M3194" t="str">
        <f t="shared" si="317"/>
        <v xml:space="preserve">N35DC   </v>
      </c>
      <c r="N3194">
        <v>1</v>
      </c>
      <c r="O3194">
        <v>1775</v>
      </c>
    </row>
    <row r="3195" spans="1:15" x14ac:dyDescent="0.25">
      <c r="A3195" t="str">
        <f>"10/21/2020 18:37:15.748"</f>
        <v>10/21/2020 18:37:15.748</v>
      </c>
      <c r="B3195" t="str">
        <f t="shared" ref="B3195:C3199" si="328">"18:37:23.687"</f>
        <v>18:37:23.687</v>
      </c>
      <c r="C3195" t="str">
        <f t="shared" si="328"/>
        <v>18:37:23.687</v>
      </c>
      <c r="D3195" t="s">
        <v>1206</v>
      </c>
      <c r="E3195">
        <v>30.854416000000001</v>
      </c>
      <c r="F3195" t="s">
        <v>709</v>
      </c>
      <c r="G3195">
        <v>-89.879536999999999</v>
      </c>
      <c r="H3195">
        <v>1600</v>
      </c>
      <c r="I3195">
        <v>-25</v>
      </c>
      <c r="J3195">
        <v>137</v>
      </c>
      <c r="K3195">
        <v>-576</v>
      </c>
      <c r="L3195">
        <v>1200</v>
      </c>
      <c r="M3195" t="str">
        <f t="shared" si="317"/>
        <v xml:space="preserve">N35DC   </v>
      </c>
      <c r="N3195">
        <v>1</v>
      </c>
      <c r="O3195">
        <v>1850</v>
      </c>
    </row>
    <row r="3196" spans="1:15" x14ac:dyDescent="0.25">
      <c r="A3196" t="str">
        <f>"10/21/2020 18:37:15.748"</f>
        <v>10/21/2020 18:37:15.748</v>
      </c>
      <c r="B3196" t="str">
        <f t="shared" si="328"/>
        <v>18:37:23.687</v>
      </c>
      <c r="C3196" t="str">
        <f t="shared" si="328"/>
        <v>18:37:23.687</v>
      </c>
      <c r="D3196" t="s">
        <v>1206</v>
      </c>
      <c r="E3196">
        <v>30.854416000000001</v>
      </c>
      <c r="F3196" t="s">
        <v>709</v>
      </c>
      <c r="G3196">
        <v>-89.879536999999999</v>
      </c>
      <c r="H3196">
        <v>1600</v>
      </c>
      <c r="I3196">
        <v>-25</v>
      </c>
      <c r="J3196">
        <v>137</v>
      </c>
      <c r="K3196">
        <v>-576</v>
      </c>
      <c r="L3196">
        <v>1200</v>
      </c>
      <c r="M3196" t="str">
        <f t="shared" si="317"/>
        <v xml:space="preserve">N35DC   </v>
      </c>
      <c r="N3196">
        <v>1</v>
      </c>
      <c r="O3196">
        <v>1850</v>
      </c>
    </row>
    <row r="3197" spans="1:15" x14ac:dyDescent="0.25">
      <c r="A3197" t="str">
        <f>"10/21/2020 18:37:15.748"</f>
        <v>10/21/2020 18:37:15.748</v>
      </c>
      <c r="B3197" t="str">
        <f t="shared" si="328"/>
        <v>18:37:23.687</v>
      </c>
      <c r="C3197" t="str">
        <f t="shared" si="328"/>
        <v>18:37:23.687</v>
      </c>
      <c r="D3197" t="s">
        <v>1206</v>
      </c>
      <c r="E3197">
        <v>30.854416000000001</v>
      </c>
      <c r="F3197" t="s">
        <v>709</v>
      </c>
      <c r="G3197">
        <v>-89.879536999999999</v>
      </c>
      <c r="H3197">
        <v>1600</v>
      </c>
      <c r="I3197">
        <v>-25</v>
      </c>
      <c r="J3197">
        <v>137</v>
      </c>
      <c r="K3197">
        <v>-576</v>
      </c>
      <c r="L3197">
        <v>1200</v>
      </c>
      <c r="M3197" t="str">
        <f t="shared" si="317"/>
        <v xml:space="preserve">N35DC   </v>
      </c>
      <c r="N3197">
        <v>1</v>
      </c>
      <c r="O3197">
        <v>1850</v>
      </c>
    </row>
    <row r="3198" spans="1:15" x14ac:dyDescent="0.25">
      <c r="A3198" t="str">
        <f>"10/21/2020 18:37:15.748"</f>
        <v>10/21/2020 18:37:15.748</v>
      </c>
      <c r="B3198" t="str">
        <f t="shared" si="328"/>
        <v>18:37:23.687</v>
      </c>
      <c r="C3198" t="str">
        <f t="shared" si="328"/>
        <v>18:37:23.687</v>
      </c>
      <c r="D3198" t="s">
        <v>1206</v>
      </c>
      <c r="E3198">
        <v>30.854416000000001</v>
      </c>
      <c r="F3198" t="s">
        <v>709</v>
      </c>
      <c r="G3198">
        <v>-89.879536999999999</v>
      </c>
      <c r="H3198">
        <v>1600</v>
      </c>
      <c r="I3198">
        <v>-25</v>
      </c>
      <c r="J3198">
        <v>137</v>
      </c>
      <c r="K3198">
        <v>-576</v>
      </c>
      <c r="L3198">
        <v>1200</v>
      </c>
      <c r="M3198" t="str">
        <f t="shared" si="317"/>
        <v xml:space="preserve">N35DC   </v>
      </c>
      <c r="N3198">
        <v>1</v>
      </c>
      <c r="O3198">
        <v>1850</v>
      </c>
    </row>
    <row r="3199" spans="1:15" x14ac:dyDescent="0.25">
      <c r="A3199" t="str">
        <f>"10/21/2020 18:37:15.748"</f>
        <v>10/21/2020 18:37:15.748</v>
      </c>
      <c r="B3199" t="str">
        <f t="shared" si="328"/>
        <v>18:37:23.687</v>
      </c>
      <c r="C3199" t="str">
        <f t="shared" si="328"/>
        <v>18:37:23.687</v>
      </c>
      <c r="D3199" t="s">
        <v>1206</v>
      </c>
      <c r="E3199">
        <v>30.854416000000001</v>
      </c>
      <c r="F3199" t="s">
        <v>709</v>
      </c>
      <c r="G3199">
        <v>-89.879536999999999</v>
      </c>
      <c r="H3199">
        <v>1600</v>
      </c>
      <c r="I3199">
        <v>-25</v>
      </c>
      <c r="J3199">
        <v>137</v>
      </c>
      <c r="K3199">
        <v>-576</v>
      </c>
      <c r="L3199">
        <v>1200</v>
      </c>
      <c r="M3199" t="str">
        <f t="shared" si="317"/>
        <v xml:space="preserve">N35DC   </v>
      </c>
      <c r="N3199">
        <v>1</v>
      </c>
      <c r="O3199">
        <v>1850</v>
      </c>
    </row>
    <row r="3200" spans="1:15" x14ac:dyDescent="0.25">
      <c r="A3200" t="str">
        <f>"10/21/2020 18:37:16.345"</f>
        <v>10/21/2020 18:37:16.345</v>
      </c>
      <c r="B3200" t="str">
        <f>"18:37:24.273"</f>
        <v>18:37:24.273</v>
      </c>
      <c r="C3200" t="str">
        <f>"18:37:24.273"</f>
        <v>18:37:24.273</v>
      </c>
      <c r="D3200" t="s">
        <v>1207</v>
      </c>
      <c r="E3200">
        <v>30.854824000000001</v>
      </c>
      <c r="F3200" t="s">
        <v>1208</v>
      </c>
      <c r="G3200">
        <v>-89.879580000000004</v>
      </c>
      <c r="H3200">
        <v>1600</v>
      </c>
      <c r="I3200">
        <v>-26</v>
      </c>
      <c r="J3200">
        <v>138</v>
      </c>
      <c r="K3200">
        <v>-384</v>
      </c>
      <c r="L3200">
        <v>1200</v>
      </c>
      <c r="M3200" t="str">
        <f t="shared" si="317"/>
        <v xml:space="preserve">N35DC   </v>
      </c>
      <c r="N3200">
        <v>1</v>
      </c>
      <c r="O3200">
        <v>1725</v>
      </c>
    </row>
    <row r="3201" spans="1:15" x14ac:dyDescent="0.25">
      <c r="A3201" t="str">
        <f>"10/21/2020 18:37:16.798"</f>
        <v>10/21/2020 18:37:16.798</v>
      </c>
      <c r="B3201" t="str">
        <f>"18:37:24.742"</f>
        <v>18:37:24.742</v>
      </c>
      <c r="C3201" t="str">
        <f>"18:37:24.342"</f>
        <v>18:37:24.342</v>
      </c>
      <c r="D3201" t="s">
        <v>1209</v>
      </c>
      <c r="E3201">
        <v>30.855103</v>
      </c>
      <c r="F3201" t="s">
        <v>1210</v>
      </c>
      <c r="G3201">
        <v>-89.879643999999999</v>
      </c>
      <c r="H3201">
        <v>1600</v>
      </c>
      <c r="I3201">
        <v>-26</v>
      </c>
      <c r="J3201">
        <v>138</v>
      </c>
      <c r="K3201">
        <v>-384</v>
      </c>
      <c r="L3201">
        <v>1200</v>
      </c>
      <c r="M3201" t="str">
        <f t="shared" si="317"/>
        <v xml:space="preserve">N35DC   </v>
      </c>
      <c r="N3201">
        <v>1</v>
      </c>
      <c r="O3201">
        <v>1725</v>
      </c>
    </row>
    <row r="3202" spans="1:15" x14ac:dyDescent="0.25">
      <c r="A3202" t="str">
        <f>"10/21/2020 18:37:16.798"</f>
        <v>10/21/2020 18:37:16.798</v>
      </c>
      <c r="B3202" t="str">
        <f>"18:37:24.742"</f>
        <v>18:37:24.742</v>
      </c>
      <c r="C3202" t="str">
        <f>"18:37:24.342"</f>
        <v>18:37:24.342</v>
      </c>
      <c r="D3202" t="s">
        <v>1209</v>
      </c>
      <c r="E3202">
        <v>30.855103</v>
      </c>
      <c r="F3202" t="s">
        <v>1210</v>
      </c>
      <c r="G3202">
        <v>-89.879643999999999</v>
      </c>
      <c r="H3202">
        <v>1600</v>
      </c>
      <c r="I3202">
        <v>-26</v>
      </c>
      <c r="J3202">
        <v>138</v>
      </c>
      <c r="K3202">
        <v>-384</v>
      </c>
      <c r="L3202">
        <v>1200</v>
      </c>
      <c r="M3202" t="str">
        <f t="shared" si="317"/>
        <v xml:space="preserve">N35DC   </v>
      </c>
      <c r="N3202">
        <v>1</v>
      </c>
      <c r="O3202">
        <v>1725</v>
      </c>
    </row>
    <row r="3203" spans="1:15" x14ac:dyDescent="0.25">
      <c r="A3203" t="str">
        <f>"10/21/2020 18:37:16.798"</f>
        <v>10/21/2020 18:37:16.798</v>
      </c>
      <c r="B3203" t="str">
        <f>"18:37:24.742"</f>
        <v>18:37:24.742</v>
      </c>
      <c r="C3203" t="str">
        <f>"18:37:24.342"</f>
        <v>18:37:24.342</v>
      </c>
      <c r="D3203" t="s">
        <v>1209</v>
      </c>
      <c r="E3203">
        <v>30.855103</v>
      </c>
      <c r="F3203" t="s">
        <v>1210</v>
      </c>
      <c r="G3203">
        <v>-89.879643999999999</v>
      </c>
      <c r="H3203">
        <v>1600</v>
      </c>
      <c r="I3203">
        <v>-26</v>
      </c>
      <c r="J3203">
        <v>138</v>
      </c>
      <c r="K3203">
        <v>-384</v>
      </c>
      <c r="L3203">
        <v>1200</v>
      </c>
      <c r="M3203" t="str">
        <f t="shared" si="317"/>
        <v xml:space="preserve">N35DC   </v>
      </c>
      <c r="N3203">
        <v>1</v>
      </c>
      <c r="O3203">
        <v>1725</v>
      </c>
    </row>
    <row r="3204" spans="1:15" x14ac:dyDescent="0.25">
      <c r="A3204" t="str">
        <f>"10/21/2020 18:37:16.798"</f>
        <v>10/21/2020 18:37:16.798</v>
      </c>
      <c r="B3204" t="str">
        <f>"18:37:24.742"</f>
        <v>18:37:24.742</v>
      </c>
      <c r="C3204" t="str">
        <f>"18:37:24.342"</f>
        <v>18:37:24.342</v>
      </c>
      <c r="D3204" t="s">
        <v>1209</v>
      </c>
      <c r="E3204">
        <v>30.855103</v>
      </c>
      <c r="F3204" t="s">
        <v>1210</v>
      </c>
      <c r="G3204">
        <v>-89.879643999999999</v>
      </c>
      <c r="H3204">
        <v>1600</v>
      </c>
      <c r="I3204">
        <v>-26</v>
      </c>
      <c r="J3204">
        <v>138</v>
      </c>
      <c r="K3204">
        <v>-384</v>
      </c>
      <c r="L3204">
        <v>1200</v>
      </c>
      <c r="M3204" t="str">
        <f t="shared" si="317"/>
        <v xml:space="preserve">N35DC   </v>
      </c>
      <c r="N3204">
        <v>1</v>
      </c>
      <c r="O3204">
        <v>1725</v>
      </c>
    </row>
    <row r="3205" spans="1:15" x14ac:dyDescent="0.25">
      <c r="A3205" t="str">
        <f>"10/21/2020 18:37:16.798"</f>
        <v>10/21/2020 18:37:16.798</v>
      </c>
      <c r="B3205" t="str">
        <f>"18:37:24.742"</f>
        <v>18:37:24.742</v>
      </c>
      <c r="C3205" t="str">
        <f>"18:37:24.342"</f>
        <v>18:37:24.342</v>
      </c>
      <c r="D3205" t="s">
        <v>1209</v>
      </c>
      <c r="E3205">
        <v>30.855103</v>
      </c>
      <c r="F3205" t="s">
        <v>1210</v>
      </c>
      <c r="G3205">
        <v>-89.879643999999999</v>
      </c>
      <c r="H3205">
        <v>1600</v>
      </c>
      <c r="I3205">
        <v>-26</v>
      </c>
      <c r="J3205">
        <v>138</v>
      </c>
      <c r="K3205">
        <v>-384</v>
      </c>
      <c r="L3205">
        <v>1200</v>
      </c>
      <c r="M3205" t="str">
        <f t="shared" si="317"/>
        <v xml:space="preserve">N35DC   </v>
      </c>
      <c r="N3205">
        <v>1</v>
      </c>
      <c r="O3205">
        <v>1725</v>
      </c>
    </row>
    <row r="3206" spans="1:15" x14ac:dyDescent="0.25">
      <c r="A3206" t="str">
        <f t="shared" ref="A3206:A3211" si="329">"10/21/2020 18:37:19.775"</f>
        <v>10/21/2020 18:37:19.775</v>
      </c>
      <c r="B3206" t="str">
        <f t="shared" ref="B3206:B3211" si="330">"18:37:27.711"</f>
        <v>18:37:27.711</v>
      </c>
      <c r="C3206" t="str">
        <f>"18:37:27.211"</f>
        <v>18:37:27.211</v>
      </c>
      <c r="D3206" t="s">
        <v>1211</v>
      </c>
      <c r="E3206">
        <v>30.857077</v>
      </c>
      <c r="F3206" t="s">
        <v>1212</v>
      </c>
      <c r="G3206">
        <v>-89.880072999999996</v>
      </c>
      <c r="H3206">
        <v>1600</v>
      </c>
      <c r="I3206">
        <v>-24</v>
      </c>
      <c r="J3206">
        <v>143</v>
      </c>
      <c r="K3206">
        <v>-192</v>
      </c>
      <c r="L3206">
        <v>1200</v>
      </c>
      <c r="M3206" t="str">
        <f t="shared" si="317"/>
        <v xml:space="preserve">N35DC   </v>
      </c>
      <c r="N3206">
        <v>1</v>
      </c>
      <c r="O3206">
        <v>1725</v>
      </c>
    </row>
    <row r="3207" spans="1:15" x14ac:dyDescent="0.25">
      <c r="A3207" t="str">
        <f t="shared" si="329"/>
        <v>10/21/2020 18:37:19.775</v>
      </c>
      <c r="B3207" t="str">
        <f t="shared" si="330"/>
        <v>18:37:27.711</v>
      </c>
      <c r="C3207" t="str">
        <f>"18:37:27.211"</f>
        <v>18:37:27.211</v>
      </c>
      <c r="D3207" t="s">
        <v>1211</v>
      </c>
      <c r="E3207">
        <v>30.857077</v>
      </c>
      <c r="F3207" t="s">
        <v>1212</v>
      </c>
      <c r="G3207">
        <v>-89.880072999999996</v>
      </c>
      <c r="H3207">
        <v>1600</v>
      </c>
      <c r="I3207">
        <v>-24</v>
      </c>
      <c r="J3207">
        <v>143</v>
      </c>
      <c r="K3207">
        <v>-192</v>
      </c>
      <c r="L3207">
        <v>1200</v>
      </c>
      <c r="M3207" t="str">
        <f t="shared" ref="M3207:M3270" si="331">"N35DC   "</f>
        <v xml:space="preserve">N35DC   </v>
      </c>
      <c r="N3207">
        <v>1</v>
      </c>
      <c r="O3207">
        <v>1725</v>
      </c>
    </row>
    <row r="3208" spans="1:15" x14ac:dyDescent="0.25">
      <c r="A3208" t="str">
        <f t="shared" si="329"/>
        <v>10/21/2020 18:37:19.775</v>
      </c>
      <c r="B3208" t="str">
        <f t="shared" si="330"/>
        <v>18:37:27.711</v>
      </c>
      <c r="C3208" t="str">
        <f>"18:37:27.211"</f>
        <v>18:37:27.211</v>
      </c>
      <c r="D3208" t="s">
        <v>1211</v>
      </c>
      <c r="E3208">
        <v>30.857077</v>
      </c>
      <c r="F3208" t="s">
        <v>1212</v>
      </c>
      <c r="G3208">
        <v>-89.880072999999996</v>
      </c>
      <c r="H3208">
        <v>1600</v>
      </c>
      <c r="I3208">
        <v>-24</v>
      </c>
      <c r="J3208">
        <v>143</v>
      </c>
      <c r="K3208">
        <v>-192</v>
      </c>
      <c r="L3208">
        <v>1200</v>
      </c>
      <c r="M3208" t="str">
        <f t="shared" si="331"/>
        <v xml:space="preserve">N35DC   </v>
      </c>
      <c r="N3208">
        <v>1</v>
      </c>
      <c r="O3208">
        <v>1725</v>
      </c>
    </row>
    <row r="3209" spans="1:15" x14ac:dyDescent="0.25">
      <c r="A3209" t="str">
        <f t="shared" si="329"/>
        <v>10/21/2020 18:37:19.775</v>
      </c>
      <c r="B3209" t="str">
        <f t="shared" si="330"/>
        <v>18:37:27.711</v>
      </c>
      <c r="C3209" t="str">
        <f>"18:37:27.211"</f>
        <v>18:37:27.211</v>
      </c>
      <c r="D3209" t="s">
        <v>1211</v>
      </c>
      <c r="E3209">
        <v>30.857077</v>
      </c>
      <c r="F3209" t="s">
        <v>1212</v>
      </c>
      <c r="G3209">
        <v>-89.880072999999996</v>
      </c>
      <c r="H3209">
        <v>1600</v>
      </c>
      <c r="I3209">
        <v>-24</v>
      </c>
      <c r="J3209">
        <v>143</v>
      </c>
      <c r="K3209">
        <v>-192</v>
      </c>
      <c r="L3209">
        <v>1200</v>
      </c>
      <c r="M3209" t="str">
        <f t="shared" si="331"/>
        <v xml:space="preserve">N35DC   </v>
      </c>
      <c r="N3209">
        <v>1</v>
      </c>
      <c r="O3209">
        <v>1725</v>
      </c>
    </row>
    <row r="3210" spans="1:15" x14ac:dyDescent="0.25">
      <c r="A3210" t="str">
        <f t="shared" si="329"/>
        <v>10/21/2020 18:37:19.775</v>
      </c>
      <c r="B3210" t="str">
        <f t="shared" si="330"/>
        <v>18:37:27.711</v>
      </c>
      <c r="C3210" t="str">
        <f>"18:37:27.211"</f>
        <v>18:37:27.211</v>
      </c>
      <c r="D3210" t="s">
        <v>1211</v>
      </c>
      <c r="E3210">
        <v>30.857077</v>
      </c>
      <c r="F3210" t="s">
        <v>1212</v>
      </c>
      <c r="G3210">
        <v>-89.880072999999996</v>
      </c>
      <c r="H3210">
        <v>1600</v>
      </c>
      <c r="I3210">
        <v>-24</v>
      </c>
      <c r="J3210">
        <v>143</v>
      </c>
      <c r="K3210">
        <v>-192</v>
      </c>
      <c r="L3210">
        <v>1200</v>
      </c>
      <c r="M3210" t="str">
        <f t="shared" si="331"/>
        <v xml:space="preserve">N35DC   </v>
      </c>
      <c r="N3210">
        <v>1</v>
      </c>
      <c r="O3210">
        <v>1725</v>
      </c>
    </row>
    <row r="3211" spans="1:15" x14ac:dyDescent="0.25">
      <c r="A3211" t="str">
        <f t="shared" si="329"/>
        <v>10/21/2020 18:37:19.775</v>
      </c>
      <c r="B3211" t="str">
        <f t="shared" si="330"/>
        <v>18:37:27.711</v>
      </c>
      <c r="C3211" t="str">
        <f>"18:37:26.811"</f>
        <v>18:37:26.811</v>
      </c>
      <c r="D3211" t="s">
        <v>1211</v>
      </c>
      <c r="E3211">
        <v>30.857077</v>
      </c>
      <c r="F3211" t="s">
        <v>1212</v>
      </c>
      <c r="G3211">
        <v>-89.880072999999996</v>
      </c>
      <c r="H3211">
        <v>1600</v>
      </c>
      <c r="I3211">
        <v>-25</v>
      </c>
      <c r="J3211">
        <v>142</v>
      </c>
      <c r="K3211">
        <v>-320</v>
      </c>
      <c r="L3211">
        <v>1200</v>
      </c>
      <c r="M3211" t="str">
        <f t="shared" si="331"/>
        <v xml:space="preserve">N35DC   </v>
      </c>
      <c r="N3211">
        <v>1</v>
      </c>
      <c r="O3211">
        <v>1725</v>
      </c>
    </row>
    <row r="3212" spans="1:15" x14ac:dyDescent="0.25">
      <c r="A3212" t="str">
        <f t="shared" ref="A3212:A3217" si="332">"10/21/2020 18:37:20.752"</f>
        <v>10/21/2020 18:37:20.752</v>
      </c>
      <c r="B3212" t="str">
        <f t="shared" ref="B3212:B3217" si="333">"18:37:28.711"</f>
        <v>18:37:28.711</v>
      </c>
      <c r="C3212" t="str">
        <f t="shared" ref="C3212:C3217" si="334">"18:37:28.411"</f>
        <v>18:37:28.411</v>
      </c>
      <c r="D3212" t="s">
        <v>1213</v>
      </c>
      <c r="E3212">
        <v>30.857762999999998</v>
      </c>
      <c r="F3212" t="s">
        <v>767</v>
      </c>
      <c r="G3212">
        <v>-89.880201999999997</v>
      </c>
      <c r="H3212">
        <v>1600</v>
      </c>
      <c r="I3212">
        <v>-24</v>
      </c>
      <c r="J3212">
        <v>144</v>
      </c>
      <c r="K3212">
        <v>0</v>
      </c>
      <c r="L3212">
        <v>1200</v>
      </c>
      <c r="M3212" t="str">
        <f t="shared" si="331"/>
        <v xml:space="preserve">N35DC   </v>
      </c>
      <c r="N3212">
        <v>1</v>
      </c>
      <c r="O3212">
        <v>1700</v>
      </c>
    </row>
    <row r="3213" spans="1:15" x14ac:dyDescent="0.25">
      <c r="A3213" t="str">
        <f t="shared" si="332"/>
        <v>10/21/2020 18:37:20.752</v>
      </c>
      <c r="B3213" t="str">
        <f t="shared" si="333"/>
        <v>18:37:28.711</v>
      </c>
      <c r="C3213" t="str">
        <f t="shared" si="334"/>
        <v>18:37:28.411</v>
      </c>
      <c r="D3213" t="s">
        <v>1213</v>
      </c>
      <c r="E3213">
        <v>30.857762999999998</v>
      </c>
      <c r="F3213" t="s">
        <v>767</v>
      </c>
      <c r="G3213">
        <v>-89.880201999999997</v>
      </c>
      <c r="H3213">
        <v>1600</v>
      </c>
      <c r="I3213">
        <v>-24</v>
      </c>
      <c r="J3213">
        <v>144</v>
      </c>
      <c r="K3213">
        <v>0</v>
      </c>
      <c r="L3213">
        <v>1200</v>
      </c>
      <c r="M3213" t="str">
        <f t="shared" si="331"/>
        <v xml:space="preserve">N35DC   </v>
      </c>
      <c r="N3213">
        <v>1</v>
      </c>
      <c r="O3213">
        <v>1700</v>
      </c>
    </row>
    <row r="3214" spans="1:15" x14ac:dyDescent="0.25">
      <c r="A3214" t="str">
        <f t="shared" si="332"/>
        <v>10/21/2020 18:37:20.752</v>
      </c>
      <c r="B3214" t="str">
        <f t="shared" si="333"/>
        <v>18:37:28.711</v>
      </c>
      <c r="C3214" t="str">
        <f t="shared" si="334"/>
        <v>18:37:28.411</v>
      </c>
      <c r="D3214" t="s">
        <v>1213</v>
      </c>
      <c r="E3214">
        <v>30.857762999999998</v>
      </c>
      <c r="F3214" t="s">
        <v>767</v>
      </c>
      <c r="G3214">
        <v>-89.880201999999997</v>
      </c>
      <c r="H3214">
        <v>1600</v>
      </c>
      <c r="I3214">
        <v>-24</v>
      </c>
      <c r="J3214">
        <v>144</v>
      </c>
      <c r="K3214">
        <v>0</v>
      </c>
      <c r="L3214">
        <v>1200</v>
      </c>
      <c r="M3214" t="str">
        <f t="shared" si="331"/>
        <v xml:space="preserve">N35DC   </v>
      </c>
      <c r="N3214">
        <v>1</v>
      </c>
      <c r="O3214">
        <v>1700</v>
      </c>
    </row>
    <row r="3215" spans="1:15" x14ac:dyDescent="0.25">
      <c r="A3215" t="str">
        <f t="shared" si="332"/>
        <v>10/21/2020 18:37:20.752</v>
      </c>
      <c r="B3215" t="str">
        <f t="shared" si="333"/>
        <v>18:37:28.711</v>
      </c>
      <c r="C3215" t="str">
        <f t="shared" si="334"/>
        <v>18:37:28.411</v>
      </c>
      <c r="D3215" t="s">
        <v>1213</v>
      </c>
      <c r="E3215">
        <v>30.857762999999998</v>
      </c>
      <c r="F3215" t="s">
        <v>767</v>
      </c>
      <c r="G3215">
        <v>-89.880201999999997</v>
      </c>
      <c r="H3215">
        <v>1600</v>
      </c>
      <c r="I3215">
        <v>-24</v>
      </c>
      <c r="J3215">
        <v>144</v>
      </c>
      <c r="K3215">
        <v>0</v>
      </c>
      <c r="L3215">
        <v>1200</v>
      </c>
      <c r="M3215" t="str">
        <f t="shared" si="331"/>
        <v xml:space="preserve">N35DC   </v>
      </c>
      <c r="N3215">
        <v>1</v>
      </c>
      <c r="O3215">
        <v>1700</v>
      </c>
    </row>
    <row r="3216" spans="1:15" x14ac:dyDescent="0.25">
      <c r="A3216" t="str">
        <f t="shared" si="332"/>
        <v>10/21/2020 18:37:20.752</v>
      </c>
      <c r="B3216" t="str">
        <f t="shared" si="333"/>
        <v>18:37:28.711</v>
      </c>
      <c r="C3216" t="str">
        <f t="shared" si="334"/>
        <v>18:37:28.411</v>
      </c>
      <c r="D3216" t="s">
        <v>1213</v>
      </c>
      <c r="E3216">
        <v>30.857762999999998</v>
      </c>
      <c r="F3216" t="s">
        <v>767</v>
      </c>
      <c r="G3216">
        <v>-89.880201999999997</v>
      </c>
      <c r="H3216">
        <v>1600</v>
      </c>
      <c r="I3216">
        <v>-24</v>
      </c>
      <c r="J3216">
        <v>144</v>
      </c>
      <c r="K3216">
        <v>0</v>
      </c>
      <c r="L3216">
        <v>1200</v>
      </c>
      <c r="M3216" t="str">
        <f t="shared" si="331"/>
        <v xml:space="preserve">N35DC   </v>
      </c>
      <c r="N3216">
        <v>1</v>
      </c>
      <c r="O3216">
        <v>1700</v>
      </c>
    </row>
    <row r="3217" spans="1:15" x14ac:dyDescent="0.25">
      <c r="A3217" t="str">
        <f t="shared" si="332"/>
        <v>10/21/2020 18:37:20.752</v>
      </c>
      <c r="B3217" t="str">
        <f t="shared" si="333"/>
        <v>18:37:28.711</v>
      </c>
      <c r="C3217" t="str">
        <f t="shared" si="334"/>
        <v>18:37:28.411</v>
      </c>
      <c r="D3217" t="s">
        <v>1213</v>
      </c>
      <c r="E3217">
        <v>30.857762999999998</v>
      </c>
      <c r="F3217" t="s">
        <v>767</v>
      </c>
      <c r="G3217">
        <v>-89.880201999999997</v>
      </c>
      <c r="H3217">
        <v>1600</v>
      </c>
      <c r="I3217">
        <v>-24</v>
      </c>
      <c r="J3217">
        <v>144</v>
      </c>
      <c r="K3217">
        <v>0</v>
      </c>
      <c r="L3217">
        <v>1200</v>
      </c>
      <c r="M3217" t="str">
        <f t="shared" si="331"/>
        <v xml:space="preserve">N35DC   </v>
      </c>
      <c r="N3217">
        <v>1</v>
      </c>
      <c r="O3217">
        <v>1700</v>
      </c>
    </row>
    <row r="3218" spans="1:15" x14ac:dyDescent="0.25">
      <c r="A3218" t="str">
        <f>"10/21/2020 18:37:23.386"</f>
        <v>10/21/2020 18:37:23.386</v>
      </c>
      <c r="B3218" t="str">
        <f>"18:37:31.266"</f>
        <v>18:37:31.266</v>
      </c>
      <c r="C3218" t="str">
        <f>"18:37:30.966"</f>
        <v>18:37:30.966</v>
      </c>
      <c r="D3218" t="s">
        <v>1214</v>
      </c>
      <c r="E3218">
        <v>30.859458</v>
      </c>
      <c r="F3218" t="s">
        <v>1215</v>
      </c>
      <c r="G3218">
        <v>-89.880502000000007</v>
      </c>
      <c r="H3218">
        <v>1600</v>
      </c>
      <c r="I3218">
        <v>-24</v>
      </c>
      <c r="J3218">
        <v>144</v>
      </c>
      <c r="K3218">
        <v>384</v>
      </c>
      <c r="L3218">
        <v>1200</v>
      </c>
      <c r="M3218" t="str">
        <f t="shared" si="331"/>
        <v xml:space="preserve">N35DC   </v>
      </c>
      <c r="N3218">
        <v>1</v>
      </c>
      <c r="O3218">
        <v>1725</v>
      </c>
    </row>
    <row r="3219" spans="1:15" x14ac:dyDescent="0.25">
      <c r="A3219" t="str">
        <f t="shared" ref="A3219:A3224" si="335">"10/21/2020 18:37:28.730"</f>
        <v>10/21/2020 18:37:28.730</v>
      </c>
      <c r="B3219" t="str">
        <f t="shared" ref="B3219:B3224" si="336">"18:37:36.680"</f>
        <v>18:37:36.680</v>
      </c>
      <c r="C3219" t="str">
        <f t="shared" ref="C3219:C3224" si="337">"18:37:36.480"</f>
        <v>18:37:36.480</v>
      </c>
      <c r="D3219" t="s">
        <v>1216</v>
      </c>
      <c r="E3219">
        <v>30.863063</v>
      </c>
      <c r="F3219" t="s">
        <v>1217</v>
      </c>
      <c r="G3219">
        <v>-89.881231999999997</v>
      </c>
      <c r="H3219">
        <v>1700</v>
      </c>
      <c r="I3219">
        <v>-27</v>
      </c>
      <c r="J3219">
        <v>145</v>
      </c>
      <c r="K3219">
        <v>192</v>
      </c>
      <c r="L3219">
        <v>1200</v>
      </c>
      <c r="M3219" t="str">
        <f t="shared" si="331"/>
        <v xml:space="preserve">N35DC   </v>
      </c>
      <c r="N3219">
        <v>1</v>
      </c>
      <c r="O3219">
        <v>1750</v>
      </c>
    </row>
    <row r="3220" spans="1:15" x14ac:dyDescent="0.25">
      <c r="A3220" t="str">
        <f t="shared" si="335"/>
        <v>10/21/2020 18:37:28.730</v>
      </c>
      <c r="B3220" t="str">
        <f t="shared" si="336"/>
        <v>18:37:36.680</v>
      </c>
      <c r="C3220" t="str">
        <f t="shared" si="337"/>
        <v>18:37:36.480</v>
      </c>
      <c r="D3220" t="s">
        <v>1216</v>
      </c>
      <c r="E3220">
        <v>30.863063</v>
      </c>
      <c r="F3220" t="s">
        <v>1217</v>
      </c>
      <c r="G3220">
        <v>-89.881231999999997</v>
      </c>
      <c r="H3220">
        <v>1700</v>
      </c>
      <c r="I3220">
        <v>-27</v>
      </c>
      <c r="J3220">
        <v>145</v>
      </c>
      <c r="K3220">
        <v>192</v>
      </c>
      <c r="L3220">
        <v>1200</v>
      </c>
      <c r="M3220" t="str">
        <f t="shared" si="331"/>
        <v xml:space="preserve">N35DC   </v>
      </c>
      <c r="N3220">
        <v>1</v>
      </c>
      <c r="O3220">
        <v>1750</v>
      </c>
    </row>
    <row r="3221" spans="1:15" x14ac:dyDescent="0.25">
      <c r="A3221" t="str">
        <f t="shared" si="335"/>
        <v>10/21/2020 18:37:28.730</v>
      </c>
      <c r="B3221" t="str">
        <f t="shared" si="336"/>
        <v>18:37:36.680</v>
      </c>
      <c r="C3221" t="str">
        <f t="shared" si="337"/>
        <v>18:37:36.480</v>
      </c>
      <c r="D3221" t="s">
        <v>1216</v>
      </c>
      <c r="E3221">
        <v>30.863063</v>
      </c>
      <c r="F3221" t="s">
        <v>1217</v>
      </c>
      <c r="G3221">
        <v>-89.881231999999997</v>
      </c>
      <c r="H3221">
        <v>1700</v>
      </c>
      <c r="I3221">
        <v>-27</v>
      </c>
      <c r="J3221">
        <v>145</v>
      </c>
      <c r="K3221">
        <v>192</v>
      </c>
      <c r="L3221">
        <v>1200</v>
      </c>
      <c r="M3221" t="str">
        <f t="shared" si="331"/>
        <v xml:space="preserve">N35DC   </v>
      </c>
      <c r="N3221">
        <v>1</v>
      </c>
      <c r="O3221">
        <v>1750</v>
      </c>
    </row>
    <row r="3222" spans="1:15" x14ac:dyDescent="0.25">
      <c r="A3222" t="str">
        <f t="shared" si="335"/>
        <v>10/21/2020 18:37:28.730</v>
      </c>
      <c r="B3222" t="str">
        <f t="shared" si="336"/>
        <v>18:37:36.680</v>
      </c>
      <c r="C3222" t="str">
        <f t="shared" si="337"/>
        <v>18:37:36.480</v>
      </c>
      <c r="D3222" t="s">
        <v>1216</v>
      </c>
      <c r="E3222">
        <v>30.863063</v>
      </c>
      <c r="F3222" t="s">
        <v>1217</v>
      </c>
      <c r="G3222">
        <v>-89.881231999999997</v>
      </c>
      <c r="H3222">
        <v>1700</v>
      </c>
      <c r="I3222">
        <v>-27</v>
      </c>
      <c r="J3222">
        <v>145</v>
      </c>
      <c r="K3222">
        <v>192</v>
      </c>
      <c r="L3222">
        <v>1200</v>
      </c>
      <c r="M3222" t="str">
        <f t="shared" si="331"/>
        <v xml:space="preserve">N35DC   </v>
      </c>
      <c r="N3222">
        <v>1</v>
      </c>
      <c r="O3222">
        <v>1750</v>
      </c>
    </row>
    <row r="3223" spans="1:15" x14ac:dyDescent="0.25">
      <c r="A3223" t="str">
        <f t="shared" si="335"/>
        <v>10/21/2020 18:37:28.730</v>
      </c>
      <c r="B3223" t="str">
        <f t="shared" si="336"/>
        <v>18:37:36.680</v>
      </c>
      <c r="C3223" t="str">
        <f t="shared" si="337"/>
        <v>18:37:36.480</v>
      </c>
      <c r="D3223" t="s">
        <v>1216</v>
      </c>
      <c r="E3223">
        <v>30.863063</v>
      </c>
      <c r="F3223" t="s">
        <v>1217</v>
      </c>
      <c r="G3223">
        <v>-89.881231999999997</v>
      </c>
      <c r="H3223">
        <v>1700</v>
      </c>
      <c r="I3223">
        <v>-27</v>
      </c>
      <c r="J3223">
        <v>145</v>
      </c>
      <c r="K3223">
        <v>192</v>
      </c>
      <c r="L3223">
        <v>1200</v>
      </c>
      <c r="M3223" t="str">
        <f t="shared" si="331"/>
        <v xml:space="preserve">N35DC   </v>
      </c>
      <c r="N3223">
        <v>1</v>
      </c>
      <c r="O3223">
        <v>1750</v>
      </c>
    </row>
    <row r="3224" spans="1:15" x14ac:dyDescent="0.25">
      <c r="A3224" t="str">
        <f t="shared" si="335"/>
        <v>10/21/2020 18:37:28.730</v>
      </c>
      <c r="B3224" t="str">
        <f t="shared" si="336"/>
        <v>18:37:36.680</v>
      </c>
      <c r="C3224" t="str">
        <f t="shared" si="337"/>
        <v>18:37:36.480</v>
      </c>
      <c r="D3224" t="s">
        <v>1216</v>
      </c>
      <c r="E3224">
        <v>30.863063</v>
      </c>
      <c r="F3224" t="s">
        <v>1217</v>
      </c>
      <c r="G3224">
        <v>-89.881231999999997</v>
      </c>
      <c r="H3224">
        <v>1700</v>
      </c>
      <c r="I3224">
        <v>-27</v>
      </c>
      <c r="J3224">
        <v>145</v>
      </c>
      <c r="K3224">
        <v>192</v>
      </c>
      <c r="L3224">
        <v>1200</v>
      </c>
      <c r="M3224" t="str">
        <f t="shared" si="331"/>
        <v xml:space="preserve">N35DC   </v>
      </c>
      <c r="N3224">
        <v>1</v>
      </c>
      <c r="O3224">
        <v>1750</v>
      </c>
    </row>
    <row r="3225" spans="1:15" x14ac:dyDescent="0.25">
      <c r="A3225" t="str">
        <f>"10/21/2020 18:37:29.737"</f>
        <v>10/21/2020 18:37:29.737</v>
      </c>
      <c r="B3225" t="str">
        <f>"18:37:37.680"</f>
        <v>18:37:37.680</v>
      </c>
      <c r="C3225" t="str">
        <f>"18:37:37.380"</f>
        <v>18:37:37.380</v>
      </c>
      <c r="D3225" t="s">
        <v>1218</v>
      </c>
      <c r="E3225">
        <v>30.86375</v>
      </c>
      <c r="F3225" t="s">
        <v>1219</v>
      </c>
      <c r="G3225">
        <v>-89.881360999999998</v>
      </c>
      <c r="H3225">
        <v>1700</v>
      </c>
      <c r="I3225">
        <v>-27</v>
      </c>
      <c r="J3225">
        <v>145</v>
      </c>
      <c r="K3225">
        <v>64</v>
      </c>
      <c r="L3225">
        <v>1200</v>
      </c>
      <c r="M3225" t="str">
        <f t="shared" si="331"/>
        <v xml:space="preserve">N35DC   </v>
      </c>
      <c r="N3225">
        <v>1</v>
      </c>
      <c r="O3225">
        <v>1750</v>
      </c>
    </row>
    <row r="3226" spans="1:15" x14ac:dyDescent="0.25">
      <c r="A3226" t="str">
        <f>"10/21/2020 18:37:29.737"</f>
        <v>10/21/2020 18:37:29.737</v>
      </c>
      <c r="B3226" t="str">
        <f>"18:37:37.680"</f>
        <v>18:37:37.680</v>
      </c>
      <c r="C3226" t="str">
        <f>"18:37:37.380"</f>
        <v>18:37:37.380</v>
      </c>
      <c r="D3226" t="s">
        <v>1218</v>
      </c>
      <c r="E3226">
        <v>30.86375</v>
      </c>
      <c r="F3226" t="s">
        <v>1219</v>
      </c>
      <c r="G3226">
        <v>-89.881360999999998</v>
      </c>
      <c r="H3226">
        <v>1700</v>
      </c>
      <c r="I3226">
        <v>-27</v>
      </c>
      <c r="J3226">
        <v>145</v>
      </c>
      <c r="K3226">
        <v>64</v>
      </c>
      <c r="L3226">
        <v>1200</v>
      </c>
      <c r="M3226" t="str">
        <f t="shared" si="331"/>
        <v xml:space="preserve">N35DC   </v>
      </c>
      <c r="N3226">
        <v>1</v>
      </c>
      <c r="O3226">
        <v>1750</v>
      </c>
    </row>
    <row r="3227" spans="1:15" x14ac:dyDescent="0.25">
      <c r="A3227" t="str">
        <f>"10/21/2020 18:37:29.737"</f>
        <v>10/21/2020 18:37:29.737</v>
      </c>
      <c r="B3227" t="str">
        <f>"18:37:37.680"</f>
        <v>18:37:37.680</v>
      </c>
      <c r="C3227" t="str">
        <f>"18:37:37.380"</f>
        <v>18:37:37.380</v>
      </c>
      <c r="D3227" t="s">
        <v>1218</v>
      </c>
      <c r="E3227">
        <v>30.86375</v>
      </c>
      <c r="F3227" t="s">
        <v>1219</v>
      </c>
      <c r="G3227">
        <v>-89.881360999999998</v>
      </c>
      <c r="H3227">
        <v>1700</v>
      </c>
      <c r="I3227">
        <v>-27</v>
      </c>
      <c r="J3227">
        <v>145</v>
      </c>
      <c r="K3227">
        <v>64</v>
      </c>
      <c r="L3227">
        <v>1200</v>
      </c>
      <c r="M3227" t="str">
        <f t="shared" si="331"/>
        <v xml:space="preserve">N35DC   </v>
      </c>
      <c r="N3227">
        <v>1</v>
      </c>
      <c r="O3227">
        <v>1750</v>
      </c>
    </row>
    <row r="3228" spans="1:15" x14ac:dyDescent="0.25">
      <c r="A3228" t="str">
        <f>"10/21/2020 18:37:29.737"</f>
        <v>10/21/2020 18:37:29.737</v>
      </c>
      <c r="B3228" t="str">
        <f>"18:37:37.680"</f>
        <v>18:37:37.680</v>
      </c>
      <c r="C3228" t="str">
        <f>"18:37:37.380"</f>
        <v>18:37:37.380</v>
      </c>
      <c r="D3228" t="s">
        <v>1218</v>
      </c>
      <c r="E3228">
        <v>30.86375</v>
      </c>
      <c r="F3228" t="s">
        <v>1219</v>
      </c>
      <c r="G3228">
        <v>-89.881360999999998</v>
      </c>
      <c r="H3228">
        <v>1700</v>
      </c>
      <c r="I3228">
        <v>-27</v>
      </c>
      <c r="J3228">
        <v>145</v>
      </c>
      <c r="K3228">
        <v>64</v>
      </c>
      <c r="L3228">
        <v>1200</v>
      </c>
      <c r="M3228" t="str">
        <f t="shared" si="331"/>
        <v xml:space="preserve">N35DC   </v>
      </c>
      <c r="N3228">
        <v>1</v>
      </c>
      <c r="O3228">
        <v>1750</v>
      </c>
    </row>
    <row r="3229" spans="1:15" x14ac:dyDescent="0.25">
      <c r="A3229" t="str">
        <f>"10/21/2020 18:37:29.737"</f>
        <v>10/21/2020 18:37:29.737</v>
      </c>
      <c r="B3229" t="str">
        <f>"18:37:37.680"</f>
        <v>18:37:37.680</v>
      </c>
      <c r="C3229" t="str">
        <f>"18:37:37.380"</f>
        <v>18:37:37.380</v>
      </c>
      <c r="D3229" t="s">
        <v>1218</v>
      </c>
      <c r="E3229">
        <v>30.86375</v>
      </c>
      <c r="F3229" t="s">
        <v>1219</v>
      </c>
      <c r="G3229">
        <v>-89.881360999999998</v>
      </c>
      <c r="H3229">
        <v>1700</v>
      </c>
      <c r="I3229">
        <v>-27</v>
      </c>
      <c r="J3229">
        <v>145</v>
      </c>
      <c r="K3229">
        <v>64</v>
      </c>
      <c r="L3229">
        <v>1200</v>
      </c>
      <c r="M3229" t="str">
        <f t="shared" si="331"/>
        <v xml:space="preserve">N35DC   </v>
      </c>
      <c r="N3229">
        <v>1</v>
      </c>
      <c r="O3229">
        <v>1750</v>
      </c>
    </row>
    <row r="3230" spans="1:15" x14ac:dyDescent="0.25">
      <c r="A3230" t="str">
        <f>"10/21/2020 18:37:32.720"</f>
        <v>10/21/2020 18:37:32.720</v>
      </c>
      <c r="B3230" t="str">
        <f>"18:37:40.664"</f>
        <v>18:37:40.664</v>
      </c>
      <c r="C3230" t="str">
        <f>"18:37:40.264"</f>
        <v>18:37:40.264</v>
      </c>
      <c r="D3230" t="s">
        <v>1220</v>
      </c>
      <c r="E3230">
        <v>30.865767000000002</v>
      </c>
      <c r="F3230" t="s">
        <v>1221</v>
      </c>
      <c r="G3230">
        <v>-89.881833</v>
      </c>
      <c r="H3230">
        <v>1700</v>
      </c>
      <c r="I3230">
        <v>-28</v>
      </c>
      <c r="J3230">
        <v>147</v>
      </c>
      <c r="K3230">
        <v>-128</v>
      </c>
      <c r="L3230">
        <v>1200</v>
      </c>
      <c r="M3230" t="str">
        <f t="shared" si="331"/>
        <v xml:space="preserve">N35DC   </v>
      </c>
      <c r="N3230">
        <v>1</v>
      </c>
      <c r="O3230">
        <v>1750</v>
      </c>
    </row>
    <row r="3231" spans="1:15" x14ac:dyDescent="0.25">
      <c r="A3231" t="str">
        <f>"10/21/2020 18:37:32.720"</f>
        <v>10/21/2020 18:37:32.720</v>
      </c>
      <c r="B3231" t="str">
        <f>"18:37:40.664"</f>
        <v>18:37:40.664</v>
      </c>
      <c r="C3231" t="str">
        <f>"18:37:40.264"</f>
        <v>18:37:40.264</v>
      </c>
      <c r="D3231" t="s">
        <v>1220</v>
      </c>
      <c r="E3231">
        <v>30.865767000000002</v>
      </c>
      <c r="F3231" t="s">
        <v>1221</v>
      </c>
      <c r="G3231">
        <v>-89.881833</v>
      </c>
      <c r="H3231">
        <v>1700</v>
      </c>
      <c r="I3231">
        <v>-28</v>
      </c>
      <c r="J3231">
        <v>147</v>
      </c>
      <c r="K3231">
        <v>-128</v>
      </c>
      <c r="L3231">
        <v>1200</v>
      </c>
      <c r="M3231" t="str">
        <f t="shared" si="331"/>
        <v xml:space="preserve">N35DC   </v>
      </c>
      <c r="N3231">
        <v>1</v>
      </c>
      <c r="O3231">
        <v>1750</v>
      </c>
    </row>
    <row r="3232" spans="1:15" x14ac:dyDescent="0.25">
      <c r="A3232" t="str">
        <f>"10/21/2020 18:37:32.720"</f>
        <v>10/21/2020 18:37:32.720</v>
      </c>
      <c r="B3232" t="str">
        <f>"18:37:40.664"</f>
        <v>18:37:40.664</v>
      </c>
      <c r="C3232" t="str">
        <f>"18:37:40.264"</f>
        <v>18:37:40.264</v>
      </c>
      <c r="D3232" t="s">
        <v>1220</v>
      </c>
      <c r="E3232">
        <v>30.865767000000002</v>
      </c>
      <c r="F3232" t="s">
        <v>1221</v>
      </c>
      <c r="G3232">
        <v>-89.881833</v>
      </c>
      <c r="H3232">
        <v>1700</v>
      </c>
      <c r="I3232">
        <v>-28</v>
      </c>
      <c r="J3232">
        <v>147</v>
      </c>
      <c r="K3232">
        <v>-128</v>
      </c>
      <c r="L3232">
        <v>1200</v>
      </c>
      <c r="M3232" t="str">
        <f t="shared" si="331"/>
        <v xml:space="preserve">N35DC   </v>
      </c>
      <c r="N3232">
        <v>1</v>
      </c>
      <c r="O3232">
        <v>1750</v>
      </c>
    </row>
    <row r="3233" spans="1:15" x14ac:dyDescent="0.25">
      <c r="A3233" t="str">
        <f>"10/21/2020 18:37:32.720"</f>
        <v>10/21/2020 18:37:32.720</v>
      </c>
      <c r="B3233" t="str">
        <f>"18:37:40.664"</f>
        <v>18:37:40.664</v>
      </c>
      <c r="C3233" t="str">
        <f>"18:37:40.264"</f>
        <v>18:37:40.264</v>
      </c>
      <c r="D3233" t="s">
        <v>1220</v>
      </c>
      <c r="E3233">
        <v>30.865767000000002</v>
      </c>
      <c r="F3233" t="s">
        <v>1221</v>
      </c>
      <c r="G3233">
        <v>-89.881833</v>
      </c>
      <c r="H3233">
        <v>1700</v>
      </c>
      <c r="I3233">
        <v>-28</v>
      </c>
      <c r="J3233">
        <v>147</v>
      </c>
      <c r="K3233">
        <v>-128</v>
      </c>
      <c r="L3233">
        <v>1200</v>
      </c>
      <c r="M3233" t="str">
        <f t="shared" si="331"/>
        <v xml:space="preserve">N35DC   </v>
      </c>
      <c r="N3233">
        <v>1</v>
      </c>
      <c r="O3233">
        <v>1750</v>
      </c>
    </row>
    <row r="3234" spans="1:15" x14ac:dyDescent="0.25">
      <c r="A3234" t="str">
        <f>"10/21/2020 18:37:32.720"</f>
        <v>10/21/2020 18:37:32.720</v>
      </c>
      <c r="B3234" t="str">
        <f>"18:37:40.664"</f>
        <v>18:37:40.664</v>
      </c>
      <c r="C3234" t="str">
        <f>"18:37:40.264"</f>
        <v>18:37:40.264</v>
      </c>
      <c r="D3234" t="s">
        <v>1220</v>
      </c>
      <c r="E3234">
        <v>30.865767000000002</v>
      </c>
      <c r="F3234" t="s">
        <v>1221</v>
      </c>
      <c r="G3234">
        <v>-89.881833</v>
      </c>
      <c r="H3234">
        <v>1700</v>
      </c>
      <c r="I3234">
        <v>-28</v>
      </c>
      <c r="J3234">
        <v>147</v>
      </c>
      <c r="K3234">
        <v>-128</v>
      </c>
      <c r="L3234">
        <v>1200</v>
      </c>
      <c r="M3234" t="str">
        <f t="shared" si="331"/>
        <v xml:space="preserve">N35DC   </v>
      </c>
      <c r="N3234">
        <v>1</v>
      </c>
      <c r="O3234">
        <v>1750</v>
      </c>
    </row>
    <row r="3235" spans="1:15" x14ac:dyDescent="0.25">
      <c r="A3235" t="str">
        <f>"10/21/2020 18:37:33.357"</f>
        <v>10/21/2020 18:37:33.357</v>
      </c>
      <c r="B3235" t="str">
        <f>"18:37:41.250"</f>
        <v>18:37:41.250</v>
      </c>
      <c r="C3235" t="str">
        <f>"18:37:40.950"</f>
        <v>18:37:40.950</v>
      </c>
      <c r="D3235" t="s">
        <v>1222</v>
      </c>
      <c r="E3235">
        <v>30.866174999999998</v>
      </c>
      <c r="F3235" t="s">
        <v>713</v>
      </c>
      <c r="G3235">
        <v>-89.881896999999995</v>
      </c>
      <c r="H3235">
        <v>1700</v>
      </c>
      <c r="I3235">
        <v>-28</v>
      </c>
      <c r="J3235">
        <v>147</v>
      </c>
      <c r="K3235">
        <v>-128</v>
      </c>
      <c r="L3235">
        <v>1200</v>
      </c>
      <c r="M3235" t="str">
        <f t="shared" si="331"/>
        <v xml:space="preserve">N35DC   </v>
      </c>
      <c r="N3235">
        <v>1</v>
      </c>
      <c r="O3235">
        <v>1750</v>
      </c>
    </row>
    <row r="3236" spans="1:15" x14ac:dyDescent="0.25">
      <c r="A3236" t="str">
        <f>"10/21/2020 18:37:33.816"</f>
        <v>10/21/2020 18:37:33.816</v>
      </c>
      <c r="B3236" t="str">
        <f>"18:37:41.750"</f>
        <v>18:37:41.750</v>
      </c>
      <c r="C3236" t="str">
        <f>"18:37:41.450"</f>
        <v>18:37:41.450</v>
      </c>
      <c r="D3236" t="s">
        <v>1223</v>
      </c>
      <c r="E3236">
        <v>30.866496999999999</v>
      </c>
      <c r="F3236" t="s">
        <v>759</v>
      </c>
      <c r="G3236">
        <v>-89.882003999999995</v>
      </c>
      <c r="H3236">
        <v>1700</v>
      </c>
      <c r="I3236">
        <v>-28</v>
      </c>
      <c r="J3236">
        <v>148</v>
      </c>
      <c r="K3236">
        <v>-128</v>
      </c>
      <c r="L3236">
        <v>1200</v>
      </c>
      <c r="M3236" t="str">
        <f t="shared" si="331"/>
        <v xml:space="preserve">N35DC   </v>
      </c>
      <c r="N3236">
        <v>1</v>
      </c>
      <c r="O3236">
        <v>1750</v>
      </c>
    </row>
    <row r="3237" spans="1:15" x14ac:dyDescent="0.25">
      <c r="A3237" t="str">
        <f>"10/21/2020 18:37:33.816"</f>
        <v>10/21/2020 18:37:33.816</v>
      </c>
      <c r="B3237" t="str">
        <f>"18:37:41.750"</f>
        <v>18:37:41.750</v>
      </c>
      <c r="C3237" t="str">
        <f>"18:37:41.450"</f>
        <v>18:37:41.450</v>
      </c>
      <c r="D3237" t="s">
        <v>1223</v>
      </c>
      <c r="E3237">
        <v>30.866496999999999</v>
      </c>
      <c r="F3237" t="s">
        <v>759</v>
      </c>
      <c r="G3237">
        <v>-89.882003999999995</v>
      </c>
      <c r="H3237">
        <v>1700</v>
      </c>
      <c r="I3237">
        <v>-28</v>
      </c>
      <c r="J3237">
        <v>148</v>
      </c>
      <c r="K3237">
        <v>-128</v>
      </c>
      <c r="L3237">
        <v>1200</v>
      </c>
      <c r="M3237" t="str">
        <f t="shared" si="331"/>
        <v xml:space="preserve">N35DC   </v>
      </c>
      <c r="N3237">
        <v>1</v>
      </c>
      <c r="O3237">
        <v>1750</v>
      </c>
    </row>
    <row r="3238" spans="1:15" x14ac:dyDescent="0.25">
      <c r="A3238" t="str">
        <f>"10/21/2020 18:37:33.816"</f>
        <v>10/21/2020 18:37:33.816</v>
      </c>
      <c r="B3238" t="str">
        <f>"18:37:41.750"</f>
        <v>18:37:41.750</v>
      </c>
      <c r="C3238" t="str">
        <f>"18:37:41.450"</f>
        <v>18:37:41.450</v>
      </c>
      <c r="D3238" t="s">
        <v>1223</v>
      </c>
      <c r="E3238">
        <v>30.866496999999999</v>
      </c>
      <c r="F3238" t="s">
        <v>759</v>
      </c>
      <c r="G3238">
        <v>-89.882003999999995</v>
      </c>
      <c r="H3238">
        <v>1700</v>
      </c>
      <c r="I3238">
        <v>-28</v>
      </c>
      <c r="J3238">
        <v>148</v>
      </c>
      <c r="K3238">
        <v>-128</v>
      </c>
      <c r="L3238">
        <v>1200</v>
      </c>
      <c r="M3238" t="str">
        <f t="shared" si="331"/>
        <v xml:space="preserve">N35DC   </v>
      </c>
      <c r="N3238">
        <v>1</v>
      </c>
      <c r="O3238">
        <v>1750</v>
      </c>
    </row>
    <row r="3239" spans="1:15" x14ac:dyDescent="0.25">
      <c r="A3239" t="str">
        <f>"10/21/2020 18:37:33.816"</f>
        <v>10/21/2020 18:37:33.816</v>
      </c>
      <c r="B3239" t="str">
        <f>"18:37:41.750"</f>
        <v>18:37:41.750</v>
      </c>
      <c r="C3239" t="str">
        <f>"18:37:41.450"</f>
        <v>18:37:41.450</v>
      </c>
      <c r="D3239" t="s">
        <v>1223</v>
      </c>
      <c r="E3239">
        <v>30.866496999999999</v>
      </c>
      <c r="F3239" t="s">
        <v>759</v>
      </c>
      <c r="G3239">
        <v>-89.882003999999995</v>
      </c>
      <c r="H3239">
        <v>1700</v>
      </c>
      <c r="I3239">
        <v>-28</v>
      </c>
      <c r="J3239">
        <v>148</v>
      </c>
      <c r="K3239">
        <v>-128</v>
      </c>
      <c r="L3239">
        <v>1200</v>
      </c>
      <c r="M3239" t="str">
        <f t="shared" si="331"/>
        <v xml:space="preserve">N35DC   </v>
      </c>
      <c r="N3239">
        <v>1</v>
      </c>
      <c r="O3239">
        <v>1750</v>
      </c>
    </row>
    <row r="3240" spans="1:15" x14ac:dyDescent="0.25">
      <c r="A3240" t="str">
        <f>"10/21/2020 18:37:33.816"</f>
        <v>10/21/2020 18:37:33.816</v>
      </c>
      <c r="B3240" t="str">
        <f>"18:37:41.750"</f>
        <v>18:37:41.750</v>
      </c>
      <c r="C3240" t="str">
        <f>"18:37:41.450"</f>
        <v>18:37:41.450</v>
      </c>
      <c r="D3240" t="s">
        <v>1223</v>
      </c>
      <c r="E3240">
        <v>30.866496999999999</v>
      </c>
      <c r="F3240" t="s">
        <v>759</v>
      </c>
      <c r="G3240">
        <v>-89.882003999999995</v>
      </c>
      <c r="H3240">
        <v>1700</v>
      </c>
      <c r="I3240">
        <v>-28</v>
      </c>
      <c r="J3240">
        <v>148</v>
      </c>
      <c r="K3240">
        <v>-128</v>
      </c>
      <c r="L3240">
        <v>1200</v>
      </c>
      <c r="M3240" t="str">
        <f t="shared" si="331"/>
        <v xml:space="preserve">N35DC   </v>
      </c>
      <c r="N3240">
        <v>1</v>
      </c>
      <c r="O3240">
        <v>1750</v>
      </c>
    </row>
    <row r="3241" spans="1:15" x14ac:dyDescent="0.25">
      <c r="A3241" t="str">
        <f>"10/21/2020 18:37:37.898"</f>
        <v>10/21/2020 18:37:37.898</v>
      </c>
      <c r="B3241" t="str">
        <f>"18:37:45.844"</f>
        <v>18:37:45.844</v>
      </c>
      <c r="C3241" t="str">
        <f>"18:37:45.444"</f>
        <v>18:37:45.444</v>
      </c>
      <c r="D3241" t="s">
        <v>1224</v>
      </c>
      <c r="E3241">
        <v>30.869350000000001</v>
      </c>
      <c r="F3241" t="s">
        <v>1225</v>
      </c>
      <c r="G3241">
        <v>-89.882604999999998</v>
      </c>
      <c r="H3241">
        <v>1700</v>
      </c>
      <c r="I3241">
        <v>-29</v>
      </c>
      <c r="J3241">
        <v>151</v>
      </c>
      <c r="K3241">
        <v>-128</v>
      </c>
      <c r="L3241">
        <v>1200</v>
      </c>
      <c r="M3241" t="str">
        <f t="shared" si="331"/>
        <v xml:space="preserve">N35DC   </v>
      </c>
      <c r="N3241">
        <v>1</v>
      </c>
      <c r="O3241">
        <v>1750</v>
      </c>
    </row>
    <row r="3242" spans="1:15" x14ac:dyDescent="0.25">
      <c r="A3242" t="str">
        <f>"10/21/2020 18:37:37.898"</f>
        <v>10/21/2020 18:37:37.898</v>
      </c>
      <c r="B3242" t="str">
        <f>"18:37:45.844"</f>
        <v>18:37:45.844</v>
      </c>
      <c r="C3242" t="str">
        <f>"18:37:45.444"</f>
        <v>18:37:45.444</v>
      </c>
      <c r="D3242" t="s">
        <v>1224</v>
      </c>
      <c r="E3242">
        <v>30.869350000000001</v>
      </c>
      <c r="F3242" t="s">
        <v>1225</v>
      </c>
      <c r="G3242">
        <v>-89.882604999999998</v>
      </c>
      <c r="H3242">
        <v>1700</v>
      </c>
      <c r="I3242">
        <v>-29</v>
      </c>
      <c r="J3242">
        <v>151</v>
      </c>
      <c r="K3242">
        <v>-128</v>
      </c>
      <c r="L3242">
        <v>1200</v>
      </c>
      <c r="M3242" t="str">
        <f t="shared" si="331"/>
        <v xml:space="preserve">N35DC   </v>
      </c>
      <c r="N3242">
        <v>1</v>
      </c>
      <c r="O3242">
        <v>1750</v>
      </c>
    </row>
    <row r="3243" spans="1:15" x14ac:dyDescent="0.25">
      <c r="A3243" t="str">
        <f>"10/21/2020 18:37:37.898"</f>
        <v>10/21/2020 18:37:37.898</v>
      </c>
      <c r="B3243" t="str">
        <f>"18:37:45.844"</f>
        <v>18:37:45.844</v>
      </c>
      <c r="C3243" t="str">
        <f>"18:37:45.444"</f>
        <v>18:37:45.444</v>
      </c>
      <c r="D3243" t="s">
        <v>1224</v>
      </c>
      <c r="E3243">
        <v>30.869350000000001</v>
      </c>
      <c r="F3243" t="s">
        <v>1225</v>
      </c>
      <c r="G3243">
        <v>-89.882604999999998</v>
      </c>
      <c r="H3243">
        <v>1700</v>
      </c>
      <c r="I3243">
        <v>-29</v>
      </c>
      <c r="J3243">
        <v>151</v>
      </c>
      <c r="K3243">
        <v>-128</v>
      </c>
      <c r="L3243">
        <v>1200</v>
      </c>
      <c r="M3243" t="str">
        <f t="shared" si="331"/>
        <v xml:space="preserve">N35DC   </v>
      </c>
      <c r="N3243">
        <v>1</v>
      </c>
      <c r="O3243">
        <v>1750</v>
      </c>
    </row>
    <row r="3244" spans="1:15" x14ac:dyDescent="0.25">
      <c r="A3244" t="str">
        <f>"10/21/2020 18:37:37.898"</f>
        <v>10/21/2020 18:37:37.898</v>
      </c>
      <c r="B3244" t="str">
        <f>"18:37:45.844"</f>
        <v>18:37:45.844</v>
      </c>
      <c r="C3244" t="str">
        <f>"18:37:45.444"</f>
        <v>18:37:45.444</v>
      </c>
      <c r="D3244" t="s">
        <v>1224</v>
      </c>
      <c r="E3244">
        <v>30.869350000000001</v>
      </c>
      <c r="F3244" t="s">
        <v>1225</v>
      </c>
      <c r="G3244">
        <v>-89.882604999999998</v>
      </c>
      <c r="H3244">
        <v>1700</v>
      </c>
      <c r="I3244">
        <v>-29</v>
      </c>
      <c r="J3244">
        <v>151</v>
      </c>
      <c r="K3244">
        <v>-128</v>
      </c>
      <c r="L3244">
        <v>1200</v>
      </c>
      <c r="M3244" t="str">
        <f t="shared" si="331"/>
        <v xml:space="preserve">N35DC   </v>
      </c>
      <c r="N3244">
        <v>1</v>
      </c>
      <c r="O3244">
        <v>1750</v>
      </c>
    </row>
    <row r="3245" spans="1:15" x14ac:dyDescent="0.25">
      <c r="A3245" t="str">
        <f>"10/21/2020 18:37:37.898"</f>
        <v>10/21/2020 18:37:37.898</v>
      </c>
      <c r="B3245" t="str">
        <f>"18:37:45.844"</f>
        <v>18:37:45.844</v>
      </c>
      <c r="C3245" t="str">
        <f>"18:37:45.444"</f>
        <v>18:37:45.444</v>
      </c>
      <c r="D3245" t="s">
        <v>1224</v>
      </c>
      <c r="E3245">
        <v>30.869350000000001</v>
      </c>
      <c r="F3245" t="s">
        <v>1225</v>
      </c>
      <c r="G3245">
        <v>-89.882604999999998</v>
      </c>
      <c r="H3245">
        <v>1700</v>
      </c>
      <c r="I3245">
        <v>-29</v>
      </c>
      <c r="J3245">
        <v>151</v>
      </c>
      <c r="K3245">
        <v>-128</v>
      </c>
      <c r="L3245">
        <v>1200</v>
      </c>
      <c r="M3245" t="str">
        <f t="shared" si="331"/>
        <v xml:space="preserve">N35DC   </v>
      </c>
      <c r="N3245">
        <v>1</v>
      </c>
      <c r="O3245">
        <v>1750</v>
      </c>
    </row>
    <row r="3246" spans="1:15" x14ac:dyDescent="0.25">
      <c r="A3246" t="str">
        <f t="shared" ref="A3246:A3251" si="338">"10/21/2020 18:37:38.831"</f>
        <v>10/21/2020 18:37:38.831</v>
      </c>
      <c r="B3246" t="str">
        <f t="shared" ref="B3246:B3251" si="339">"18:37:46.789"</f>
        <v>18:37:46.789</v>
      </c>
      <c r="C3246" t="str">
        <f t="shared" ref="C3246:C3251" si="340">"18:37:46.589"</f>
        <v>18:37:46.589</v>
      </c>
      <c r="D3246" t="s">
        <v>1226</v>
      </c>
      <c r="E3246">
        <v>30.870016</v>
      </c>
      <c r="F3246" t="s">
        <v>1227</v>
      </c>
      <c r="G3246">
        <v>-89.882755000000003</v>
      </c>
      <c r="H3246">
        <v>1700</v>
      </c>
      <c r="I3246">
        <v>-29</v>
      </c>
      <c r="J3246">
        <v>151</v>
      </c>
      <c r="K3246">
        <v>-192</v>
      </c>
      <c r="L3246">
        <v>1200</v>
      </c>
      <c r="M3246" t="str">
        <f t="shared" si="331"/>
        <v xml:space="preserve">N35DC   </v>
      </c>
      <c r="N3246">
        <v>1</v>
      </c>
      <c r="O3246">
        <v>1750</v>
      </c>
    </row>
    <row r="3247" spans="1:15" x14ac:dyDescent="0.25">
      <c r="A3247" t="str">
        <f t="shared" si="338"/>
        <v>10/21/2020 18:37:38.831</v>
      </c>
      <c r="B3247" t="str">
        <f t="shared" si="339"/>
        <v>18:37:46.789</v>
      </c>
      <c r="C3247" t="str">
        <f t="shared" si="340"/>
        <v>18:37:46.589</v>
      </c>
      <c r="D3247" t="s">
        <v>1226</v>
      </c>
      <c r="E3247">
        <v>30.870016</v>
      </c>
      <c r="F3247" t="s">
        <v>1227</v>
      </c>
      <c r="G3247">
        <v>-89.882755000000003</v>
      </c>
      <c r="H3247">
        <v>1700</v>
      </c>
      <c r="I3247">
        <v>-29</v>
      </c>
      <c r="J3247">
        <v>151</v>
      </c>
      <c r="K3247">
        <v>-192</v>
      </c>
      <c r="L3247">
        <v>1200</v>
      </c>
      <c r="M3247" t="str">
        <f t="shared" si="331"/>
        <v xml:space="preserve">N35DC   </v>
      </c>
      <c r="N3247">
        <v>1</v>
      </c>
      <c r="O3247">
        <v>1750</v>
      </c>
    </row>
    <row r="3248" spans="1:15" x14ac:dyDescent="0.25">
      <c r="A3248" t="str">
        <f t="shared" si="338"/>
        <v>10/21/2020 18:37:38.831</v>
      </c>
      <c r="B3248" t="str">
        <f t="shared" si="339"/>
        <v>18:37:46.789</v>
      </c>
      <c r="C3248" t="str">
        <f t="shared" si="340"/>
        <v>18:37:46.589</v>
      </c>
      <c r="D3248" t="s">
        <v>1226</v>
      </c>
      <c r="E3248">
        <v>30.870016</v>
      </c>
      <c r="F3248" t="s">
        <v>1227</v>
      </c>
      <c r="G3248">
        <v>-89.882755000000003</v>
      </c>
      <c r="H3248">
        <v>1700</v>
      </c>
      <c r="I3248">
        <v>-29</v>
      </c>
      <c r="J3248">
        <v>151</v>
      </c>
      <c r="K3248">
        <v>-192</v>
      </c>
      <c r="L3248">
        <v>1200</v>
      </c>
      <c r="M3248" t="str">
        <f t="shared" si="331"/>
        <v xml:space="preserve">N35DC   </v>
      </c>
      <c r="N3248">
        <v>1</v>
      </c>
      <c r="O3248">
        <v>1750</v>
      </c>
    </row>
    <row r="3249" spans="1:15" x14ac:dyDescent="0.25">
      <c r="A3249" t="str">
        <f t="shared" si="338"/>
        <v>10/21/2020 18:37:38.831</v>
      </c>
      <c r="B3249" t="str">
        <f t="shared" si="339"/>
        <v>18:37:46.789</v>
      </c>
      <c r="C3249" t="str">
        <f t="shared" si="340"/>
        <v>18:37:46.589</v>
      </c>
      <c r="D3249" t="s">
        <v>1226</v>
      </c>
      <c r="E3249">
        <v>30.870016</v>
      </c>
      <c r="F3249" t="s">
        <v>1227</v>
      </c>
      <c r="G3249">
        <v>-89.882755000000003</v>
      </c>
      <c r="H3249">
        <v>1700</v>
      </c>
      <c r="I3249">
        <v>-29</v>
      </c>
      <c r="J3249">
        <v>151</v>
      </c>
      <c r="K3249">
        <v>-192</v>
      </c>
      <c r="L3249">
        <v>1200</v>
      </c>
      <c r="M3249" t="str">
        <f t="shared" si="331"/>
        <v xml:space="preserve">N35DC   </v>
      </c>
      <c r="N3249">
        <v>1</v>
      </c>
      <c r="O3249">
        <v>1750</v>
      </c>
    </row>
    <row r="3250" spans="1:15" x14ac:dyDescent="0.25">
      <c r="A3250" t="str">
        <f t="shared" si="338"/>
        <v>10/21/2020 18:37:38.831</v>
      </c>
      <c r="B3250" t="str">
        <f t="shared" si="339"/>
        <v>18:37:46.789</v>
      </c>
      <c r="C3250" t="str">
        <f t="shared" si="340"/>
        <v>18:37:46.589</v>
      </c>
      <c r="D3250" t="s">
        <v>1226</v>
      </c>
      <c r="E3250">
        <v>30.870016</v>
      </c>
      <c r="F3250" t="s">
        <v>1227</v>
      </c>
      <c r="G3250">
        <v>-89.882755000000003</v>
      </c>
      <c r="H3250">
        <v>1700</v>
      </c>
      <c r="I3250">
        <v>-29</v>
      </c>
      <c r="J3250">
        <v>151</v>
      </c>
      <c r="K3250">
        <v>-192</v>
      </c>
      <c r="L3250">
        <v>1200</v>
      </c>
      <c r="M3250" t="str">
        <f t="shared" si="331"/>
        <v xml:space="preserve">N35DC   </v>
      </c>
      <c r="N3250">
        <v>1</v>
      </c>
      <c r="O3250">
        <v>1750</v>
      </c>
    </row>
    <row r="3251" spans="1:15" x14ac:dyDescent="0.25">
      <c r="A3251" t="str">
        <f t="shared" si="338"/>
        <v>10/21/2020 18:37:38.831</v>
      </c>
      <c r="B3251" t="str">
        <f t="shared" si="339"/>
        <v>18:37:46.789</v>
      </c>
      <c r="C3251" t="str">
        <f t="shared" si="340"/>
        <v>18:37:46.589</v>
      </c>
      <c r="D3251" t="s">
        <v>1226</v>
      </c>
      <c r="E3251">
        <v>30.870016</v>
      </c>
      <c r="F3251" t="s">
        <v>1227</v>
      </c>
      <c r="G3251">
        <v>-89.882755000000003</v>
      </c>
      <c r="H3251">
        <v>1700</v>
      </c>
      <c r="I3251">
        <v>-29</v>
      </c>
      <c r="J3251">
        <v>151</v>
      </c>
      <c r="K3251">
        <v>-192</v>
      </c>
      <c r="L3251">
        <v>1200</v>
      </c>
      <c r="M3251" t="str">
        <f t="shared" si="331"/>
        <v xml:space="preserve">N35DC   </v>
      </c>
      <c r="N3251">
        <v>1</v>
      </c>
      <c r="O3251">
        <v>1750</v>
      </c>
    </row>
    <row r="3252" spans="1:15" x14ac:dyDescent="0.25">
      <c r="A3252" t="str">
        <f>"10/21/2020 18:37:41.794"</f>
        <v>10/21/2020 18:37:41.794</v>
      </c>
      <c r="B3252" t="str">
        <f>"18:37:49.695"</f>
        <v>18:37:49.695</v>
      </c>
      <c r="C3252" t="str">
        <f>"18:37:49.395"</f>
        <v>18:37:49.395</v>
      </c>
      <c r="D3252" t="s">
        <v>1228</v>
      </c>
      <c r="E3252">
        <v>30.872076</v>
      </c>
      <c r="F3252" t="s">
        <v>1229</v>
      </c>
      <c r="G3252">
        <v>-89.883249000000006</v>
      </c>
      <c r="H3252">
        <v>1700</v>
      </c>
      <c r="I3252">
        <v>-30</v>
      </c>
      <c r="J3252">
        <v>153</v>
      </c>
      <c r="K3252">
        <v>-128</v>
      </c>
      <c r="L3252">
        <v>1200</v>
      </c>
      <c r="M3252" t="str">
        <f t="shared" si="331"/>
        <v xml:space="preserve">N35DC   </v>
      </c>
      <c r="N3252">
        <v>1</v>
      </c>
      <c r="O3252">
        <v>1725</v>
      </c>
    </row>
    <row r="3253" spans="1:15" x14ac:dyDescent="0.25">
      <c r="A3253" t="str">
        <f>"10/21/2020 18:37:41.794"</f>
        <v>10/21/2020 18:37:41.794</v>
      </c>
      <c r="B3253" t="str">
        <f>"18:37:49.695"</f>
        <v>18:37:49.695</v>
      </c>
      <c r="C3253" t="str">
        <f>"18:37:49.395"</f>
        <v>18:37:49.395</v>
      </c>
      <c r="D3253" t="s">
        <v>1228</v>
      </c>
      <c r="E3253">
        <v>30.872076</v>
      </c>
      <c r="F3253" t="s">
        <v>1229</v>
      </c>
      <c r="G3253">
        <v>-89.883249000000006</v>
      </c>
      <c r="H3253">
        <v>1700</v>
      </c>
      <c r="I3253">
        <v>-30</v>
      </c>
      <c r="J3253">
        <v>153</v>
      </c>
      <c r="K3253">
        <v>-128</v>
      </c>
      <c r="L3253">
        <v>1200</v>
      </c>
      <c r="M3253" t="str">
        <f t="shared" si="331"/>
        <v xml:space="preserve">N35DC   </v>
      </c>
      <c r="N3253">
        <v>1</v>
      </c>
      <c r="O3253">
        <v>1725</v>
      </c>
    </row>
    <row r="3254" spans="1:15" x14ac:dyDescent="0.25">
      <c r="A3254" t="str">
        <f>"10/21/2020 18:37:41.794"</f>
        <v>10/21/2020 18:37:41.794</v>
      </c>
      <c r="B3254" t="str">
        <f>"18:37:49.695"</f>
        <v>18:37:49.695</v>
      </c>
      <c r="C3254" t="str">
        <f>"18:37:49.395"</f>
        <v>18:37:49.395</v>
      </c>
      <c r="D3254" t="s">
        <v>1228</v>
      </c>
      <c r="E3254">
        <v>30.872076</v>
      </c>
      <c r="F3254" t="s">
        <v>1229</v>
      </c>
      <c r="G3254">
        <v>-89.883249000000006</v>
      </c>
      <c r="H3254">
        <v>1700</v>
      </c>
      <c r="I3254">
        <v>-30</v>
      </c>
      <c r="J3254">
        <v>153</v>
      </c>
      <c r="K3254">
        <v>-128</v>
      </c>
      <c r="L3254">
        <v>1200</v>
      </c>
      <c r="M3254" t="str">
        <f t="shared" si="331"/>
        <v xml:space="preserve">N35DC   </v>
      </c>
      <c r="N3254">
        <v>1</v>
      </c>
      <c r="O3254">
        <v>1725</v>
      </c>
    </row>
    <row r="3255" spans="1:15" x14ac:dyDescent="0.25">
      <c r="A3255" t="str">
        <f>"10/21/2020 18:37:41.794"</f>
        <v>10/21/2020 18:37:41.794</v>
      </c>
      <c r="B3255" t="str">
        <f>"18:37:49.695"</f>
        <v>18:37:49.695</v>
      </c>
      <c r="C3255" t="str">
        <f>"18:37:49.395"</f>
        <v>18:37:49.395</v>
      </c>
      <c r="D3255" t="s">
        <v>1228</v>
      </c>
      <c r="E3255">
        <v>30.872076</v>
      </c>
      <c r="F3255" t="s">
        <v>1229</v>
      </c>
      <c r="G3255">
        <v>-89.883249000000006</v>
      </c>
      <c r="H3255">
        <v>1700</v>
      </c>
      <c r="I3255">
        <v>-30</v>
      </c>
      <c r="J3255">
        <v>153</v>
      </c>
      <c r="K3255">
        <v>-128</v>
      </c>
      <c r="L3255">
        <v>1200</v>
      </c>
      <c r="M3255" t="str">
        <f t="shared" si="331"/>
        <v xml:space="preserve">N35DC   </v>
      </c>
      <c r="N3255">
        <v>1</v>
      </c>
      <c r="O3255">
        <v>1725</v>
      </c>
    </row>
    <row r="3256" spans="1:15" x14ac:dyDescent="0.25">
      <c r="A3256" t="str">
        <f>"10/21/2020 18:37:41.794"</f>
        <v>10/21/2020 18:37:41.794</v>
      </c>
      <c r="B3256" t="str">
        <f>"18:37:49.695"</f>
        <v>18:37:49.695</v>
      </c>
      <c r="C3256" t="str">
        <f>"18:37:49.395"</f>
        <v>18:37:49.395</v>
      </c>
      <c r="D3256" t="s">
        <v>1228</v>
      </c>
      <c r="E3256">
        <v>30.872076</v>
      </c>
      <c r="F3256" t="s">
        <v>1229</v>
      </c>
      <c r="G3256">
        <v>-89.883249000000006</v>
      </c>
      <c r="H3256">
        <v>1700</v>
      </c>
      <c r="I3256">
        <v>-30</v>
      </c>
      <c r="J3256">
        <v>153</v>
      </c>
      <c r="K3256">
        <v>-128</v>
      </c>
      <c r="L3256">
        <v>1200</v>
      </c>
      <c r="M3256" t="str">
        <f t="shared" si="331"/>
        <v xml:space="preserve">N35DC   </v>
      </c>
      <c r="N3256">
        <v>1</v>
      </c>
      <c r="O3256">
        <v>1725</v>
      </c>
    </row>
    <row r="3257" spans="1:15" x14ac:dyDescent="0.25">
      <c r="A3257" t="str">
        <f t="shared" ref="A3257:A3262" si="341">"10/21/2020 18:37:42.831"</f>
        <v>10/21/2020 18:37:42.831</v>
      </c>
      <c r="B3257" t="str">
        <f t="shared" ref="B3257:C3262" si="342">"18:37:50.773"</f>
        <v>18:37:50.773</v>
      </c>
      <c r="C3257" t="str">
        <f t="shared" si="342"/>
        <v>18:37:50.773</v>
      </c>
      <c r="D3257" t="s">
        <v>1230</v>
      </c>
      <c r="E3257">
        <v>30.872869000000001</v>
      </c>
      <c r="F3257" t="s">
        <v>1231</v>
      </c>
      <c r="G3257">
        <v>-89.883398999999997</v>
      </c>
      <c r="H3257">
        <v>1600</v>
      </c>
      <c r="I3257">
        <v>-30</v>
      </c>
      <c r="J3257">
        <v>154</v>
      </c>
      <c r="K3257">
        <v>-192</v>
      </c>
      <c r="L3257">
        <v>1200</v>
      </c>
      <c r="M3257" t="str">
        <f t="shared" si="331"/>
        <v xml:space="preserve">N35DC   </v>
      </c>
      <c r="N3257">
        <v>1</v>
      </c>
      <c r="O3257">
        <v>1825</v>
      </c>
    </row>
    <row r="3258" spans="1:15" x14ac:dyDescent="0.25">
      <c r="A3258" t="str">
        <f t="shared" si="341"/>
        <v>10/21/2020 18:37:42.831</v>
      </c>
      <c r="B3258" t="str">
        <f t="shared" si="342"/>
        <v>18:37:50.773</v>
      </c>
      <c r="C3258" t="str">
        <f t="shared" si="342"/>
        <v>18:37:50.773</v>
      </c>
      <c r="D3258" t="s">
        <v>1230</v>
      </c>
      <c r="E3258">
        <v>30.872869000000001</v>
      </c>
      <c r="F3258" t="s">
        <v>1231</v>
      </c>
      <c r="G3258">
        <v>-89.883398999999997</v>
      </c>
      <c r="H3258">
        <v>1600</v>
      </c>
      <c r="I3258">
        <v>-30</v>
      </c>
      <c r="J3258">
        <v>154</v>
      </c>
      <c r="K3258">
        <v>-192</v>
      </c>
      <c r="L3258">
        <v>1200</v>
      </c>
      <c r="M3258" t="str">
        <f t="shared" si="331"/>
        <v xml:space="preserve">N35DC   </v>
      </c>
      <c r="N3258">
        <v>1</v>
      </c>
      <c r="O3258">
        <v>1825</v>
      </c>
    </row>
    <row r="3259" spans="1:15" x14ac:dyDescent="0.25">
      <c r="A3259" t="str">
        <f t="shared" si="341"/>
        <v>10/21/2020 18:37:42.831</v>
      </c>
      <c r="B3259" t="str">
        <f t="shared" si="342"/>
        <v>18:37:50.773</v>
      </c>
      <c r="C3259" t="str">
        <f t="shared" si="342"/>
        <v>18:37:50.773</v>
      </c>
      <c r="D3259" t="s">
        <v>1230</v>
      </c>
      <c r="E3259">
        <v>30.872869000000001</v>
      </c>
      <c r="F3259" t="s">
        <v>1231</v>
      </c>
      <c r="G3259">
        <v>-89.883398999999997</v>
      </c>
      <c r="H3259">
        <v>1600</v>
      </c>
      <c r="I3259">
        <v>-30</v>
      </c>
      <c r="J3259">
        <v>154</v>
      </c>
      <c r="K3259">
        <v>-192</v>
      </c>
      <c r="L3259">
        <v>1200</v>
      </c>
      <c r="M3259" t="str">
        <f t="shared" si="331"/>
        <v xml:space="preserve">N35DC   </v>
      </c>
      <c r="N3259">
        <v>1</v>
      </c>
      <c r="O3259">
        <v>1825</v>
      </c>
    </row>
    <row r="3260" spans="1:15" x14ac:dyDescent="0.25">
      <c r="A3260" t="str">
        <f t="shared" si="341"/>
        <v>10/21/2020 18:37:42.831</v>
      </c>
      <c r="B3260" t="str">
        <f t="shared" si="342"/>
        <v>18:37:50.773</v>
      </c>
      <c r="C3260" t="str">
        <f t="shared" si="342"/>
        <v>18:37:50.773</v>
      </c>
      <c r="D3260" t="s">
        <v>1230</v>
      </c>
      <c r="E3260">
        <v>30.872869000000001</v>
      </c>
      <c r="F3260" t="s">
        <v>1231</v>
      </c>
      <c r="G3260">
        <v>-89.883398999999997</v>
      </c>
      <c r="H3260">
        <v>1600</v>
      </c>
      <c r="I3260">
        <v>-30</v>
      </c>
      <c r="J3260">
        <v>154</v>
      </c>
      <c r="K3260">
        <v>-192</v>
      </c>
      <c r="L3260">
        <v>1200</v>
      </c>
      <c r="M3260" t="str">
        <f t="shared" si="331"/>
        <v xml:space="preserve">N35DC   </v>
      </c>
      <c r="N3260">
        <v>1</v>
      </c>
      <c r="O3260">
        <v>1825</v>
      </c>
    </row>
    <row r="3261" spans="1:15" x14ac:dyDescent="0.25">
      <c r="A3261" t="str">
        <f t="shared" si="341"/>
        <v>10/21/2020 18:37:42.831</v>
      </c>
      <c r="B3261" t="str">
        <f t="shared" si="342"/>
        <v>18:37:50.773</v>
      </c>
      <c r="C3261" t="str">
        <f t="shared" si="342"/>
        <v>18:37:50.773</v>
      </c>
      <c r="D3261" t="s">
        <v>1230</v>
      </c>
      <c r="E3261">
        <v>30.872869000000001</v>
      </c>
      <c r="F3261" t="s">
        <v>1231</v>
      </c>
      <c r="G3261">
        <v>-89.883398999999997</v>
      </c>
      <c r="H3261">
        <v>1600</v>
      </c>
      <c r="I3261">
        <v>-30</v>
      </c>
      <c r="J3261">
        <v>154</v>
      </c>
      <c r="K3261">
        <v>-192</v>
      </c>
      <c r="L3261">
        <v>1200</v>
      </c>
      <c r="M3261" t="str">
        <f t="shared" si="331"/>
        <v xml:space="preserve">N35DC   </v>
      </c>
      <c r="N3261">
        <v>1</v>
      </c>
      <c r="O3261">
        <v>1825</v>
      </c>
    </row>
    <row r="3262" spans="1:15" x14ac:dyDescent="0.25">
      <c r="A3262" t="str">
        <f t="shared" si="341"/>
        <v>10/21/2020 18:37:42.831</v>
      </c>
      <c r="B3262" t="str">
        <f t="shared" si="342"/>
        <v>18:37:50.773</v>
      </c>
      <c r="C3262" t="str">
        <f t="shared" si="342"/>
        <v>18:37:50.773</v>
      </c>
      <c r="D3262" t="s">
        <v>1230</v>
      </c>
      <c r="E3262">
        <v>30.872869000000001</v>
      </c>
      <c r="F3262" t="s">
        <v>1231</v>
      </c>
      <c r="G3262">
        <v>-89.883398999999997</v>
      </c>
      <c r="H3262">
        <v>1600</v>
      </c>
      <c r="I3262">
        <v>-30</v>
      </c>
      <c r="J3262">
        <v>154</v>
      </c>
      <c r="K3262">
        <v>-192</v>
      </c>
      <c r="L3262">
        <v>1200</v>
      </c>
      <c r="M3262" t="str">
        <f t="shared" si="331"/>
        <v xml:space="preserve">N35DC   </v>
      </c>
      <c r="N3262">
        <v>1</v>
      </c>
      <c r="O3262">
        <v>1825</v>
      </c>
    </row>
    <row r="3263" spans="1:15" x14ac:dyDescent="0.25">
      <c r="A3263" t="str">
        <f t="shared" ref="A3263:A3268" si="343">"10/21/2020 18:37:46.003"</f>
        <v>10/21/2020 18:37:46.003</v>
      </c>
      <c r="B3263" t="str">
        <f t="shared" ref="B3263:C3268" si="344">"18:37:53.953"</f>
        <v>18:37:53.953</v>
      </c>
      <c r="C3263" t="str">
        <f t="shared" si="344"/>
        <v>18:37:53.953</v>
      </c>
      <c r="D3263" t="s">
        <v>1232</v>
      </c>
      <c r="E3263">
        <v>30.875122999999999</v>
      </c>
      <c r="F3263" t="s">
        <v>1233</v>
      </c>
      <c r="G3263">
        <v>-89.883870999999999</v>
      </c>
      <c r="H3263">
        <v>1600</v>
      </c>
      <c r="I3263">
        <v>-28</v>
      </c>
      <c r="J3263">
        <v>154</v>
      </c>
      <c r="K3263">
        <v>-64</v>
      </c>
      <c r="L3263">
        <v>1200</v>
      </c>
      <c r="M3263" t="str">
        <f t="shared" si="331"/>
        <v xml:space="preserve">N35DC   </v>
      </c>
      <c r="N3263">
        <v>1</v>
      </c>
      <c r="O3263">
        <v>1725</v>
      </c>
    </row>
    <row r="3264" spans="1:15" x14ac:dyDescent="0.25">
      <c r="A3264" t="str">
        <f t="shared" si="343"/>
        <v>10/21/2020 18:37:46.003</v>
      </c>
      <c r="B3264" t="str">
        <f t="shared" si="344"/>
        <v>18:37:53.953</v>
      </c>
      <c r="C3264" t="str">
        <f t="shared" si="344"/>
        <v>18:37:53.953</v>
      </c>
      <c r="D3264" t="s">
        <v>1232</v>
      </c>
      <c r="E3264">
        <v>30.875122999999999</v>
      </c>
      <c r="F3264" t="s">
        <v>1233</v>
      </c>
      <c r="G3264">
        <v>-89.883870999999999</v>
      </c>
      <c r="H3264">
        <v>1600</v>
      </c>
      <c r="I3264">
        <v>-28</v>
      </c>
      <c r="J3264">
        <v>154</v>
      </c>
      <c r="K3264">
        <v>-64</v>
      </c>
      <c r="L3264">
        <v>1200</v>
      </c>
      <c r="M3264" t="str">
        <f t="shared" si="331"/>
        <v xml:space="preserve">N35DC   </v>
      </c>
      <c r="N3264">
        <v>1</v>
      </c>
      <c r="O3264">
        <v>1725</v>
      </c>
    </row>
    <row r="3265" spans="1:15" x14ac:dyDescent="0.25">
      <c r="A3265" t="str">
        <f t="shared" si="343"/>
        <v>10/21/2020 18:37:46.003</v>
      </c>
      <c r="B3265" t="str">
        <f t="shared" si="344"/>
        <v>18:37:53.953</v>
      </c>
      <c r="C3265" t="str">
        <f t="shared" si="344"/>
        <v>18:37:53.953</v>
      </c>
      <c r="D3265" t="s">
        <v>1232</v>
      </c>
      <c r="E3265">
        <v>30.875122999999999</v>
      </c>
      <c r="F3265" t="s">
        <v>1233</v>
      </c>
      <c r="G3265">
        <v>-89.883870999999999</v>
      </c>
      <c r="H3265">
        <v>1600</v>
      </c>
      <c r="I3265">
        <v>-28</v>
      </c>
      <c r="J3265">
        <v>154</v>
      </c>
      <c r="K3265">
        <v>-64</v>
      </c>
      <c r="L3265">
        <v>1200</v>
      </c>
      <c r="M3265" t="str">
        <f t="shared" si="331"/>
        <v xml:space="preserve">N35DC   </v>
      </c>
      <c r="N3265">
        <v>1</v>
      </c>
      <c r="O3265">
        <v>1725</v>
      </c>
    </row>
    <row r="3266" spans="1:15" x14ac:dyDescent="0.25">
      <c r="A3266" t="str">
        <f t="shared" si="343"/>
        <v>10/21/2020 18:37:46.003</v>
      </c>
      <c r="B3266" t="str">
        <f t="shared" si="344"/>
        <v>18:37:53.953</v>
      </c>
      <c r="C3266" t="str">
        <f t="shared" si="344"/>
        <v>18:37:53.953</v>
      </c>
      <c r="D3266" t="s">
        <v>1232</v>
      </c>
      <c r="E3266">
        <v>30.875122999999999</v>
      </c>
      <c r="F3266" t="s">
        <v>1233</v>
      </c>
      <c r="G3266">
        <v>-89.883870999999999</v>
      </c>
      <c r="H3266">
        <v>1600</v>
      </c>
      <c r="I3266">
        <v>-28</v>
      </c>
      <c r="J3266">
        <v>154</v>
      </c>
      <c r="K3266">
        <v>-64</v>
      </c>
      <c r="L3266">
        <v>1200</v>
      </c>
      <c r="M3266" t="str">
        <f t="shared" si="331"/>
        <v xml:space="preserve">N35DC   </v>
      </c>
      <c r="N3266">
        <v>1</v>
      </c>
      <c r="O3266">
        <v>1725</v>
      </c>
    </row>
    <row r="3267" spans="1:15" x14ac:dyDescent="0.25">
      <c r="A3267" t="str">
        <f t="shared" si="343"/>
        <v>10/21/2020 18:37:46.003</v>
      </c>
      <c r="B3267" t="str">
        <f t="shared" si="344"/>
        <v>18:37:53.953</v>
      </c>
      <c r="C3267" t="str">
        <f t="shared" si="344"/>
        <v>18:37:53.953</v>
      </c>
      <c r="D3267" t="s">
        <v>1232</v>
      </c>
      <c r="E3267">
        <v>30.875122999999999</v>
      </c>
      <c r="F3267" t="s">
        <v>1233</v>
      </c>
      <c r="G3267">
        <v>-89.883870999999999</v>
      </c>
      <c r="H3267">
        <v>1600</v>
      </c>
      <c r="I3267">
        <v>-28</v>
      </c>
      <c r="J3267">
        <v>154</v>
      </c>
      <c r="K3267">
        <v>-64</v>
      </c>
      <c r="L3267">
        <v>1200</v>
      </c>
      <c r="M3267" t="str">
        <f t="shared" si="331"/>
        <v xml:space="preserve">N35DC   </v>
      </c>
      <c r="N3267">
        <v>1</v>
      </c>
      <c r="O3267">
        <v>1725</v>
      </c>
    </row>
    <row r="3268" spans="1:15" x14ac:dyDescent="0.25">
      <c r="A3268" t="str">
        <f t="shared" si="343"/>
        <v>10/21/2020 18:37:46.003</v>
      </c>
      <c r="B3268" t="str">
        <f t="shared" si="344"/>
        <v>18:37:53.953</v>
      </c>
      <c r="C3268" t="str">
        <f t="shared" si="344"/>
        <v>18:37:53.953</v>
      </c>
      <c r="D3268" t="s">
        <v>1232</v>
      </c>
      <c r="E3268">
        <v>30.875122999999999</v>
      </c>
      <c r="F3268" t="s">
        <v>1233</v>
      </c>
      <c r="G3268">
        <v>-89.883870999999999</v>
      </c>
      <c r="H3268">
        <v>1600</v>
      </c>
      <c r="I3268">
        <v>-28</v>
      </c>
      <c r="J3268">
        <v>154</v>
      </c>
      <c r="K3268">
        <v>-64</v>
      </c>
      <c r="L3268">
        <v>1200</v>
      </c>
      <c r="M3268" t="str">
        <f t="shared" si="331"/>
        <v xml:space="preserve">N35DC   </v>
      </c>
      <c r="N3268">
        <v>1</v>
      </c>
      <c r="O3268">
        <v>1725</v>
      </c>
    </row>
    <row r="3269" spans="1:15" x14ac:dyDescent="0.25">
      <c r="A3269" t="str">
        <f>"10/21/2020 18:37:47.005"</f>
        <v>10/21/2020 18:37:47.005</v>
      </c>
      <c r="B3269" t="str">
        <f>"18:37:54.930"</f>
        <v>18:37:54.930</v>
      </c>
      <c r="C3269" t="str">
        <f>"18:37:54.830"</f>
        <v>18:37:54.830</v>
      </c>
      <c r="D3269" t="s">
        <v>1234</v>
      </c>
      <c r="E3269">
        <v>30.875831000000002</v>
      </c>
      <c r="F3269" t="s">
        <v>1235</v>
      </c>
      <c r="G3269">
        <v>-89.884043000000005</v>
      </c>
      <c r="H3269">
        <v>1600</v>
      </c>
      <c r="I3269">
        <v>-28</v>
      </c>
      <c r="J3269">
        <v>154</v>
      </c>
      <c r="K3269">
        <v>64</v>
      </c>
      <c r="L3269">
        <v>1200</v>
      </c>
      <c r="M3269" t="str">
        <f t="shared" si="331"/>
        <v xml:space="preserve">N35DC   </v>
      </c>
      <c r="N3269">
        <v>1</v>
      </c>
      <c r="O3269">
        <v>1725</v>
      </c>
    </row>
    <row r="3270" spans="1:15" x14ac:dyDescent="0.25">
      <c r="A3270" t="str">
        <f>"10/21/2020 18:37:47.005"</f>
        <v>10/21/2020 18:37:47.005</v>
      </c>
      <c r="B3270" t="str">
        <f>"18:37:54.930"</f>
        <v>18:37:54.930</v>
      </c>
      <c r="C3270" t="str">
        <f>"18:37:54.830"</f>
        <v>18:37:54.830</v>
      </c>
      <c r="D3270" t="s">
        <v>1234</v>
      </c>
      <c r="E3270">
        <v>30.875831000000002</v>
      </c>
      <c r="F3270" t="s">
        <v>1235</v>
      </c>
      <c r="G3270">
        <v>-89.884043000000005</v>
      </c>
      <c r="H3270">
        <v>1600</v>
      </c>
      <c r="I3270">
        <v>-28</v>
      </c>
      <c r="J3270">
        <v>154</v>
      </c>
      <c r="K3270">
        <v>64</v>
      </c>
      <c r="L3270">
        <v>1200</v>
      </c>
      <c r="M3270" t="str">
        <f t="shared" si="331"/>
        <v xml:space="preserve">N35DC   </v>
      </c>
      <c r="N3270">
        <v>1</v>
      </c>
      <c r="O3270">
        <v>1725</v>
      </c>
    </row>
    <row r="3271" spans="1:15" x14ac:dyDescent="0.25">
      <c r="A3271" t="str">
        <f>"10/21/2020 18:37:47.005"</f>
        <v>10/21/2020 18:37:47.005</v>
      </c>
      <c r="B3271" t="str">
        <f>"18:37:54.930"</f>
        <v>18:37:54.930</v>
      </c>
      <c r="C3271" t="str">
        <f>"18:37:54.830"</f>
        <v>18:37:54.830</v>
      </c>
      <c r="D3271" t="s">
        <v>1234</v>
      </c>
      <c r="E3271">
        <v>30.875831000000002</v>
      </c>
      <c r="F3271" t="s">
        <v>1235</v>
      </c>
      <c r="G3271">
        <v>-89.884043000000005</v>
      </c>
      <c r="H3271">
        <v>1600</v>
      </c>
      <c r="I3271">
        <v>-28</v>
      </c>
      <c r="J3271">
        <v>154</v>
      </c>
      <c r="K3271">
        <v>64</v>
      </c>
      <c r="L3271">
        <v>1200</v>
      </c>
      <c r="M3271" t="str">
        <f t="shared" ref="M3271:M3334" si="345">"N35DC   "</f>
        <v xml:space="preserve">N35DC   </v>
      </c>
      <c r="N3271">
        <v>1</v>
      </c>
      <c r="O3271">
        <v>1725</v>
      </c>
    </row>
    <row r="3272" spans="1:15" x14ac:dyDescent="0.25">
      <c r="A3272" t="str">
        <f>"10/21/2020 18:37:47.005"</f>
        <v>10/21/2020 18:37:47.005</v>
      </c>
      <c r="B3272" t="str">
        <f>"18:37:54.930"</f>
        <v>18:37:54.930</v>
      </c>
      <c r="C3272" t="str">
        <f>"18:37:54.830"</f>
        <v>18:37:54.830</v>
      </c>
      <c r="D3272" t="s">
        <v>1234</v>
      </c>
      <c r="E3272">
        <v>30.875831000000002</v>
      </c>
      <c r="F3272" t="s">
        <v>1235</v>
      </c>
      <c r="G3272">
        <v>-89.884043000000005</v>
      </c>
      <c r="H3272">
        <v>1600</v>
      </c>
      <c r="I3272">
        <v>-28</v>
      </c>
      <c r="J3272">
        <v>154</v>
      </c>
      <c r="K3272">
        <v>64</v>
      </c>
      <c r="L3272">
        <v>1200</v>
      </c>
      <c r="M3272" t="str">
        <f t="shared" si="345"/>
        <v xml:space="preserve">N35DC   </v>
      </c>
      <c r="N3272">
        <v>1</v>
      </c>
      <c r="O3272">
        <v>1725</v>
      </c>
    </row>
    <row r="3273" spans="1:15" x14ac:dyDescent="0.25">
      <c r="A3273" t="str">
        <f>"10/21/2020 18:37:47.005"</f>
        <v>10/21/2020 18:37:47.005</v>
      </c>
      <c r="B3273" t="str">
        <f>"18:37:54.930"</f>
        <v>18:37:54.930</v>
      </c>
      <c r="C3273" t="str">
        <f>"18:37:54.830"</f>
        <v>18:37:54.830</v>
      </c>
      <c r="D3273" t="s">
        <v>1234</v>
      </c>
      <c r="E3273">
        <v>30.875831000000002</v>
      </c>
      <c r="F3273" t="s">
        <v>1235</v>
      </c>
      <c r="G3273">
        <v>-89.884043000000005</v>
      </c>
      <c r="H3273">
        <v>1600</v>
      </c>
      <c r="I3273">
        <v>-28</v>
      </c>
      <c r="J3273">
        <v>154</v>
      </c>
      <c r="K3273">
        <v>64</v>
      </c>
      <c r="L3273">
        <v>1200</v>
      </c>
      <c r="M3273" t="str">
        <f t="shared" si="345"/>
        <v xml:space="preserve">N35DC   </v>
      </c>
      <c r="N3273">
        <v>1</v>
      </c>
      <c r="O3273">
        <v>1725</v>
      </c>
    </row>
    <row r="3274" spans="1:15" x14ac:dyDescent="0.25">
      <c r="A3274" t="str">
        <f>"10/21/2020 18:37:49.988"</f>
        <v>10/21/2020 18:37:49.988</v>
      </c>
      <c r="B3274" t="str">
        <f t="shared" ref="B3274:C3278" si="346">"18:37:57.875"</f>
        <v>18:37:57.875</v>
      </c>
      <c r="C3274" t="str">
        <f t="shared" si="346"/>
        <v>18:37:57.875</v>
      </c>
      <c r="D3274" t="s">
        <v>1236</v>
      </c>
      <c r="E3274">
        <v>30.877911999999998</v>
      </c>
      <c r="F3274" t="s">
        <v>1237</v>
      </c>
      <c r="G3274">
        <v>-89.884472000000002</v>
      </c>
      <c r="H3274">
        <v>1600</v>
      </c>
      <c r="I3274">
        <v>-25</v>
      </c>
      <c r="J3274">
        <v>154</v>
      </c>
      <c r="K3274">
        <v>64</v>
      </c>
      <c r="L3274">
        <v>1200</v>
      </c>
      <c r="M3274" t="str">
        <f t="shared" si="345"/>
        <v xml:space="preserve">N35DC   </v>
      </c>
      <c r="N3274">
        <v>1</v>
      </c>
      <c r="O3274">
        <v>1825</v>
      </c>
    </row>
    <row r="3275" spans="1:15" x14ac:dyDescent="0.25">
      <c r="A3275" t="str">
        <f>"10/21/2020 18:37:49.988"</f>
        <v>10/21/2020 18:37:49.988</v>
      </c>
      <c r="B3275" t="str">
        <f t="shared" si="346"/>
        <v>18:37:57.875</v>
      </c>
      <c r="C3275" t="str">
        <f t="shared" si="346"/>
        <v>18:37:57.875</v>
      </c>
      <c r="D3275" t="s">
        <v>1236</v>
      </c>
      <c r="E3275">
        <v>30.877911999999998</v>
      </c>
      <c r="F3275" t="s">
        <v>1237</v>
      </c>
      <c r="G3275">
        <v>-89.884472000000002</v>
      </c>
      <c r="H3275">
        <v>1600</v>
      </c>
      <c r="I3275">
        <v>-25</v>
      </c>
      <c r="J3275">
        <v>154</v>
      </c>
      <c r="K3275">
        <v>64</v>
      </c>
      <c r="L3275">
        <v>1200</v>
      </c>
      <c r="M3275" t="str">
        <f t="shared" si="345"/>
        <v xml:space="preserve">N35DC   </v>
      </c>
      <c r="N3275">
        <v>1</v>
      </c>
      <c r="O3275">
        <v>1825</v>
      </c>
    </row>
    <row r="3276" spans="1:15" x14ac:dyDescent="0.25">
      <c r="A3276" t="str">
        <f>"10/21/2020 18:37:49.988"</f>
        <v>10/21/2020 18:37:49.988</v>
      </c>
      <c r="B3276" t="str">
        <f t="shared" si="346"/>
        <v>18:37:57.875</v>
      </c>
      <c r="C3276" t="str">
        <f t="shared" si="346"/>
        <v>18:37:57.875</v>
      </c>
      <c r="D3276" t="s">
        <v>1236</v>
      </c>
      <c r="E3276">
        <v>30.877911999999998</v>
      </c>
      <c r="F3276" t="s">
        <v>1237</v>
      </c>
      <c r="G3276">
        <v>-89.884472000000002</v>
      </c>
      <c r="H3276">
        <v>1600</v>
      </c>
      <c r="I3276">
        <v>-25</v>
      </c>
      <c r="J3276">
        <v>154</v>
      </c>
      <c r="K3276">
        <v>64</v>
      </c>
      <c r="L3276">
        <v>1200</v>
      </c>
      <c r="M3276" t="str">
        <f t="shared" si="345"/>
        <v xml:space="preserve">N35DC   </v>
      </c>
      <c r="N3276">
        <v>1</v>
      </c>
      <c r="O3276">
        <v>1825</v>
      </c>
    </row>
    <row r="3277" spans="1:15" x14ac:dyDescent="0.25">
      <c r="A3277" t="str">
        <f>"10/21/2020 18:37:49.988"</f>
        <v>10/21/2020 18:37:49.988</v>
      </c>
      <c r="B3277" t="str">
        <f t="shared" si="346"/>
        <v>18:37:57.875</v>
      </c>
      <c r="C3277" t="str">
        <f t="shared" si="346"/>
        <v>18:37:57.875</v>
      </c>
      <c r="D3277" t="s">
        <v>1236</v>
      </c>
      <c r="E3277">
        <v>30.877911999999998</v>
      </c>
      <c r="F3277" t="s">
        <v>1237</v>
      </c>
      <c r="G3277">
        <v>-89.884472000000002</v>
      </c>
      <c r="H3277">
        <v>1600</v>
      </c>
      <c r="I3277">
        <v>-25</v>
      </c>
      <c r="J3277">
        <v>154</v>
      </c>
      <c r="K3277">
        <v>64</v>
      </c>
      <c r="L3277">
        <v>1200</v>
      </c>
      <c r="M3277" t="str">
        <f t="shared" si="345"/>
        <v xml:space="preserve">N35DC   </v>
      </c>
      <c r="N3277">
        <v>1</v>
      </c>
      <c r="O3277">
        <v>1825</v>
      </c>
    </row>
    <row r="3278" spans="1:15" x14ac:dyDescent="0.25">
      <c r="A3278" t="str">
        <f>"10/21/2020 18:37:49.988"</f>
        <v>10/21/2020 18:37:49.988</v>
      </c>
      <c r="B3278" t="str">
        <f t="shared" si="346"/>
        <v>18:37:57.875</v>
      </c>
      <c r="C3278" t="str">
        <f t="shared" si="346"/>
        <v>18:37:57.875</v>
      </c>
      <c r="D3278" t="s">
        <v>1236</v>
      </c>
      <c r="E3278">
        <v>30.877911999999998</v>
      </c>
      <c r="F3278" t="s">
        <v>1237</v>
      </c>
      <c r="G3278">
        <v>-89.884472000000002</v>
      </c>
      <c r="H3278">
        <v>1600</v>
      </c>
      <c r="I3278">
        <v>-25</v>
      </c>
      <c r="J3278">
        <v>154</v>
      </c>
      <c r="K3278">
        <v>64</v>
      </c>
      <c r="L3278">
        <v>1200</v>
      </c>
      <c r="M3278" t="str">
        <f t="shared" si="345"/>
        <v xml:space="preserve">N35DC   </v>
      </c>
      <c r="N3278">
        <v>1</v>
      </c>
      <c r="O3278">
        <v>1825</v>
      </c>
    </row>
    <row r="3279" spans="1:15" x14ac:dyDescent="0.25">
      <c r="A3279" t="str">
        <f t="shared" ref="A3279:A3284" si="347">"10/21/2020 18:37:50.898"</f>
        <v>10/21/2020 18:37:50.898</v>
      </c>
      <c r="B3279" t="str">
        <f t="shared" ref="B3279:B3284" si="348">"18:37:58.812"</f>
        <v>18:37:58.812</v>
      </c>
      <c r="C3279" t="str">
        <f t="shared" ref="C3279:C3284" si="349">"18:37:58.512"</f>
        <v>18:37:58.512</v>
      </c>
      <c r="D3279" t="s">
        <v>1238</v>
      </c>
      <c r="E3279">
        <v>30.878577</v>
      </c>
      <c r="F3279" t="s">
        <v>1239</v>
      </c>
      <c r="G3279">
        <v>-89.884579000000002</v>
      </c>
      <c r="H3279">
        <v>1700</v>
      </c>
      <c r="I3279">
        <v>-25</v>
      </c>
      <c r="J3279">
        <v>153</v>
      </c>
      <c r="K3279">
        <v>128</v>
      </c>
      <c r="L3279">
        <v>1200</v>
      </c>
      <c r="M3279" t="str">
        <f t="shared" si="345"/>
        <v xml:space="preserve">N35DC   </v>
      </c>
      <c r="N3279">
        <v>1</v>
      </c>
      <c r="O3279">
        <v>1725</v>
      </c>
    </row>
    <row r="3280" spans="1:15" x14ac:dyDescent="0.25">
      <c r="A3280" t="str">
        <f t="shared" si="347"/>
        <v>10/21/2020 18:37:50.898</v>
      </c>
      <c r="B3280" t="str">
        <f t="shared" si="348"/>
        <v>18:37:58.812</v>
      </c>
      <c r="C3280" t="str">
        <f t="shared" si="349"/>
        <v>18:37:58.512</v>
      </c>
      <c r="D3280" t="s">
        <v>1238</v>
      </c>
      <c r="E3280">
        <v>30.878577</v>
      </c>
      <c r="F3280" t="s">
        <v>1239</v>
      </c>
      <c r="G3280">
        <v>-89.884579000000002</v>
      </c>
      <c r="H3280">
        <v>1700</v>
      </c>
      <c r="I3280">
        <v>-25</v>
      </c>
      <c r="J3280">
        <v>153</v>
      </c>
      <c r="K3280">
        <v>128</v>
      </c>
      <c r="L3280">
        <v>1200</v>
      </c>
      <c r="M3280" t="str">
        <f t="shared" si="345"/>
        <v xml:space="preserve">N35DC   </v>
      </c>
      <c r="N3280">
        <v>1</v>
      </c>
      <c r="O3280">
        <v>1725</v>
      </c>
    </row>
    <row r="3281" spans="1:15" x14ac:dyDescent="0.25">
      <c r="A3281" t="str">
        <f t="shared" si="347"/>
        <v>10/21/2020 18:37:50.898</v>
      </c>
      <c r="B3281" t="str">
        <f t="shared" si="348"/>
        <v>18:37:58.812</v>
      </c>
      <c r="C3281" t="str">
        <f t="shared" si="349"/>
        <v>18:37:58.512</v>
      </c>
      <c r="D3281" t="s">
        <v>1238</v>
      </c>
      <c r="E3281">
        <v>30.878577</v>
      </c>
      <c r="F3281" t="s">
        <v>1239</v>
      </c>
      <c r="G3281">
        <v>-89.884579000000002</v>
      </c>
      <c r="H3281">
        <v>1700</v>
      </c>
      <c r="I3281">
        <v>-25</v>
      </c>
      <c r="J3281">
        <v>153</v>
      </c>
      <c r="K3281">
        <v>128</v>
      </c>
      <c r="L3281">
        <v>1200</v>
      </c>
      <c r="M3281" t="str">
        <f t="shared" si="345"/>
        <v xml:space="preserve">N35DC   </v>
      </c>
      <c r="N3281">
        <v>1</v>
      </c>
      <c r="O3281">
        <v>1725</v>
      </c>
    </row>
    <row r="3282" spans="1:15" x14ac:dyDescent="0.25">
      <c r="A3282" t="str">
        <f t="shared" si="347"/>
        <v>10/21/2020 18:37:50.898</v>
      </c>
      <c r="B3282" t="str">
        <f t="shared" si="348"/>
        <v>18:37:58.812</v>
      </c>
      <c r="C3282" t="str">
        <f t="shared" si="349"/>
        <v>18:37:58.512</v>
      </c>
      <c r="D3282" t="s">
        <v>1238</v>
      </c>
      <c r="E3282">
        <v>30.878577</v>
      </c>
      <c r="F3282" t="s">
        <v>1239</v>
      </c>
      <c r="G3282">
        <v>-89.884579000000002</v>
      </c>
      <c r="H3282">
        <v>1700</v>
      </c>
      <c r="I3282">
        <v>-25</v>
      </c>
      <c r="J3282">
        <v>153</v>
      </c>
      <c r="K3282">
        <v>128</v>
      </c>
      <c r="L3282">
        <v>1200</v>
      </c>
      <c r="M3282" t="str">
        <f t="shared" si="345"/>
        <v xml:space="preserve">N35DC   </v>
      </c>
      <c r="N3282">
        <v>1</v>
      </c>
      <c r="O3282">
        <v>1725</v>
      </c>
    </row>
    <row r="3283" spans="1:15" x14ac:dyDescent="0.25">
      <c r="A3283" t="str">
        <f t="shared" si="347"/>
        <v>10/21/2020 18:37:50.898</v>
      </c>
      <c r="B3283" t="str">
        <f t="shared" si="348"/>
        <v>18:37:58.812</v>
      </c>
      <c r="C3283" t="str">
        <f t="shared" si="349"/>
        <v>18:37:58.512</v>
      </c>
      <c r="D3283" t="s">
        <v>1238</v>
      </c>
      <c r="E3283">
        <v>30.878577</v>
      </c>
      <c r="F3283" t="s">
        <v>1239</v>
      </c>
      <c r="G3283">
        <v>-89.884579000000002</v>
      </c>
      <c r="H3283">
        <v>1700</v>
      </c>
      <c r="I3283">
        <v>-25</v>
      </c>
      <c r="J3283">
        <v>153</v>
      </c>
      <c r="K3283">
        <v>128</v>
      </c>
      <c r="L3283">
        <v>1200</v>
      </c>
      <c r="M3283" t="str">
        <f t="shared" si="345"/>
        <v xml:space="preserve">N35DC   </v>
      </c>
      <c r="N3283">
        <v>1</v>
      </c>
      <c r="O3283">
        <v>1725</v>
      </c>
    </row>
    <row r="3284" spans="1:15" x14ac:dyDescent="0.25">
      <c r="A3284" t="str">
        <f t="shared" si="347"/>
        <v>10/21/2020 18:37:50.898</v>
      </c>
      <c r="B3284" t="str">
        <f t="shared" si="348"/>
        <v>18:37:58.812</v>
      </c>
      <c r="C3284" t="str">
        <f t="shared" si="349"/>
        <v>18:37:58.512</v>
      </c>
      <c r="D3284" t="s">
        <v>1238</v>
      </c>
      <c r="E3284">
        <v>30.878577</v>
      </c>
      <c r="F3284" t="s">
        <v>1239</v>
      </c>
      <c r="G3284">
        <v>-89.884579000000002</v>
      </c>
      <c r="H3284">
        <v>1700</v>
      </c>
      <c r="I3284">
        <v>-25</v>
      </c>
      <c r="J3284">
        <v>153</v>
      </c>
      <c r="K3284">
        <v>128</v>
      </c>
      <c r="L3284">
        <v>1200</v>
      </c>
      <c r="M3284" t="str">
        <f t="shared" si="345"/>
        <v xml:space="preserve">N35DC   </v>
      </c>
      <c r="N3284">
        <v>1</v>
      </c>
      <c r="O3284">
        <v>1725</v>
      </c>
    </row>
    <row r="3285" spans="1:15" x14ac:dyDescent="0.25">
      <c r="A3285" t="str">
        <f t="shared" ref="A3285:A3290" si="350">"10/21/2020 18:37:53.028"</f>
        <v>10/21/2020 18:37:53.028</v>
      </c>
      <c r="B3285" t="str">
        <f t="shared" ref="B3285:B3290" si="351">"18:38:00.977"</f>
        <v>18:38:00.977</v>
      </c>
      <c r="C3285" t="str">
        <f t="shared" ref="C3285:C3290" si="352">"18:38:00.077"</f>
        <v>18:38:00.077</v>
      </c>
      <c r="D3285" t="s">
        <v>1240</v>
      </c>
      <c r="E3285">
        <v>30.880144000000001</v>
      </c>
      <c r="F3285" t="s">
        <v>1241</v>
      </c>
      <c r="G3285">
        <v>-89.884857999999994</v>
      </c>
      <c r="H3285">
        <v>1700</v>
      </c>
      <c r="I3285">
        <v>-24</v>
      </c>
      <c r="J3285">
        <v>153</v>
      </c>
      <c r="K3285">
        <v>128</v>
      </c>
      <c r="L3285">
        <v>1200</v>
      </c>
      <c r="M3285" t="str">
        <f t="shared" si="345"/>
        <v xml:space="preserve">N35DC   </v>
      </c>
      <c r="N3285">
        <v>1</v>
      </c>
      <c r="O3285">
        <v>1725</v>
      </c>
    </row>
    <row r="3286" spans="1:15" x14ac:dyDescent="0.25">
      <c r="A3286" t="str">
        <f t="shared" si="350"/>
        <v>10/21/2020 18:37:53.028</v>
      </c>
      <c r="B3286" t="str">
        <f t="shared" si="351"/>
        <v>18:38:00.977</v>
      </c>
      <c r="C3286" t="str">
        <f t="shared" si="352"/>
        <v>18:38:00.077</v>
      </c>
      <c r="D3286" t="s">
        <v>1240</v>
      </c>
      <c r="E3286">
        <v>30.880144000000001</v>
      </c>
      <c r="F3286" t="s">
        <v>1241</v>
      </c>
      <c r="G3286">
        <v>-89.884857999999994</v>
      </c>
      <c r="H3286">
        <v>1700</v>
      </c>
      <c r="I3286">
        <v>-24</v>
      </c>
      <c r="J3286">
        <v>153</v>
      </c>
      <c r="K3286">
        <v>128</v>
      </c>
      <c r="L3286">
        <v>1200</v>
      </c>
      <c r="M3286" t="str">
        <f t="shared" si="345"/>
        <v xml:space="preserve">N35DC   </v>
      </c>
      <c r="N3286">
        <v>1</v>
      </c>
      <c r="O3286">
        <v>1725</v>
      </c>
    </row>
    <row r="3287" spans="1:15" x14ac:dyDescent="0.25">
      <c r="A3287" t="str">
        <f t="shared" si="350"/>
        <v>10/21/2020 18:37:53.028</v>
      </c>
      <c r="B3287" t="str">
        <f t="shared" si="351"/>
        <v>18:38:00.977</v>
      </c>
      <c r="C3287" t="str">
        <f t="shared" si="352"/>
        <v>18:38:00.077</v>
      </c>
      <c r="D3287" t="s">
        <v>1240</v>
      </c>
      <c r="E3287">
        <v>30.880144000000001</v>
      </c>
      <c r="F3287" t="s">
        <v>1241</v>
      </c>
      <c r="G3287">
        <v>-89.884857999999994</v>
      </c>
      <c r="H3287">
        <v>1700</v>
      </c>
      <c r="I3287">
        <v>-24</v>
      </c>
      <c r="J3287">
        <v>153</v>
      </c>
      <c r="K3287">
        <v>128</v>
      </c>
      <c r="L3287">
        <v>1200</v>
      </c>
      <c r="M3287" t="str">
        <f t="shared" si="345"/>
        <v xml:space="preserve">N35DC   </v>
      </c>
      <c r="N3287">
        <v>1</v>
      </c>
      <c r="O3287">
        <v>1725</v>
      </c>
    </row>
    <row r="3288" spans="1:15" x14ac:dyDescent="0.25">
      <c r="A3288" t="str">
        <f t="shared" si="350"/>
        <v>10/21/2020 18:37:53.028</v>
      </c>
      <c r="B3288" t="str">
        <f t="shared" si="351"/>
        <v>18:38:00.977</v>
      </c>
      <c r="C3288" t="str">
        <f t="shared" si="352"/>
        <v>18:38:00.077</v>
      </c>
      <c r="D3288" t="s">
        <v>1240</v>
      </c>
      <c r="E3288">
        <v>30.880144000000001</v>
      </c>
      <c r="F3288" t="s">
        <v>1241</v>
      </c>
      <c r="G3288">
        <v>-89.884857999999994</v>
      </c>
      <c r="H3288">
        <v>1700</v>
      </c>
      <c r="I3288">
        <v>-24</v>
      </c>
      <c r="J3288">
        <v>153</v>
      </c>
      <c r="K3288">
        <v>128</v>
      </c>
      <c r="L3288">
        <v>1200</v>
      </c>
      <c r="M3288" t="str">
        <f t="shared" si="345"/>
        <v xml:space="preserve">N35DC   </v>
      </c>
      <c r="N3288">
        <v>1</v>
      </c>
      <c r="O3288">
        <v>1725</v>
      </c>
    </row>
    <row r="3289" spans="1:15" x14ac:dyDescent="0.25">
      <c r="A3289" t="str">
        <f t="shared" si="350"/>
        <v>10/21/2020 18:37:53.028</v>
      </c>
      <c r="B3289" t="str">
        <f t="shared" si="351"/>
        <v>18:38:00.977</v>
      </c>
      <c r="C3289" t="str">
        <f t="shared" si="352"/>
        <v>18:38:00.077</v>
      </c>
      <c r="D3289" t="s">
        <v>1240</v>
      </c>
      <c r="E3289">
        <v>30.880144000000001</v>
      </c>
      <c r="F3289" t="s">
        <v>1241</v>
      </c>
      <c r="G3289">
        <v>-89.884857999999994</v>
      </c>
      <c r="H3289">
        <v>1700</v>
      </c>
      <c r="I3289">
        <v>-24</v>
      </c>
      <c r="J3289">
        <v>153</v>
      </c>
      <c r="K3289">
        <v>128</v>
      </c>
      <c r="L3289">
        <v>1200</v>
      </c>
      <c r="M3289" t="str">
        <f t="shared" si="345"/>
        <v xml:space="preserve">N35DC   </v>
      </c>
      <c r="N3289">
        <v>1</v>
      </c>
      <c r="O3289">
        <v>1725</v>
      </c>
    </row>
    <row r="3290" spans="1:15" x14ac:dyDescent="0.25">
      <c r="A3290" t="str">
        <f t="shared" si="350"/>
        <v>10/21/2020 18:37:53.028</v>
      </c>
      <c r="B3290" t="str">
        <f t="shared" si="351"/>
        <v>18:38:00.977</v>
      </c>
      <c r="C3290" t="str">
        <f t="shared" si="352"/>
        <v>18:38:00.077</v>
      </c>
      <c r="D3290" t="s">
        <v>1240</v>
      </c>
      <c r="E3290">
        <v>30.880144000000001</v>
      </c>
      <c r="F3290" t="s">
        <v>1241</v>
      </c>
      <c r="G3290">
        <v>-89.884857999999994</v>
      </c>
      <c r="H3290">
        <v>1700</v>
      </c>
      <c r="I3290">
        <v>-24</v>
      </c>
      <c r="J3290">
        <v>153</v>
      </c>
      <c r="K3290">
        <v>128</v>
      </c>
      <c r="L3290">
        <v>1200</v>
      </c>
      <c r="M3290" t="str">
        <f t="shared" si="345"/>
        <v xml:space="preserve">N35DC   </v>
      </c>
      <c r="N3290">
        <v>1</v>
      </c>
      <c r="O3290">
        <v>1725</v>
      </c>
    </row>
    <row r="3291" spans="1:15" x14ac:dyDescent="0.25">
      <c r="A3291" t="str">
        <f>"10/21/2020 18:37:54.135"</f>
        <v>10/21/2020 18:37:54.135</v>
      </c>
      <c r="B3291" t="str">
        <f>"18:38:02.055"</f>
        <v>18:38:02.055</v>
      </c>
      <c r="C3291" t="str">
        <f>"18:38:01.655"</f>
        <v>18:38:01.655</v>
      </c>
      <c r="D3291" t="s">
        <v>1242</v>
      </c>
      <c r="E3291">
        <v>30.880873000000001</v>
      </c>
      <c r="F3291" t="s">
        <v>1243</v>
      </c>
      <c r="G3291">
        <v>-89.88503</v>
      </c>
      <c r="H3291">
        <v>1700</v>
      </c>
      <c r="I3291">
        <v>-24</v>
      </c>
      <c r="J3291">
        <v>153</v>
      </c>
      <c r="K3291">
        <v>-64</v>
      </c>
      <c r="L3291">
        <v>1200</v>
      </c>
      <c r="M3291" t="str">
        <f t="shared" si="345"/>
        <v xml:space="preserve">N35DC   </v>
      </c>
      <c r="N3291">
        <v>1</v>
      </c>
      <c r="O3291">
        <v>1725</v>
      </c>
    </row>
    <row r="3292" spans="1:15" x14ac:dyDescent="0.25">
      <c r="A3292" t="str">
        <f>"10/21/2020 18:37:54.135"</f>
        <v>10/21/2020 18:37:54.135</v>
      </c>
      <c r="B3292" t="str">
        <f>"18:38:02.055"</f>
        <v>18:38:02.055</v>
      </c>
      <c r="D3292" t="s">
        <v>1242</v>
      </c>
      <c r="E3292">
        <v>30.880873000000001</v>
      </c>
      <c r="F3292" t="s">
        <v>1243</v>
      </c>
      <c r="G3292">
        <v>-89.88503</v>
      </c>
      <c r="H3292">
        <v>1700</v>
      </c>
      <c r="I3292">
        <v>-24</v>
      </c>
      <c r="J3292">
        <v>153</v>
      </c>
      <c r="K3292">
        <v>64</v>
      </c>
      <c r="L3292">
        <v>1200</v>
      </c>
      <c r="M3292" t="str">
        <f t="shared" si="345"/>
        <v xml:space="preserve">N35DC   </v>
      </c>
      <c r="N3292">
        <v>1</v>
      </c>
      <c r="O3292">
        <v>1725</v>
      </c>
    </row>
    <row r="3293" spans="1:15" x14ac:dyDescent="0.25">
      <c r="A3293" t="str">
        <f>"10/21/2020 18:37:54.135"</f>
        <v>10/21/2020 18:37:54.135</v>
      </c>
      <c r="B3293" t="str">
        <f>"18:38:02.055"</f>
        <v>18:38:02.055</v>
      </c>
      <c r="D3293" t="s">
        <v>1242</v>
      </c>
      <c r="E3293">
        <v>30.880873000000001</v>
      </c>
      <c r="F3293" t="s">
        <v>1243</v>
      </c>
      <c r="G3293">
        <v>-89.88503</v>
      </c>
      <c r="H3293">
        <v>1700</v>
      </c>
      <c r="I3293">
        <v>-24</v>
      </c>
      <c r="J3293">
        <v>153</v>
      </c>
      <c r="K3293">
        <v>64</v>
      </c>
      <c r="L3293">
        <v>1200</v>
      </c>
      <c r="M3293" t="str">
        <f t="shared" si="345"/>
        <v xml:space="preserve">N35DC   </v>
      </c>
      <c r="N3293">
        <v>1</v>
      </c>
      <c r="O3293">
        <v>1725</v>
      </c>
    </row>
    <row r="3294" spans="1:15" x14ac:dyDescent="0.25">
      <c r="A3294" t="str">
        <f>"10/21/2020 18:37:54.135"</f>
        <v>10/21/2020 18:37:54.135</v>
      </c>
      <c r="B3294" t="str">
        <f>"18:38:02.055"</f>
        <v>18:38:02.055</v>
      </c>
      <c r="C3294" t="str">
        <f>"18:38:01.655"</f>
        <v>18:38:01.655</v>
      </c>
      <c r="D3294" t="s">
        <v>1242</v>
      </c>
      <c r="E3294">
        <v>30.880873000000001</v>
      </c>
      <c r="F3294" t="s">
        <v>1243</v>
      </c>
      <c r="G3294">
        <v>-89.88503</v>
      </c>
      <c r="H3294">
        <v>1700</v>
      </c>
      <c r="I3294">
        <v>-24</v>
      </c>
      <c r="J3294">
        <v>153</v>
      </c>
      <c r="K3294">
        <v>-64</v>
      </c>
      <c r="L3294">
        <v>1200</v>
      </c>
      <c r="M3294" t="str">
        <f t="shared" si="345"/>
        <v xml:space="preserve">N35DC   </v>
      </c>
      <c r="N3294">
        <v>1</v>
      </c>
      <c r="O3294">
        <v>1725</v>
      </c>
    </row>
    <row r="3295" spans="1:15" x14ac:dyDescent="0.25">
      <c r="A3295" t="str">
        <f>"10/21/2020 18:37:54.135"</f>
        <v>10/21/2020 18:37:54.135</v>
      </c>
      <c r="B3295" t="str">
        <f>"18:38:02.055"</f>
        <v>18:38:02.055</v>
      </c>
      <c r="C3295" t="str">
        <f>"18:38:01.655"</f>
        <v>18:38:01.655</v>
      </c>
      <c r="D3295" t="s">
        <v>1242</v>
      </c>
      <c r="E3295">
        <v>30.880873000000001</v>
      </c>
      <c r="F3295" t="s">
        <v>1243</v>
      </c>
      <c r="G3295">
        <v>-89.88503</v>
      </c>
      <c r="H3295">
        <v>1700</v>
      </c>
      <c r="I3295">
        <v>-24</v>
      </c>
      <c r="J3295">
        <v>153</v>
      </c>
      <c r="K3295">
        <v>-64</v>
      </c>
      <c r="L3295">
        <v>1200</v>
      </c>
      <c r="M3295" t="str">
        <f t="shared" si="345"/>
        <v xml:space="preserve">N35DC   </v>
      </c>
      <c r="N3295">
        <v>1</v>
      </c>
      <c r="O3295">
        <v>1725</v>
      </c>
    </row>
    <row r="3296" spans="1:15" x14ac:dyDescent="0.25">
      <c r="A3296" t="str">
        <f>"10/21/2020 18:37:56.588"</f>
        <v>10/21/2020 18:37:56.588</v>
      </c>
      <c r="B3296" t="str">
        <f>"18:38:04.516"</f>
        <v>18:38:04.516</v>
      </c>
      <c r="C3296" t="str">
        <f>"18:38:04.416"</f>
        <v>18:38:04.416</v>
      </c>
      <c r="D3296" t="s">
        <v>1244</v>
      </c>
      <c r="E3296">
        <v>30.882611000000001</v>
      </c>
      <c r="F3296" t="s">
        <v>1245</v>
      </c>
      <c r="G3296">
        <v>-89.885287000000005</v>
      </c>
      <c r="H3296">
        <v>1700</v>
      </c>
      <c r="I3296">
        <v>-26</v>
      </c>
      <c r="J3296">
        <v>153</v>
      </c>
      <c r="K3296">
        <v>-64</v>
      </c>
      <c r="L3296">
        <v>1200</v>
      </c>
      <c r="M3296" t="str">
        <f t="shared" si="345"/>
        <v xml:space="preserve">N35DC   </v>
      </c>
      <c r="N3296">
        <v>1</v>
      </c>
      <c r="O3296">
        <v>1725</v>
      </c>
    </row>
    <row r="3297" spans="1:15" x14ac:dyDescent="0.25">
      <c r="A3297" t="str">
        <f>"10/21/2020 18:37:57.047"</f>
        <v>10/21/2020 18:37:57.047</v>
      </c>
      <c r="B3297" t="str">
        <f t="shared" ref="B3297:C3300" si="353">"18:38:04.984"</f>
        <v>18:38:04.984</v>
      </c>
      <c r="C3297" t="str">
        <f t="shared" si="353"/>
        <v>18:38:04.984</v>
      </c>
      <c r="D3297" t="s">
        <v>1246</v>
      </c>
      <c r="E3297">
        <v>30.882975999999999</v>
      </c>
      <c r="F3297" t="s">
        <v>1247</v>
      </c>
      <c r="G3297">
        <v>-89.885395000000003</v>
      </c>
      <c r="H3297">
        <v>1600</v>
      </c>
      <c r="I3297">
        <v>-26</v>
      </c>
      <c r="J3297">
        <v>153</v>
      </c>
      <c r="K3297">
        <v>-64</v>
      </c>
      <c r="L3297">
        <v>1200</v>
      </c>
      <c r="M3297" t="str">
        <f t="shared" si="345"/>
        <v xml:space="preserve">N35DC   </v>
      </c>
      <c r="N3297">
        <v>1</v>
      </c>
      <c r="O3297">
        <v>1725</v>
      </c>
    </row>
    <row r="3298" spans="1:15" x14ac:dyDescent="0.25">
      <c r="A3298" t="str">
        <f>"10/21/2020 18:37:57.047"</f>
        <v>10/21/2020 18:37:57.047</v>
      </c>
      <c r="B3298" t="str">
        <f t="shared" si="353"/>
        <v>18:38:04.984</v>
      </c>
      <c r="C3298" t="str">
        <f t="shared" si="353"/>
        <v>18:38:04.984</v>
      </c>
      <c r="D3298" t="s">
        <v>1246</v>
      </c>
      <c r="E3298">
        <v>30.882975999999999</v>
      </c>
      <c r="F3298" t="s">
        <v>1247</v>
      </c>
      <c r="G3298">
        <v>-89.885395000000003</v>
      </c>
      <c r="H3298">
        <v>1600</v>
      </c>
      <c r="I3298">
        <v>-26</v>
      </c>
      <c r="J3298">
        <v>153</v>
      </c>
      <c r="K3298">
        <v>-64</v>
      </c>
      <c r="L3298">
        <v>1200</v>
      </c>
      <c r="M3298" t="str">
        <f t="shared" si="345"/>
        <v xml:space="preserve">N35DC   </v>
      </c>
      <c r="N3298">
        <v>1</v>
      </c>
      <c r="O3298">
        <v>1725</v>
      </c>
    </row>
    <row r="3299" spans="1:15" x14ac:dyDescent="0.25">
      <c r="A3299" t="str">
        <f>"10/21/2020 18:37:57.047"</f>
        <v>10/21/2020 18:37:57.047</v>
      </c>
      <c r="B3299" t="str">
        <f t="shared" si="353"/>
        <v>18:38:04.984</v>
      </c>
      <c r="C3299" t="str">
        <f t="shared" si="353"/>
        <v>18:38:04.984</v>
      </c>
      <c r="D3299" t="s">
        <v>1246</v>
      </c>
      <c r="E3299">
        <v>30.882975999999999</v>
      </c>
      <c r="F3299" t="s">
        <v>1247</v>
      </c>
      <c r="G3299">
        <v>-89.885395000000003</v>
      </c>
      <c r="H3299">
        <v>1600</v>
      </c>
      <c r="I3299">
        <v>-26</v>
      </c>
      <c r="J3299">
        <v>153</v>
      </c>
      <c r="K3299">
        <v>-64</v>
      </c>
      <c r="L3299">
        <v>1200</v>
      </c>
      <c r="M3299" t="str">
        <f t="shared" si="345"/>
        <v xml:space="preserve">N35DC   </v>
      </c>
      <c r="N3299">
        <v>1</v>
      </c>
      <c r="O3299">
        <v>1725</v>
      </c>
    </row>
    <row r="3300" spans="1:15" x14ac:dyDescent="0.25">
      <c r="A3300" t="str">
        <f>"10/21/2020 18:37:57.047"</f>
        <v>10/21/2020 18:37:57.047</v>
      </c>
      <c r="B3300" t="str">
        <f t="shared" si="353"/>
        <v>18:38:04.984</v>
      </c>
      <c r="C3300" t="str">
        <f t="shared" si="353"/>
        <v>18:38:04.984</v>
      </c>
      <c r="D3300" t="s">
        <v>1246</v>
      </c>
      <c r="E3300">
        <v>30.882975999999999</v>
      </c>
      <c r="F3300" t="s">
        <v>1247</v>
      </c>
      <c r="G3300">
        <v>-89.885395000000003</v>
      </c>
      <c r="H3300">
        <v>1600</v>
      </c>
      <c r="I3300">
        <v>-26</v>
      </c>
      <c r="J3300">
        <v>153</v>
      </c>
      <c r="K3300">
        <v>-64</v>
      </c>
      <c r="L3300">
        <v>1200</v>
      </c>
      <c r="M3300" t="str">
        <f t="shared" si="345"/>
        <v xml:space="preserve">N35DC   </v>
      </c>
      <c r="N3300">
        <v>1</v>
      </c>
      <c r="O3300">
        <v>1725</v>
      </c>
    </row>
    <row r="3301" spans="1:15" x14ac:dyDescent="0.25">
      <c r="A3301" t="str">
        <f>"10/21/2020 18:37:57.047"</f>
        <v>10/21/2020 18:37:57.047</v>
      </c>
      <c r="B3301" t="str">
        <f>"18:38:04.984"</f>
        <v>18:38:04.984</v>
      </c>
      <c r="C3301" t="str">
        <f>"18:38:04.484"</f>
        <v>18:38:04.484</v>
      </c>
      <c r="D3301" t="s">
        <v>1246</v>
      </c>
      <c r="E3301">
        <v>30.882975999999999</v>
      </c>
      <c r="F3301" t="s">
        <v>1247</v>
      </c>
      <c r="G3301">
        <v>-89.885395000000003</v>
      </c>
      <c r="H3301">
        <v>1600</v>
      </c>
      <c r="I3301">
        <v>-26</v>
      </c>
      <c r="J3301">
        <v>153</v>
      </c>
      <c r="K3301">
        <v>-64</v>
      </c>
      <c r="L3301">
        <v>1200</v>
      </c>
      <c r="M3301" t="str">
        <f t="shared" si="345"/>
        <v xml:space="preserve">N35DC   </v>
      </c>
      <c r="N3301">
        <v>1</v>
      </c>
      <c r="O3301">
        <v>1725</v>
      </c>
    </row>
    <row r="3302" spans="1:15" x14ac:dyDescent="0.25">
      <c r="A3302" t="str">
        <f>"10/21/2020 18:37:57.489"</f>
        <v>10/21/2020 18:37:57.489</v>
      </c>
      <c r="B3302" t="str">
        <f>"18:38:05.414"</f>
        <v>18:38:05.414</v>
      </c>
      <c r="C3302" t="str">
        <f>"18:38:04.914"</f>
        <v>18:38:04.914</v>
      </c>
      <c r="D3302" t="s">
        <v>1248</v>
      </c>
      <c r="E3302">
        <v>30.883275999999999</v>
      </c>
      <c r="F3302" t="s">
        <v>1249</v>
      </c>
      <c r="G3302">
        <v>-89.885416000000006</v>
      </c>
      <c r="H3302">
        <v>1700</v>
      </c>
      <c r="I3302">
        <v>-26</v>
      </c>
      <c r="J3302">
        <v>153</v>
      </c>
      <c r="K3302">
        <v>-64</v>
      </c>
      <c r="L3302">
        <v>1200</v>
      </c>
      <c r="M3302" t="str">
        <f t="shared" si="345"/>
        <v xml:space="preserve">N35DC   </v>
      </c>
      <c r="N3302">
        <v>1</v>
      </c>
      <c r="O3302">
        <v>1725</v>
      </c>
    </row>
    <row r="3303" spans="1:15" x14ac:dyDescent="0.25">
      <c r="A3303" t="str">
        <f>"10/21/2020 18:37:57.975"</f>
        <v>10/21/2020 18:37:57.975</v>
      </c>
      <c r="B3303" t="str">
        <f>"18:38:05.898"</f>
        <v>18:38:05.898</v>
      </c>
      <c r="C3303" t="str">
        <f>"18:38:05.498"</f>
        <v>18:38:05.498</v>
      </c>
      <c r="D3303" t="s">
        <v>1250</v>
      </c>
      <c r="E3303">
        <v>30.883641000000001</v>
      </c>
      <c r="F3303" t="s">
        <v>723</v>
      </c>
      <c r="G3303">
        <v>-89.885523000000006</v>
      </c>
      <c r="H3303">
        <v>1700</v>
      </c>
      <c r="I3303">
        <v>-26</v>
      </c>
      <c r="J3303">
        <v>154</v>
      </c>
      <c r="K3303">
        <v>-64</v>
      </c>
      <c r="L3303">
        <v>1200</v>
      </c>
      <c r="M3303" t="str">
        <f t="shared" si="345"/>
        <v xml:space="preserve">N35DC   </v>
      </c>
      <c r="N3303">
        <v>1</v>
      </c>
      <c r="O3303">
        <v>1725</v>
      </c>
    </row>
    <row r="3304" spans="1:15" x14ac:dyDescent="0.25">
      <c r="A3304" t="str">
        <f>"10/21/2020 18:37:57.975"</f>
        <v>10/21/2020 18:37:57.975</v>
      </c>
      <c r="B3304" t="str">
        <f>"18:38:05.898"</f>
        <v>18:38:05.898</v>
      </c>
      <c r="C3304" t="str">
        <f>"18:38:05.498"</f>
        <v>18:38:05.498</v>
      </c>
      <c r="D3304" t="s">
        <v>1250</v>
      </c>
      <c r="E3304">
        <v>30.883641000000001</v>
      </c>
      <c r="F3304" t="s">
        <v>723</v>
      </c>
      <c r="G3304">
        <v>-89.885523000000006</v>
      </c>
      <c r="H3304">
        <v>1700</v>
      </c>
      <c r="I3304">
        <v>-26</v>
      </c>
      <c r="J3304">
        <v>154</v>
      </c>
      <c r="K3304">
        <v>-64</v>
      </c>
      <c r="L3304">
        <v>1200</v>
      </c>
      <c r="M3304" t="str">
        <f t="shared" si="345"/>
        <v xml:space="preserve">N35DC   </v>
      </c>
      <c r="N3304">
        <v>1</v>
      </c>
      <c r="O3304">
        <v>1725</v>
      </c>
    </row>
    <row r="3305" spans="1:15" x14ac:dyDescent="0.25">
      <c r="A3305" t="str">
        <f>"10/21/2020 18:37:57.975"</f>
        <v>10/21/2020 18:37:57.975</v>
      </c>
      <c r="B3305" t="str">
        <f>"18:38:05.898"</f>
        <v>18:38:05.898</v>
      </c>
      <c r="C3305" t="str">
        <f>"18:38:05.498"</f>
        <v>18:38:05.498</v>
      </c>
      <c r="D3305" t="s">
        <v>1250</v>
      </c>
      <c r="E3305">
        <v>30.883641000000001</v>
      </c>
      <c r="F3305" t="s">
        <v>723</v>
      </c>
      <c r="G3305">
        <v>-89.885523000000006</v>
      </c>
      <c r="H3305">
        <v>1700</v>
      </c>
      <c r="I3305">
        <v>-26</v>
      </c>
      <c r="J3305">
        <v>154</v>
      </c>
      <c r="K3305">
        <v>-64</v>
      </c>
      <c r="L3305">
        <v>1200</v>
      </c>
      <c r="M3305" t="str">
        <f t="shared" si="345"/>
        <v xml:space="preserve">N35DC   </v>
      </c>
      <c r="N3305">
        <v>1</v>
      </c>
      <c r="O3305">
        <v>1725</v>
      </c>
    </row>
    <row r="3306" spans="1:15" x14ac:dyDescent="0.25">
      <c r="A3306" t="str">
        <f>"10/21/2020 18:37:57.975"</f>
        <v>10/21/2020 18:37:57.975</v>
      </c>
      <c r="B3306" t="str">
        <f>"18:38:05.898"</f>
        <v>18:38:05.898</v>
      </c>
      <c r="C3306" t="str">
        <f>"18:38:05.498"</f>
        <v>18:38:05.498</v>
      </c>
      <c r="D3306" t="s">
        <v>1250</v>
      </c>
      <c r="E3306">
        <v>30.883641000000001</v>
      </c>
      <c r="F3306" t="s">
        <v>723</v>
      </c>
      <c r="G3306">
        <v>-89.885523000000006</v>
      </c>
      <c r="H3306">
        <v>1700</v>
      </c>
      <c r="I3306">
        <v>-26</v>
      </c>
      <c r="J3306">
        <v>154</v>
      </c>
      <c r="K3306">
        <v>-64</v>
      </c>
      <c r="L3306">
        <v>1200</v>
      </c>
      <c r="M3306" t="str">
        <f t="shared" si="345"/>
        <v xml:space="preserve">N35DC   </v>
      </c>
      <c r="N3306">
        <v>1</v>
      </c>
      <c r="O3306">
        <v>1725</v>
      </c>
    </row>
    <row r="3307" spans="1:15" x14ac:dyDescent="0.25">
      <c r="A3307" t="str">
        <f>"10/21/2020 18:37:57.975"</f>
        <v>10/21/2020 18:37:57.975</v>
      </c>
      <c r="B3307" t="str">
        <f>"18:38:05.898"</f>
        <v>18:38:05.898</v>
      </c>
      <c r="C3307" t="str">
        <f>"18:38:05.498"</f>
        <v>18:38:05.498</v>
      </c>
      <c r="D3307" t="s">
        <v>1250</v>
      </c>
      <c r="E3307">
        <v>30.883641000000001</v>
      </c>
      <c r="F3307" t="s">
        <v>723</v>
      </c>
      <c r="G3307">
        <v>-89.885523000000006</v>
      </c>
      <c r="H3307">
        <v>1700</v>
      </c>
      <c r="I3307">
        <v>-26</v>
      </c>
      <c r="J3307">
        <v>154</v>
      </c>
      <c r="K3307">
        <v>-64</v>
      </c>
      <c r="L3307">
        <v>1200</v>
      </c>
      <c r="M3307" t="str">
        <f t="shared" si="345"/>
        <v xml:space="preserve">N35DC   </v>
      </c>
      <c r="N3307">
        <v>1</v>
      </c>
      <c r="O3307">
        <v>1725</v>
      </c>
    </row>
    <row r="3308" spans="1:15" x14ac:dyDescent="0.25">
      <c r="A3308" t="str">
        <f>"10/21/2020 18:38:00.502"</f>
        <v>10/21/2020 18:38:00.502</v>
      </c>
      <c r="B3308" t="str">
        <f>"18:38:08.414"</f>
        <v>18:38:08.414</v>
      </c>
      <c r="C3308" t="str">
        <f>"18:38:08.114"</f>
        <v>18:38:08.114</v>
      </c>
      <c r="D3308" t="s">
        <v>1251</v>
      </c>
      <c r="E3308">
        <v>30.885444</v>
      </c>
      <c r="F3308" t="s">
        <v>1252</v>
      </c>
      <c r="G3308">
        <v>-89.885887999999994</v>
      </c>
      <c r="H3308">
        <v>1600</v>
      </c>
      <c r="I3308">
        <v>-26</v>
      </c>
      <c r="J3308">
        <v>154</v>
      </c>
      <c r="K3308">
        <v>-64</v>
      </c>
      <c r="L3308">
        <v>1200</v>
      </c>
      <c r="M3308" t="str">
        <f t="shared" si="345"/>
        <v xml:space="preserve">N35DC   </v>
      </c>
      <c r="N3308">
        <v>1</v>
      </c>
      <c r="O3308">
        <v>1725</v>
      </c>
    </row>
    <row r="3309" spans="1:15" x14ac:dyDescent="0.25">
      <c r="A3309" t="str">
        <f>"10/21/2020 18:38:00.904"</f>
        <v>10/21/2020 18:38:00.904</v>
      </c>
      <c r="B3309" t="str">
        <f>"18:38:08.867"</f>
        <v>18:38:08.867</v>
      </c>
      <c r="C3309" t="str">
        <f>"18:38:08.467"</f>
        <v>18:38:08.467</v>
      </c>
      <c r="D3309" t="s">
        <v>1253</v>
      </c>
      <c r="E3309">
        <v>30.885722999999999</v>
      </c>
      <c r="F3309" t="s">
        <v>1254</v>
      </c>
      <c r="G3309">
        <v>-89.885930999999999</v>
      </c>
      <c r="H3309">
        <v>1700</v>
      </c>
      <c r="I3309">
        <v>-25</v>
      </c>
      <c r="J3309">
        <v>155</v>
      </c>
      <c r="K3309">
        <v>0</v>
      </c>
      <c r="L3309">
        <v>1200</v>
      </c>
      <c r="M3309" t="str">
        <f t="shared" si="345"/>
        <v xml:space="preserve">N35DC   </v>
      </c>
      <c r="N3309">
        <v>1</v>
      </c>
      <c r="O3309">
        <v>1725</v>
      </c>
    </row>
    <row r="3310" spans="1:15" x14ac:dyDescent="0.25">
      <c r="A3310" t="str">
        <f>"10/21/2020 18:38:00.904"</f>
        <v>10/21/2020 18:38:00.904</v>
      </c>
      <c r="B3310" t="str">
        <f>"18:38:08.867"</f>
        <v>18:38:08.867</v>
      </c>
      <c r="C3310" t="str">
        <f>"18:38:08.467"</f>
        <v>18:38:08.467</v>
      </c>
      <c r="D3310" t="s">
        <v>1253</v>
      </c>
      <c r="E3310">
        <v>30.885722999999999</v>
      </c>
      <c r="F3310" t="s">
        <v>1254</v>
      </c>
      <c r="G3310">
        <v>-89.885930999999999</v>
      </c>
      <c r="H3310">
        <v>1700</v>
      </c>
      <c r="I3310">
        <v>-25</v>
      </c>
      <c r="J3310">
        <v>155</v>
      </c>
      <c r="K3310">
        <v>0</v>
      </c>
      <c r="L3310">
        <v>1200</v>
      </c>
      <c r="M3310" t="str">
        <f t="shared" si="345"/>
        <v xml:space="preserve">N35DC   </v>
      </c>
      <c r="N3310">
        <v>1</v>
      </c>
      <c r="O3310">
        <v>1725</v>
      </c>
    </row>
    <row r="3311" spans="1:15" x14ac:dyDescent="0.25">
      <c r="A3311" t="str">
        <f>"10/21/2020 18:38:00.904"</f>
        <v>10/21/2020 18:38:00.904</v>
      </c>
      <c r="B3311" t="str">
        <f>"18:38:08.867"</f>
        <v>18:38:08.867</v>
      </c>
      <c r="C3311" t="str">
        <f>"18:38:08.467"</f>
        <v>18:38:08.467</v>
      </c>
      <c r="D3311" t="s">
        <v>1253</v>
      </c>
      <c r="E3311">
        <v>30.885722999999999</v>
      </c>
      <c r="F3311" t="s">
        <v>1254</v>
      </c>
      <c r="G3311">
        <v>-89.885930999999999</v>
      </c>
      <c r="H3311">
        <v>1700</v>
      </c>
      <c r="I3311">
        <v>-25</v>
      </c>
      <c r="J3311">
        <v>155</v>
      </c>
      <c r="K3311">
        <v>0</v>
      </c>
      <c r="L3311">
        <v>1200</v>
      </c>
      <c r="M3311" t="str">
        <f t="shared" si="345"/>
        <v xml:space="preserve">N35DC   </v>
      </c>
      <c r="N3311">
        <v>1</v>
      </c>
      <c r="O3311">
        <v>1725</v>
      </c>
    </row>
    <row r="3312" spans="1:15" x14ac:dyDescent="0.25">
      <c r="A3312" t="str">
        <f>"10/21/2020 18:38:00.904"</f>
        <v>10/21/2020 18:38:00.904</v>
      </c>
      <c r="B3312" t="str">
        <f>"18:38:08.867"</f>
        <v>18:38:08.867</v>
      </c>
      <c r="C3312" t="str">
        <f>"18:38:08.067"</f>
        <v>18:38:08.067</v>
      </c>
      <c r="D3312" t="s">
        <v>1253</v>
      </c>
      <c r="E3312">
        <v>30.885722999999999</v>
      </c>
      <c r="F3312" t="s">
        <v>1254</v>
      </c>
      <c r="G3312">
        <v>-89.885930999999999</v>
      </c>
      <c r="H3312">
        <v>1700</v>
      </c>
      <c r="I3312">
        <v>-26</v>
      </c>
      <c r="J3312">
        <v>154</v>
      </c>
      <c r="K3312">
        <v>-64</v>
      </c>
      <c r="L3312">
        <v>1200</v>
      </c>
      <c r="M3312" t="str">
        <f t="shared" si="345"/>
        <v xml:space="preserve">N35DC   </v>
      </c>
      <c r="N3312">
        <v>1</v>
      </c>
      <c r="O3312">
        <v>1725</v>
      </c>
    </row>
    <row r="3313" spans="1:15" x14ac:dyDescent="0.25">
      <c r="A3313" t="str">
        <f>"10/21/2020 18:38:00.904"</f>
        <v>10/21/2020 18:38:00.904</v>
      </c>
      <c r="B3313" t="str">
        <f>"18:38:08.867"</f>
        <v>18:38:08.867</v>
      </c>
      <c r="C3313" t="str">
        <f>"18:38:08.467"</f>
        <v>18:38:08.467</v>
      </c>
      <c r="D3313" t="s">
        <v>1253</v>
      </c>
      <c r="E3313">
        <v>30.885722999999999</v>
      </c>
      <c r="F3313" t="s">
        <v>1254</v>
      </c>
      <c r="G3313">
        <v>-89.885930999999999</v>
      </c>
      <c r="H3313">
        <v>1700</v>
      </c>
      <c r="I3313">
        <v>-25</v>
      </c>
      <c r="J3313">
        <v>155</v>
      </c>
      <c r="K3313">
        <v>0</v>
      </c>
      <c r="L3313">
        <v>1200</v>
      </c>
      <c r="M3313" t="str">
        <f t="shared" si="345"/>
        <v xml:space="preserve">N35DC   </v>
      </c>
      <c r="N3313">
        <v>1</v>
      </c>
      <c r="O3313">
        <v>1725</v>
      </c>
    </row>
    <row r="3314" spans="1:15" x14ac:dyDescent="0.25">
      <c r="A3314" t="str">
        <f t="shared" ref="A3314:A3319" si="354">"10/21/2020 18:38:01.783"</f>
        <v>10/21/2020 18:38:01.783</v>
      </c>
      <c r="B3314" t="str">
        <f t="shared" ref="B3314:B3319" si="355">"18:38:09.750"</f>
        <v>18:38:09.750</v>
      </c>
      <c r="C3314" t="str">
        <f>"18:38:09.450"</f>
        <v>18:38:09.450</v>
      </c>
      <c r="D3314" t="s">
        <v>1255</v>
      </c>
      <c r="E3314">
        <v>30.886409</v>
      </c>
      <c r="F3314" t="s">
        <v>1256</v>
      </c>
      <c r="G3314">
        <v>-89.886037999999999</v>
      </c>
      <c r="H3314">
        <v>1600</v>
      </c>
      <c r="I3314">
        <v>-24</v>
      </c>
      <c r="J3314">
        <v>155</v>
      </c>
      <c r="K3314">
        <v>128</v>
      </c>
      <c r="L3314">
        <v>1200</v>
      </c>
      <c r="M3314" t="str">
        <f t="shared" si="345"/>
        <v xml:space="preserve">N35DC   </v>
      </c>
      <c r="N3314">
        <v>1</v>
      </c>
      <c r="O3314">
        <v>1825</v>
      </c>
    </row>
    <row r="3315" spans="1:15" x14ac:dyDescent="0.25">
      <c r="A3315" t="str">
        <f t="shared" si="354"/>
        <v>10/21/2020 18:38:01.783</v>
      </c>
      <c r="B3315" t="str">
        <f t="shared" si="355"/>
        <v>18:38:09.750</v>
      </c>
      <c r="C3315" t="str">
        <f>"18:38:08.950"</f>
        <v>18:38:08.950</v>
      </c>
      <c r="D3315" t="s">
        <v>1255</v>
      </c>
      <c r="E3315">
        <v>30.886409</v>
      </c>
      <c r="F3315" t="s">
        <v>1256</v>
      </c>
      <c r="G3315">
        <v>-89.886037999999999</v>
      </c>
      <c r="H3315">
        <v>1600</v>
      </c>
      <c r="I3315">
        <v>-24</v>
      </c>
      <c r="J3315">
        <v>155</v>
      </c>
      <c r="K3315">
        <v>192</v>
      </c>
      <c r="L3315">
        <v>1200</v>
      </c>
      <c r="M3315" t="str">
        <f t="shared" si="345"/>
        <v xml:space="preserve">N35DC   </v>
      </c>
      <c r="N3315">
        <v>1</v>
      </c>
      <c r="O3315">
        <v>1725</v>
      </c>
    </row>
    <row r="3316" spans="1:15" x14ac:dyDescent="0.25">
      <c r="A3316" t="str">
        <f t="shared" si="354"/>
        <v>10/21/2020 18:38:01.783</v>
      </c>
      <c r="B3316" t="str">
        <f t="shared" si="355"/>
        <v>18:38:09.750</v>
      </c>
      <c r="C3316" t="str">
        <f>"18:38:09.450"</f>
        <v>18:38:09.450</v>
      </c>
      <c r="D3316" t="s">
        <v>1255</v>
      </c>
      <c r="E3316">
        <v>30.886409</v>
      </c>
      <c r="F3316" t="s">
        <v>1256</v>
      </c>
      <c r="G3316">
        <v>-89.886037999999999</v>
      </c>
      <c r="H3316">
        <v>1600</v>
      </c>
      <c r="I3316">
        <v>-24</v>
      </c>
      <c r="J3316">
        <v>155</v>
      </c>
      <c r="K3316">
        <v>128</v>
      </c>
      <c r="L3316">
        <v>1200</v>
      </c>
      <c r="M3316" t="str">
        <f t="shared" si="345"/>
        <v xml:space="preserve">N35DC   </v>
      </c>
      <c r="N3316">
        <v>1</v>
      </c>
      <c r="O3316">
        <v>1825</v>
      </c>
    </row>
    <row r="3317" spans="1:15" x14ac:dyDescent="0.25">
      <c r="A3317" t="str">
        <f t="shared" si="354"/>
        <v>10/21/2020 18:38:01.783</v>
      </c>
      <c r="B3317" t="str">
        <f t="shared" si="355"/>
        <v>18:38:09.750</v>
      </c>
      <c r="C3317" t="str">
        <f>"18:38:09.450"</f>
        <v>18:38:09.450</v>
      </c>
      <c r="D3317" t="s">
        <v>1255</v>
      </c>
      <c r="E3317">
        <v>30.886409</v>
      </c>
      <c r="F3317" t="s">
        <v>1256</v>
      </c>
      <c r="G3317">
        <v>-89.886037999999999</v>
      </c>
      <c r="H3317">
        <v>1600</v>
      </c>
      <c r="I3317">
        <v>-24</v>
      </c>
      <c r="J3317">
        <v>155</v>
      </c>
      <c r="K3317">
        <v>128</v>
      </c>
      <c r="L3317">
        <v>1200</v>
      </c>
      <c r="M3317" t="str">
        <f t="shared" si="345"/>
        <v xml:space="preserve">N35DC   </v>
      </c>
      <c r="N3317">
        <v>1</v>
      </c>
      <c r="O3317">
        <v>1825</v>
      </c>
    </row>
    <row r="3318" spans="1:15" x14ac:dyDescent="0.25">
      <c r="A3318" t="str">
        <f t="shared" si="354"/>
        <v>10/21/2020 18:38:01.783</v>
      </c>
      <c r="B3318" t="str">
        <f t="shared" si="355"/>
        <v>18:38:09.750</v>
      </c>
      <c r="C3318" t="str">
        <f>"18:38:09.450"</f>
        <v>18:38:09.450</v>
      </c>
      <c r="D3318" t="s">
        <v>1255</v>
      </c>
      <c r="E3318">
        <v>30.886409</v>
      </c>
      <c r="F3318" t="s">
        <v>1256</v>
      </c>
      <c r="G3318">
        <v>-89.886037999999999</v>
      </c>
      <c r="H3318">
        <v>1600</v>
      </c>
      <c r="I3318">
        <v>-24</v>
      </c>
      <c r="J3318">
        <v>155</v>
      </c>
      <c r="K3318">
        <v>128</v>
      </c>
      <c r="L3318">
        <v>1200</v>
      </c>
      <c r="M3318" t="str">
        <f t="shared" si="345"/>
        <v xml:space="preserve">N35DC   </v>
      </c>
      <c r="N3318">
        <v>1</v>
      </c>
      <c r="O3318">
        <v>1825</v>
      </c>
    </row>
    <row r="3319" spans="1:15" x14ac:dyDescent="0.25">
      <c r="A3319" t="str">
        <f t="shared" si="354"/>
        <v>10/21/2020 18:38:01.783</v>
      </c>
      <c r="B3319" t="str">
        <f t="shared" si="355"/>
        <v>18:38:09.750</v>
      </c>
      <c r="C3319" t="str">
        <f>"18:38:09.450"</f>
        <v>18:38:09.450</v>
      </c>
      <c r="D3319" t="s">
        <v>1255</v>
      </c>
      <c r="E3319">
        <v>30.886409</v>
      </c>
      <c r="F3319" t="s">
        <v>1256</v>
      </c>
      <c r="G3319">
        <v>-89.886037999999999</v>
      </c>
      <c r="H3319">
        <v>1600</v>
      </c>
      <c r="I3319">
        <v>-24</v>
      </c>
      <c r="J3319">
        <v>155</v>
      </c>
      <c r="K3319">
        <v>128</v>
      </c>
      <c r="L3319">
        <v>1200</v>
      </c>
      <c r="M3319" t="str">
        <f t="shared" si="345"/>
        <v xml:space="preserve">N35DC   </v>
      </c>
      <c r="N3319">
        <v>1</v>
      </c>
      <c r="O3319">
        <v>1825</v>
      </c>
    </row>
    <row r="3320" spans="1:15" x14ac:dyDescent="0.25">
      <c r="A3320" t="str">
        <f>"10/21/2020 18:38:05.047"</f>
        <v>10/21/2020 18:38:05.047</v>
      </c>
      <c r="B3320" t="str">
        <f>"18:38:12.961"</f>
        <v>18:38:12.961</v>
      </c>
      <c r="C3320" t="str">
        <f>"18:38:12.061"</f>
        <v>18:38:12.061</v>
      </c>
      <c r="D3320" t="s">
        <v>1257</v>
      </c>
      <c r="E3320">
        <v>30.888705000000002</v>
      </c>
      <c r="F3320" t="s">
        <v>1258</v>
      </c>
      <c r="G3320">
        <v>-89.886425000000003</v>
      </c>
      <c r="H3320">
        <v>1600</v>
      </c>
      <c r="I3320">
        <v>-21</v>
      </c>
      <c r="J3320">
        <v>157</v>
      </c>
      <c r="K3320">
        <v>-64</v>
      </c>
      <c r="L3320">
        <v>1200</v>
      </c>
      <c r="M3320" t="str">
        <f t="shared" si="345"/>
        <v xml:space="preserve">N35DC   </v>
      </c>
      <c r="N3320">
        <v>1</v>
      </c>
      <c r="O3320">
        <v>1725</v>
      </c>
    </row>
    <row r="3321" spans="1:15" x14ac:dyDescent="0.25">
      <c r="A3321" t="str">
        <f>"10/21/2020 18:38:05.047"</f>
        <v>10/21/2020 18:38:05.047</v>
      </c>
      <c r="B3321" t="str">
        <f>"18:38:12.961"</f>
        <v>18:38:12.961</v>
      </c>
      <c r="C3321" t="str">
        <f>"18:38:12.061"</f>
        <v>18:38:12.061</v>
      </c>
      <c r="D3321" t="s">
        <v>1257</v>
      </c>
      <c r="E3321">
        <v>30.888705000000002</v>
      </c>
      <c r="F3321" t="s">
        <v>1258</v>
      </c>
      <c r="G3321">
        <v>-89.886425000000003</v>
      </c>
      <c r="H3321">
        <v>1600</v>
      </c>
      <c r="I3321">
        <v>-21</v>
      </c>
      <c r="J3321">
        <v>157</v>
      </c>
      <c r="K3321">
        <v>-64</v>
      </c>
      <c r="L3321">
        <v>1200</v>
      </c>
      <c r="M3321" t="str">
        <f t="shared" si="345"/>
        <v xml:space="preserve">N35DC   </v>
      </c>
      <c r="N3321">
        <v>1</v>
      </c>
      <c r="O3321">
        <v>1725</v>
      </c>
    </row>
    <row r="3322" spans="1:15" x14ac:dyDescent="0.25">
      <c r="A3322" t="str">
        <f>"10/21/2020 18:38:05.047"</f>
        <v>10/21/2020 18:38:05.047</v>
      </c>
      <c r="B3322" t="str">
        <f>"18:38:12.961"</f>
        <v>18:38:12.961</v>
      </c>
      <c r="C3322" t="str">
        <f>"18:38:12.061"</f>
        <v>18:38:12.061</v>
      </c>
      <c r="D3322" t="s">
        <v>1257</v>
      </c>
      <c r="E3322">
        <v>30.888705000000002</v>
      </c>
      <c r="F3322" t="s">
        <v>1258</v>
      </c>
      <c r="G3322">
        <v>-89.886425000000003</v>
      </c>
      <c r="H3322">
        <v>1600</v>
      </c>
      <c r="I3322">
        <v>-21</v>
      </c>
      <c r="J3322">
        <v>157</v>
      </c>
      <c r="K3322">
        <v>-64</v>
      </c>
      <c r="L3322">
        <v>1200</v>
      </c>
      <c r="M3322" t="str">
        <f t="shared" si="345"/>
        <v xml:space="preserve">N35DC   </v>
      </c>
      <c r="N3322">
        <v>1</v>
      </c>
      <c r="O3322">
        <v>1725</v>
      </c>
    </row>
    <row r="3323" spans="1:15" x14ac:dyDescent="0.25">
      <c r="A3323" t="str">
        <f>"10/21/2020 18:38:05.047"</f>
        <v>10/21/2020 18:38:05.047</v>
      </c>
      <c r="B3323" t="str">
        <f>"18:38:12.961"</f>
        <v>18:38:12.961</v>
      </c>
      <c r="C3323" t="str">
        <f>"18:38:12.061"</f>
        <v>18:38:12.061</v>
      </c>
      <c r="D3323" t="s">
        <v>1257</v>
      </c>
      <c r="E3323">
        <v>30.888705000000002</v>
      </c>
      <c r="F3323" t="s">
        <v>1258</v>
      </c>
      <c r="G3323">
        <v>-89.886425000000003</v>
      </c>
      <c r="H3323">
        <v>1600</v>
      </c>
      <c r="I3323">
        <v>-21</v>
      </c>
      <c r="J3323">
        <v>157</v>
      </c>
      <c r="K3323">
        <v>-64</v>
      </c>
      <c r="L3323">
        <v>1200</v>
      </c>
      <c r="M3323" t="str">
        <f t="shared" si="345"/>
        <v xml:space="preserve">N35DC   </v>
      </c>
      <c r="N3323">
        <v>1</v>
      </c>
      <c r="O3323">
        <v>1725</v>
      </c>
    </row>
    <row r="3324" spans="1:15" x14ac:dyDescent="0.25">
      <c r="A3324" t="str">
        <f>"10/21/2020 18:38:05.047"</f>
        <v>10/21/2020 18:38:05.047</v>
      </c>
      <c r="B3324" t="str">
        <f>"18:38:12.961"</f>
        <v>18:38:12.961</v>
      </c>
      <c r="C3324" t="str">
        <f>"18:38:12.061"</f>
        <v>18:38:12.061</v>
      </c>
      <c r="D3324" t="s">
        <v>1257</v>
      </c>
      <c r="E3324">
        <v>30.888705000000002</v>
      </c>
      <c r="F3324" t="s">
        <v>1258</v>
      </c>
      <c r="G3324">
        <v>-89.886425000000003</v>
      </c>
      <c r="H3324">
        <v>1600</v>
      </c>
      <c r="I3324">
        <v>-21</v>
      </c>
      <c r="J3324">
        <v>157</v>
      </c>
      <c r="K3324">
        <v>-64</v>
      </c>
      <c r="L3324">
        <v>1200</v>
      </c>
      <c r="M3324" t="str">
        <f t="shared" si="345"/>
        <v xml:space="preserve">N35DC   </v>
      </c>
      <c r="N3324">
        <v>1</v>
      </c>
      <c r="O3324">
        <v>1725</v>
      </c>
    </row>
    <row r="3325" spans="1:15" x14ac:dyDescent="0.25">
      <c r="A3325" t="str">
        <f>"10/21/2020 18:38:06.058"</f>
        <v>10/21/2020 18:38:06.058</v>
      </c>
      <c r="B3325" t="str">
        <f>"18:38:13.977"</f>
        <v>18:38:13.977</v>
      </c>
      <c r="C3325" t="str">
        <f>"18:38:13.577"</f>
        <v>18:38:13.577</v>
      </c>
      <c r="D3325" t="s">
        <v>1259</v>
      </c>
      <c r="E3325">
        <v>30.889478</v>
      </c>
      <c r="F3325" t="s">
        <v>1260</v>
      </c>
      <c r="G3325">
        <v>-89.886532000000003</v>
      </c>
      <c r="H3325">
        <v>1600</v>
      </c>
      <c r="I3325">
        <v>-23</v>
      </c>
      <c r="J3325">
        <v>157</v>
      </c>
      <c r="K3325">
        <v>-128</v>
      </c>
      <c r="L3325">
        <v>1200</v>
      </c>
      <c r="M3325" t="str">
        <f t="shared" si="345"/>
        <v xml:space="preserve">N35DC   </v>
      </c>
      <c r="N3325">
        <v>1</v>
      </c>
      <c r="O3325">
        <v>1725</v>
      </c>
    </row>
    <row r="3326" spans="1:15" x14ac:dyDescent="0.25">
      <c r="A3326" t="str">
        <f>"10/21/2020 18:38:06.058"</f>
        <v>10/21/2020 18:38:06.058</v>
      </c>
      <c r="B3326" t="str">
        <f>"18:38:13.977"</f>
        <v>18:38:13.977</v>
      </c>
      <c r="C3326" t="str">
        <f>"18:38:13.577"</f>
        <v>18:38:13.577</v>
      </c>
      <c r="D3326" t="s">
        <v>1259</v>
      </c>
      <c r="E3326">
        <v>30.889478</v>
      </c>
      <c r="F3326" t="s">
        <v>1260</v>
      </c>
      <c r="G3326">
        <v>-89.886532000000003</v>
      </c>
      <c r="H3326">
        <v>1600</v>
      </c>
      <c r="I3326">
        <v>-23</v>
      </c>
      <c r="J3326">
        <v>157</v>
      </c>
      <c r="K3326">
        <v>-128</v>
      </c>
      <c r="L3326">
        <v>1200</v>
      </c>
      <c r="M3326" t="str">
        <f t="shared" si="345"/>
        <v xml:space="preserve">N35DC   </v>
      </c>
      <c r="N3326">
        <v>1</v>
      </c>
      <c r="O3326">
        <v>1725</v>
      </c>
    </row>
    <row r="3327" spans="1:15" x14ac:dyDescent="0.25">
      <c r="A3327" t="str">
        <f>"10/21/2020 18:38:06.058"</f>
        <v>10/21/2020 18:38:06.058</v>
      </c>
      <c r="B3327" t="str">
        <f>"18:38:13.977"</f>
        <v>18:38:13.977</v>
      </c>
      <c r="C3327" t="str">
        <f>"18:38:13.577"</f>
        <v>18:38:13.577</v>
      </c>
      <c r="D3327" t="s">
        <v>1259</v>
      </c>
      <c r="E3327">
        <v>30.889478</v>
      </c>
      <c r="F3327" t="s">
        <v>1260</v>
      </c>
      <c r="G3327">
        <v>-89.886532000000003</v>
      </c>
      <c r="H3327">
        <v>1600</v>
      </c>
      <c r="I3327">
        <v>-23</v>
      </c>
      <c r="J3327">
        <v>157</v>
      </c>
      <c r="K3327">
        <v>-128</v>
      </c>
      <c r="L3327">
        <v>1200</v>
      </c>
      <c r="M3327" t="str">
        <f t="shared" si="345"/>
        <v xml:space="preserve">N35DC   </v>
      </c>
      <c r="N3327">
        <v>1</v>
      </c>
      <c r="O3327">
        <v>1725</v>
      </c>
    </row>
    <row r="3328" spans="1:15" x14ac:dyDescent="0.25">
      <c r="A3328" t="str">
        <f>"10/21/2020 18:38:06.058"</f>
        <v>10/21/2020 18:38:06.058</v>
      </c>
      <c r="B3328" t="str">
        <f>"18:38:13.977"</f>
        <v>18:38:13.977</v>
      </c>
      <c r="C3328" t="str">
        <f>"18:38:13.577"</f>
        <v>18:38:13.577</v>
      </c>
      <c r="D3328" t="s">
        <v>1259</v>
      </c>
      <c r="E3328">
        <v>30.889478</v>
      </c>
      <c r="F3328" t="s">
        <v>1260</v>
      </c>
      <c r="G3328">
        <v>-89.886532000000003</v>
      </c>
      <c r="H3328">
        <v>1600</v>
      </c>
      <c r="I3328">
        <v>-23</v>
      </c>
      <c r="J3328">
        <v>157</v>
      </c>
      <c r="K3328">
        <v>-128</v>
      </c>
      <c r="L3328">
        <v>1200</v>
      </c>
      <c r="M3328" t="str">
        <f t="shared" si="345"/>
        <v xml:space="preserve">N35DC   </v>
      </c>
      <c r="N3328">
        <v>1</v>
      </c>
      <c r="O3328">
        <v>1725</v>
      </c>
    </row>
    <row r="3329" spans="1:15" x14ac:dyDescent="0.25">
      <c r="A3329" t="str">
        <f>"10/21/2020 18:38:06.058"</f>
        <v>10/21/2020 18:38:06.058</v>
      </c>
      <c r="B3329" t="str">
        <f>"18:38:13.977"</f>
        <v>18:38:13.977</v>
      </c>
      <c r="C3329" t="str">
        <f>"18:38:13.577"</f>
        <v>18:38:13.577</v>
      </c>
      <c r="D3329" t="s">
        <v>1259</v>
      </c>
      <c r="E3329">
        <v>30.889478</v>
      </c>
      <c r="F3329" t="s">
        <v>1260</v>
      </c>
      <c r="G3329">
        <v>-89.886532000000003</v>
      </c>
      <c r="H3329">
        <v>1600</v>
      </c>
      <c r="I3329">
        <v>-23</v>
      </c>
      <c r="J3329">
        <v>157</v>
      </c>
      <c r="K3329">
        <v>-128</v>
      </c>
      <c r="L3329">
        <v>1200</v>
      </c>
      <c r="M3329" t="str">
        <f t="shared" si="345"/>
        <v xml:space="preserve">N35DC   </v>
      </c>
      <c r="N3329">
        <v>1</v>
      </c>
      <c r="O3329">
        <v>1725</v>
      </c>
    </row>
    <row r="3330" spans="1:15" x14ac:dyDescent="0.25">
      <c r="A3330" t="str">
        <f>"10/21/2020 18:38:07.926"</f>
        <v>10/21/2020 18:38:07.926</v>
      </c>
      <c r="B3330" t="str">
        <f>"18:38:15.836"</f>
        <v>18:38:15.836</v>
      </c>
      <c r="C3330" t="str">
        <f>"18:38:15.736"</f>
        <v>18:38:15.736</v>
      </c>
      <c r="D3330" t="s">
        <v>1261</v>
      </c>
      <c r="E3330">
        <v>30.890808</v>
      </c>
      <c r="F3330" t="s">
        <v>1262</v>
      </c>
      <c r="G3330">
        <v>-89.886831999999998</v>
      </c>
      <c r="H3330">
        <v>1600</v>
      </c>
      <c r="I3330">
        <v>-30</v>
      </c>
      <c r="J3330">
        <v>156</v>
      </c>
      <c r="K3330">
        <v>0</v>
      </c>
      <c r="L3330">
        <v>1200</v>
      </c>
      <c r="M3330" t="str">
        <f t="shared" si="345"/>
        <v xml:space="preserve">N35DC   </v>
      </c>
      <c r="N3330">
        <v>1</v>
      </c>
      <c r="O3330">
        <v>1725</v>
      </c>
    </row>
    <row r="3331" spans="1:15" x14ac:dyDescent="0.25">
      <c r="A3331" t="str">
        <f>"10/21/2020 18:38:07.926"</f>
        <v>10/21/2020 18:38:07.926</v>
      </c>
      <c r="B3331" t="str">
        <f>"18:38:15.836"</f>
        <v>18:38:15.836</v>
      </c>
      <c r="C3331" t="str">
        <f>"18:38:15.736"</f>
        <v>18:38:15.736</v>
      </c>
      <c r="D3331" t="s">
        <v>1261</v>
      </c>
      <c r="E3331">
        <v>30.890808</v>
      </c>
      <c r="F3331" t="s">
        <v>1262</v>
      </c>
      <c r="G3331">
        <v>-89.886831999999998</v>
      </c>
      <c r="H3331">
        <v>1600</v>
      </c>
      <c r="I3331">
        <v>-30</v>
      </c>
      <c r="J3331">
        <v>156</v>
      </c>
      <c r="K3331">
        <v>0</v>
      </c>
      <c r="L3331">
        <v>1200</v>
      </c>
      <c r="M3331" t="str">
        <f t="shared" si="345"/>
        <v xml:space="preserve">N35DC   </v>
      </c>
      <c r="N3331">
        <v>1</v>
      </c>
      <c r="O3331">
        <v>1725</v>
      </c>
    </row>
    <row r="3332" spans="1:15" x14ac:dyDescent="0.25">
      <c r="A3332" t="str">
        <f>"10/21/2020 18:38:07.926"</f>
        <v>10/21/2020 18:38:07.926</v>
      </c>
      <c r="B3332" t="str">
        <f>"18:38:15.836"</f>
        <v>18:38:15.836</v>
      </c>
      <c r="C3332" t="str">
        <f>"18:38:15.736"</f>
        <v>18:38:15.736</v>
      </c>
      <c r="D3332" t="s">
        <v>1261</v>
      </c>
      <c r="E3332">
        <v>30.890808</v>
      </c>
      <c r="F3332" t="s">
        <v>1262</v>
      </c>
      <c r="G3332">
        <v>-89.886831999999998</v>
      </c>
      <c r="H3332">
        <v>1600</v>
      </c>
      <c r="I3332">
        <v>-30</v>
      </c>
      <c r="J3332">
        <v>156</v>
      </c>
      <c r="K3332">
        <v>0</v>
      </c>
      <c r="L3332">
        <v>1200</v>
      </c>
      <c r="M3332" t="str">
        <f t="shared" si="345"/>
        <v xml:space="preserve">N35DC   </v>
      </c>
      <c r="N3332">
        <v>1</v>
      </c>
      <c r="O3332">
        <v>1725</v>
      </c>
    </row>
    <row r="3333" spans="1:15" x14ac:dyDescent="0.25">
      <c r="A3333" t="str">
        <f>"10/21/2020 18:38:07.926"</f>
        <v>10/21/2020 18:38:07.926</v>
      </c>
      <c r="B3333" t="str">
        <f>"18:38:15.836"</f>
        <v>18:38:15.836</v>
      </c>
      <c r="C3333" t="str">
        <f>"18:38:15.736"</f>
        <v>18:38:15.736</v>
      </c>
      <c r="D3333" t="s">
        <v>1261</v>
      </c>
      <c r="E3333">
        <v>30.890808</v>
      </c>
      <c r="F3333" t="s">
        <v>1262</v>
      </c>
      <c r="G3333">
        <v>-89.886831999999998</v>
      </c>
      <c r="H3333">
        <v>1600</v>
      </c>
      <c r="I3333">
        <v>-30</v>
      </c>
      <c r="J3333">
        <v>156</v>
      </c>
      <c r="K3333">
        <v>0</v>
      </c>
      <c r="L3333">
        <v>1200</v>
      </c>
      <c r="M3333" t="str">
        <f t="shared" si="345"/>
        <v xml:space="preserve">N35DC   </v>
      </c>
      <c r="N3333">
        <v>1</v>
      </c>
      <c r="O3333">
        <v>1725</v>
      </c>
    </row>
    <row r="3334" spans="1:15" x14ac:dyDescent="0.25">
      <c r="A3334" t="str">
        <f>"10/21/2020 18:38:07.926"</f>
        <v>10/21/2020 18:38:07.926</v>
      </c>
      <c r="B3334" t="str">
        <f>"18:38:15.836"</f>
        <v>18:38:15.836</v>
      </c>
      <c r="C3334" t="str">
        <f>"18:38:15.736"</f>
        <v>18:38:15.736</v>
      </c>
      <c r="D3334" t="s">
        <v>1261</v>
      </c>
      <c r="E3334">
        <v>30.890808</v>
      </c>
      <c r="F3334" t="s">
        <v>1262</v>
      </c>
      <c r="G3334">
        <v>-89.886831999999998</v>
      </c>
      <c r="H3334">
        <v>1600</v>
      </c>
      <c r="I3334">
        <v>-30</v>
      </c>
      <c r="J3334">
        <v>156</v>
      </c>
      <c r="K3334">
        <v>0</v>
      </c>
      <c r="L3334">
        <v>1200</v>
      </c>
      <c r="M3334" t="str">
        <f t="shared" si="345"/>
        <v xml:space="preserve">N35DC   </v>
      </c>
      <c r="N3334">
        <v>1</v>
      </c>
      <c r="O3334">
        <v>1725</v>
      </c>
    </row>
    <row r="3335" spans="1:15" x14ac:dyDescent="0.25">
      <c r="A3335" t="str">
        <f>"10/21/2020 18:38:08.409"</f>
        <v>10/21/2020 18:38:08.409</v>
      </c>
      <c r="B3335" t="str">
        <f>"18:38:16.305"</f>
        <v>18:38:16.305</v>
      </c>
      <c r="C3335" t="str">
        <f>"18:38:14.105"</f>
        <v>18:38:14.105</v>
      </c>
      <c r="D3335" t="s">
        <v>1263</v>
      </c>
      <c r="E3335">
        <v>30.89113</v>
      </c>
      <c r="F3335" t="s">
        <v>1264</v>
      </c>
      <c r="G3335">
        <v>-89.886897000000005</v>
      </c>
      <c r="H3335">
        <v>1600</v>
      </c>
      <c r="I3335">
        <v>-24</v>
      </c>
      <c r="J3335">
        <v>157</v>
      </c>
      <c r="K3335">
        <v>-128</v>
      </c>
      <c r="L3335">
        <v>1200</v>
      </c>
      <c r="M3335" t="str">
        <f t="shared" ref="M3335:M3398" si="356">"N35DC   "</f>
        <v xml:space="preserve">N35DC   </v>
      </c>
      <c r="N3335">
        <v>1</v>
      </c>
      <c r="O3335">
        <v>1725</v>
      </c>
    </row>
    <row r="3336" spans="1:15" x14ac:dyDescent="0.25">
      <c r="A3336" t="str">
        <f>"10/21/2020 18:38:08.943"</f>
        <v>10/21/2020 18:38:08.943</v>
      </c>
      <c r="B3336" t="str">
        <f>"18:38:16.859"</f>
        <v>18:38:16.859</v>
      </c>
      <c r="C3336" t="str">
        <f>"18:38:16.159"</f>
        <v>18:38:16.159</v>
      </c>
      <c r="D3336" t="s">
        <v>1265</v>
      </c>
      <c r="E3336">
        <v>30.891538000000001</v>
      </c>
      <c r="F3336" t="s">
        <v>1266</v>
      </c>
      <c r="G3336">
        <v>-89.887004000000005</v>
      </c>
      <c r="H3336">
        <v>1600</v>
      </c>
      <c r="I3336">
        <v>-32</v>
      </c>
      <c r="J3336">
        <v>156</v>
      </c>
      <c r="K3336">
        <v>0</v>
      </c>
      <c r="L3336">
        <v>1200</v>
      </c>
      <c r="M3336" t="str">
        <f t="shared" si="356"/>
        <v xml:space="preserve">N35DC   </v>
      </c>
      <c r="N3336">
        <v>1</v>
      </c>
      <c r="O3336">
        <v>1725</v>
      </c>
    </row>
    <row r="3337" spans="1:15" x14ac:dyDescent="0.25">
      <c r="A3337" t="str">
        <f>"10/21/2020 18:38:08.943"</f>
        <v>10/21/2020 18:38:08.943</v>
      </c>
      <c r="B3337" t="str">
        <f>"18:38:16.859"</f>
        <v>18:38:16.859</v>
      </c>
      <c r="C3337" t="str">
        <f>"18:38:16.159"</f>
        <v>18:38:16.159</v>
      </c>
      <c r="D3337" t="s">
        <v>1265</v>
      </c>
      <c r="E3337">
        <v>30.891538000000001</v>
      </c>
      <c r="F3337" t="s">
        <v>1266</v>
      </c>
      <c r="G3337">
        <v>-89.887004000000005</v>
      </c>
      <c r="H3337">
        <v>1600</v>
      </c>
      <c r="I3337">
        <v>-32</v>
      </c>
      <c r="J3337">
        <v>156</v>
      </c>
      <c r="K3337">
        <v>0</v>
      </c>
      <c r="L3337">
        <v>1200</v>
      </c>
      <c r="M3337" t="str">
        <f t="shared" si="356"/>
        <v xml:space="preserve">N35DC   </v>
      </c>
      <c r="N3337">
        <v>1</v>
      </c>
      <c r="O3337">
        <v>1725</v>
      </c>
    </row>
    <row r="3338" spans="1:15" x14ac:dyDescent="0.25">
      <c r="A3338" t="str">
        <f>"10/21/2020 18:38:08.943"</f>
        <v>10/21/2020 18:38:08.943</v>
      </c>
      <c r="B3338" t="str">
        <f>"18:38:16.859"</f>
        <v>18:38:16.859</v>
      </c>
      <c r="C3338" t="str">
        <f>"18:38:16.159"</f>
        <v>18:38:16.159</v>
      </c>
      <c r="D3338" t="s">
        <v>1265</v>
      </c>
      <c r="E3338">
        <v>30.891538000000001</v>
      </c>
      <c r="F3338" t="s">
        <v>1266</v>
      </c>
      <c r="G3338">
        <v>-89.887004000000005</v>
      </c>
      <c r="H3338">
        <v>1600</v>
      </c>
      <c r="I3338">
        <v>-32</v>
      </c>
      <c r="J3338">
        <v>156</v>
      </c>
      <c r="K3338">
        <v>0</v>
      </c>
      <c r="L3338">
        <v>1200</v>
      </c>
      <c r="M3338" t="str">
        <f t="shared" si="356"/>
        <v xml:space="preserve">N35DC   </v>
      </c>
      <c r="N3338">
        <v>1</v>
      </c>
      <c r="O3338">
        <v>1725</v>
      </c>
    </row>
    <row r="3339" spans="1:15" x14ac:dyDescent="0.25">
      <c r="A3339" t="str">
        <f>"10/21/2020 18:38:08.943"</f>
        <v>10/21/2020 18:38:08.943</v>
      </c>
      <c r="B3339" t="str">
        <f>"18:38:16.859"</f>
        <v>18:38:16.859</v>
      </c>
      <c r="C3339" t="str">
        <f>"18:38:16.159"</f>
        <v>18:38:16.159</v>
      </c>
      <c r="D3339" t="s">
        <v>1265</v>
      </c>
      <c r="E3339">
        <v>30.891538000000001</v>
      </c>
      <c r="F3339" t="s">
        <v>1266</v>
      </c>
      <c r="G3339">
        <v>-89.887004000000005</v>
      </c>
      <c r="H3339">
        <v>1600</v>
      </c>
      <c r="I3339">
        <v>-32</v>
      </c>
      <c r="J3339">
        <v>156</v>
      </c>
      <c r="K3339">
        <v>0</v>
      </c>
      <c r="L3339">
        <v>1200</v>
      </c>
      <c r="M3339" t="str">
        <f t="shared" si="356"/>
        <v xml:space="preserve">N35DC   </v>
      </c>
      <c r="N3339">
        <v>1</v>
      </c>
      <c r="O3339">
        <v>1725</v>
      </c>
    </row>
    <row r="3340" spans="1:15" x14ac:dyDescent="0.25">
      <c r="A3340" t="str">
        <f>"10/21/2020 18:38:08.943"</f>
        <v>10/21/2020 18:38:08.943</v>
      </c>
      <c r="B3340" t="str">
        <f>"18:38:16.859"</f>
        <v>18:38:16.859</v>
      </c>
      <c r="C3340" t="str">
        <f>"18:38:16.159"</f>
        <v>18:38:16.159</v>
      </c>
      <c r="D3340" t="s">
        <v>1265</v>
      </c>
      <c r="E3340">
        <v>30.891538000000001</v>
      </c>
      <c r="F3340" t="s">
        <v>1266</v>
      </c>
      <c r="G3340">
        <v>-89.887004000000005</v>
      </c>
      <c r="H3340">
        <v>1600</v>
      </c>
      <c r="I3340">
        <v>-32</v>
      </c>
      <c r="J3340">
        <v>156</v>
      </c>
      <c r="K3340">
        <v>0</v>
      </c>
      <c r="L3340">
        <v>1200</v>
      </c>
      <c r="M3340" t="str">
        <f t="shared" si="356"/>
        <v xml:space="preserve">N35DC   </v>
      </c>
      <c r="N3340">
        <v>1</v>
      </c>
      <c r="O3340">
        <v>1725</v>
      </c>
    </row>
    <row r="3341" spans="1:15" x14ac:dyDescent="0.25">
      <c r="A3341" t="str">
        <f>"10/21/2020 18:38:09.414"</f>
        <v>10/21/2020 18:38:09.414</v>
      </c>
      <c r="B3341" t="str">
        <f>"18:38:17.297"</f>
        <v>18:38:17.297</v>
      </c>
      <c r="C3341" t="str">
        <f>"18:38:17.197"</f>
        <v>18:38:17.197</v>
      </c>
      <c r="D3341" t="s">
        <v>1267</v>
      </c>
      <c r="E3341">
        <v>30.891860000000001</v>
      </c>
      <c r="F3341" t="s">
        <v>1268</v>
      </c>
      <c r="G3341">
        <v>-89.887111000000004</v>
      </c>
      <c r="H3341">
        <v>1600</v>
      </c>
      <c r="I3341">
        <v>-39</v>
      </c>
      <c r="J3341">
        <v>154</v>
      </c>
      <c r="K3341">
        <v>-64</v>
      </c>
      <c r="L3341">
        <v>1200</v>
      </c>
      <c r="M3341" t="str">
        <f t="shared" si="356"/>
        <v xml:space="preserve">N35DC   </v>
      </c>
      <c r="N3341">
        <v>1</v>
      </c>
      <c r="O3341">
        <v>1725</v>
      </c>
    </row>
    <row r="3342" spans="1:15" x14ac:dyDescent="0.25">
      <c r="A3342" t="str">
        <f>"10/21/2020 18:38:11.962"</f>
        <v>10/21/2020 18:38:11.962</v>
      </c>
      <c r="B3342" t="str">
        <f>"18:38:19.859"</f>
        <v>18:38:19.859</v>
      </c>
      <c r="C3342" t="str">
        <f>"18:38:19.659"</f>
        <v>18:38:19.659</v>
      </c>
      <c r="D3342" t="s">
        <v>1269</v>
      </c>
      <c r="E3342">
        <v>30.893705000000001</v>
      </c>
      <c r="F3342" t="s">
        <v>1270</v>
      </c>
      <c r="G3342">
        <v>-89.887776000000002</v>
      </c>
      <c r="H3342">
        <v>1600</v>
      </c>
      <c r="I3342">
        <v>-53</v>
      </c>
      <c r="J3342">
        <v>151</v>
      </c>
      <c r="K3342">
        <v>-192</v>
      </c>
      <c r="L3342">
        <v>1200</v>
      </c>
      <c r="M3342" t="str">
        <f t="shared" si="356"/>
        <v xml:space="preserve">N35DC   </v>
      </c>
      <c r="N3342">
        <v>1</v>
      </c>
      <c r="O3342">
        <v>1725</v>
      </c>
    </row>
    <row r="3343" spans="1:15" x14ac:dyDescent="0.25">
      <c r="A3343" t="str">
        <f>"10/21/2020 18:38:11.962"</f>
        <v>10/21/2020 18:38:11.962</v>
      </c>
      <c r="B3343" t="str">
        <f>"18:38:19.859"</f>
        <v>18:38:19.859</v>
      </c>
      <c r="C3343" t="str">
        <f>"18:38:19.659"</f>
        <v>18:38:19.659</v>
      </c>
      <c r="D3343" t="s">
        <v>1269</v>
      </c>
      <c r="E3343">
        <v>30.893705000000001</v>
      </c>
      <c r="F3343" t="s">
        <v>1270</v>
      </c>
      <c r="G3343">
        <v>-89.887776000000002</v>
      </c>
      <c r="H3343">
        <v>1600</v>
      </c>
      <c r="I3343">
        <v>-53</v>
      </c>
      <c r="J3343">
        <v>151</v>
      </c>
      <c r="K3343">
        <v>-192</v>
      </c>
      <c r="L3343">
        <v>1200</v>
      </c>
      <c r="M3343" t="str">
        <f t="shared" si="356"/>
        <v xml:space="preserve">N35DC   </v>
      </c>
      <c r="N3343">
        <v>1</v>
      </c>
      <c r="O3343">
        <v>1725</v>
      </c>
    </row>
    <row r="3344" spans="1:15" x14ac:dyDescent="0.25">
      <c r="A3344" t="str">
        <f>"10/21/2020 18:38:11.962"</f>
        <v>10/21/2020 18:38:11.962</v>
      </c>
      <c r="B3344" t="str">
        <f>"18:38:19.859"</f>
        <v>18:38:19.859</v>
      </c>
      <c r="C3344" t="str">
        <f>"18:38:19.659"</f>
        <v>18:38:19.659</v>
      </c>
      <c r="D3344" t="s">
        <v>1269</v>
      </c>
      <c r="E3344">
        <v>30.893705000000001</v>
      </c>
      <c r="F3344" t="s">
        <v>1270</v>
      </c>
      <c r="G3344">
        <v>-89.887776000000002</v>
      </c>
      <c r="H3344">
        <v>1600</v>
      </c>
      <c r="I3344">
        <v>-53</v>
      </c>
      <c r="J3344">
        <v>151</v>
      </c>
      <c r="K3344">
        <v>-192</v>
      </c>
      <c r="L3344">
        <v>1200</v>
      </c>
      <c r="M3344" t="str">
        <f t="shared" si="356"/>
        <v xml:space="preserve">N35DC   </v>
      </c>
      <c r="N3344">
        <v>1</v>
      </c>
      <c r="O3344">
        <v>1725</v>
      </c>
    </row>
    <row r="3345" spans="1:15" x14ac:dyDescent="0.25">
      <c r="A3345" t="str">
        <f>"10/21/2020 18:38:11.962"</f>
        <v>10/21/2020 18:38:11.962</v>
      </c>
      <c r="B3345" t="str">
        <f>"18:38:19.859"</f>
        <v>18:38:19.859</v>
      </c>
      <c r="C3345" t="str">
        <f>"18:38:19.659"</f>
        <v>18:38:19.659</v>
      </c>
      <c r="D3345" t="s">
        <v>1269</v>
      </c>
      <c r="E3345">
        <v>30.893705000000001</v>
      </c>
      <c r="F3345" t="s">
        <v>1270</v>
      </c>
      <c r="G3345">
        <v>-89.887776000000002</v>
      </c>
      <c r="H3345">
        <v>1600</v>
      </c>
      <c r="I3345">
        <v>-53</v>
      </c>
      <c r="J3345">
        <v>151</v>
      </c>
      <c r="K3345">
        <v>-192</v>
      </c>
      <c r="L3345">
        <v>1200</v>
      </c>
      <c r="M3345" t="str">
        <f t="shared" si="356"/>
        <v xml:space="preserve">N35DC   </v>
      </c>
      <c r="N3345">
        <v>1</v>
      </c>
      <c r="O3345">
        <v>1725</v>
      </c>
    </row>
    <row r="3346" spans="1:15" x14ac:dyDescent="0.25">
      <c r="A3346" t="str">
        <f>"10/21/2020 18:38:11.962"</f>
        <v>10/21/2020 18:38:11.962</v>
      </c>
      <c r="B3346" t="str">
        <f>"18:38:19.859"</f>
        <v>18:38:19.859</v>
      </c>
      <c r="C3346" t="str">
        <f>"18:38:19.659"</f>
        <v>18:38:19.659</v>
      </c>
      <c r="D3346" t="s">
        <v>1269</v>
      </c>
      <c r="E3346">
        <v>30.893705000000001</v>
      </c>
      <c r="F3346" t="s">
        <v>1270</v>
      </c>
      <c r="G3346">
        <v>-89.887776000000002</v>
      </c>
      <c r="H3346">
        <v>1600</v>
      </c>
      <c r="I3346">
        <v>-53</v>
      </c>
      <c r="J3346">
        <v>151</v>
      </c>
      <c r="K3346">
        <v>-192</v>
      </c>
      <c r="L3346">
        <v>1200</v>
      </c>
      <c r="M3346" t="str">
        <f t="shared" si="356"/>
        <v xml:space="preserve">N35DC   </v>
      </c>
      <c r="N3346">
        <v>1</v>
      </c>
      <c r="O3346">
        <v>1725</v>
      </c>
    </row>
    <row r="3347" spans="1:15" x14ac:dyDescent="0.25">
      <c r="A3347" t="str">
        <f t="shared" ref="A3347:A3352" si="357">"10/21/2020 18:38:15.309"</f>
        <v>10/21/2020 18:38:15.309</v>
      </c>
      <c r="B3347" t="str">
        <f t="shared" ref="B3347:B3352" si="358">"18:38:23.266"</f>
        <v>18:38:23.266</v>
      </c>
      <c r="C3347" t="str">
        <f>"18:38:23.166"</f>
        <v>18:38:23.166</v>
      </c>
      <c r="D3347" t="s">
        <v>1271</v>
      </c>
      <c r="E3347">
        <v>30.895979000000001</v>
      </c>
      <c r="F3347" t="s">
        <v>1272</v>
      </c>
      <c r="G3347">
        <v>-89.888957000000005</v>
      </c>
      <c r="H3347">
        <v>1600</v>
      </c>
      <c r="I3347">
        <v>-74</v>
      </c>
      <c r="J3347">
        <v>143</v>
      </c>
      <c r="K3347">
        <v>-256</v>
      </c>
      <c r="L3347">
        <v>1200</v>
      </c>
      <c r="M3347" t="str">
        <f t="shared" si="356"/>
        <v xml:space="preserve">N35DC   </v>
      </c>
      <c r="N3347">
        <v>1</v>
      </c>
      <c r="O3347">
        <v>1700</v>
      </c>
    </row>
    <row r="3348" spans="1:15" x14ac:dyDescent="0.25">
      <c r="A3348" t="str">
        <f t="shared" si="357"/>
        <v>10/21/2020 18:38:15.309</v>
      </c>
      <c r="B3348" t="str">
        <f t="shared" si="358"/>
        <v>18:38:23.266</v>
      </c>
      <c r="C3348" t="str">
        <f>"18:38:23.166"</f>
        <v>18:38:23.166</v>
      </c>
      <c r="D3348" t="s">
        <v>1271</v>
      </c>
      <c r="E3348">
        <v>30.895979000000001</v>
      </c>
      <c r="F3348" t="s">
        <v>1272</v>
      </c>
      <c r="G3348">
        <v>-89.888957000000005</v>
      </c>
      <c r="H3348">
        <v>1600</v>
      </c>
      <c r="I3348">
        <v>-74</v>
      </c>
      <c r="J3348">
        <v>143</v>
      </c>
      <c r="K3348">
        <v>-256</v>
      </c>
      <c r="L3348">
        <v>1200</v>
      </c>
      <c r="M3348" t="str">
        <f t="shared" si="356"/>
        <v xml:space="preserve">N35DC   </v>
      </c>
      <c r="N3348">
        <v>1</v>
      </c>
      <c r="O3348">
        <v>1700</v>
      </c>
    </row>
    <row r="3349" spans="1:15" x14ac:dyDescent="0.25">
      <c r="A3349" t="str">
        <f t="shared" si="357"/>
        <v>10/21/2020 18:38:15.309</v>
      </c>
      <c r="B3349" t="str">
        <f t="shared" si="358"/>
        <v>18:38:23.266</v>
      </c>
      <c r="C3349" t="str">
        <f>"18:38:23.166"</f>
        <v>18:38:23.166</v>
      </c>
      <c r="D3349" t="s">
        <v>1271</v>
      </c>
      <c r="E3349">
        <v>30.895979000000001</v>
      </c>
      <c r="F3349" t="s">
        <v>1272</v>
      </c>
      <c r="G3349">
        <v>-89.888957000000005</v>
      </c>
      <c r="H3349">
        <v>1600</v>
      </c>
      <c r="I3349">
        <v>-74</v>
      </c>
      <c r="J3349">
        <v>143</v>
      </c>
      <c r="K3349">
        <v>-256</v>
      </c>
      <c r="L3349">
        <v>1200</v>
      </c>
      <c r="M3349" t="str">
        <f t="shared" si="356"/>
        <v xml:space="preserve">N35DC   </v>
      </c>
      <c r="N3349">
        <v>1</v>
      </c>
      <c r="O3349">
        <v>1700</v>
      </c>
    </row>
    <row r="3350" spans="1:15" x14ac:dyDescent="0.25">
      <c r="A3350" t="str">
        <f t="shared" si="357"/>
        <v>10/21/2020 18:38:15.309</v>
      </c>
      <c r="B3350" t="str">
        <f t="shared" si="358"/>
        <v>18:38:23.266</v>
      </c>
      <c r="C3350" t="str">
        <f>"18:38:23.166"</f>
        <v>18:38:23.166</v>
      </c>
      <c r="D3350" t="s">
        <v>1271</v>
      </c>
      <c r="E3350">
        <v>30.895979000000001</v>
      </c>
      <c r="F3350" t="s">
        <v>1272</v>
      </c>
      <c r="G3350">
        <v>-89.888957000000005</v>
      </c>
      <c r="H3350">
        <v>1600</v>
      </c>
      <c r="I3350">
        <v>-74</v>
      </c>
      <c r="J3350">
        <v>143</v>
      </c>
      <c r="K3350">
        <v>-256</v>
      </c>
      <c r="L3350">
        <v>1200</v>
      </c>
      <c r="M3350" t="str">
        <f t="shared" si="356"/>
        <v xml:space="preserve">N35DC   </v>
      </c>
      <c r="N3350">
        <v>1</v>
      </c>
      <c r="O3350">
        <v>1700</v>
      </c>
    </row>
    <row r="3351" spans="1:15" x14ac:dyDescent="0.25">
      <c r="A3351" t="str">
        <f t="shared" si="357"/>
        <v>10/21/2020 18:38:15.309</v>
      </c>
      <c r="B3351" t="str">
        <f t="shared" si="358"/>
        <v>18:38:23.266</v>
      </c>
      <c r="C3351" t="str">
        <f>"18:38:23.166"</f>
        <v>18:38:23.166</v>
      </c>
      <c r="D3351" t="s">
        <v>1271</v>
      </c>
      <c r="E3351">
        <v>30.895979000000001</v>
      </c>
      <c r="F3351" t="s">
        <v>1272</v>
      </c>
      <c r="G3351">
        <v>-89.888957000000005</v>
      </c>
      <c r="H3351">
        <v>1600</v>
      </c>
      <c r="I3351">
        <v>-74</v>
      </c>
      <c r="J3351">
        <v>143</v>
      </c>
      <c r="K3351">
        <v>-256</v>
      </c>
      <c r="L3351">
        <v>1200</v>
      </c>
      <c r="M3351" t="str">
        <f t="shared" si="356"/>
        <v xml:space="preserve">N35DC   </v>
      </c>
      <c r="N3351">
        <v>1</v>
      </c>
      <c r="O3351">
        <v>1700</v>
      </c>
    </row>
    <row r="3352" spans="1:15" x14ac:dyDescent="0.25">
      <c r="A3352" t="str">
        <f t="shared" si="357"/>
        <v>10/21/2020 18:38:15.309</v>
      </c>
      <c r="B3352" t="str">
        <f t="shared" si="358"/>
        <v>18:38:23.266</v>
      </c>
      <c r="C3352" t="str">
        <f>"18:38:21.166"</f>
        <v>18:38:21.166</v>
      </c>
      <c r="D3352" t="s">
        <v>1271</v>
      </c>
      <c r="E3352">
        <v>30.895979000000001</v>
      </c>
      <c r="F3352" t="s">
        <v>1272</v>
      </c>
      <c r="G3352">
        <v>-89.888957000000005</v>
      </c>
      <c r="H3352">
        <v>1600</v>
      </c>
      <c r="I3352">
        <v>-62</v>
      </c>
      <c r="J3352">
        <v>148</v>
      </c>
      <c r="K3352">
        <v>-192</v>
      </c>
      <c r="L3352">
        <v>1200</v>
      </c>
      <c r="M3352" t="str">
        <f t="shared" si="356"/>
        <v xml:space="preserve">N35DC   </v>
      </c>
      <c r="N3352">
        <v>1</v>
      </c>
      <c r="O3352">
        <v>1700</v>
      </c>
    </row>
    <row r="3353" spans="1:15" x14ac:dyDescent="0.25">
      <c r="A3353" t="str">
        <f>"10/21/2020 18:38:16.221"</f>
        <v>10/21/2020 18:38:16.221</v>
      </c>
      <c r="B3353" t="str">
        <f t="shared" ref="B3353:C3357" si="359">"18:38:24.133"</f>
        <v>18:38:24.133</v>
      </c>
      <c r="C3353" t="str">
        <f t="shared" si="359"/>
        <v>18:38:24.133</v>
      </c>
      <c r="D3353" t="s">
        <v>1273</v>
      </c>
      <c r="E3353">
        <v>30.89658</v>
      </c>
      <c r="F3353" t="s">
        <v>1274</v>
      </c>
      <c r="G3353">
        <v>-89.889320999999995</v>
      </c>
      <c r="H3353">
        <v>1600</v>
      </c>
      <c r="I3353">
        <v>-80</v>
      </c>
      <c r="J3353">
        <v>141</v>
      </c>
      <c r="K3353">
        <v>-192</v>
      </c>
      <c r="L3353">
        <v>1200</v>
      </c>
      <c r="M3353" t="str">
        <f t="shared" si="356"/>
        <v xml:space="preserve">N35DC   </v>
      </c>
      <c r="N3353">
        <v>1</v>
      </c>
      <c r="O3353">
        <v>1700</v>
      </c>
    </row>
    <row r="3354" spans="1:15" x14ac:dyDescent="0.25">
      <c r="A3354" t="str">
        <f>"10/21/2020 18:38:16.221"</f>
        <v>10/21/2020 18:38:16.221</v>
      </c>
      <c r="B3354" t="str">
        <f t="shared" si="359"/>
        <v>18:38:24.133</v>
      </c>
      <c r="C3354" t="str">
        <f t="shared" si="359"/>
        <v>18:38:24.133</v>
      </c>
      <c r="D3354" t="s">
        <v>1273</v>
      </c>
      <c r="E3354">
        <v>30.89658</v>
      </c>
      <c r="F3354" t="s">
        <v>1274</v>
      </c>
      <c r="G3354">
        <v>-89.889320999999995</v>
      </c>
      <c r="H3354">
        <v>1600</v>
      </c>
      <c r="I3354">
        <v>-80</v>
      </c>
      <c r="J3354">
        <v>141</v>
      </c>
      <c r="K3354">
        <v>-192</v>
      </c>
      <c r="L3354">
        <v>1200</v>
      </c>
      <c r="M3354" t="str">
        <f t="shared" si="356"/>
        <v xml:space="preserve">N35DC   </v>
      </c>
      <c r="N3354">
        <v>1</v>
      </c>
      <c r="O3354">
        <v>1700</v>
      </c>
    </row>
    <row r="3355" spans="1:15" x14ac:dyDescent="0.25">
      <c r="A3355" t="str">
        <f>"10/21/2020 18:38:16.221"</f>
        <v>10/21/2020 18:38:16.221</v>
      </c>
      <c r="B3355" t="str">
        <f t="shared" si="359"/>
        <v>18:38:24.133</v>
      </c>
      <c r="C3355" t="str">
        <f t="shared" si="359"/>
        <v>18:38:24.133</v>
      </c>
      <c r="D3355" t="s">
        <v>1273</v>
      </c>
      <c r="E3355">
        <v>30.89658</v>
      </c>
      <c r="F3355" t="s">
        <v>1274</v>
      </c>
      <c r="G3355">
        <v>-89.889320999999995</v>
      </c>
      <c r="H3355">
        <v>1600</v>
      </c>
      <c r="I3355">
        <v>-80</v>
      </c>
      <c r="J3355">
        <v>141</v>
      </c>
      <c r="K3355">
        <v>-192</v>
      </c>
      <c r="L3355">
        <v>1200</v>
      </c>
      <c r="M3355" t="str">
        <f t="shared" si="356"/>
        <v xml:space="preserve">N35DC   </v>
      </c>
      <c r="N3355">
        <v>1</v>
      </c>
      <c r="O3355">
        <v>1700</v>
      </c>
    </row>
    <row r="3356" spans="1:15" x14ac:dyDescent="0.25">
      <c r="A3356" t="str">
        <f>"10/21/2020 18:38:16.221"</f>
        <v>10/21/2020 18:38:16.221</v>
      </c>
      <c r="B3356" t="str">
        <f t="shared" si="359"/>
        <v>18:38:24.133</v>
      </c>
      <c r="C3356" t="str">
        <f t="shared" si="359"/>
        <v>18:38:24.133</v>
      </c>
      <c r="D3356" t="s">
        <v>1273</v>
      </c>
      <c r="E3356">
        <v>30.89658</v>
      </c>
      <c r="F3356" t="s">
        <v>1274</v>
      </c>
      <c r="G3356">
        <v>-89.889320999999995</v>
      </c>
      <c r="H3356">
        <v>1600</v>
      </c>
      <c r="I3356">
        <v>-80</v>
      </c>
      <c r="J3356">
        <v>141</v>
      </c>
      <c r="K3356">
        <v>-192</v>
      </c>
      <c r="L3356">
        <v>1200</v>
      </c>
      <c r="M3356" t="str">
        <f t="shared" si="356"/>
        <v xml:space="preserve">N35DC   </v>
      </c>
      <c r="N3356">
        <v>1</v>
      </c>
      <c r="O3356">
        <v>1700</v>
      </c>
    </row>
    <row r="3357" spans="1:15" x14ac:dyDescent="0.25">
      <c r="A3357" t="str">
        <f>"10/21/2020 18:38:16.221"</f>
        <v>10/21/2020 18:38:16.221</v>
      </c>
      <c r="B3357" t="str">
        <f t="shared" si="359"/>
        <v>18:38:24.133</v>
      </c>
      <c r="C3357" t="str">
        <f t="shared" si="359"/>
        <v>18:38:24.133</v>
      </c>
      <c r="D3357" t="s">
        <v>1273</v>
      </c>
      <c r="E3357">
        <v>30.89658</v>
      </c>
      <c r="F3357" t="s">
        <v>1274</v>
      </c>
      <c r="G3357">
        <v>-89.889320999999995</v>
      </c>
      <c r="H3357">
        <v>1600</v>
      </c>
      <c r="I3357">
        <v>-80</v>
      </c>
      <c r="J3357">
        <v>141</v>
      </c>
      <c r="K3357">
        <v>-192</v>
      </c>
      <c r="L3357">
        <v>1200</v>
      </c>
      <c r="M3357" t="str">
        <f t="shared" si="356"/>
        <v xml:space="preserve">N35DC   </v>
      </c>
      <c r="N3357">
        <v>1</v>
      </c>
      <c r="O3357">
        <v>1700</v>
      </c>
    </row>
    <row r="3358" spans="1:15" x14ac:dyDescent="0.25">
      <c r="A3358" t="str">
        <f>"10/21/2020 18:38:19.000"</f>
        <v>10/21/2020 18:38:19.000</v>
      </c>
      <c r="B3358" t="str">
        <f>"18:38:26.922"</f>
        <v>18:38:26.922</v>
      </c>
      <c r="C3358" t="str">
        <f>"18:38:26.622"</f>
        <v>18:38:26.622</v>
      </c>
      <c r="D3358" t="s">
        <v>1275</v>
      </c>
      <c r="E3358">
        <v>30.898318</v>
      </c>
      <c r="F3358" t="s">
        <v>1276</v>
      </c>
      <c r="G3358">
        <v>-89.890673000000007</v>
      </c>
      <c r="H3358">
        <v>1600</v>
      </c>
      <c r="I3358">
        <v>-93</v>
      </c>
      <c r="J3358">
        <v>133</v>
      </c>
      <c r="K3358">
        <v>0</v>
      </c>
      <c r="L3358">
        <v>1200</v>
      </c>
      <c r="M3358" t="str">
        <f t="shared" si="356"/>
        <v xml:space="preserve">N35DC   </v>
      </c>
      <c r="N3358">
        <v>1</v>
      </c>
      <c r="O3358">
        <v>1700</v>
      </c>
    </row>
    <row r="3359" spans="1:15" x14ac:dyDescent="0.25">
      <c r="A3359" t="str">
        <f>"10/21/2020 18:38:19.000"</f>
        <v>10/21/2020 18:38:19.000</v>
      </c>
      <c r="B3359" t="str">
        <f>"18:38:26.922"</f>
        <v>18:38:26.922</v>
      </c>
      <c r="C3359" t="str">
        <f>"18:38:26.622"</f>
        <v>18:38:26.622</v>
      </c>
      <c r="D3359" t="s">
        <v>1275</v>
      </c>
      <c r="E3359">
        <v>30.898318</v>
      </c>
      <c r="F3359" t="s">
        <v>1276</v>
      </c>
      <c r="G3359">
        <v>-89.890673000000007</v>
      </c>
      <c r="H3359">
        <v>1600</v>
      </c>
      <c r="I3359">
        <v>-93</v>
      </c>
      <c r="J3359">
        <v>133</v>
      </c>
      <c r="K3359">
        <v>0</v>
      </c>
      <c r="L3359">
        <v>1200</v>
      </c>
      <c r="M3359" t="str">
        <f t="shared" si="356"/>
        <v xml:space="preserve">N35DC   </v>
      </c>
      <c r="N3359">
        <v>1</v>
      </c>
      <c r="O3359">
        <v>1700</v>
      </c>
    </row>
    <row r="3360" spans="1:15" x14ac:dyDescent="0.25">
      <c r="A3360" t="str">
        <f>"10/21/2020 18:38:19.000"</f>
        <v>10/21/2020 18:38:19.000</v>
      </c>
      <c r="B3360" t="str">
        <f>"18:38:26.922"</f>
        <v>18:38:26.922</v>
      </c>
      <c r="C3360" t="str">
        <f>"18:38:26.622"</f>
        <v>18:38:26.622</v>
      </c>
      <c r="D3360" t="s">
        <v>1275</v>
      </c>
      <c r="E3360">
        <v>30.898318</v>
      </c>
      <c r="F3360" t="s">
        <v>1276</v>
      </c>
      <c r="G3360">
        <v>-89.890673000000007</v>
      </c>
      <c r="H3360">
        <v>1600</v>
      </c>
      <c r="I3360">
        <v>-93</v>
      </c>
      <c r="J3360">
        <v>133</v>
      </c>
      <c r="K3360">
        <v>0</v>
      </c>
      <c r="L3360">
        <v>1200</v>
      </c>
      <c r="M3360" t="str">
        <f t="shared" si="356"/>
        <v xml:space="preserve">N35DC   </v>
      </c>
      <c r="N3360">
        <v>1</v>
      </c>
      <c r="O3360">
        <v>1700</v>
      </c>
    </row>
    <row r="3361" spans="1:15" x14ac:dyDescent="0.25">
      <c r="A3361" t="str">
        <f>"10/21/2020 18:38:19.000"</f>
        <v>10/21/2020 18:38:19.000</v>
      </c>
      <c r="B3361" t="str">
        <f>"18:38:26.922"</f>
        <v>18:38:26.922</v>
      </c>
      <c r="C3361" t="str">
        <f>"18:38:26.622"</f>
        <v>18:38:26.622</v>
      </c>
      <c r="D3361" t="s">
        <v>1275</v>
      </c>
      <c r="E3361">
        <v>30.898318</v>
      </c>
      <c r="F3361" t="s">
        <v>1276</v>
      </c>
      <c r="G3361">
        <v>-89.890673000000007</v>
      </c>
      <c r="H3361">
        <v>1600</v>
      </c>
      <c r="I3361">
        <v>-93</v>
      </c>
      <c r="J3361">
        <v>133</v>
      </c>
      <c r="K3361">
        <v>0</v>
      </c>
      <c r="L3361">
        <v>1200</v>
      </c>
      <c r="M3361" t="str">
        <f t="shared" si="356"/>
        <v xml:space="preserve">N35DC   </v>
      </c>
      <c r="N3361">
        <v>1</v>
      </c>
      <c r="O3361">
        <v>1700</v>
      </c>
    </row>
    <row r="3362" spans="1:15" x14ac:dyDescent="0.25">
      <c r="A3362" t="str">
        <f>"10/21/2020 18:38:19.000"</f>
        <v>10/21/2020 18:38:19.000</v>
      </c>
      <c r="B3362" t="str">
        <f>"18:38:26.922"</f>
        <v>18:38:26.922</v>
      </c>
      <c r="C3362" t="str">
        <f>"18:38:26.622"</f>
        <v>18:38:26.622</v>
      </c>
      <c r="D3362" t="s">
        <v>1275</v>
      </c>
      <c r="E3362">
        <v>30.898318</v>
      </c>
      <c r="F3362" t="s">
        <v>1276</v>
      </c>
      <c r="G3362">
        <v>-89.890673000000007</v>
      </c>
      <c r="H3362">
        <v>1600</v>
      </c>
      <c r="I3362">
        <v>-93</v>
      </c>
      <c r="J3362">
        <v>133</v>
      </c>
      <c r="K3362">
        <v>0</v>
      </c>
      <c r="L3362">
        <v>1200</v>
      </c>
      <c r="M3362" t="str">
        <f t="shared" si="356"/>
        <v xml:space="preserve">N35DC   </v>
      </c>
      <c r="N3362">
        <v>1</v>
      </c>
      <c r="O3362">
        <v>1700</v>
      </c>
    </row>
    <row r="3363" spans="1:15" x14ac:dyDescent="0.25">
      <c r="A3363" t="str">
        <f>"10/21/2020 18:38:20.110"</f>
        <v>10/21/2020 18:38:20.110</v>
      </c>
      <c r="B3363" t="str">
        <f>"18:38:28.047"</f>
        <v>18:38:28.047</v>
      </c>
      <c r="C3363" t="str">
        <f>"18:38:27.647"</f>
        <v>18:38:27.647</v>
      </c>
      <c r="D3363" t="s">
        <v>1277</v>
      </c>
      <c r="E3363">
        <v>30.898962000000001</v>
      </c>
      <c r="F3363" t="s">
        <v>1278</v>
      </c>
      <c r="G3363">
        <v>-89.891273999999996</v>
      </c>
      <c r="H3363">
        <v>1600</v>
      </c>
      <c r="I3363">
        <v>-98</v>
      </c>
      <c r="J3363">
        <v>129</v>
      </c>
      <c r="K3363">
        <v>64</v>
      </c>
      <c r="L3363">
        <v>1200</v>
      </c>
      <c r="M3363" t="str">
        <f t="shared" si="356"/>
        <v xml:space="preserve">N35DC   </v>
      </c>
      <c r="N3363">
        <v>1</v>
      </c>
      <c r="O3363">
        <v>1700</v>
      </c>
    </row>
    <row r="3364" spans="1:15" x14ac:dyDescent="0.25">
      <c r="A3364" t="str">
        <f>"10/21/2020 18:38:20.110"</f>
        <v>10/21/2020 18:38:20.110</v>
      </c>
      <c r="B3364" t="str">
        <f>"18:38:28.047"</f>
        <v>18:38:28.047</v>
      </c>
      <c r="C3364" t="str">
        <f>"18:38:27.647"</f>
        <v>18:38:27.647</v>
      </c>
      <c r="D3364" t="s">
        <v>1277</v>
      </c>
      <c r="E3364">
        <v>30.898962000000001</v>
      </c>
      <c r="F3364" t="s">
        <v>1278</v>
      </c>
      <c r="G3364">
        <v>-89.891273999999996</v>
      </c>
      <c r="H3364">
        <v>1600</v>
      </c>
      <c r="I3364">
        <v>-98</v>
      </c>
      <c r="J3364">
        <v>129</v>
      </c>
      <c r="K3364">
        <v>64</v>
      </c>
      <c r="L3364">
        <v>1200</v>
      </c>
      <c r="M3364" t="str">
        <f t="shared" si="356"/>
        <v xml:space="preserve">N35DC   </v>
      </c>
      <c r="N3364">
        <v>1</v>
      </c>
      <c r="O3364">
        <v>1700</v>
      </c>
    </row>
    <row r="3365" spans="1:15" x14ac:dyDescent="0.25">
      <c r="A3365" t="str">
        <f>"10/21/2020 18:38:20.110"</f>
        <v>10/21/2020 18:38:20.110</v>
      </c>
      <c r="B3365" t="str">
        <f>"18:38:28.047"</f>
        <v>18:38:28.047</v>
      </c>
      <c r="C3365" t="str">
        <f>"18:38:27.647"</f>
        <v>18:38:27.647</v>
      </c>
      <c r="D3365" t="s">
        <v>1277</v>
      </c>
      <c r="E3365">
        <v>30.898962000000001</v>
      </c>
      <c r="F3365" t="s">
        <v>1278</v>
      </c>
      <c r="G3365">
        <v>-89.891273999999996</v>
      </c>
      <c r="H3365">
        <v>1600</v>
      </c>
      <c r="I3365">
        <v>-98</v>
      </c>
      <c r="J3365">
        <v>129</v>
      </c>
      <c r="K3365">
        <v>64</v>
      </c>
      <c r="L3365">
        <v>1200</v>
      </c>
      <c r="M3365" t="str">
        <f t="shared" si="356"/>
        <v xml:space="preserve">N35DC   </v>
      </c>
      <c r="N3365">
        <v>1</v>
      </c>
      <c r="O3365">
        <v>1700</v>
      </c>
    </row>
    <row r="3366" spans="1:15" x14ac:dyDescent="0.25">
      <c r="A3366" t="str">
        <f>"10/21/2020 18:38:20.110"</f>
        <v>10/21/2020 18:38:20.110</v>
      </c>
      <c r="B3366" t="str">
        <f>"18:38:28.047"</f>
        <v>18:38:28.047</v>
      </c>
      <c r="C3366" t="str">
        <f>"18:38:27.647"</f>
        <v>18:38:27.647</v>
      </c>
      <c r="D3366" t="s">
        <v>1277</v>
      </c>
      <c r="E3366">
        <v>30.898962000000001</v>
      </c>
      <c r="F3366" t="s">
        <v>1278</v>
      </c>
      <c r="G3366">
        <v>-89.891273999999996</v>
      </c>
      <c r="H3366">
        <v>1600</v>
      </c>
      <c r="I3366">
        <v>-98</v>
      </c>
      <c r="J3366">
        <v>129</v>
      </c>
      <c r="K3366">
        <v>64</v>
      </c>
      <c r="L3366">
        <v>1200</v>
      </c>
      <c r="M3366" t="str">
        <f t="shared" si="356"/>
        <v xml:space="preserve">N35DC   </v>
      </c>
      <c r="N3366">
        <v>1</v>
      </c>
      <c r="O3366">
        <v>1700</v>
      </c>
    </row>
    <row r="3367" spans="1:15" x14ac:dyDescent="0.25">
      <c r="A3367" t="str">
        <f>"10/21/2020 18:38:20.110"</f>
        <v>10/21/2020 18:38:20.110</v>
      </c>
      <c r="B3367" t="str">
        <f>"18:38:28.047"</f>
        <v>18:38:28.047</v>
      </c>
      <c r="C3367" t="str">
        <f>"18:38:27.647"</f>
        <v>18:38:27.647</v>
      </c>
      <c r="D3367" t="s">
        <v>1277</v>
      </c>
      <c r="E3367">
        <v>30.898962000000001</v>
      </c>
      <c r="F3367" t="s">
        <v>1278</v>
      </c>
      <c r="G3367">
        <v>-89.891273999999996</v>
      </c>
      <c r="H3367">
        <v>1600</v>
      </c>
      <c r="I3367">
        <v>-98</v>
      </c>
      <c r="J3367">
        <v>129</v>
      </c>
      <c r="K3367">
        <v>64</v>
      </c>
      <c r="L3367">
        <v>1200</v>
      </c>
      <c r="M3367" t="str">
        <f t="shared" si="356"/>
        <v xml:space="preserve">N35DC   </v>
      </c>
      <c r="N3367">
        <v>1</v>
      </c>
      <c r="O3367">
        <v>1700</v>
      </c>
    </row>
    <row r="3368" spans="1:15" x14ac:dyDescent="0.25">
      <c r="A3368" t="str">
        <f>"10/21/2020 18:38:22.234"</f>
        <v>10/21/2020 18:38:22.234</v>
      </c>
      <c r="B3368" t="str">
        <f>"18:38:30.148"</f>
        <v>18:38:30.148</v>
      </c>
      <c r="C3368" t="str">
        <f>"18:38:30.048"</f>
        <v>18:38:30.048</v>
      </c>
      <c r="D3368" t="s">
        <v>1279</v>
      </c>
      <c r="E3368">
        <v>30.900141999999999</v>
      </c>
      <c r="F3368" t="s">
        <v>1280</v>
      </c>
      <c r="G3368">
        <v>-89.892497000000006</v>
      </c>
      <c r="H3368">
        <v>1600</v>
      </c>
      <c r="I3368">
        <v>-110</v>
      </c>
      <c r="J3368">
        <v>119</v>
      </c>
      <c r="K3368">
        <v>128</v>
      </c>
      <c r="L3368">
        <v>1200</v>
      </c>
      <c r="M3368" t="str">
        <f t="shared" si="356"/>
        <v xml:space="preserve">N35DC   </v>
      </c>
      <c r="N3368">
        <v>1</v>
      </c>
      <c r="O3368">
        <v>1700</v>
      </c>
    </row>
    <row r="3369" spans="1:15" x14ac:dyDescent="0.25">
      <c r="A3369" t="str">
        <f>"10/21/2020 18:38:22.234"</f>
        <v>10/21/2020 18:38:22.234</v>
      </c>
      <c r="B3369" t="str">
        <f>"18:38:30.148"</f>
        <v>18:38:30.148</v>
      </c>
      <c r="C3369" t="str">
        <f>"18:38:30.048"</f>
        <v>18:38:30.048</v>
      </c>
      <c r="D3369" t="s">
        <v>1279</v>
      </c>
      <c r="E3369">
        <v>30.900141999999999</v>
      </c>
      <c r="F3369" t="s">
        <v>1280</v>
      </c>
      <c r="G3369">
        <v>-89.892497000000006</v>
      </c>
      <c r="H3369">
        <v>1600</v>
      </c>
      <c r="I3369">
        <v>-110</v>
      </c>
      <c r="J3369">
        <v>119</v>
      </c>
      <c r="K3369">
        <v>128</v>
      </c>
      <c r="L3369">
        <v>1200</v>
      </c>
      <c r="M3369" t="str">
        <f t="shared" si="356"/>
        <v xml:space="preserve">N35DC   </v>
      </c>
      <c r="N3369">
        <v>1</v>
      </c>
      <c r="O3369">
        <v>1700</v>
      </c>
    </row>
    <row r="3370" spans="1:15" x14ac:dyDescent="0.25">
      <c r="A3370" t="str">
        <f>"10/21/2020 18:38:22.234"</f>
        <v>10/21/2020 18:38:22.234</v>
      </c>
      <c r="B3370" t="str">
        <f>"18:38:30.148"</f>
        <v>18:38:30.148</v>
      </c>
      <c r="C3370" t="str">
        <f>"18:38:30.048"</f>
        <v>18:38:30.048</v>
      </c>
      <c r="D3370" t="s">
        <v>1279</v>
      </c>
      <c r="E3370">
        <v>30.900141999999999</v>
      </c>
      <c r="F3370" t="s">
        <v>1280</v>
      </c>
      <c r="G3370">
        <v>-89.892497000000006</v>
      </c>
      <c r="H3370">
        <v>1600</v>
      </c>
      <c r="I3370">
        <v>-110</v>
      </c>
      <c r="J3370">
        <v>119</v>
      </c>
      <c r="K3370">
        <v>128</v>
      </c>
      <c r="L3370">
        <v>1200</v>
      </c>
      <c r="M3370" t="str">
        <f t="shared" si="356"/>
        <v xml:space="preserve">N35DC   </v>
      </c>
      <c r="N3370">
        <v>1</v>
      </c>
      <c r="O3370">
        <v>1700</v>
      </c>
    </row>
    <row r="3371" spans="1:15" x14ac:dyDescent="0.25">
      <c r="A3371" t="str">
        <f>"10/21/2020 18:38:22.234"</f>
        <v>10/21/2020 18:38:22.234</v>
      </c>
      <c r="B3371" t="str">
        <f>"18:38:30.148"</f>
        <v>18:38:30.148</v>
      </c>
      <c r="C3371" t="str">
        <f>"18:38:30.048"</f>
        <v>18:38:30.048</v>
      </c>
      <c r="D3371" t="s">
        <v>1279</v>
      </c>
      <c r="E3371">
        <v>30.900141999999999</v>
      </c>
      <c r="F3371" t="s">
        <v>1280</v>
      </c>
      <c r="G3371">
        <v>-89.892497000000006</v>
      </c>
      <c r="H3371">
        <v>1600</v>
      </c>
      <c r="I3371">
        <v>-110</v>
      </c>
      <c r="J3371">
        <v>119</v>
      </c>
      <c r="K3371">
        <v>128</v>
      </c>
      <c r="L3371">
        <v>1200</v>
      </c>
      <c r="M3371" t="str">
        <f t="shared" si="356"/>
        <v xml:space="preserve">N35DC   </v>
      </c>
      <c r="N3371">
        <v>1</v>
      </c>
      <c r="O3371">
        <v>1700</v>
      </c>
    </row>
    <row r="3372" spans="1:15" x14ac:dyDescent="0.25">
      <c r="A3372" t="str">
        <f>"10/21/2020 18:38:22.645"</f>
        <v>10/21/2020 18:38:22.645</v>
      </c>
      <c r="B3372" t="str">
        <f>"18:38:30.570"</f>
        <v>18:38:30.570</v>
      </c>
      <c r="C3372" t="str">
        <f>"18:38:29.970"</f>
        <v>18:38:29.970</v>
      </c>
      <c r="D3372" t="s">
        <v>1281</v>
      </c>
      <c r="E3372">
        <v>30.900378</v>
      </c>
      <c r="F3372" t="s">
        <v>1282</v>
      </c>
      <c r="G3372">
        <v>-89.892775999999998</v>
      </c>
      <c r="H3372">
        <v>1600</v>
      </c>
      <c r="I3372">
        <v>-110</v>
      </c>
      <c r="J3372">
        <v>119</v>
      </c>
      <c r="K3372">
        <v>128</v>
      </c>
      <c r="L3372">
        <v>1200</v>
      </c>
      <c r="M3372" t="str">
        <f t="shared" si="356"/>
        <v xml:space="preserve">N35DC   </v>
      </c>
      <c r="N3372">
        <v>1</v>
      </c>
      <c r="O3372">
        <v>1700</v>
      </c>
    </row>
    <row r="3373" spans="1:15" x14ac:dyDescent="0.25">
      <c r="A3373" t="str">
        <f>"10/21/2020 18:38:23.098"</f>
        <v>10/21/2020 18:38:23.098</v>
      </c>
      <c r="B3373" t="str">
        <f>"18:38:31.031"</f>
        <v>18:38:31.031</v>
      </c>
      <c r="C3373" t="str">
        <f>"18:38:30.431"</f>
        <v>18:38:30.431</v>
      </c>
      <c r="D3373" t="s">
        <v>1283</v>
      </c>
      <c r="E3373">
        <v>30.900635999999999</v>
      </c>
      <c r="F3373" t="s">
        <v>1284</v>
      </c>
      <c r="G3373">
        <v>-89.893055000000004</v>
      </c>
      <c r="H3373">
        <v>1600</v>
      </c>
      <c r="I3373">
        <v>-112</v>
      </c>
      <c r="J3373">
        <v>117</v>
      </c>
      <c r="K3373">
        <v>128</v>
      </c>
      <c r="L3373">
        <v>1200</v>
      </c>
      <c r="M3373" t="str">
        <f t="shared" si="356"/>
        <v xml:space="preserve">N35DC   </v>
      </c>
      <c r="N3373">
        <v>1</v>
      </c>
      <c r="O3373">
        <v>1700</v>
      </c>
    </row>
    <row r="3374" spans="1:15" x14ac:dyDescent="0.25">
      <c r="A3374" t="str">
        <f>"10/21/2020 18:38:23.098"</f>
        <v>10/21/2020 18:38:23.098</v>
      </c>
      <c r="B3374" t="str">
        <f>"18:38:31.031"</f>
        <v>18:38:31.031</v>
      </c>
      <c r="C3374" t="str">
        <f>"18:38:30.931"</f>
        <v>18:38:30.931</v>
      </c>
      <c r="D3374" t="s">
        <v>1283</v>
      </c>
      <c r="E3374">
        <v>30.900635999999999</v>
      </c>
      <c r="F3374" t="s">
        <v>1284</v>
      </c>
      <c r="G3374">
        <v>-89.893055000000004</v>
      </c>
      <c r="H3374">
        <v>1600</v>
      </c>
      <c r="I3374">
        <v>-114</v>
      </c>
      <c r="J3374">
        <v>116</v>
      </c>
      <c r="K3374">
        <v>192</v>
      </c>
      <c r="L3374">
        <v>1200</v>
      </c>
      <c r="M3374" t="str">
        <f t="shared" si="356"/>
        <v xml:space="preserve">N35DC   </v>
      </c>
      <c r="N3374">
        <v>1</v>
      </c>
      <c r="O3374">
        <v>1700</v>
      </c>
    </row>
    <row r="3375" spans="1:15" x14ac:dyDescent="0.25">
      <c r="A3375" t="str">
        <f>"10/21/2020 18:38:23.098"</f>
        <v>10/21/2020 18:38:23.098</v>
      </c>
      <c r="B3375" t="str">
        <f>"18:38:31.031"</f>
        <v>18:38:31.031</v>
      </c>
      <c r="C3375" t="str">
        <f>"18:38:30.931"</f>
        <v>18:38:30.931</v>
      </c>
      <c r="D3375" t="s">
        <v>1283</v>
      </c>
      <c r="E3375">
        <v>30.900635999999999</v>
      </c>
      <c r="F3375" t="s">
        <v>1284</v>
      </c>
      <c r="G3375">
        <v>-89.893055000000004</v>
      </c>
      <c r="H3375">
        <v>1600</v>
      </c>
      <c r="I3375">
        <v>-114</v>
      </c>
      <c r="J3375">
        <v>116</v>
      </c>
      <c r="K3375">
        <v>192</v>
      </c>
      <c r="L3375">
        <v>1200</v>
      </c>
      <c r="M3375" t="str">
        <f t="shared" si="356"/>
        <v xml:space="preserve">N35DC   </v>
      </c>
      <c r="N3375">
        <v>1</v>
      </c>
      <c r="O3375">
        <v>1700</v>
      </c>
    </row>
    <row r="3376" spans="1:15" x14ac:dyDescent="0.25">
      <c r="A3376" t="str">
        <f>"10/21/2020 18:38:23.098"</f>
        <v>10/21/2020 18:38:23.098</v>
      </c>
      <c r="B3376" t="str">
        <f>"18:38:31.031"</f>
        <v>18:38:31.031</v>
      </c>
      <c r="C3376" t="str">
        <f>"18:38:30.931"</f>
        <v>18:38:30.931</v>
      </c>
      <c r="D3376" t="s">
        <v>1283</v>
      </c>
      <c r="E3376">
        <v>30.900635999999999</v>
      </c>
      <c r="F3376" t="s">
        <v>1284</v>
      </c>
      <c r="G3376">
        <v>-89.893055000000004</v>
      </c>
      <c r="H3376">
        <v>1600</v>
      </c>
      <c r="I3376">
        <v>-114</v>
      </c>
      <c r="J3376">
        <v>116</v>
      </c>
      <c r="K3376">
        <v>192</v>
      </c>
      <c r="L3376">
        <v>1200</v>
      </c>
      <c r="M3376" t="str">
        <f t="shared" si="356"/>
        <v xml:space="preserve">N35DC   </v>
      </c>
      <c r="N3376">
        <v>1</v>
      </c>
      <c r="O3376">
        <v>1700</v>
      </c>
    </row>
    <row r="3377" spans="1:15" x14ac:dyDescent="0.25">
      <c r="A3377" t="str">
        <f>"10/21/2020 18:38:23.098"</f>
        <v>10/21/2020 18:38:23.098</v>
      </c>
      <c r="B3377" t="str">
        <f>"18:38:31.031"</f>
        <v>18:38:31.031</v>
      </c>
      <c r="C3377" t="str">
        <f>"18:38:30.931"</f>
        <v>18:38:30.931</v>
      </c>
      <c r="D3377" t="s">
        <v>1283</v>
      </c>
      <c r="E3377">
        <v>30.900635999999999</v>
      </c>
      <c r="F3377" t="s">
        <v>1284</v>
      </c>
      <c r="G3377">
        <v>-89.893055000000004</v>
      </c>
      <c r="H3377">
        <v>1600</v>
      </c>
      <c r="I3377">
        <v>-114</v>
      </c>
      <c r="J3377">
        <v>116</v>
      </c>
      <c r="K3377">
        <v>192</v>
      </c>
      <c r="L3377">
        <v>1200</v>
      </c>
      <c r="M3377" t="str">
        <f t="shared" si="356"/>
        <v xml:space="preserve">N35DC   </v>
      </c>
      <c r="N3377">
        <v>1</v>
      </c>
      <c r="O3377">
        <v>1700</v>
      </c>
    </row>
    <row r="3378" spans="1:15" x14ac:dyDescent="0.25">
      <c r="A3378" t="str">
        <f>"10/21/2020 18:38:23.703"</f>
        <v>10/21/2020 18:38:23.703</v>
      </c>
      <c r="B3378" t="str">
        <f>"18:38:31.586"</f>
        <v>18:38:31.586</v>
      </c>
      <c r="C3378" t="str">
        <f>"18:38:31.486"</f>
        <v>18:38:31.486</v>
      </c>
      <c r="D3378" t="s">
        <v>1285</v>
      </c>
      <c r="E3378">
        <v>30.900915000000001</v>
      </c>
      <c r="F3378" t="s">
        <v>1286</v>
      </c>
      <c r="G3378">
        <v>-89.893420000000006</v>
      </c>
      <c r="H3378">
        <v>1600</v>
      </c>
      <c r="I3378">
        <v>-117</v>
      </c>
      <c r="J3378">
        <v>113</v>
      </c>
      <c r="K3378">
        <v>256</v>
      </c>
      <c r="L3378">
        <v>1200</v>
      </c>
      <c r="M3378" t="str">
        <f t="shared" si="356"/>
        <v xml:space="preserve">N35DC   </v>
      </c>
      <c r="N3378">
        <v>1</v>
      </c>
      <c r="O3378">
        <v>1700</v>
      </c>
    </row>
    <row r="3379" spans="1:15" x14ac:dyDescent="0.25">
      <c r="A3379" t="str">
        <f>"10/21/2020 18:38:24.104"</f>
        <v>10/21/2020 18:38:24.104</v>
      </c>
      <c r="B3379" t="str">
        <f>"18:38:32.039"</f>
        <v>18:38:32.039</v>
      </c>
      <c r="C3379" t="str">
        <f>"18:38:31.539"</f>
        <v>18:38:31.539</v>
      </c>
      <c r="D3379" t="s">
        <v>1287</v>
      </c>
      <c r="E3379">
        <v>30.901150999999999</v>
      </c>
      <c r="F3379" t="s">
        <v>1288</v>
      </c>
      <c r="G3379">
        <v>-89.893698999999998</v>
      </c>
      <c r="H3379">
        <v>1600</v>
      </c>
      <c r="I3379">
        <v>-117</v>
      </c>
      <c r="J3379">
        <v>113</v>
      </c>
      <c r="K3379">
        <v>256</v>
      </c>
      <c r="L3379">
        <v>1200</v>
      </c>
      <c r="M3379" t="str">
        <f t="shared" si="356"/>
        <v xml:space="preserve">N35DC   </v>
      </c>
      <c r="N3379">
        <v>1</v>
      </c>
      <c r="O3379">
        <v>1700</v>
      </c>
    </row>
    <row r="3380" spans="1:15" x14ac:dyDescent="0.25">
      <c r="A3380" t="str">
        <f>"10/21/2020 18:38:24.104"</f>
        <v>10/21/2020 18:38:24.104</v>
      </c>
      <c r="B3380" t="str">
        <f>"18:38:32.039"</f>
        <v>18:38:32.039</v>
      </c>
      <c r="C3380" t="str">
        <f>"18:38:31.539"</f>
        <v>18:38:31.539</v>
      </c>
      <c r="D3380" t="s">
        <v>1287</v>
      </c>
      <c r="E3380">
        <v>30.901150999999999</v>
      </c>
      <c r="F3380" t="s">
        <v>1288</v>
      </c>
      <c r="G3380">
        <v>-89.893698999999998</v>
      </c>
      <c r="H3380">
        <v>1600</v>
      </c>
      <c r="I3380">
        <v>-117</v>
      </c>
      <c r="J3380">
        <v>113</v>
      </c>
      <c r="K3380">
        <v>256</v>
      </c>
      <c r="L3380">
        <v>1200</v>
      </c>
      <c r="M3380" t="str">
        <f t="shared" si="356"/>
        <v xml:space="preserve">N35DC   </v>
      </c>
      <c r="N3380">
        <v>1</v>
      </c>
      <c r="O3380">
        <v>1700</v>
      </c>
    </row>
    <row r="3381" spans="1:15" x14ac:dyDescent="0.25">
      <c r="A3381" t="str">
        <f>"10/21/2020 18:38:24.104"</f>
        <v>10/21/2020 18:38:24.104</v>
      </c>
      <c r="B3381" t="str">
        <f>"18:38:32.039"</f>
        <v>18:38:32.039</v>
      </c>
      <c r="C3381" t="str">
        <f>"18:38:31.539"</f>
        <v>18:38:31.539</v>
      </c>
      <c r="D3381" t="s">
        <v>1287</v>
      </c>
      <c r="E3381">
        <v>30.901150999999999</v>
      </c>
      <c r="F3381" t="s">
        <v>1288</v>
      </c>
      <c r="G3381">
        <v>-89.893698999999998</v>
      </c>
      <c r="H3381">
        <v>1600</v>
      </c>
      <c r="I3381">
        <v>-117</v>
      </c>
      <c r="J3381">
        <v>113</v>
      </c>
      <c r="K3381">
        <v>256</v>
      </c>
      <c r="L3381">
        <v>1200</v>
      </c>
      <c r="M3381" t="str">
        <f t="shared" si="356"/>
        <v xml:space="preserve">N35DC   </v>
      </c>
      <c r="N3381">
        <v>1</v>
      </c>
      <c r="O3381">
        <v>1700</v>
      </c>
    </row>
    <row r="3382" spans="1:15" x14ac:dyDescent="0.25">
      <c r="A3382" t="str">
        <f>"10/21/2020 18:38:24.104"</f>
        <v>10/21/2020 18:38:24.104</v>
      </c>
      <c r="B3382" t="str">
        <f>"18:38:32.039"</f>
        <v>18:38:32.039</v>
      </c>
      <c r="C3382" t="str">
        <f>"18:38:31.539"</f>
        <v>18:38:31.539</v>
      </c>
      <c r="D3382" t="s">
        <v>1287</v>
      </c>
      <c r="E3382">
        <v>30.901150999999999</v>
      </c>
      <c r="F3382" t="s">
        <v>1288</v>
      </c>
      <c r="G3382">
        <v>-89.893698999999998</v>
      </c>
      <c r="H3382">
        <v>1600</v>
      </c>
      <c r="I3382">
        <v>-117</v>
      </c>
      <c r="J3382">
        <v>113</v>
      </c>
      <c r="K3382">
        <v>256</v>
      </c>
      <c r="L3382">
        <v>1200</v>
      </c>
      <c r="M3382" t="str">
        <f t="shared" si="356"/>
        <v xml:space="preserve">N35DC   </v>
      </c>
      <c r="N3382">
        <v>1</v>
      </c>
      <c r="O3382">
        <v>1700</v>
      </c>
    </row>
    <row r="3383" spans="1:15" x14ac:dyDescent="0.25">
      <c r="A3383" t="str">
        <f>"10/21/2020 18:38:24.104"</f>
        <v>10/21/2020 18:38:24.104</v>
      </c>
      <c r="B3383" t="str">
        <f>"18:38:32.039"</f>
        <v>18:38:32.039</v>
      </c>
      <c r="C3383" t="str">
        <f>"18:38:31.539"</f>
        <v>18:38:31.539</v>
      </c>
      <c r="D3383" t="s">
        <v>1287</v>
      </c>
      <c r="E3383">
        <v>30.901150999999999</v>
      </c>
      <c r="F3383" t="s">
        <v>1288</v>
      </c>
      <c r="G3383">
        <v>-89.893698999999998</v>
      </c>
      <c r="H3383">
        <v>1600</v>
      </c>
      <c r="I3383">
        <v>-117</v>
      </c>
      <c r="J3383">
        <v>113</v>
      </c>
      <c r="K3383">
        <v>256</v>
      </c>
      <c r="L3383">
        <v>1200</v>
      </c>
      <c r="M3383" t="str">
        <f t="shared" si="356"/>
        <v xml:space="preserve">N35DC   </v>
      </c>
      <c r="N3383">
        <v>1</v>
      </c>
      <c r="O3383">
        <v>1700</v>
      </c>
    </row>
    <row r="3384" spans="1:15" x14ac:dyDescent="0.25">
      <c r="A3384" t="str">
        <f>"10/21/2020 18:38:26.167"</f>
        <v>10/21/2020 18:38:26.167</v>
      </c>
      <c r="B3384" t="str">
        <f t="shared" ref="B3384:C3387" si="360">"18:38:34.078"</f>
        <v>18:38:34.078</v>
      </c>
      <c r="C3384" t="str">
        <f t="shared" si="360"/>
        <v>18:38:34.078</v>
      </c>
      <c r="D3384" t="s">
        <v>1289</v>
      </c>
      <c r="E3384">
        <v>30.902159000000001</v>
      </c>
      <c r="F3384" t="s">
        <v>1290</v>
      </c>
      <c r="G3384">
        <v>-89.895028999999994</v>
      </c>
      <c r="H3384">
        <v>1600</v>
      </c>
      <c r="I3384">
        <v>-124</v>
      </c>
      <c r="J3384">
        <v>105</v>
      </c>
      <c r="K3384">
        <v>256</v>
      </c>
      <c r="L3384">
        <v>1200</v>
      </c>
      <c r="M3384" t="str">
        <f t="shared" si="356"/>
        <v xml:space="preserve">N35DC   </v>
      </c>
      <c r="N3384">
        <v>1</v>
      </c>
      <c r="O3384">
        <v>1700</v>
      </c>
    </row>
    <row r="3385" spans="1:15" x14ac:dyDescent="0.25">
      <c r="A3385" t="str">
        <f>"10/21/2020 18:38:26.167"</f>
        <v>10/21/2020 18:38:26.167</v>
      </c>
      <c r="B3385" t="str">
        <f t="shared" si="360"/>
        <v>18:38:34.078</v>
      </c>
      <c r="C3385" t="str">
        <f t="shared" si="360"/>
        <v>18:38:34.078</v>
      </c>
      <c r="D3385" t="s">
        <v>1289</v>
      </c>
      <c r="E3385">
        <v>30.902159000000001</v>
      </c>
      <c r="F3385" t="s">
        <v>1290</v>
      </c>
      <c r="G3385">
        <v>-89.895028999999994</v>
      </c>
      <c r="H3385">
        <v>1600</v>
      </c>
      <c r="I3385">
        <v>-124</v>
      </c>
      <c r="J3385">
        <v>105</v>
      </c>
      <c r="K3385">
        <v>256</v>
      </c>
      <c r="L3385">
        <v>1200</v>
      </c>
      <c r="M3385" t="str">
        <f t="shared" si="356"/>
        <v xml:space="preserve">N35DC   </v>
      </c>
      <c r="N3385">
        <v>1</v>
      </c>
      <c r="O3385">
        <v>1700</v>
      </c>
    </row>
    <row r="3386" spans="1:15" x14ac:dyDescent="0.25">
      <c r="A3386" t="str">
        <f>"10/21/2020 18:38:26.167"</f>
        <v>10/21/2020 18:38:26.167</v>
      </c>
      <c r="B3386" t="str">
        <f t="shared" si="360"/>
        <v>18:38:34.078</v>
      </c>
      <c r="C3386" t="str">
        <f t="shared" si="360"/>
        <v>18:38:34.078</v>
      </c>
      <c r="D3386" t="s">
        <v>1289</v>
      </c>
      <c r="E3386">
        <v>30.902159000000001</v>
      </c>
      <c r="F3386" t="s">
        <v>1290</v>
      </c>
      <c r="G3386">
        <v>-89.895028999999994</v>
      </c>
      <c r="H3386">
        <v>1600</v>
      </c>
      <c r="I3386">
        <v>-124</v>
      </c>
      <c r="J3386">
        <v>105</v>
      </c>
      <c r="K3386">
        <v>256</v>
      </c>
      <c r="L3386">
        <v>1200</v>
      </c>
      <c r="M3386" t="str">
        <f t="shared" si="356"/>
        <v xml:space="preserve">N35DC   </v>
      </c>
      <c r="N3386">
        <v>1</v>
      </c>
      <c r="O3386">
        <v>1700</v>
      </c>
    </row>
    <row r="3387" spans="1:15" x14ac:dyDescent="0.25">
      <c r="A3387" t="str">
        <f>"10/21/2020 18:38:26.167"</f>
        <v>10/21/2020 18:38:26.167</v>
      </c>
      <c r="B3387" t="str">
        <f t="shared" si="360"/>
        <v>18:38:34.078</v>
      </c>
      <c r="C3387" t="str">
        <f t="shared" si="360"/>
        <v>18:38:34.078</v>
      </c>
      <c r="D3387" t="s">
        <v>1289</v>
      </c>
      <c r="E3387">
        <v>30.902159000000001</v>
      </c>
      <c r="F3387" t="s">
        <v>1290</v>
      </c>
      <c r="G3387">
        <v>-89.895028999999994</v>
      </c>
      <c r="H3387">
        <v>1600</v>
      </c>
      <c r="I3387">
        <v>-124</v>
      </c>
      <c r="J3387">
        <v>105</v>
      </c>
      <c r="K3387">
        <v>256</v>
      </c>
      <c r="L3387">
        <v>1200</v>
      </c>
      <c r="M3387" t="str">
        <f t="shared" si="356"/>
        <v xml:space="preserve">N35DC   </v>
      </c>
      <c r="N3387">
        <v>1</v>
      </c>
      <c r="O3387">
        <v>1700</v>
      </c>
    </row>
    <row r="3388" spans="1:15" x14ac:dyDescent="0.25">
      <c r="A3388" t="str">
        <f>"10/21/2020 18:38:27.184"</f>
        <v>10/21/2020 18:38:27.184</v>
      </c>
      <c r="B3388" t="str">
        <f>"18:38:35.086"</f>
        <v>18:38:35.086</v>
      </c>
      <c r="C3388" t="str">
        <f>"18:38:34.686"</f>
        <v>18:38:34.686</v>
      </c>
      <c r="D3388" t="s">
        <v>1291</v>
      </c>
      <c r="E3388">
        <v>30.902631</v>
      </c>
      <c r="F3388" t="s">
        <v>1292</v>
      </c>
      <c r="G3388">
        <v>-89.895736999999997</v>
      </c>
      <c r="H3388">
        <v>1600</v>
      </c>
      <c r="I3388">
        <v>-126</v>
      </c>
      <c r="J3388">
        <v>103</v>
      </c>
      <c r="K3388">
        <v>256</v>
      </c>
      <c r="L3388">
        <v>1200</v>
      </c>
      <c r="M3388" t="str">
        <f t="shared" si="356"/>
        <v xml:space="preserve">N35DC   </v>
      </c>
      <c r="N3388">
        <v>1</v>
      </c>
      <c r="O3388">
        <v>1725</v>
      </c>
    </row>
    <row r="3389" spans="1:15" x14ac:dyDescent="0.25">
      <c r="A3389" t="str">
        <f>"10/21/2020 18:38:27.184"</f>
        <v>10/21/2020 18:38:27.184</v>
      </c>
      <c r="B3389" t="str">
        <f>"18:38:35.086"</f>
        <v>18:38:35.086</v>
      </c>
      <c r="C3389" t="str">
        <f>"18:38:34.686"</f>
        <v>18:38:34.686</v>
      </c>
      <c r="D3389" t="s">
        <v>1291</v>
      </c>
      <c r="E3389">
        <v>30.902631</v>
      </c>
      <c r="F3389" t="s">
        <v>1292</v>
      </c>
      <c r="G3389">
        <v>-89.895736999999997</v>
      </c>
      <c r="H3389">
        <v>1600</v>
      </c>
      <c r="I3389">
        <v>-126</v>
      </c>
      <c r="J3389">
        <v>103</v>
      </c>
      <c r="K3389">
        <v>256</v>
      </c>
      <c r="L3389">
        <v>1200</v>
      </c>
      <c r="M3389" t="str">
        <f t="shared" si="356"/>
        <v xml:space="preserve">N35DC   </v>
      </c>
      <c r="N3389">
        <v>1</v>
      </c>
      <c r="O3389">
        <v>1725</v>
      </c>
    </row>
    <row r="3390" spans="1:15" x14ac:dyDescent="0.25">
      <c r="A3390" t="str">
        <f>"10/21/2020 18:38:27.184"</f>
        <v>10/21/2020 18:38:27.184</v>
      </c>
      <c r="B3390" t="str">
        <f>"18:38:35.086"</f>
        <v>18:38:35.086</v>
      </c>
      <c r="C3390" t="str">
        <f>"18:38:34.686"</f>
        <v>18:38:34.686</v>
      </c>
      <c r="D3390" t="s">
        <v>1291</v>
      </c>
      <c r="E3390">
        <v>30.902631</v>
      </c>
      <c r="F3390" t="s">
        <v>1292</v>
      </c>
      <c r="G3390">
        <v>-89.895736999999997</v>
      </c>
      <c r="H3390">
        <v>1600</v>
      </c>
      <c r="I3390">
        <v>-126</v>
      </c>
      <c r="J3390">
        <v>103</v>
      </c>
      <c r="K3390">
        <v>256</v>
      </c>
      <c r="L3390">
        <v>1200</v>
      </c>
      <c r="M3390" t="str">
        <f t="shared" si="356"/>
        <v xml:space="preserve">N35DC   </v>
      </c>
      <c r="N3390">
        <v>1</v>
      </c>
      <c r="O3390">
        <v>1725</v>
      </c>
    </row>
    <row r="3391" spans="1:15" x14ac:dyDescent="0.25">
      <c r="A3391" t="str">
        <f>"10/21/2020 18:38:27.184"</f>
        <v>10/21/2020 18:38:27.184</v>
      </c>
      <c r="B3391" t="str">
        <f>"18:38:35.086"</f>
        <v>18:38:35.086</v>
      </c>
      <c r="C3391" t="str">
        <f>"18:38:34.686"</f>
        <v>18:38:34.686</v>
      </c>
      <c r="D3391" t="s">
        <v>1291</v>
      </c>
      <c r="E3391">
        <v>30.902631</v>
      </c>
      <c r="F3391" t="s">
        <v>1292</v>
      </c>
      <c r="G3391">
        <v>-89.895736999999997</v>
      </c>
      <c r="H3391">
        <v>1600</v>
      </c>
      <c r="I3391">
        <v>-126</v>
      </c>
      <c r="J3391">
        <v>103</v>
      </c>
      <c r="K3391">
        <v>256</v>
      </c>
      <c r="L3391">
        <v>1200</v>
      </c>
      <c r="M3391" t="str">
        <f t="shared" si="356"/>
        <v xml:space="preserve">N35DC   </v>
      </c>
      <c r="N3391">
        <v>1</v>
      </c>
      <c r="O3391">
        <v>1725</v>
      </c>
    </row>
    <row r="3392" spans="1:15" x14ac:dyDescent="0.25">
      <c r="A3392" t="str">
        <f>"10/21/2020 18:38:27.184"</f>
        <v>10/21/2020 18:38:27.184</v>
      </c>
      <c r="B3392" t="str">
        <f>"18:38:35.086"</f>
        <v>18:38:35.086</v>
      </c>
      <c r="C3392" t="str">
        <f>"18:38:34.686"</f>
        <v>18:38:34.686</v>
      </c>
      <c r="D3392" t="s">
        <v>1291</v>
      </c>
      <c r="E3392">
        <v>30.902631</v>
      </c>
      <c r="F3392" t="s">
        <v>1292</v>
      </c>
      <c r="G3392">
        <v>-89.895736999999997</v>
      </c>
      <c r="H3392">
        <v>1600</v>
      </c>
      <c r="I3392">
        <v>-126</v>
      </c>
      <c r="J3392">
        <v>103</v>
      </c>
      <c r="K3392">
        <v>256</v>
      </c>
      <c r="L3392">
        <v>1200</v>
      </c>
      <c r="M3392" t="str">
        <f t="shared" si="356"/>
        <v xml:space="preserve">N35DC   </v>
      </c>
      <c r="N3392">
        <v>1</v>
      </c>
      <c r="O3392">
        <v>1725</v>
      </c>
    </row>
    <row r="3393" spans="1:15" x14ac:dyDescent="0.25">
      <c r="A3393" t="str">
        <f>"10/21/2020 18:38:27.623"</f>
        <v>10/21/2020 18:38:27.623</v>
      </c>
      <c r="B3393" t="str">
        <f>"18:38:35.547"</f>
        <v>18:38:35.547</v>
      </c>
      <c r="C3393" t="str">
        <f>"18:38:35.247"</f>
        <v>18:38:35.247</v>
      </c>
      <c r="D3393" t="s">
        <v>1293</v>
      </c>
      <c r="E3393">
        <v>30.902867000000001</v>
      </c>
      <c r="F3393" t="s">
        <v>1294</v>
      </c>
      <c r="G3393">
        <v>-89.896016000000003</v>
      </c>
      <c r="H3393">
        <v>1600</v>
      </c>
      <c r="I3393">
        <v>-126</v>
      </c>
      <c r="J3393">
        <v>101</v>
      </c>
      <c r="K3393">
        <v>320</v>
      </c>
      <c r="L3393">
        <v>1200</v>
      </c>
      <c r="M3393" t="str">
        <f t="shared" si="356"/>
        <v xml:space="preserve">N35DC   </v>
      </c>
      <c r="N3393">
        <v>1</v>
      </c>
      <c r="O3393">
        <v>1725</v>
      </c>
    </row>
    <row r="3394" spans="1:15" x14ac:dyDescent="0.25">
      <c r="A3394" t="str">
        <f>"10/21/2020 18:38:28.032"</f>
        <v>10/21/2020 18:38:28.032</v>
      </c>
      <c r="B3394" t="str">
        <f>"18:38:35.953"</f>
        <v>18:38:35.953</v>
      </c>
      <c r="C3394" t="str">
        <f>"18:38:35.753"</f>
        <v>18:38:35.753</v>
      </c>
      <c r="D3394" t="s">
        <v>1295</v>
      </c>
      <c r="E3394">
        <v>30.90306</v>
      </c>
      <c r="F3394" t="s">
        <v>1296</v>
      </c>
      <c r="G3394">
        <v>-89.896294999999995</v>
      </c>
      <c r="H3394">
        <v>1600</v>
      </c>
      <c r="I3394">
        <v>-127</v>
      </c>
      <c r="J3394">
        <v>100</v>
      </c>
      <c r="K3394">
        <v>384</v>
      </c>
      <c r="L3394">
        <v>1200</v>
      </c>
      <c r="M3394" t="str">
        <f t="shared" si="356"/>
        <v xml:space="preserve">N35DC   </v>
      </c>
      <c r="N3394">
        <v>1</v>
      </c>
      <c r="O3394">
        <v>1725</v>
      </c>
    </row>
    <row r="3395" spans="1:15" x14ac:dyDescent="0.25">
      <c r="A3395" t="str">
        <f>"10/21/2020 18:38:28.032"</f>
        <v>10/21/2020 18:38:28.032</v>
      </c>
      <c r="B3395" t="str">
        <f>"18:38:35.953"</f>
        <v>18:38:35.953</v>
      </c>
      <c r="C3395" t="str">
        <f>"18:38:35.753"</f>
        <v>18:38:35.753</v>
      </c>
      <c r="D3395" t="s">
        <v>1295</v>
      </c>
      <c r="E3395">
        <v>30.90306</v>
      </c>
      <c r="F3395" t="s">
        <v>1296</v>
      </c>
      <c r="G3395">
        <v>-89.896294999999995</v>
      </c>
      <c r="H3395">
        <v>1600</v>
      </c>
      <c r="I3395">
        <v>-127</v>
      </c>
      <c r="J3395">
        <v>100</v>
      </c>
      <c r="K3395">
        <v>384</v>
      </c>
      <c r="L3395">
        <v>1200</v>
      </c>
      <c r="M3395" t="str">
        <f t="shared" si="356"/>
        <v xml:space="preserve">N35DC   </v>
      </c>
      <c r="N3395">
        <v>1</v>
      </c>
      <c r="O3395">
        <v>1725</v>
      </c>
    </row>
    <row r="3396" spans="1:15" x14ac:dyDescent="0.25">
      <c r="A3396" t="str">
        <f>"10/21/2020 18:38:28.032"</f>
        <v>10/21/2020 18:38:28.032</v>
      </c>
      <c r="B3396" t="str">
        <f>"18:38:35.953"</f>
        <v>18:38:35.953</v>
      </c>
      <c r="C3396" t="str">
        <f>"18:38:35.753"</f>
        <v>18:38:35.753</v>
      </c>
      <c r="D3396" t="s">
        <v>1295</v>
      </c>
      <c r="E3396">
        <v>30.90306</v>
      </c>
      <c r="F3396" t="s">
        <v>1296</v>
      </c>
      <c r="G3396">
        <v>-89.896294999999995</v>
      </c>
      <c r="H3396">
        <v>1600</v>
      </c>
      <c r="I3396">
        <v>-127</v>
      </c>
      <c r="J3396">
        <v>100</v>
      </c>
      <c r="K3396">
        <v>384</v>
      </c>
      <c r="L3396">
        <v>1200</v>
      </c>
      <c r="M3396" t="str">
        <f t="shared" si="356"/>
        <v xml:space="preserve">N35DC   </v>
      </c>
      <c r="N3396">
        <v>1</v>
      </c>
      <c r="O3396">
        <v>1725</v>
      </c>
    </row>
    <row r="3397" spans="1:15" x14ac:dyDescent="0.25">
      <c r="A3397" t="str">
        <f>"10/21/2020 18:38:28.032"</f>
        <v>10/21/2020 18:38:28.032</v>
      </c>
      <c r="B3397" t="str">
        <f>"18:38:35.953"</f>
        <v>18:38:35.953</v>
      </c>
      <c r="C3397" t="str">
        <f>"18:38:35.753"</f>
        <v>18:38:35.753</v>
      </c>
      <c r="D3397" t="s">
        <v>1295</v>
      </c>
      <c r="E3397">
        <v>30.90306</v>
      </c>
      <c r="F3397" t="s">
        <v>1296</v>
      </c>
      <c r="G3397">
        <v>-89.896294999999995</v>
      </c>
      <c r="H3397">
        <v>1600</v>
      </c>
      <c r="I3397">
        <v>-127</v>
      </c>
      <c r="J3397">
        <v>100</v>
      </c>
      <c r="K3397">
        <v>384</v>
      </c>
      <c r="L3397">
        <v>1200</v>
      </c>
      <c r="M3397" t="str">
        <f t="shared" si="356"/>
        <v xml:space="preserve">N35DC   </v>
      </c>
      <c r="N3397">
        <v>1</v>
      </c>
      <c r="O3397">
        <v>1725</v>
      </c>
    </row>
    <row r="3398" spans="1:15" x14ac:dyDescent="0.25">
      <c r="A3398" t="str">
        <f>"10/21/2020 18:38:28.032"</f>
        <v>10/21/2020 18:38:28.032</v>
      </c>
      <c r="B3398" t="str">
        <f>"18:38:35.953"</f>
        <v>18:38:35.953</v>
      </c>
      <c r="C3398" t="str">
        <f>"18:38:35.753"</f>
        <v>18:38:35.753</v>
      </c>
      <c r="D3398" t="s">
        <v>1295</v>
      </c>
      <c r="E3398">
        <v>30.90306</v>
      </c>
      <c r="F3398" t="s">
        <v>1296</v>
      </c>
      <c r="G3398">
        <v>-89.896294999999995</v>
      </c>
      <c r="H3398">
        <v>1600</v>
      </c>
      <c r="I3398">
        <v>-127</v>
      </c>
      <c r="J3398">
        <v>100</v>
      </c>
      <c r="K3398">
        <v>384</v>
      </c>
      <c r="L3398">
        <v>1200</v>
      </c>
      <c r="M3398" t="str">
        <f t="shared" si="356"/>
        <v xml:space="preserve">N35DC   </v>
      </c>
      <c r="N3398">
        <v>1</v>
      </c>
      <c r="O3398">
        <v>1725</v>
      </c>
    </row>
    <row r="3399" spans="1:15" x14ac:dyDescent="0.25">
      <c r="A3399" t="str">
        <f>"10/21/2020 18:38:28.481"</f>
        <v>10/21/2020 18:38:28.481</v>
      </c>
      <c r="B3399" t="str">
        <f>"18:38:36.391"</f>
        <v>18:38:36.391</v>
      </c>
      <c r="C3399" t="str">
        <f>"18:38:35.691"</f>
        <v>18:38:35.691</v>
      </c>
      <c r="D3399" t="s">
        <v>1297</v>
      </c>
      <c r="E3399">
        <v>30.903210999999999</v>
      </c>
      <c r="F3399" t="s">
        <v>1298</v>
      </c>
      <c r="G3399">
        <v>-89.896595000000005</v>
      </c>
      <c r="H3399">
        <v>1700</v>
      </c>
      <c r="I3399">
        <v>-127</v>
      </c>
      <c r="J3399">
        <v>100</v>
      </c>
      <c r="K3399">
        <v>384</v>
      </c>
      <c r="L3399">
        <v>1200</v>
      </c>
      <c r="M3399" t="str">
        <f t="shared" ref="M3399:M3462" si="361">"N35DC   "</f>
        <v xml:space="preserve">N35DC   </v>
      </c>
      <c r="N3399">
        <v>1</v>
      </c>
      <c r="O3399">
        <v>1725</v>
      </c>
    </row>
    <row r="3400" spans="1:15" x14ac:dyDescent="0.25">
      <c r="A3400" t="str">
        <f>"10/21/2020 18:38:30.528"</f>
        <v>10/21/2020 18:38:30.528</v>
      </c>
      <c r="B3400" t="str">
        <f>"18:38:38.469"</f>
        <v>18:38:38.469</v>
      </c>
      <c r="C3400" t="str">
        <f>"18:38:38.069"</f>
        <v>18:38:38.069</v>
      </c>
      <c r="D3400" t="s">
        <v>1299</v>
      </c>
      <c r="E3400">
        <v>30.904176</v>
      </c>
      <c r="F3400" t="s">
        <v>1300</v>
      </c>
      <c r="G3400">
        <v>-89.898054999999999</v>
      </c>
      <c r="H3400">
        <v>1700</v>
      </c>
      <c r="I3400">
        <v>-131</v>
      </c>
      <c r="J3400">
        <v>95</v>
      </c>
      <c r="K3400">
        <v>448</v>
      </c>
      <c r="L3400">
        <v>1200</v>
      </c>
      <c r="M3400" t="str">
        <f t="shared" si="361"/>
        <v xml:space="preserve">N35DC   </v>
      </c>
      <c r="N3400">
        <v>1</v>
      </c>
      <c r="O3400">
        <v>1725</v>
      </c>
    </row>
    <row r="3401" spans="1:15" x14ac:dyDescent="0.25">
      <c r="A3401" t="str">
        <f>"10/21/2020 18:38:30.528"</f>
        <v>10/21/2020 18:38:30.528</v>
      </c>
      <c r="B3401" t="str">
        <f>"18:38:38.469"</f>
        <v>18:38:38.469</v>
      </c>
      <c r="C3401" t="str">
        <f>"18:38:38.069"</f>
        <v>18:38:38.069</v>
      </c>
      <c r="D3401" t="s">
        <v>1299</v>
      </c>
      <c r="E3401">
        <v>30.904176</v>
      </c>
      <c r="F3401" t="s">
        <v>1300</v>
      </c>
      <c r="G3401">
        <v>-89.898054999999999</v>
      </c>
      <c r="H3401">
        <v>1700</v>
      </c>
      <c r="I3401">
        <v>-131</v>
      </c>
      <c r="J3401">
        <v>95</v>
      </c>
      <c r="K3401">
        <v>448</v>
      </c>
      <c r="L3401">
        <v>1200</v>
      </c>
      <c r="M3401" t="str">
        <f t="shared" si="361"/>
        <v xml:space="preserve">N35DC   </v>
      </c>
      <c r="N3401">
        <v>1</v>
      </c>
      <c r="O3401">
        <v>1725</v>
      </c>
    </row>
    <row r="3402" spans="1:15" x14ac:dyDescent="0.25">
      <c r="A3402" t="str">
        <f>"10/21/2020 18:38:30.528"</f>
        <v>10/21/2020 18:38:30.528</v>
      </c>
      <c r="B3402" t="str">
        <f>"18:38:38.469"</f>
        <v>18:38:38.469</v>
      </c>
      <c r="C3402" t="str">
        <f>"18:38:38.069"</f>
        <v>18:38:38.069</v>
      </c>
      <c r="D3402" t="s">
        <v>1299</v>
      </c>
      <c r="E3402">
        <v>30.904176</v>
      </c>
      <c r="F3402" t="s">
        <v>1300</v>
      </c>
      <c r="G3402">
        <v>-89.898054999999999</v>
      </c>
      <c r="H3402">
        <v>1700</v>
      </c>
      <c r="I3402">
        <v>-131</v>
      </c>
      <c r="J3402">
        <v>95</v>
      </c>
      <c r="K3402">
        <v>448</v>
      </c>
      <c r="L3402">
        <v>1200</v>
      </c>
      <c r="M3402" t="str">
        <f t="shared" si="361"/>
        <v xml:space="preserve">N35DC   </v>
      </c>
      <c r="N3402">
        <v>1</v>
      </c>
      <c r="O3402">
        <v>1725</v>
      </c>
    </row>
    <row r="3403" spans="1:15" x14ac:dyDescent="0.25">
      <c r="A3403" t="str">
        <f>"10/21/2020 18:38:30.528"</f>
        <v>10/21/2020 18:38:30.528</v>
      </c>
      <c r="B3403" t="str">
        <f>"18:38:38.469"</f>
        <v>18:38:38.469</v>
      </c>
      <c r="C3403" t="str">
        <f>"18:38:38.069"</f>
        <v>18:38:38.069</v>
      </c>
      <c r="D3403" t="s">
        <v>1299</v>
      </c>
      <c r="E3403">
        <v>30.904176</v>
      </c>
      <c r="F3403" t="s">
        <v>1300</v>
      </c>
      <c r="G3403">
        <v>-89.898054999999999</v>
      </c>
      <c r="H3403">
        <v>1700</v>
      </c>
      <c r="I3403">
        <v>-131</v>
      </c>
      <c r="J3403">
        <v>95</v>
      </c>
      <c r="K3403">
        <v>448</v>
      </c>
      <c r="L3403">
        <v>1200</v>
      </c>
      <c r="M3403" t="str">
        <f t="shared" si="361"/>
        <v xml:space="preserve">N35DC   </v>
      </c>
      <c r="N3403">
        <v>1</v>
      </c>
      <c r="O3403">
        <v>1725</v>
      </c>
    </row>
    <row r="3404" spans="1:15" x14ac:dyDescent="0.25">
      <c r="A3404" t="str">
        <f>"10/21/2020 18:38:30.528"</f>
        <v>10/21/2020 18:38:30.528</v>
      </c>
      <c r="B3404" t="str">
        <f>"18:38:38.469"</f>
        <v>18:38:38.469</v>
      </c>
      <c r="C3404" t="str">
        <f>"18:38:38.069"</f>
        <v>18:38:38.069</v>
      </c>
      <c r="D3404" t="s">
        <v>1299</v>
      </c>
      <c r="E3404">
        <v>30.904176</v>
      </c>
      <c r="F3404" t="s">
        <v>1300</v>
      </c>
      <c r="G3404">
        <v>-89.898054999999999</v>
      </c>
      <c r="H3404">
        <v>1700</v>
      </c>
      <c r="I3404">
        <v>-131</v>
      </c>
      <c r="J3404">
        <v>95</v>
      </c>
      <c r="K3404">
        <v>448</v>
      </c>
      <c r="L3404">
        <v>1200</v>
      </c>
      <c r="M3404" t="str">
        <f t="shared" si="361"/>
        <v xml:space="preserve">N35DC   </v>
      </c>
      <c r="N3404">
        <v>1</v>
      </c>
      <c r="O3404">
        <v>1725</v>
      </c>
    </row>
    <row r="3405" spans="1:15" x14ac:dyDescent="0.25">
      <c r="A3405" t="str">
        <f t="shared" ref="A3405:A3410" si="362">"10/21/2020 18:38:31.692"</f>
        <v>10/21/2020 18:38:31.692</v>
      </c>
      <c r="B3405" t="str">
        <f t="shared" ref="B3405:B3410" si="363">"18:38:39.625"</f>
        <v>18:38:39.625</v>
      </c>
      <c r="C3405" t="str">
        <f t="shared" ref="C3405:C3410" si="364">"18:38:39.525"</f>
        <v>18:38:39.525</v>
      </c>
      <c r="D3405" t="s">
        <v>1301</v>
      </c>
      <c r="E3405">
        <v>30.904669999999999</v>
      </c>
      <c r="F3405" t="s">
        <v>1302</v>
      </c>
      <c r="G3405">
        <v>-89.898912999999993</v>
      </c>
      <c r="H3405">
        <v>1700</v>
      </c>
      <c r="I3405">
        <v>-132</v>
      </c>
      <c r="J3405">
        <v>92</v>
      </c>
      <c r="K3405">
        <v>320</v>
      </c>
      <c r="L3405">
        <v>1200</v>
      </c>
      <c r="M3405" t="str">
        <f t="shared" si="361"/>
        <v xml:space="preserve">N35DC   </v>
      </c>
      <c r="N3405">
        <v>1</v>
      </c>
      <c r="O3405">
        <v>1750</v>
      </c>
    </row>
    <row r="3406" spans="1:15" x14ac:dyDescent="0.25">
      <c r="A3406" t="str">
        <f t="shared" si="362"/>
        <v>10/21/2020 18:38:31.692</v>
      </c>
      <c r="B3406" t="str">
        <f t="shared" si="363"/>
        <v>18:38:39.625</v>
      </c>
      <c r="C3406" t="str">
        <f t="shared" si="364"/>
        <v>18:38:39.525</v>
      </c>
      <c r="D3406" t="s">
        <v>1301</v>
      </c>
      <c r="E3406">
        <v>30.904669999999999</v>
      </c>
      <c r="F3406" t="s">
        <v>1302</v>
      </c>
      <c r="G3406">
        <v>-89.898912999999993</v>
      </c>
      <c r="H3406">
        <v>1700</v>
      </c>
      <c r="I3406">
        <v>-132</v>
      </c>
      <c r="J3406">
        <v>92</v>
      </c>
      <c r="K3406">
        <v>320</v>
      </c>
      <c r="L3406">
        <v>1200</v>
      </c>
      <c r="M3406" t="str">
        <f t="shared" si="361"/>
        <v xml:space="preserve">N35DC   </v>
      </c>
      <c r="N3406">
        <v>1</v>
      </c>
      <c r="O3406">
        <v>1750</v>
      </c>
    </row>
    <row r="3407" spans="1:15" x14ac:dyDescent="0.25">
      <c r="A3407" t="str">
        <f t="shared" si="362"/>
        <v>10/21/2020 18:38:31.692</v>
      </c>
      <c r="B3407" t="str">
        <f t="shared" si="363"/>
        <v>18:38:39.625</v>
      </c>
      <c r="C3407" t="str">
        <f t="shared" si="364"/>
        <v>18:38:39.525</v>
      </c>
      <c r="D3407" t="s">
        <v>1301</v>
      </c>
      <c r="E3407">
        <v>30.904669999999999</v>
      </c>
      <c r="F3407" t="s">
        <v>1302</v>
      </c>
      <c r="G3407">
        <v>-89.898912999999993</v>
      </c>
      <c r="H3407">
        <v>1700</v>
      </c>
      <c r="I3407">
        <v>-132</v>
      </c>
      <c r="J3407">
        <v>92</v>
      </c>
      <c r="K3407">
        <v>320</v>
      </c>
      <c r="L3407">
        <v>1200</v>
      </c>
      <c r="M3407" t="str">
        <f t="shared" si="361"/>
        <v xml:space="preserve">N35DC   </v>
      </c>
      <c r="N3407">
        <v>1</v>
      </c>
      <c r="O3407">
        <v>1750</v>
      </c>
    </row>
    <row r="3408" spans="1:15" x14ac:dyDescent="0.25">
      <c r="A3408" t="str">
        <f t="shared" si="362"/>
        <v>10/21/2020 18:38:31.692</v>
      </c>
      <c r="B3408" t="str">
        <f t="shared" si="363"/>
        <v>18:38:39.625</v>
      </c>
      <c r="C3408" t="str">
        <f t="shared" si="364"/>
        <v>18:38:39.525</v>
      </c>
      <c r="D3408" t="s">
        <v>1301</v>
      </c>
      <c r="E3408">
        <v>30.904669999999999</v>
      </c>
      <c r="F3408" t="s">
        <v>1302</v>
      </c>
      <c r="G3408">
        <v>-89.898912999999993</v>
      </c>
      <c r="H3408">
        <v>1700</v>
      </c>
      <c r="I3408">
        <v>-132</v>
      </c>
      <c r="J3408">
        <v>92</v>
      </c>
      <c r="K3408">
        <v>320</v>
      </c>
      <c r="L3408">
        <v>1200</v>
      </c>
      <c r="M3408" t="str">
        <f t="shared" si="361"/>
        <v xml:space="preserve">N35DC   </v>
      </c>
      <c r="N3408">
        <v>1</v>
      </c>
      <c r="O3408">
        <v>1750</v>
      </c>
    </row>
    <row r="3409" spans="1:15" x14ac:dyDescent="0.25">
      <c r="A3409" t="str">
        <f t="shared" si="362"/>
        <v>10/21/2020 18:38:31.692</v>
      </c>
      <c r="B3409" t="str">
        <f t="shared" si="363"/>
        <v>18:38:39.625</v>
      </c>
      <c r="C3409" t="str">
        <f t="shared" si="364"/>
        <v>18:38:39.525</v>
      </c>
      <c r="D3409" t="s">
        <v>1301</v>
      </c>
      <c r="E3409">
        <v>30.904669999999999</v>
      </c>
      <c r="F3409" t="s">
        <v>1302</v>
      </c>
      <c r="G3409">
        <v>-89.898912999999993</v>
      </c>
      <c r="H3409">
        <v>1700</v>
      </c>
      <c r="I3409">
        <v>-132</v>
      </c>
      <c r="J3409">
        <v>92</v>
      </c>
      <c r="K3409">
        <v>320</v>
      </c>
      <c r="L3409">
        <v>1200</v>
      </c>
      <c r="M3409" t="str">
        <f t="shared" si="361"/>
        <v xml:space="preserve">N35DC   </v>
      </c>
      <c r="N3409">
        <v>1</v>
      </c>
      <c r="O3409">
        <v>1750</v>
      </c>
    </row>
    <row r="3410" spans="1:15" x14ac:dyDescent="0.25">
      <c r="A3410" t="str">
        <f t="shared" si="362"/>
        <v>10/21/2020 18:38:31.692</v>
      </c>
      <c r="B3410" t="str">
        <f t="shared" si="363"/>
        <v>18:38:39.625</v>
      </c>
      <c r="C3410" t="str">
        <f t="shared" si="364"/>
        <v>18:38:39.525</v>
      </c>
      <c r="D3410" t="s">
        <v>1301</v>
      </c>
      <c r="E3410">
        <v>30.904669999999999</v>
      </c>
      <c r="F3410" t="s">
        <v>1302</v>
      </c>
      <c r="G3410">
        <v>-89.898912999999993</v>
      </c>
      <c r="H3410">
        <v>1700</v>
      </c>
      <c r="I3410">
        <v>-132</v>
      </c>
      <c r="J3410">
        <v>92</v>
      </c>
      <c r="K3410">
        <v>320</v>
      </c>
      <c r="L3410">
        <v>1200</v>
      </c>
      <c r="M3410" t="str">
        <f t="shared" si="361"/>
        <v xml:space="preserve">N35DC   </v>
      </c>
      <c r="N3410">
        <v>1</v>
      </c>
      <c r="O3410">
        <v>1750</v>
      </c>
    </row>
    <row r="3411" spans="1:15" x14ac:dyDescent="0.25">
      <c r="A3411" t="str">
        <f>"10/21/2020 18:38:34.710"</f>
        <v>10/21/2020 18:38:34.710</v>
      </c>
      <c r="B3411" t="str">
        <f>"18:38:42.609"</f>
        <v>18:38:42.609</v>
      </c>
      <c r="C3411" t="str">
        <f>"18:38:41.709"</f>
        <v>18:38:41.709</v>
      </c>
      <c r="D3411" t="s">
        <v>1303</v>
      </c>
      <c r="E3411">
        <v>30.905892999999999</v>
      </c>
      <c r="F3411" t="s">
        <v>1304</v>
      </c>
      <c r="G3411">
        <v>-89.901015999999998</v>
      </c>
      <c r="H3411">
        <v>1700</v>
      </c>
      <c r="I3411">
        <v>-134</v>
      </c>
      <c r="J3411">
        <v>90</v>
      </c>
      <c r="K3411">
        <v>192</v>
      </c>
      <c r="L3411">
        <v>1200</v>
      </c>
      <c r="M3411" t="str">
        <f t="shared" si="361"/>
        <v xml:space="preserve">N35DC   </v>
      </c>
      <c r="N3411">
        <v>1</v>
      </c>
      <c r="O3411">
        <v>1750</v>
      </c>
    </row>
    <row r="3412" spans="1:15" x14ac:dyDescent="0.25">
      <c r="A3412" t="str">
        <f>"10/21/2020 18:38:34.710"</f>
        <v>10/21/2020 18:38:34.710</v>
      </c>
      <c r="B3412" t="str">
        <f>"18:38:42.609"</f>
        <v>18:38:42.609</v>
      </c>
      <c r="C3412" t="str">
        <f>"18:38:41.709"</f>
        <v>18:38:41.709</v>
      </c>
      <c r="D3412" t="s">
        <v>1303</v>
      </c>
      <c r="E3412">
        <v>30.905892999999999</v>
      </c>
      <c r="F3412" t="s">
        <v>1304</v>
      </c>
      <c r="G3412">
        <v>-89.901015999999998</v>
      </c>
      <c r="H3412">
        <v>1700</v>
      </c>
      <c r="I3412">
        <v>-134</v>
      </c>
      <c r="J3412">
        <v>90</v>
      </c>
      <c r="K3412">
        <v>192</v>
      </c>
      <c r="L3412">
        <v>1200</v>
      </c>
      <c r="M3412" t="str">
        <f t="shared" si="361"/>
        <v xml:space="preserve">N35DC   </v>
      </c>
      <c r="N3412">
        <v>1</v>
      </c>
      <c r="O3412">
        <v>1750</v>
      </c>
    </row>
    <row r="3413" spans="1:15" x14ac:dyDescent="0.25">
      <c r="A3413" t="str">
        <f>"10/21/2020 18:38:34.710"</f>
        <v>10/21/2020 18:38:34.710</v>
      </c>
      <c r="B3413" t="str">
        <f>"18:38:42.609"</f>
        <v>18:38:42.609</v>
      </c>
      <c r="C3413" t="str">
        <f>"18:38:41.709"</f>
        <v>18:38:41.709</v>
      </c>
      <c r="D3413" t="s">
        <v>1303</v>
      </c>
      <c r="E3413">
        <v>30.905892999999999</v>
      </c>
      <c r="F3413" t="s">
        <v>1304</v>
      </c>
      <c r="G3413">
        <v>-89.901015999999998</v>
      </c>
      <c r="H3413">
        <v>1700</v>
      </c>
      <c r="I3413">
        <v>-134</v>
      </c>
      <c r="J3413">
        <v>90</v>
      </c>
      <c r="K3413">
        <v>192</v>
      </c>
      <c r="L3413">
        <v>1200</v>
      </c>
      <c r="M3413" t="str">
        <f t="shared" si="361"/>
        <v xml:space="preserve">N35DC   </v>
      </c>
      <c r="N3413">
        <v>1</v>
      </c>
      <c r="O3413">
        <v>1750</v>
      </c>
    </row>
    <row r="3414" spans="1:15" x14ac:dyDescent="0.25">
      <c r="A3414" t="str">
        <f>"10/21/2020 18:38:34.710"</f>
        <v>10/21/2020 18:38:34.710</v>
      </c>
      <c r="B3414" t="str">
        <f>"18:38:42.609"</f>
        <v>18:38:42.609</v>
      </c>
      <c r="C3414" t="str">
        <f>"18:38:41.709"</f>
        <v>18:38:41.709</v>
      </c>
      <c r="D3414" t="s">
        <v>1303</v>
      </c>
      <c r="E3414">
        <v>30.905892999999999</v>
      </c>
      <c r="F3414" t="s">
        <v>1304</v>
      </c>
      <c r="G3414">
        <v>-89.901015999999998</v>
      </c>
      <c r="H3414">
        <v>1700</v>
      </c>
      <c r="I3414">
        <v>-134</v>
      </c>
      <c r="J3414">
        <v>90</v>
      </c>
      <c r="K3414">
        <v>192</v>
      </c>
      <c r="L3414">
        <v>1200</v>
      </c>
      <c r="M3414" t="str">
        <f t="shared" si="361"/>
        <v xml:space="preserve">N35DC   </v>
      </c>
      <c r="N3414">
        <v>1</v>
      </c>
      <c r="O3414">
        <v>1750</v>
      </c>
    </row>
    <row r="3415" spans="1:15" x14ac:dyDescent="0.25">
      <c r="A3415" t="str">
        <f>"10/21/2020 18:38:34.710"</f>
        <v>10/21/2020 18:38:34.710</v>
      </c>
      <c r="B3415" t="str">
        <f>"18:38:42.609"</f>
        <v>18:38:42.609</v>
      </c>
      <c r="C3415" t="str">
        <f>"18:38:41.709"</f>
        <v>18:38:41.709</v>
      </c>
      <c r="D3415" t="s">
        <v>1303</v>
      </c>
      <c r="E3415">
        <v>30.905892999999999</v>
      </c>
      <c r="F3415" t="s">
        <v>1304</v>
      </c>
      <c r="G3415">
        <v>-89.901015999999998</v>
      </c>
      <c r="H3415">
        <v>1700</v>
      </c>
      <c r="I3415">
        <v>-134</v>
      </c>
      <c r="J3415">
        <v>90</v>
      </c>
      <c r="K3415">
        <v>192</v>
      </c>
      <c r="L3415">
        <v>1200</v>
      </c>
      <c r="M3415" t="str">
        <f t="shared" si="361"/>
        <v xml:space="preserve">N35DC   </v>
      </c>
      <c r="N3415">
        <v>1</v>
      </c>
      <c r="O3415">
        <v>1750</v>
      </c>
    </row>
    <row r="3416" spans="1:15" x14ac:dyDescent="0.25">
      <c r="A3416" t="str">
        <f t="shared" ref="A3416:A3421" si="365">"10/21/2020 18:38:38.653"</f>
        <v>10/21/2020 18:38:38.653</v>
      </c>
      <c r="B3416" t="str">
        <f t="shared" ref="B3416:B3421" si="366">"18:38:46.617"</f>
        <v>18:38:46.617</v>
      </c>
      <c r="C3416" t="str">
        <f>"18:38:46.317"</f>
        <v>18:38:46.317</v>
      </c>
      <c r="D3416" t="s">
        <v>1305</v>
      </c>
      <c r="E3416">
        <v>30.907481000000001</v>
      </c>
      <c r="F3416" t="s">
        <v>1306</v>
      </c>
      <c r="G3416">
        <v>-89.903976999999998</v>
      </c>
      <c r="H3416">
        <v>1700</v>
      </c>
      <c r="I3416">
        <v>-138</v>
      </c>
      <c r="J3416">
        <v>83</v>
      </c>
      <c r="K3416">
        <v>-64</v>
      </c>
      <c r="L3416">
        <v>1200</v>
      </c>
      <c r="M3416" t="str">
        <f t="shared" si="361"/>
        <v xml:space="preserve">N35DC   </v>
      </c>
      <c r="N3416">
        <v>1</v>
      </c>
      <c r="O3416">
        <v>1750</v>
      </c>
    </row>
    <row r="3417" spans="1:15" x14ac:dyDescent="0.25">
      <c r="A3417" t="str">
        <f t="shared" si="365"/>
        <v>10/21/2020 18:38:38.653</v>
      </c>
      <c r="B3417" t="str">
        <f t="shared" si="366"/>
        <v>18:38:46.617</v>
      </c>
      <c r="C3417" t="str">
        <f>"18:38:46.317"</f>
        <v>18:38:46.317</v>
      </c>
      <c r="D3417" t="s">
        <v>1305</v>
      </c>
      <c r="E3417">
        <v>30.907481000000001</v>
      </c>
      <c r="F3417" t="s">
        <v>1306</v>
      </c>
      <c r="G3417">
        <v>-89.903976999999998</v>
      </c>
      <c r="H3417">
        <v>1700</v>
      </c>
      <c r="I3417">
        <v>-138</v>
      </c>
      <c r="J3417">
        <v>83</v>
      </c>
      <c r="K3417">
        <v>-64</v>
      </c>
      <c r="L3417">
        <v>1200</v>
      </c>
      <c r="M3417" t="str">
        <f t="shared" si="361"/>
        <v xml:space="preserve">N35DC   </v>
      </c>
      <c r="N3417">
        <v>1</v>
      </c>
      <c r="O3417">
        <v>1750</v>
      </c>
    </row>
    <row r="3418" spans="1:15" x14ac:dyDescent="0.25">
      <c r="A3418" t="str">
        <f t="shared" si="365"/>
        <v>10/21/2020 18:38:38.653</v>
      </c>
      <c r="B3418" t="str">
        <f t="shared" si="366"/>
        <v>18:38:46.617</v>
      </c>
      <c r="C3418" t="str">
        <f>"18:38:46.317"</f>
        <v>18:38:46.317</v>
      </c>
      <c r="D3418" t="s">
        <v>1305</v>
      </c>
      <c r="E3418">
        <v>30.907481000000001</v>
      </c>
      <c r="F3418" t="s">
        <v>1306</v>
      </c>
      <c r="G3418">
        <v>-89.903976999999998</v>
      </c>
      <c r="H3418">
        <v>1700</v>
      </c>
      <c r="I3418">
        <v>-138</v>
      </c>
      <c r="J3418">
        <v>83</v>
      </c>
      <c r="K3418">
        <v>-64</v>
      </c>
      <c r="L3418">
        <v>1200</v>
      </c>
      <c r="M3418" t="str">
        <f t="shared" si="361"/>
        <v xml:space="preserve">N35DC   </v>
      </c>
      <c r="N3418">
        <v>1</v>
      </c>
      <c r="O3418">
        <v>1750</v>
      </c>
    </row>
    <row r="3419" spans="1:15" x14ac:dyDescent="0.25">
      <c r="A3419" t="str">
        <f t="shared" si="365"/>
        <v>10/21/2020 18:38:38.653</v>
      </c>
      <c r="B3419" t="str">
        <f t="shared" si="366"/>
        <v>18:38:46.617</v>
      </c>
      <c r="C3419" t="str">
        <f>"18:38:46.317"</f>
        <v>18:38:46.317</v>
      </c>
      <c r="D3419" t="s">
        <v>1305</v>
      </c>
      <c r="E3419">
        <v>30.907481000000001</v>
      </c>
      <c r="F3419" t="s">
        <v>1306</v>
      </c>
      <c r="G3419">
        <v>-89.903976999999998</v>
      </c>
      <c r="H3419">
        <v>1700</v>
      </c>
      <c r="I3419">
        <v>-138</v>
      </c>
      <c r="J3419">
        <v>83</v>
      </c>
      <c r="K3419">
        <v>-64</v>
      </c>
      <c r="L3419">
        <v>1200</v>
      </c>
      <c r="M3419" t="str">
        <f t="shared" si="361"/>
        <v xml:space="preserve">N35DC   </v>
      </c>
      <c r="N3419">
        <v>1</v>
      </c>
      <c r="O3419">
        <v>1750</v>
      </c>
    </row>
    <row r="3420" spans="1:15" x14ac:dyDescent="0.25">
      <c r="A3420" t="str">
        <f t="shared" si="365"/>
        <v>10/21/2020 18:38:38.653</v>
      </c>
      <c r="B3420" t="str">
        <f t="shared" si="366"/>
        <v>18:38:46.617</v>
      </c>
      <c r="C3420" t="str">
        <f>"18:38:46.317"</f>
        <v>18:38:46.317</v>
      </c>
      <c r="D3420" t="s">
        <v>1305</v>
      </c>
      <c r="E3420">
        <v>30.907481000000001</v>
      </c>
      <c r="F3420" t="s">
        <v>1306</v>
      </c>
      <c r="G3420">
        <v>-89.903976999999998</v>
      </c>
      <c r="H3420">
        <v>1700</v>
      </c>
      <c r="I3420">
        <v>-138</v>
      </c>
      <c r="J3420">
        <v>83</v>
      </c>
      <c r="K3420">
        <v>-64</v>
      </c>
      <c r="L3420">
        <v>1200</v>
      </c>
      <c r="M3420" t="str">
        <f t="shared" si="361"/>
        <v xml:space="preserve">N35DC   </v>
      </c>
      <c r="N3420">
        <v>1</v>
      </c>
      <c r="O3420">
        <v>1750</v>
      </c>
    </row>
    <row r="3421" spans="1:15" x14ac:dyDescent="0.25">
      <c r="A3421" t="str">
        <f t="shared" si="365"/>
        <v>10/21/2020 18:38:38.653</v>
      </c>
      <c r="B3421" t="str">
        <f t="shared" si="366"/>
        <v>18:38:46.617</v>
      </c>
      <c r="C3421" t="str">
        <f>"18:38:45.717"</f>
        <v>18:38:45.717</v>
      </c>
      <c r="D3421" t="s">
        <v>1305</v>
      </c>
      <c r="E3421">
        <v>30.907481000000001</v>
      </c>
      <c r="F3421" t="s">
        <v>1306</v>
      </c>
      <c r="G3421">
        <v>-89.903976999999998</v>
      </c>
      <c r="H3421">
        <v>1700</v>
      </c>
      <c r="I3421">
        <v>-137</v>
      </c>
      <c r="J3421">
        <v>84</v>
      </c>
      <c r="K3421">
        <v>0</v>
      </c>
      <c r="L3421">
        <v>1200</v>
      </c>
      <c r="M3421" t="str">
        <f t="shared" si="361"/>
        <v xml:space="preserve">N35DC   </v>
      </c>
      <c r="N3421">
        <v>1</v>
      </c>
      <c r="O3421">
        <v>1750</v>
      </c>
    </row>
    <row r="3422" spans="1:15" x14ac:dyDescent="0.25">
      <c r="A3422" t="str">
        <f t="shared" ref="A3422:A3427" si="367">"10/21/2020 18:38:39.736"</f>
        <v>10/21/2020 18:38:39.736</v>
      </c>
      <c r="B3422" t="str">
        <f t="shared" ref="B3422:B3427" si="368">"18:38:47.664"</f>
        <v>18:38:47.664</v>
      </c>
      <c r="C3422" t="str">
        <f t="shared" ref="C3422:C3427" si="369">"18:38:47.264"</f>
        <v>18:38:47.264</v>
      </c>
      <c r="D3422" t="s">
        <v>1307</v>
      </c>
      <c r="E3422">
        <v>30.907888</v>
      </c>
      <c r="F3422" t="s">
        <v>1308</v>
      </c>
      <c r="G3422">
        <v>-89.904792</v>
      </c>
      <c r="H3422">
        <v>1700</v>
      </c>
      <c r="I3422">
        <v>-139</v>
      </c>
      <c r="J3422">
        <v>82</v>
      </c>
      <c r="K3422">
        <v>-128</v>
      </c>
      <c r="L3422">
        <v>1200</v>
      </c>
      <c r="M3422" t="str">
        <f t="shared" si="361"/>
        <v xml:space="preserve">N35DC   </v>
      </c>
      <c r="N3422">
        <v>1</v>
      </c>
      <c r="O3422">
        <v>1750</v>
      </c>
    </row>
    <row r="3423" spans="1:15" x14ac:dyDescent="0.25">
      <c r="A3423" t="str">
        <f t="shared" si="367"/>
        <v>10/21/2020 18:38:39.736</v>
      </c>
      <c r="B3423" t="str">
        <f t="shared" si="368"/>
        <v>18:38:47.664</v>
      </c>
      <c r="C3423" t="str">
        <f t="shared" si="369"/>
        <v>18:38:47.264</v>
      </c>
      <c r="D3423" t="s">
        <v>1307</v>
      </c>
      <c r="E3423">
        <v>30.907888</v>
      </c>
      <c r="F3423" t="s">
        <v>1308</v>
      </c>
      <c r="G3423">
        <v>-89.904792</v>
      </c>
      <c r="H3423">
        <v>1700</v>
      </c>
      <c r="I3423">
        <v>-139</v>
      </c>
      <c r="J3423">
        <v>82</v>
      </c>
      <c r="K3423">
        <v>-128</v>
      </c>
      <c r="L3423">
        <v>1200</v>
      </c>
      <c r="M3423" t="str">
        <f t="shared" si="361"/>
        <v xml:space="preserve">N35DC   </v>
      </c>
      <c r="N3423">
        <v>1</v>
      </c>
      <c r="O3423">
        <v>1750</v>
      </c>
    </row>
    <row r="3424" spans="1:15" x14ac:dyDescent="0.25">
      <c r="A3424" t="str">
        <f t="shared" si="367"/>
        <v>10/21/2020 18:38:39.736</v>
      </c>
      <c r="B3424" t="str">
        <f t="shared" si="368"/>
        <v>18:38:47.664</v>
      </c>
      <c r="C3424" t="str">
        <f t="shared" si="369"/>
        <v>18:38:47.264</v>
      </c>
      <c r="D3424" t="s">
        <v>1307</v>
      </c>
      <c r="E3424">
        <v>30.907888</v>
      </c>
      <c r="F3424" t="s">
        <v>1308</v>
      </c>
      <c r="G3424">
        <v>-89.904792</v>
      </c>
      <c r="H3424">
        <v>1700</v>
      </c>
      <c r="I3424">
        <v>-139</v>
      </c>
      <c r="J3424">
        <v>82</v>
      </c>
      <c r="K3424">
        <v>-128</v>
      </c>
      <c r="L3424">
        <v>1200</v>
      </c>
      <c r="M3424" t="str">
        <f t="shared" si="361"/>
        <v xml:space="preserve">N35DC   </v>
      </c>
      <c r="N3424">
        <v>1</v>
      </c>
      <c r="O3424">
        <v>1750</v>
      </c>
    </row>
    <row r="3425" spans="1:15" x14ac:dyDescent="0.25">
      <c r="A3425" t="str">
        <f t="shared" si="367"/>
        <v>10/21/2020 18:38:39.736</v>
      </c>
      <c r="B3425" t="str">
        <f t="shared" si="368"/>
        <v>18:38:47.664</v>
      </c>
      <c r="C3425" t="str">
        <f t="shared" si="369"/>
        <v>18:38:47.264</v>
      </c>
      <c r="D3425" t="s">
        <v>1307</v>
      </c>
      <c r="E3425">
        <v>30.907888</v>
      </c>
      <c r="F3425" t="s">
        <v>1308</v>
      </c>
      <c r="G3425">
        <v>-89.904792</v>
      </c>
      <c r="H3425">
        <v>1700</v>
      </c>
      <c r="I3425">
        <v>-139</v>
      </c>
      <c r="J3425">
        <v>82</v>
      </c>
      <c r="K3425">
        <v>-128</v>
      </c>
      <c r="L3425">
        <v>1200</v>
      </c>
      <c r="M3425" t="str">
        <f t="shared" si="361"/>
        <v xml:space="preserve">N35DC   </v>
      </c>
      <c r="N3425">
        <v>1</v>
      </c>
      <c r="O3425">
        <v>1750</v>
      </c>
    </row>
    <row r="3426" spans="1:15" x14ac:dyDescent="0.25">
      <c r="A3426" t="str">
        <f t="shared" si="367"/>
        <v>10/21/2020 18:38:39.736</v>
      </c>
      <c r="B3426" t="str">
        <f t="shared" si="368"/>
        <v>18:38:47.664</v>
      </c>
      <c r="C3426" t="str">
        <f t="shared" si="369"/>
        <v>18:38:47.264</v>
      </c>
      <c r="D3426" t="s">
        <v>1307</v>
      </c>
      <c r="E3426">
        <v>30.907888</v>
      </c>
      <c r="F3426" t="s">
        <v>1308</v>
      </c>
      <c r="G3426">
        <v>-89.904792</v>
      </c>
      <c r="H3426">
        <v>1700</v>
      </c>
      <c r="I3426">
        <v>-139</v>
      </c>
      <c r="J3426">
        <v>82</v>
      </c>
      <c r="K3426">
        <v>-128</v>
      </c>
      <c r="L3426">
        <v>1200</v>
      </c>
      <c r="M3426" t="str">
        <f t="shared" si="361"/>
        <v xml:space="preserve">N35DC   </v>
      </c>
      <c r="N3426">
        <v>1</v>
      </c>
      <c r="O3426">
        <v>1750</v>
      </c>
    </row>
    <row r="3427" spans="1:15" x14ac:dyDescent="0.25">
      <c r="A3427" t="str">
        <f t="shared" si="367"/>
        <v>10/21/2020 18:38:39.736</v>
      </c>
      <c r="B3427" t="str">
        <f t="shared" si="368"/>
        <v>18:38:47.664</v>
      </c>
      <c r="C3427" t="str">
        <f t="shared" si="369"/>
        <v>18:38:47.264</v>
      </c>
      <c r="D3427" t="s">
        <v>1307</v>
      </c>
      <c r="E3427">
        <v>30.907888</v>
      </c>
      <c r="F3427" t="s">
        <v>1308</v>
      </c>
      <c r="G3427">
        <v>-89.904792</v>
      </c>
      <c r="H3427">
        <v>1700</v>
      </c>
      <c r="I3427">
        <v>-139</v>
      </c>
      <c r="J3427">
        <v>82</v>
      </c>
      <c r="K3427">
        <v>-128</v>
      </c>
      <c r="L3427">
        <v>1200</v>
      </c>
      <c r="M3427" t="str">
        <f t="shared" si="361"/>
        <v xml:space="preserve">N35DC   </v>
      </c>
      <c r="N3427">
        <v>1</v>
      </c>
      <c r="O3427">
        <v>1750</v>
      </c>
    </row>
    <row r="3428" spans="1:15" x14ac:dyDescent="0.25">
      <c r="A3428" t="str">
        <f t="shared" ref="A3428:A3433" si="370">"10/21/2020 18:38:40.623"</f>
        <v>10/21/2020 18:38:40.623</v>
      </c>
      <c r="B3428" t="str">
        <f t="shared" ref="B3428:B3433" si="371">"18:38:48.578"</f>
        <v>18:38:48.578</v>
      </c>
      <c r="C3428" t="str">
        <f t="shared" ref="C3428:C3433" si="372">"18:38:48.178"</f>
        <v>18:38:48.178</v>
      </c>
      <c r="D3428" t="s">
        <v>1309</v>
      </c>
      <c r="E3428">
        <v>30.908252999999998</v>
      </c>
      <c r="F3428" t="s">
        <v>1310</v>
      </c>
      <c r="G3428">
        <v>-89.905435999999995</v>
      </c>
      <c r="H3428">
        <v>1700</v>
      </c>
      <c r="I3428">
        <v>-140</v>
      </c>
      <c r="J3428">
        <v>81</v>
      </c>
      <c r="K3428">
        <v>-128</v>
      </c>
      <c r="L3428">
        <v>1200</v>
      </c>
      <c r="M3428" t="str">
        <f t="shared" si="361"/>
        <v xml:space="preserve">N35DC   </v>
      </c>
      <c r="N3428">
        <v>1</v>
      </c>
      <c r="O3428">
        <v>1750</v>
      </c>
    </row>
    <row r="3429" spans="1:15" x14ac:dyDescent="0.25">
      <c r="A3429" t="str">
        <f t="shared" si="370"/>
        <v>10/21/2020 18:38:40.623</v>
      </c>
      <c r="B3429" t="str">
        <f t="shared" si="371"/>
        <v>18:38:48.578</v>
      </c>
      <c r="C3429" t="str">
        <f t="shared" si="372"/>
        <v>18:38:48.178</v>
      </c>
      <c r="D3429" t="s">
        <v>1309</v>
      </c>
      <c r="E3429">
        <v>30.908252999999998</v>
      </c>
      <c r="F3429" t="s">
        <v>1310</v>
      </c>
      <c r="G3429">
        <v>-89.905435999999995</v>
      </c>
      <c r="H3429">
        <v>1700</v>
      </c>
      <c r="I3429">
        <v>-140</v>
      </c>
      <c r="J3429">
        <v>81</v>
      </c>
      <c r="K3429">
        <v>-128</v>
      </c>
      <c r="L3429">
        <v>1200</v>
      </c>
      <c r="M3429" t="str">
        <f t="shared" si="361"/>
        <v xml:space="preserve">N35DC   </v>
      </c>
      <c r="N3429">
        <v>1</v>
      </c>
      <c r="O3429">
        <v>1750</v>
      </c>
    </row>
    <row r="3430" spans="1:15" x14ac:dyDescent="0.25">
      <c r="A3430" t="str">
        <f t="shared" si="370"/>
        <v>10/21/2020 18:38:40.623</v>
      </c>
      <c r="B3430" t="str">
        <f t="shared" si="371"/>
        <v>18:38:48.578</v>
      </c>
      <c r="C3430" t="str">
        <f t="shared" si="372"/>
        <v>18:38:48.178</v>
      </c>
      <c r="D3430" t="s">
        <v>1309</v>
      </c>
      <c r="E3430">
        <v>30.908252999999998</v>
      </c>
      <c r="F3430" t="s">
        <v>1310</v>
      </c>
      <c r="G3430">
        <v>-89.905435999999995</v>
      </c>
      <c r="H3430">
        <v>1700</v>
      </c>
      <c r="I3430">
        <v>-140</v>
      </c>
      <c r="J3430">
        <v>81</v>
      </c>
      <c r="K3430">
        <v>-128</v>
      </c>
      <c r="L3430">
        <v>1200</v>
      </c>
      <c r="M3430" t="str">
        <f t="shared" si="361"/>
        <v xml:space="preserve">N35DC   </v>
      </c>
      <c r="N3430">
        <v>1</v>
      </c>
      <c r="O3430">
        <v>1750</v>
      </c>
    </row>
    <row r="3431" spans="1:15" x14ac:dyDescent="0.25">
      <c r="A3431" t="str">
        <f t="shared" si="370"/>
        <v>10/21/2020 18:38:40.623</v>
      </c>
      <c r="B3431" t="str">
        <f t="shared" si="371"/>
        <v>18:38:48.578</v>
      </c>
      <c r="C3431" t="str">
        <f t="shared" si="372"/>
        <v>18:38:48.178</v>
      </c>
      <c r="D3431" t="s">
        <v>1309</v>
      </c>
      <c r="E3431">
        <v>30.908252999999998</v>
      </c>
      <c r="F3431" t="s">
        <v>1310</v>
      </c>
      <c r="G3431">
        <v>-89.905435999999995</v>
      </c>
      <c r="H3431">
        <v>1700</v>
      </c>
      <c r="I3431">
        <v>-140</v>
      </c>
      <c r="J3431">
        <v>81</v>
      </c>
      <c r="K3431">
        <v>-128</v>
      </c>
      <c r="L3431">
        <v>1200</v>
      </c>
      <c r="M3431" t="str">
        <f t="shared" si="361"/>
        <v xml:space="preserve">N35DC   </v>
      </c>
      <c r="N3431">
        <v>1</v>
      </c>
      <c r="O3431">
        <v>1750</v>
      </c>
    </row>
    <row r="3432" spans="1:15" x14ac:dyDescent="0.25">
      <c r="A3432" t="str">
        <f t="shared" si="370"/>
        <v>10/21/2020 18:38:40.623</v>
      </c>
      <c r="B3432" t="str">
        <f t="shared" si="371"/>
        <v>18:38:48.578</v>
      </c>
      <c r="C3432" t="str">
        <f t="shared" si="372"/>
        <v>18:38:48.178</v>
      </c>
      <c r="D3432" t="s">
        <v>1309</v>
      </c>
      <c r="E3432">
        <v>30.908252999999998</v>
      </c>
      <c r="F3432" t="s">
        <v>1310</v>
      </c>
      <c r="G3432">
        <v>-89.905435999999995</v>
      </c>
      <c r="H3432">
        <v>1700</v>
      </c>
      <c r="I3432">
        <v>-140</v>
      </c>
      <c r="J3432">
        <v>81</v>
      </c>
      <c r="K3432">
        <v>-128</v>
      </c>
      <c r="L3432">
        <v>1200</v>
      </c>
      <c r="M3432" t="str">
        <f t="shared" si="361"/>
        <v xml:space="preserve">N35DC   </v>
      </c>
      <c r="N3432">
        <v>1</v>
      </c>
      <c r="O3432">
        <v>1750</v>
      </c>
    </row>
    <row r="3433" spans="1:15" x14ac:dyDescent="0.25">
      <c r="A3433" t="str">
        <f t="shared" si="370"/>
        <v>10/21/2020 18:38:40.623</v>
      </c>
      <c r="B3433" t="str">
        <f t="shared" si="371"/>
        <v>18:38:48.578</v>
      </c>
      <c r="C3433" t="str">
        <f t="shared" si="372"/>
        <v>18:38:48.178</v>
      </c>
      <c r="D3433" t="s">
        <v>1309</v>
      </c>
      <c r="E3433">
        <v>30.908252999999998</v>
      </c>
      <c r="F3433" t="s">
        <v>1310</v>
      </c>
      <c r="G3433">
        <v>-89.905435999999995</v>
      </c>
      <c r="H3433">
        <v>1700</v>
      </c>
      <c r="I3433">
        <v>-140</v>
      </c>
      <c r="J3433">
        <v>81</v>
      </c>
      <c r="K3433">
        <v>-128</v>
      </c>
      <c r="L3433">
        <v>1200</v>
      </c>
      <c r="M3433" t="str">
        <f t="shared" si="361"/>
        <v xml:space="preserve">N35DC   </v>
      </c>
      <c r="N3433">
        <v>1</v>
      </c>
      <c r="O3433">
        <v>1750</v>
      </c>
    </row>
    <row r="3434" spans="1:15" x14ac:dyDescent="0.25">
      <c r="A3434" t="str">
        <f>"10/21/2020 18:38:43.093"</f>
        <v>10/21/2020 18:38:43.093</v>
      </c>
      <c r="B3434" t="str">
        <f>"18:38:51.070"</f>
        <v>18:38:51.070</v>
      </c>
      <c r="C3434" t="str">
        <f>"18:38:50.870"</f>
        <v>18:38:50.870</v>
      </c>
      <c r="D3434" t="s">
        <v>1311</v>
      </c>
      <c r="E3434">
        <v>30.909154000000001</v>
      </c>
      <c r="F3434" t="s">
        <v>1312</v>
      </c>
      <c r="G3434">
        <v>-89.907324000000003</v>
      </c>
      <c r="H3434">
        <v>1700</v>
      </c>
      <c r="I3434">
        <v>-141</v>
      </c>
      <c r="J3434">
        <v>79</v>
      </c>
      <c r="K3434">
        <v>-192</v>
      </c>
      <c r="L3434">
        <v>1200</v>
      </c>
      <c r="M3434" t="str">
        <f t="shared" si="361"/>
        <v xml:space="preserve">N35DC   </v>
      </c>
      <c r="N3434">
        <v>1</v>
      </c>
      <c r="O3434">
        <v>1750</v>
      </c>
    </row>
    <row r="3435" spans="1:15" x14ac:dyDescent="0.25">
      <c r="A3435" t="str">
        <f>"10/21/2020 18:38:43.093"</f>
        <v>10/21/2020 18:38:43.093</v>
      </c>
      <c r="B3435" t="str">
        <f>"18:38:51.070"</f>
        <v>18:38:51.070</v>
      </c>
      <c r="C3435" t="str">
        <f>"18:38:50.870"</f>
        <v>18:38:50.870</v>
      </c>
      <c r="D3435" t="s">
        <v>1311</v>
      </c>
      <c r="E3435">
        <v>30.909154000000001</v>
      </c>
      <c r="F3435" t="s">
        <v>1312</v>
      </c>
      <c r="G3435">
        <v>-89.907324000000003</v>
      </c>
      <c r="H3435">
        <v>1700</v>
      </c>
      <c r="I3435">
        <v>-141</v>
      </c>
      <c r="J3435">
        <v>79</v>
      </c>
      <c r="K3435">
        <v>-192</v>
      </c>
      <c r="L3435">
        <v>1200</v>
      </c>
      <c r="M3435" t="str">
        <f t="shared" si="361"/>
        <v xml:space="preserve">N35DC   </v>
      </c>
      <c r="N3435">
        <v>1</v>
      </c>
      <c r="O3435">
        <v>1750</v>
      </c>
    </row>
    <row r="3436" spans="1:15" x14ac:dyDescent="0.25">
      <c r="A3436" t="str">
        <f>"10/21/2020 18:38:43.093"</f>
        <v>10/21/2020 18:38:43.093</v>
      </c>
      <c r="B3436" t="str">
        <f>"18:38:51.070"</f>
        <v>18:38:51.070</v>
      </c>
      <c r="C3436" t="str">
        <f>"18:38:50.870"</f>
        <v>18:38:50.870</v>
      </c>
      <c r="D3436" t="s">
        <v>1311</v>
      </c>
      <c r="E3436">
        <v>30.909154000000001</v>
      </c>
      <c r="F3436" t="s">
        <v>1312</v>
      </c>
      <c r="G3436">
        <v>-89.907324000000003</v>
      </c>
      <c r="H3436">
        <v>1700</v>
      </c>
      <c r="I3436">
        <v>-141</v>
      </c>
      <c r="J3436">
        <v>79</v>
      </c>
      <c r="K3436">
        <v>-192</v>
      </c>
      <c r="L3436">
        <v>1200</v>
      </c>
      <c r="M3436" t="str">
        <f t="shared" si="361"/>
        <v xml:space="preserve">N35DC   </v>
      </c>
      <c r="N3436">
        <v>1</v>
      </c>
      <c r="O3436">
        <v>1750</v>
      </c>
    </row>
    <row r="3437" spans="1:15" x14ac:dyDescent="0.25">
      <c r="A3437" t="str">
        <f>"10/21/2020 18:38:43.093"</f>
        <v>10/21/2020 18:38:43.093</v>
      </c>
      <c r="B3437" t="str">
        <f>"18:38:51.070"</f>
        <v>18:38:51.070</v>
      </c>
      <c r="C3437" t="str">
        <f>"18:38:50.870"</f>
        <v>18:38:50.870</v>
      </c>
      <c r="D3437" t="s">
        <v>1311</v>
      </c>
      <c r="E3437">
        <v>30.909154000000001</v>
      </c>
      <c r="F3437" t="s">
        <v>1312</v>
      </c>
      <c r="G3437">
        <v>-89.907324000000003</v>
      </c>
      <c r="H3437">
        <v>1700</v>
      </c>
      <c r="I3437">
        <v>-141</v>
      </c>
      <c r="J3437">
        <v>79</v>
      </c>
      <c r="K3437">
        <v>-192</v>
      </c>
      <c r="L3437">
        <v>1200</v>
      </c>
      <c r="M3437" t="str">
        <f t="shared" si="361"/>
        <v xml:space="preserve">N35DC   </v>
      </c>
      <c r="N3437">
        <v>1</v>
      </c>
      <c r="O3437">
        <v>1750</v>
      </c>
    </row>
    <row r="3438" spans="1:15" x14ac:dyDescent="0.25">
      <c r="A3438" t="str">
        <f>"10/21/2020 18:38:43.093"</f>
        <v>10/21/2020 18:38:43.093</v>
      </c>
      <c r="B3438" t="str">
        <f>"18:38:51.070"</f>
        <v>18:38:51.070</v>
      </c>
      <c r="C3438" t="str">
        <f>"18:38:50.870"</f>
        <v>18:38:50.870</v>
      </c>
      <c r="D3438" t="s">
        <v>1311</v>
      </c>
      <c r="E3438">
        <v>30.909154000000001</v>
      </c>
      <c r="F3438" t="s">
        <v>1312</v>
      </c>
      <c r="G3438">
        <v>-89.907324000000003</v>
      </c>
      <c r="H3438">
        <v>1700</v>
      </c>
      <c r="I3438">
        <v>-141</v>
      </c>
      <c r="J3438">
        <v>79</v>
      </c>
      <c r="K3438">
        <v>-192</v>
      </c>
      <c r="L3438">
        <v>1200</v>
      </c>
      <c r="M3438" t="str">
        <f t="shared" si="361"/>
        <v xml:space="preserve">N35DC   </v>
      </c>
      <c r="N3438">
        <v>1</v>
      </c>
      <c r="O3438">
        <v>1750</v>
      </c>
    </row>
    <row r="3439" spans="1:15" x14ac:dyDescent="0.25">
      <c r="A3439" t="str">
        <f>"10/21/2020 18:38:44.155"</f>
        <v>10/21/2020 18:38:44.155</v>
      </c>
      <c r="B3439" t="str">
        <f>"18:38:52.078"</f>
        <v>18:38:52.078</v>
      </c>
      <c r="C3439" t="str">
        <f>"18:38:51.378"</f>
        <v>18:38:51.378</v>
      </c>
      <c r="D3439" t="s">
        <v>1313</v>
      </c>
      <c r="E3439">
        <v>30.909541000000001</v>
      </c>
      <c r="F3439" t="s">
        <v>1314</v>
      </c>
      <c r="G3439">
        <v>-89.908118000000002</v>
      </c>
      <c r="H3439">
        <v>1700</v>
      </c>
      <c r="I3439">
        <v>-141</v>
      </c>
      <c r="J3439">
        <v>79</v>
      </c>
      <c r="K3439">
        <v>-192</v>
      </c>
      <c r="L3439">
        <v>1200</v>
      </c>
      <c r="M3439" t="str">
        <f t="shared" si="361"/>
        <v xml:space="preserve">N35DC   </v>
      </c>
      <c r="N3439">
        <v>1</v>
      </c>
      <c r="O3439">
        <v>1750</v>
      </c>
    </row>
    <row r="3440" spans="1:15" x14ac:dyDescent="0.25">
      <c r="A3440" t="str">
        <f>"10/21/2020 18:38:44.155"</f>
        <v>10/21/2020 18:38:44.155</v>
      </c>
      <c r="B3440" t="str">
        <f>"18:38:52.078"</f>
        <v>18:38:52.078</v>
      </c>
      <c r="C3440" t="str">
        <f>"18:38:51.378"</f>
        <v>18:38:51.378</v>
      </c>
      <c r="D3440" t="s">
        <v>1313</v>
      </c>
      <c r="E3440">
        <v>30.909541000000001</v>
      </c>
      <c r="F3440" t="s">
        <v>1314</v>
      </c>
      <c r="G3440">
        <v>-89.908118000000002</v>
      </c>
      <c r="H3440">
        <v>1700</v>
      </c>
      <c r="I3440">
        <v>-141</v>
      </c>
      <c r="J3440">
        <v>79</v>
      </c>
      <c r="K3440">
        <v>-192</v>
      </c>
      <c r="L3440">
        <v>1200</v>
      </c>
      <c r="M3440" t="str">
        <f t="shared" si="361"/>
        <v xml:space="preserve">N35DC   </v>
      </c>
      <c r="N3440">
        <v>1</v>
      </c>
      <c r="O3440">
        <v>1750</v>
      </c>
    </row>
    <row r="3441" spans="1:15" x14ac:dyDescent="0.25">
      <c r="A3441" t="str">
        <f>"10/21/2020 18:38:44.155"</f>
        <v>10/21/2020 18:38:44.155</v>
      </c>
      <c r="B3441" t="str">
        <f>"18:38:52.078"</f>
        <v>18:38:52.078</v>
      </c>
      <c r="C3441" t="str">
        <f>"18:38:51.378"</f>
        <v>18:38:51.378</v>
      </c>
      <c r="D3441" t="s">
        <v>1313</v>
      </c>
      <c r="E3441">
        <v>30.909541000000001</v>
      </c>
      <c r="F3441" t="s">
        <v>1314</v>
      </c>
      <c r="G3441">
        <v>-89.908118000000002</v>
      </c>
      <c r="H3441">
        <v>1700</v>
      </c>
      <c r="I3441">
        <v>-141</v>
      </c>
      <c r="J3441">
        <v>79</v>
      </c>
      <c r="K3441">
        <v>-192</v>
      </c>
      <c r="L3441">
        <v>1200</v>
      </c>
      <c r="M3441" t="str">
        <f t="shared" si="361"/>
        <v xml:space="preserve">N35DC   </v>
      </c>
      <c r="N3441">
        <v>1</v>
      </c>
      <c r="O3441">
        <v>1750</v>
      </c>
    </row>
    <row r="3442" spans="1:15" x14ac:dyDescent="0.25">
      <c r="A3442" t="str">
        <f>"10/21/2020 18:38:44.155"</f>
        <v>10/21/2020 18:38:44.155</v>
      </c>
      <c r="B3442" t="str">
        <f>"18:38:52.078"</f>
        <v>18:38:52.078</v>
      </c>
      <c r="C3442" t="str">
        <f>"18:38:51.378"</f>
        <v>18:38:51.378</v>
      </c>
      <c r="D3442" t="s">
        <v>1313</v>
      </c>
      <c r="E3442">
        <v>30.909541000000001</v>
      </c>
      <c r="F3442" t="s">
        <v>1314</v>
      </c>
      <c r="G3442">
        <v>-89.908118000000002</v>
      </c>
      <c r="H3442">
        <v>1700</v>
      </c>
      <c r="I3442">
        <v>-141</v>
      </c>
      <c r="J3442">
        <v>79</v>
      </c>
      <c r="K3442">
        <v>-192</v>
      </c>
      <c r="L3442">
        <v>1200</v>
      </c>
      <c r="M3442" t="str">
        <f t="shared" si="361"/>
        <v xml:space="preserve">N35DC   </v>
      </c>
      <c r="N3442">
        <v>1</v>
      </c>
      <c r="O3442">
        <v>1750</v>
      </c>
    </row>
    <row r="3443" spans="1:15" x14ac:dyDescent="0.25">
      <c r="A3443" t="str">
        <f>"10/21/2020 18:38:44.155"</f>
        <v>10/21/2020 18:38:44.155</v>
      </c>
      <c r="B3443" t="str">
        <f>"18:38:52.078"</f>
        <v>18:38:52.078</v>
      </c>
      <c r="C3443" t="str">
        <f>"18:38:51.378"</f>
        <v>18:38:51.378</v>
      </c>
      <c r="D3443" t="s">
        <v>1313</v>
      </c>
      <c r="E3443">
        <v>30.909541000000001</v>
      </c>
      <c r="F3443" t="s">
        <v>1314</v>
      </c>
      <c r="G3443">
        <v>-89.908118000000002</v>
      </c>
      <c r="H3443">
        <v>1700</v>
      </c>
      <c r="I3443">
        <v>-141</v>
      </c>
      <c r="J3443">
        <v>79</v>
      </c>
      <c r="K3443">
        <v>-192</v>
      </c>
      <c r="L3443">
        <v>1200</v>
      </c>
      <c r="M3443" t="str">
        <f t="shared" si="361"/>
        <v xml:space="preserve">N35DC   </v>
      </c>
      <c r="N3443">
        <v>1</v>
      </c>
      <c r="O3443">
        <v>1750</v>
      </c>
    </row>
    <row r="3444" spans="1:15" x14ac:dyDescent="0.25">
      <c r="A3444" t="str">
        <f>"10/21/2020 18:38:44.720"</f>
        <v>10/21/2020 18:38:44.720</v>
      </c>
      <c r="B3444" t="str">
        <f>"18:38:52.617"</f>
        <v>18:38:52.617</v>
      </c>
      <c r="C3444" t="str">
        <f>"18:38:52.217"</f>
        <v>18:38:52.217</v>
      </c>
      <c r="D3444" t="s">
        <v>1315</v>
      </c>
      <c r="E3444">
        <v>30.909711999999999</v>
      </c>
      <c r="F3444" t="s">
        <v>1316</v>
      </c>
      <c r="G3444">
        <v>-89.908483000000004</v>
      </c>
      <c r="H3444">
        <v>1700</v>
      </c>
      <c r="I3444">
        <v>-142</v>
      </c>
      <c r="J3444">
        <v>78</v>
      </c>
      <c r="K3444">
        <v>-128</v>
      </c>
      <c r="L3444">
        <v>1200</v>
      </c>
      <c r="M3444" t="str">
        <f t="shared" si="361"/>
        <v xml:space="preserve">N35DC   </v>
      </c>
      <c r="N3444">
        <v>1</v>
      </c>
      <c r="O3444">
        <v>1750</v>
      </c>
    </row>
    <row r="3445" spans="1:15" x14ac:dyDescent="0.25">
      <c r="A3445" t="str">
        <f>"10/21/2020 18:38:45.267"</f>
        <v>10/21/2020 18:38:45.267</v>
      </c>
      <c r="B3445" t="str">
        <f>"18:38:53.188"</f>
        <v>18:38:53.188</v>
      </c>
      <c r="C3445" t="str">
        <f>"18:38:52.788"</f>
        <v>18:38:52.788</v>
      </c>
      <c r="D3445" t="s">
        <v>1317</v>
      </c>
      <c r="E3445">
        <v>30.909904999999998</v>
      </c>
      <c r="F3445" t="s">
        <v>1318</v>
      </c>
      <c r="G3445">
        <v>-89.908934000000002</v>
      </c>
      <c r="H3445">
        <v>1700</v>
      </c>
      <c r="I3445">
        <v>-142</v>
      </c>
      <c r="J3445">
        <v>78</v>
      </c>
      <c r="K3445">
        <v>-128</v>
      </c>
      <c r="L3445">
        <v>1200</v>
      </c>
      <c r="M3445" t="str">
        <f t="shared" si="361"/>
        <v xml:space="preserve">N35DC   </v>
      </c>
      <c r="N3445">
        <v>1</v>
      </c>
      <c r="O3445">
        <v>1750</v>
      </c>
    </row>
    <row r="3446" spans="1:15" x14ac:dyDescent="0.25">
      <c r="A3446" t="str">
        <f>"10/21/2020 18:38:45.267"</f>
        <v>10/21/2020 18:38:45.267</v>
      </c>
      <c r="B3446" t="str">
        <f>"18:38:53.188"</f>
        <v>18:38:53.188</v>
      </c>
      <c r="C3446" t="str">
        <f>"18:38:52.788"</f>
        <v>18:38:52.788</v>
      </c>
      <c r="D3446" t="s">
        <v>1317</v>
      </c>
      <c r="E3446">
        <v>30.909904999999998</v>
      </c>
      <c r="F3446" t="s">
        <v>1318</v>
      </c>
      <c r="G3446">
        <v>-89.908934000000002</v>
      </c>
      <c r="H3446">
        <v>1700</v>
      </c>
      <c r="I3446">
        <v>-142</v>
      </c>
      <c r="J3446">
        <v>78</v>
      </c>
      <c r="K3446">
        <v>-128</v>
      </c>
      <c r="L3446">
        <v>1200</v>
      </c>
      <c r="M3446" t="str">
        <f t="shared" si="361"/>
        <v xml:space="preserve">N35DC   </v>
      </c>
      <c r="N3446">
        <v>1</v>
      </c>
      <c r="O3446">
        <v>1750</v>
      </c>
    </row>
    <row r="3447" spans="1:15" x14ac:dyDescent="0.25">
      <c r="A3447" t="str">
        <f>"10/21/2020 18:38:45.267"</f>
        <v>10/21/2020 18:38:45.267</v>
      </c>
      <c r="B3447" t="str">
        <f>"18:38:53.188"</f>
        <v>18:38:53.188</v>
      </c>
      <c r="C3447" t="str">
        <f>"18:38:52.788"</f>
        <v>18:38:52.788</v>
      </c>
      <c r="D3447" t="s">
        <v>1317</v>
      </c>
      <c r="E3447">
        <v>30.909904999999998</v>
      </c>
      <c r="F3447" t="s">
        <v>1318</v>
      </c>
      <c r="G3447">
        <v>-89.908934000000002</v>
      </c>
      <c r="H3447">
        <v>1700</v>
      </c>
      <c r="I3447">
        <v>-142</v>
      </c>
      <c r="J3447">
        <v>78</v>
      </c>
      <c r="K3447">
        <v>-128</v>
      </c>
      <c r="L3447">
        <v>1200</v>
      </c>
      <c r="M3447" t="str">
        <f t="shared" si="361"/>
        <v xml:space="preserve">N35DC   </v>
      </c>
      <c r="N3447">
        <v>1</v>
      </c>
      <c r="O3447">
        <v>1750</v>
      </c>
    </row>
    <row r="3448" spans="1:15" x14ac:dyDescent="0.25">
      <c r="A3448" t="str">
        <f>"10/21/2020 18:38:45.267"</f>
        <v>10/21/2020 18:38:45.267</v>
      </c>
      <c r="B3448" t="str">
        <f>"18:38:53.188"</f>
        <v>18:38:53.188</v>
      </c>
      <c r="C3448" t="str">
        <f>"18:38:52.788"</f>
        <v>18:38:52.788</v>
      </c>
      <c r="D3448" t="s">
        <v>1317</v>
      </c>
      <c r="E3448">
        <v>30.909904999999998</v>
      </c>
      <c r="F3448" t="s">
        <v>1318</v>
      </c>
      <c r="G3448">
        <v>-89.908934000000002</v>
      </c>
      <c r="H3448">
        <v>1700</v>
      </c>
      <c r="I3448">
        <v>-142</v>
      </c>
      <c r="J3448">
        <v>78</v>
      </c>
      <c r="K3448">
        <v>-128</v>
      </c>
      <c r="L3448">
        <v>1200</v>
      </c>
      <c r="M3448" t="str">
        <f t="shared" si="361"/>
        <v xml:space="preserve">N35DC   </v>
      </c>
      <c r="N3448">
        <v>1</v>
      </c>
      <c r="O3448">
        <v>1750</v>
      </c>
    </row>
    <row r="3449" spans="1:15" x14ac:dyDescent="0.25">
      <c r="A3449" t="str">
        <f>"10/21/2020 18:38:45.267"</f>
        <v>10/21/2020 18:38:45.267</v>
      </c>
      <c r="B3449" t="str">
        <f>"18:38:53.188"</f>
        <v>18:38:53.188</v>
      </c>
      <c r="C3449" t="str">
        <f>"18:38:52.788"</f>
        <v>18:38:52.788</v>
      </c>
      <c r="D3449" t="s">
        <v>1317</v>
      </c>
      <c r="E3449">
        <v>30.909904999999998</v>
      </c>
      <c r="F3449" t="s">
        <v>1318</v>
      </c>
      <c r="G3449">
        <v>-89.908934000000002</v>
      </c>
      <c r="H3449">
        <v>1700</v>
      </c>
      <c r="I3449">
        <v>-142</v>
      </c>
      <c r="J3449">
        <v>78</v>
      </c>
      <c r="K3449">
        <v>-128</v>
      </c>
      <c r="L3449">
        <v>1200</v>
      </c>
      <c r="M3449" t="str">
        <f t="shared" si="361"/>
        <v xml:space="preserve">N35DC   </v>
      </c>
      <c r="N3449">
        <v>1</v>
      </c>
      <c r="O3449">
        <v>1750</v>
      </c>
    </row>
    <row r="3450" spans="1:15" x14ac:dyDescent="0.25">
      <c r="A3450" t="str">
        <f>"10/21/2020 18:38:45.876"</f>
        <v>10/21/2020 18:38:45.876</v>
      </c>
      <c r="B3450" t="str">
        <f>"18:38:53.789"</f>
        <v>18:38:53.789</v>
      </c>
      <c r="C3450" t="str">
        <f>"18:38:53.789"</f>
        <v>18:38:53.789</v>
      </c>
      <c r="D3450" t="s">
        <v>1319</v>
      </c>
      <c r="E3450">
        <v>30.910119999999999</v>
      </c>
      <c r="F3450" t="s">
        <v>1320</v>
      </c>
      <c r="G3450">
        <v>-89.909426999999994</v>
      </c>
      <c r="H3450">
        <v>1700</v>
      </c>
      <c r="I3450">
        <v>-142</v>
      </c>
      <c r="J3450">
        <v>79</v>
      </c>
      <c r="K3450">
        <v>-192</v>
      </c>
      <c r="L3450">
        <v>1200</v>
      </c>
      <c r="M3450" t="str">
        <f t="shared" si="361"/>
        <v xml:space="preserve">N35DC   </v>
      </c>
      <c r="N3450">
        <v>1</v>
      </c>
      <c r="O3450">
        <v>1725</v>
      </c>
    </row>
    <row r="3451" spans="1:15" x14ac:dyDescent="0.25">
      <c r="A3451" t="str">
        <f>"10/21/2020 18:38:48.550"</f>
        <v>10/21/2020 18:38:48.550</v>
      </c>
      <c r="B3451" t="str">
        <f>"18:38:56.188"</f>
        <v>18:38:56.188</v>
      </c>
      <c r="C3451" t="str">
        <f>"18:38:55.887"</f>
        <v>18:38:55.887</v>
      </c>
      <c r="D3451" t="s">
        <v>1321</v>
      </c>
      <c r="E3451">
        <v>30.911021000000002</v>
      </c>
      <c r="F3451" t="s">
        <v>1322</v>
      </c>
      <c r="G3451">
        <v>-89.911230000000003</v>
      </c>
      <c r="H3451">
        <v>1700</v>
      </c>
      <c r="I3451">
        <v>-143</v>
      </c>
      <c r="J3451">
        <v>79</v>
      </c>
      <c r="K3451">
        <v>-256</v>
      </c>
      <c r="L3451">
        <v>1200</v>
      </c>
      <c r="M3451" t="str">
        <f t="shared" si="361"/>
        <v xml:space="preserve">N35DC   </v>
      </c>
      <c r="N3451">
        <v>1</v>
      </c>
      <c r="O3451">
        <v>1725</v>
      </c>
    </row>
    <row r="3452" spans="1:15" x14ac:dyDescent="0.25">
      <c r="A3452" t="str">
        <f>"10/21/2020 18:38:48.550"</f>
        <v>10/21/2020 18:38:48.550</v>
      </c>
      <c r="B3452" t="str">
        <f>"18:38:56.188"</f>
        <v>18:38:56.188</v>
      </c>
      <c r="C3452" t="str">
        <f>"18:38:55.887"</f>
        <v>18:38:55.887</v>
      </c>
      <c r="D3452" t="s">
        <v>1321</v>
      </c>
      <c r="E3452">
        <v>30.911021000000002</v>
      </c>
      <c r="F3452" t="s">
        <v>1322</v>
      </c>
      <c r="G3452">
        <v>-89.911230000000003</v>
      </c>
      <c r="H3452">
        <v>1700</v>
      </c>
      <c r="I3452">
        <v>-143</v>
      </c>
      <c r="J3452">
        <v>79</v>
      </c>
      <c r="K3452">
        <v>-256</v>
      </c>
      <c r="L3452">
        <v>1200</v>
      </c>
      <c r="M3452" t="str">
        <f t="shared" si="361"/>
        <v xml:space="preserve">N35DC   </v>
      </c>
      <c r="N3452">
        <v>1</v>
      </c>
      <c r="O3452">
        <v>1725</v>
      </c>
    </row>
    <row r="3453" spans="1:15" x14ac:dyDescent="0.25">
      <c r="A3453" t="str">
        <f>"10/21/2020 18:38:48.843"</f>
        <v>10/21/2020 18:38:48.843</v>
      </c>
      <c r="B3453" t="str">
        <f>"18:38:56.727"</f>
        <v>18:38:56.727</v>
      </c>
      <c r="C3453" t="str">
        <f>"18:38:56.327"</f>
        <v>18:38:56.327</v>
      </c>
      <c r="D3453" t="s">
        <v>1323</v>
      </c>
      <c r="E3453">
        <v>30.911193000000001</v>
      </c>
      <c r="F3453" t="s">
        <v>1324</v>
      </c>
      <c r="G3453">
        <v>-89.911680000000004</v>
      </c>
      <c r="H3453">
        <v>1700</v>
      </c>
      <c r="I3453">
        <v>-143</v>
      </c>
      <c r="J3453">
        <v>80</v>
      </c>
      <c r="K3453">
        <v>-256</v>
      </c>
      <c r="L3453">
        <v>1200</v>
      </c>
      <c r="M3453" t="str">
        <f t="shared" si="361"/>
        <v xml:space="preserve">N35DC   </v>
      </c>
      <c r="N3453">
        <v>1</v>
      </c>
      <c r="O3453">
        <v>1725</v>
      </c>
    </row>
    <row r="3454" spans="1:15" x14ac:dyDescent="0.25">
      <c r="A3454" t="str">
        <f>"10/21/2020 18:38:49.248"</f>
        <v>10/21/2020 18:38:49.248</v>
      </c>
      <c r="B3454" t="str">
        <f>"18:38:57.203"</f>
        <v>18:38:57.203</v>
      </c>
      <c r="C3454" t="str">
        <f>"18:38:56.903"</f>
        <v>18:38:56.903</v>
      </c>
      <c r="D3454" t="s">
        <v>1325</v>
      </c>
      <c r="E3454">
        <v>30.911407000000001</v>
      </c>
      <c r="F3454" t="s">
        <v>1326</v>
      </c>
      <c r="G3454">
        <v>-89.912045000000006</v>
      </c>
      <c r="H3454">
        <v>1700</v>
      </c>
      <c r="I3454">
        <v>-143</v>
      </c>
      <c r="J3454">
        <v>80</v>
      </c>
      <c r="K3454">
        <v>-320</v>
      </c>
      <c r="L3454">
        <v>1200</v>
      </c>
      <c r="M3454" t="str">
        <f t="shared" si="361"/>
        <v xml:space="preserve">N35DC   </v>
      </c>
      <c r="N3454">
        <v>1</v>
      </c>
      <c r="O3454">
        <v>1725</v>
      </c>
    </row>
    <row r="3455" spans="1:15" x14ac:dyDescent="0.25">
      <c r="A3455" t="str">
        <f>"10/21/2020 18:38:49.248"</f>
        <v>10/21/2020 18:38:49.248</v>
      </c>
      <c r="B3455" t="str">
        <f>"18:38:57.203"</f>
        <v>18:38:57.203</v>
      </c>
      <c r="C3455" t="str">
        <f>"18:38:56.903"</f>
        <v>18:38:56.903</v>
      </c>
      <c r="D3455" t="s">
        <v>1325</v>
      </c>
      <c r="E3455">
        <v>30.911407000000001</v>
      </c>
      <c r="F3455" t="s">
        <v>1326</v>
      </c>
      <c r="G3455">
        <v>-89.912045000000006</v>
      </c>
      <c r="H3455">
        <v>1700</v>
      </c>
      <c r="I3455">
        <v>-143</v>
      </c>
      <c r="J3455">
        <v>80</v>
      </c>
      <c r="K3455">
        <v>-320</v>
      </c>
      <c r="L3455">
        <v>1200</v>
      </c>
      <c r="M3455" t="str">
        <f t="shared" si="361"/>
        <v xml:space="preserve">N35DC   </v>
      </c>
      <c r="N3455">
        <v>1</v>
      </c>
      <c r="O3455">
        <v>1725</v>
      </c>
    </row>
    <row r="3456" spans="1:15" x14ac:dyDescent="0.25">
      <c r="A3456" t="str">
        <f>"10/21/2020 18:38:49.248"</f>
        <v>10/21/2020 18:38:49.248</v>
      </c>
      <c r="B3456" t="str">
        <f>"18:38:57.203"</f>
        <v>18:38:57.203</v>
      </c>
      <c r="C3456" t="str">
        <f>"18:38:56.903"</f>
        <v>18:38:56.903</v>
      </c>
      <c r="D3456" t="s">
        <v>1325</v>
      </c>
      <c r="E3456">
        <v>30.911407000000001</v>
      </c>
      <c r="F3456" t="s">
        <v>1326</v>
      </c>
      <c r="G3456">
        <v>-89.912045000000006</v>
      </c>
      <c r="H3456">
        <v>1700</v>
      </c>
      <c r="I3456">
        <v>-143</v>
      </c>
      <c r="J3456">
        <v>80</v>
      </c>
      <c r="K3456">
        <v>-320</v>
      </c>
      <c r="L3456">
        <v>1200</v>
      </c>
      <c r="M3456" t="str">
        <f t="shared" si="361"/>
        <v xml:space="preserve">N35DC   </v>
      </c>
      <c r="N3456">
        <v>1</v>
      </c>
      <c r="O3456">
        <v>1725</v>
      </c>
    </row>
    <row r="3457" spans="1:15" x14ac:dyDescent="0.25">
      <c r="A3457" t="str">
        <f>"10/21/2020 18:38:49.248"</f>
        <v>10/21/2020 18:38:49.248</v>
      </c>
      <c r="B3457" t="str">
        <f>"18:38:57.203"</f>
        <v>18:38:57.203</v>
      </c>
      <c r="C3457" t="str">
        <f>"18:38:56.903"</f>
        <v>18:38:56.903</v>
      </c>
      <c r="D3457" t="s">
        <v>1325</v>
      </c>
      <c r="E3457">
        <v>30.911407000000001</v>
      </c>
      <c r="F3457" t="s">
        <v>1326</v>
      </c>
      <c r="G3457">
        <v>-89.912045000000006</v>
      </c>
      <c r="H3457">
        <v>1700</v>
      </c>
      <c r="I3457">
        <v>-143</v>
      </c>
      <c r="J3457">
        <v>80</v>
      </c>
      <c r="K3457">
        <v>-320</v>
      </c>
      <c r="L3457">
        <v>1200</v>
      </c>
      <c r="M3457" t="str">
        <f t="shared" si="361"/>
        <v xml:space="preserve">N35DC   </v>
      </c>
      <c r="N3457">
        <v>1</v>
      </c>
      <c r="O3457">
        <v>1725</v>
      </c>
    </row>
    <row r="3458" spans="1:15" x14ac:dyDescent="0.25">
      <c r="A3458" t="str">
        <f>"10/21/2020 18:38:49.902"</f>
        <v>10/21/2020 18:38:49.902</v>
      </c>
      <c r="B3458" t="str">
        <f>"18:38:57.789"</f>
        <v>18:38:57.789</v>
      </c>
      <c r="C3458" t="str">
        <f>"18:38:57.789"</f>
        <v>18:38:57.789</v>
      </c>
      <c r="D3458" t="s">
        <v>1327</v>
      </c>
      <c r="E3458">
        <v>30.911622000000001</v>
      </c>
      <c r="F3458" t="s">
        <v>1328</v>
      </c>
      <c r="G3458">
        <v>-89.912496000000004</v>
      </c>
      <c r="H3458">
        <v>1600</v>
      </c>
      <c r="I3458">
        <v>-142</v>
      </c>
      <c r="J3458">
        <v>82</v>
      </c>
      <c r="K3458">
        <v>-384</v>
      </c>
      <c r="L3458">
        <v>1200</v>
      </c>
      <c r="M3458" t="str">
        <f t="shared" si="361"/>
        <v xml:space="preserve">N35DC   </v>
      </c>
      <c r="N3458">
        <v>1</v>
      </c>
      <c r="O3458">
        <v>1825</v>
      </c>
    </row>
    <row r="3459" spans="1:15" x14ac:dyDescent="0.25">
      <c r="A3459" t="str">
        <f>"10/21/2020 18:38:50.318"</f>
        <v>10/21/2020 18:38:50.318</v>
      </c>
      <c r="B3459" t="str">
        <f t="shared" ref="B3459:C3463" si="373">"18:38:58.258"</f>
        <v>18:38:58.258</v>
      </c>
      <c r="C3459" t="str">
        <f t="shared" si="373"/>
        <v>18:38:58.258</v>
      </c>
      <c r="D3459" t="s">
        <v>1329</v>
      </c>
      <c r="E3459">
        <v>30.911794</v>
      </c>
      <c r="F3459" t="s">
        <v>1330</v>
      </c>
      <c r="G3459">
        <v>-89.912817000000004</v>
      </c>
      <c r="H3459">
        <v>1600</v>
      </c>
      <c r="I3459">
        <v>-142</v>
      </c>
      <c r="J3459">
        <v>82</v>
      </c>
      <c r="K3459">
        <v>-256</v>
      </c>
      <c r="L3459">
        <v>1200</v>
      </c>
      <c r="M3459" t="str">
        <f t="shared" si="361"/>
        <v xml:space="preserve">N35DC   </v>
      </c>
      <c r="N3459">
        <v>1</v>
      </c>
      <c r="O3459">
        <v>1725</v>
      </c>
    </row>
    <row r="3460" spans="1:15" x14ac:dyDescent="0.25">
      <c r="A3460" t="str">
        <f>"10/21/2020 18:38:50.318"</f>
        <v>10/21/2020 18:38:50.318</v>
      </c>
      <c r="B3460" t="str">
        <f t="shared" si="373"/>
        <v>18:38:58.258</v>
      </c>
      <c r="C3460" t="str">
        <f t="shared" si="373"/>
        <v>18:38:58.258</v>
      </c>
      <c r="D3460" t="s">
        <v>1329</v>
      </c>
      <c r="E3460">
        <v>30.911794</v>
      </c>
      <c r="F3460" t="s">
        <v>1330</v>
      </c>
      <c r="G3460">
        <v>-89.912817000000004</v>
      </c>
      <c r="H3460">
        <v>1600</v>
      </c>
      <c r="I3460">
        <v>-142</v>
      </c>
      <c r="J3460">
        <v>82</v>
      </c>
      <c r="K3460">
        <v>-256</v>
      </c>
      <c r="L3460">
        <v>1200</v>
      </c>
      <c r="M3460" t="str">
        <f t="shared" si="361"/>
        <v xml:space="preserve">N35DC   </v>
      </c>
      <c r="N3460">
        <v>1</v>
      </c>
      <c r="O3460">
        <v>1725</v>
      </c>
    </row>
    <row r="3461" spans="1:15" x14ac:dyDescent="0.25">
      <c r="A3461" t="str">
        <f>"10/21/2020 18:38:50.318"</f>
        <v>10/21/2020 18:38:50.318</v>
      </c>
      <c r="B3461" t="str">
        <f t="shared" si="373"/>
        <v>18:38:58.258</v>
      </c>
      <c r="C3461" t="str">
        <f t="shared" si="373"/>
        <v>18:38:58.258</v>
      </c>
      <c r="D3461" t="s">
        <v>1329</v>
      </c>
      <c r="E3461">
        <v>30.911794</v>
      </c>
      <c r="F3461" t="s">
        <v>1330</v>
      </c>
      <c r="G3461">
        <v>-89.912817000000004</v>
      </c>
      <c r="H3461">
        <v>1600</v>
      </c>
      <c r="I3461">
        <v>-142</v>
      </c>
      <c r="J3461">
        <v>82</v>
      </c>
      <c r="K3461">
        <v>-256</v>
      </c>
      <c r="L3461">
        <v>1200</v>
      </c>
      <c r="M3461" t="str">
        <f t="shared" si="361"/>
        <v xml:space="preserve">N35DC   </v>
      </c>
      <c r="N3461">
        <v>1</v>
      </c>
      <c r="O3461">
        <v>1725</v>
      </c>
    </row>
    <row r="3462" spans="1:15" x14ac:dyDescent="0.25">
      <c r="A3462" t="str">
        <f>"10/21/2020 18:38:50.318"</f>
        <v>10/21/2020 18:38:50.318</v>
      </c>
      <c r="B3462" t="str">
        <f t="shared" si="373"/>
        <v>18:38:58.258</v>
      </c>
      <c r="C3462" t="str">
        <f t="shared" si="373"/>
        <v>18:38:58.258</v>
      </c>
      <c r="D3462" t="s">
        <v>1329</v>
      </c>
      <c r="E3462">
        <v>30.911794</v>
      </c>
      <c r="F3462" t="s">
        <v>1330</v>
      </c>
      <c r="G3462">
        <v>-89.912817000000004</v>
      </c>
      <c r="H3462">
        <v>1600</v>
      </c>
      <c r="I3462">
        <v>-142</v>
      </c>
      <c r="J3462">
        <v>82</v>
      </c>
      <c r="K3462">
        <v>-256</v>
      </c>
      <c r="L3462">
        <v>1200</v>
      </c>
      <c r="M3462" t="str">
        <f t="shared" si="361"/>
        <v xml:space="preserve">N35DC   </v>
      </c>
      <c r="N3462">
        <v>1</v>
      </c>
      <c r="O3462">
        <v>1725</v>
      </c>
    </row>
    <row r="3463" spans="1:15" x14ac:dyDescent="0.25">
      <c r="A3463" t="str">
        <f>"10/21/2020 18:38:50.318"</f>
        <v>10/21/2020 18:38:50.318</v>
      </c>
      <c r="B3463" t="str">
        <f t="shared" si="373"/>
        <v>18:38:58.258</v>
      </c>
      <c r="C3463" t="str">
        <f t="shared" si="373"/>
        <v>18:38:58.258</v>
      </c>
      <c r="D3463" t="s">
        <v>1329</v>
      </c>
      <c r="E3463">
        <v>30.911794</v>
      </c>
      <c r="F3463" t="s">
        <v>1330</v>
      </c>
      <c r="G3463">
        <v>-89.912817000000004</v>
      </c>
      <c r="H3463">
        <v>1600</v>
      </c>
      <c r="I3463">
        <v>-142</v>
      </c>
      <c r="J3463">
        <v>82</v>
      </c>
      <c r="K3463">
        <v>-256</v>
      </c>
      <c r="L3463">
        <v>1200</v>
      </c>
      <c r="M3463" t="str">
        <f t="shared" ref="M3463:M3526" si="374">"N35DC   "</f>
        <v xml:space="preserve">N35DC   </v>
      </c>
      <c r="N3463">
        <v>1</v>
      </c>
      <c r="O3463">
        <v>1725</v>
      </c>
    </row>
    <row r="3464" spans="1:15" x14ac:dyDescent="0.25">
      <c r="A3464" t="str">
        <f>"10/21/2020 18:38:52.279"</f>
        <v>10/21/2020 18:38:52.279</v>
      </c>
      <c r="B3464" t="str">
        <f t="shared" ref="B3464:C3468" si="375">"18:39:00.234"</f>
        <v>18:39:00.234</v>
      </c>
      <c r="C3464" t="str">
        <f t="shared" si="375"/>
        <v>18:39:00.234</v>
      </c>
      <c r="D3464" t="s">
        <v>1331</v>
      </c>
      <c r="E3464">
        <v>30.912545000000001</v>
      </c>
      <c r="F3464" t="s">
        <v>1332</v>
      </c>
      <c r="G3464">
        <v>-89.914361999999997</v>
      </c>
      <c r="H3464">
        <v>1700</v>
      </c>
      <c r="I3464">
        <v>-140</v>
      </c>
      <c r="J3464">
        <v>85</v>
      </c>
      <c r="K3464">
        <v>192</v>
      </c>
      <c r="L3464">
        <v>1200</v>
      </c>
      <c r="M3464" t="str">
        <f t="shared" si="374"/>
        <v xml:space="preserve">N35DC   </v>
      </c>
      <c r="N3464">
        <v>1</v>
      </c>
      <c r="O3464">
        <v>1725</v>
      </c>
    </row>
    <row r="3465" spans="1:15" x14ac:dyDescent="0.25">
      <c r="A3465" t="str">
        <f>"10/21/2020 18:38:52.279"</f>
        <v>10/21/2020 18:38:52.279</v>
      </c>
      <c r="B3465" t="str">
        <f t="shared" si="375"/>
        <v>18:39:00.234</v>
      </c>
      <c r="C3465" t="str">
        <f t="shared" si="375"/>
        <v>18:39:00.234</v>
      </c>
      <c r="D3465" t="s">
        <v>1331</v>
      </c>
      <c r="E3465">
        <v>30.912545000000001</v>
      </c>
      <c r="F3465" t="s">
        <v>1332</v>
      </c>
      <c r="G3465">
        <v>-89.914361999999997</v>
      </c>
      <c r="H3465">
        <v>1700</v>
      </c>
      <c r="I3465">
        <v>-140</v>
      </c>
      <c r="J3465">
        <v>85</v>
      </c>
      <c r="K3465">
        <v>192</v>
      </c>
      <c r="L3465">
        <v>1200</v>
      </c>
      <c r="M3465" t="str">
        <f t="shared" si="374"/>
        <v xml:space="preserve">N35DC   </v>
      </c>
      <c r="N3465">
        <v>1</v>
      </c>
      <c r="O3465">
        <v>1725</v>
      </c>
    </row>
    <row r="3466" spans="1:15" x14ac:dyDescent="0.25">
      <c r="A3466" t="str">
        <f>"10/21/2020 18:38:52.279"</f>
        <v>10/21/2020 18:38:52.279</v>
      </c>
      <c r="B3466" t="str">
        <f t="shared" si="375"/>
        <v>18:39:00.234</v>
      </c>
      <c r="C3466" t="str">
        <f t="shared" si="375"/>
        <v>18:39:00.234</v>
      </c>
      <c r="D3466" t="s">
        <v>1331</v>
      </c>
      <c r="E3466">
        <v>30.912545000000001</v>
      </c>
      <c r="F3466" t="s">
        <v>1332</v>
      </c>
      <c r="G3466">
        <v>-89.914361999999997</v>
      </c>
      <c r="H3466">
        <v>1700</v>
      </c>
      <c r="I3466">
        <v>-140</v>
      </c>
      <c r="J3466">
        <v>85</v>
      </c>
      <c r="K3466">
        <v>192</v>
      </c>
      <c r="L3466">
        <v>1200</v>
      </c>
      <c r="M3466" t="str">
        <f t="shared" si="374"/>
        <v xml:space="preserve">N35DC   </v>
      </c>
      <c r="N3466">
        <v>1</v>
      </c>
      <c r="O3466">
        <v>1725</v>
      </c>
    </row>
    <row r="3467" spans="1:15" x14ac:dyDescent="0.25">
      <c r="A3467" t="str">
        <f>"10/21/2020 18:38:52.279"</f>
        <v>10/21/2020 18:38:52.279</v>
      </c>
      <c r="B3467" t="str">
        <f t="shared" si="375"/>
        <v>18:39:00.234</v>
      </c>
      <c r="C3467" t="str">
        <f t="shared" si="375"/>
        <v>18:39:00.234</v>
      </c>
      <c r="D3467" t="s">
        <v>1331</v>
      </c>
      <c r="E3467">
        <v>30.912545000000001</v>
      </c>
      <c r="F3467" t="s">
        <v>1332</v>
      </c>
      <c r="G3467">
        <v>-89.914361999999997</v>
      </c>
      <c r="H3467">
        <v>1700</v>
      </c>
      <c r="I3467">
        <v>-140</v>
      </c>
      <c r="J3467">
        <v>85</v>
      </c>
      <c r="K3467">
        <v>192</v>
      </c>
      <c r="L3467">
        <v>1200</v>
      </c>
      <c r="M3467" t="str">
        <f t="shared" si="374"/>
        <v xml:space="preserve">N35DC   </v>
      </c>
      <c r="N3467">
        <v>1</v>
      </c>
      <c r="O3467">
        <v>1725</v>
      </c>
    </row>
    <row r="3468" spans="1:15" x14ac:dyDescent="0.25">
      <c r="A3468" t="str">
        <f>"10/21/2020 18:38:52.279"</f>
        <v>10/21/2020 18:38:52.279</v>
      </c>
      <c r="B3468" t="str">
        <f t="shared" si="375"/>
        <v>18:39:00.234</v>
      </c>
      <c r="C3468" t="str">
        <f t="shared" si="375"/>
        <v>18:39:00.234</v>
      </c>
      <c r="D3468" t="s">
        <v>1331</v>
      </c>
      <c r="E3468">
        <v>30.912545000000001</v>
      </c>
      <c r="F3468" t="s">
        <v>1332</v>
      </c>
      <c r="G3468">
        <v>-89.914361999999997</v>
      </c>
      <c r="H3468">
        <v>1700</v>
      </c>
      <c r="I3468">
        <v>-140</v>
      </c>
      <c r="J3468">
        <v>85</v>
      </c>
      <c r="K3468">
        <v>192</v>
      </c>
      <c r="L3468">
        <v>1200</v>
      </c>
      <c r="M3468" t="str">
        <f t="shared" si="374"/>
        <v xml:space="preserve">N35DC   </v>
      </c>
      <c r="N3468">
        <v>1</v>
      </c>
      <c r="O3468">
        <v>1725</v>
      </c>
    </row>
    <row r="3469" spans="1:15" x14ac:dyDescent="0.25">
      <c r="A3469" t="str">
        <f>"10/21/2020 18:38:52.925"</f>
        <v>10/21/2020 18:38:52.925</v>
      </c>
      <c r="B3469" t="str">
        <f>"18:39:00.789"</f>
        <v>18:39:00.789</v>
      </c>
      <c r="C3469" t="str">
        <f>"18:39:00.689"</f>
        <v>18:39:00.689</v>
      </c>
      <c r="D3469" t="s">
        <v>1333</v>
      </c>
      <c r="E3469">
        <v>30.912780999999999</v>
      </c>
      <c r="F3469" t="s">
        <v>1334</v>
      </c>
      <c r="G3469">
        <v>-89.914749</v>
      </c>
      <c r="H3469">
        <v>1600</v>
      </c>
      <c r="I3469">
        <v>-140</v>
      </c>
      <c r="J3469">
        <v>86</v>
      </c>
      <c r="K3469">
        <v>64</v>
      </c>
      <c r="L3469">
        <v>1200</v>
      </c>
      <c r="M3469" t="str">
        <f t="shared" si="374"/>
        <v xml:space="preserve">N35DC   </v>
      </c>
      <c r="N3469">
        <v>1</v>
      </c>
      <c r="O3469">
        <v>1825</v>
      </c>
    </row>
    <row r="3470" spans="1:15" x14ac:dyDescent="0.25">
      <c r="A3470" t="str">
        <f>"10/21/2020 18:38:53.265"</f>
        <v>10/21/2020 18:38:53.265</v>
      </c>
      <c r="B3470" t="str">
        <f t="shared" ref="B3470:C3474" si="376">"18:39:01.211"</f>
        <v>18:39:01.211</v>
      </c>
      <c r="C3470" t="str">
        <f t="shared" si="376"/>
        <v>18:39:01.211</v>
      </c>
      <c r="D3470" t="s">
        <v>1335</v>
      </c>
      <c r="E3470">
        <v>30.912973999999998</v>
      </c>
      <c r="F3470" t="s">
        <v>1336</v>
      </c>
      <c r="G3470">
        <v>-89.915070999999998</v>
      </c>
      <c r="H3470">
        <v>1600</v>
      </c>
      <c r="I3470">
        <v>-140</v>
      </c>
      <c r="J3470">
        <v>86</v>
      </c>
      <c r="K3470">
        <v>128</v>
      </c>
      <c r="L3470">
        <v>1200</v>
      </c>
      <c r="M3470" t="str">
        <f t="shared" si="374"/>
        <v xml:space="preserve">N35DC   </v>
      </c>
      <c r="N3470">
        <v>1</v>
      </c>
      <c r="O3470">
        <v>1625</v>
      </c>
    </row>
    <row r="3471" spans="1:15" x14ac:dyDescent="0.25">
      <c r="A3471" t="str">
        <f>"10/21/2020 18:38:53.265"</f>
        <v>10/21/2020 18:38:53.265</v>
      </c>
      <c r="B3471" t="str">
        <f t="shared" si="376"/>
        <v>18:39:01.211</v>
      </c>
      <c r="C3471" t="str">
        <f t="shared" si="376"/>
        <v>18:39:01.211</v>
      </c>
      <c r="D3471" t="s">
        <v>1335</v>
      </c>
      <c r="E3471">
        <v>30.912973999999998</v>
      </c>
      <c r="F3471" t="s">
        <v>1336</v>
      </c>
      <c r="G3471">
        <v>-89.915070999999998</v>
      </c>
      <c r="H3471">
        <v>1600</v>
      </c>
      <c r="I3471">
        <v>-140</v>
      </c>
      <c r="J3471">
        <v>86</v>
      </c>
      <c r="K3471">
        <v>128</v>
      </c>
      <c r="L3471">
        <v>1200</v>
      </c>
      <c r="M3471" t="str">
        <f t="shared" si="374"/>
        <v xml:space="preserve">N35DC   </v>
      </c>
      <c r="N3471">
        <v>1</v>
      </c>
      <c r="O3471">
        <v>1625</v>
      </c>
    </row>
    <row r="3472" spans="1:15" x14ac:dyDescent="0.25">
      <c r="A3472" t="str">
        <f>"10/21/2020 18:38:53.265"</f>
        <v>10/21/2020 18:38:53.265</v>
      </c>
      <c r="B3472" t="str">
        <f t="shared" si="376"/>
        <v>18:39:01.211</v>
      </c>
      <c r="C3472" t="str">
        <f t="shared" si="376"/>
        <v>18:39:01.211</v>
      </c>
      <c r="D3472" t="s">
        <v>1335</v>
      </c>
      <c r="E3472">
        <v>30.912973999999998</v>
      </c>
      <c r="F3472" t="s">
        <v>1336</v>
      </c>
      <c r="G3472">
        <v>-89.915070999999998</v>
      </c>
      <c r="H3472">
        <v>1600</v>
      </c>
      <c r="I3472">
        <v>-140</v>
      </c>
      <c r="J3472">
        <v>86</v>
      </c>
      <c r="K3472">
        <v>128</v>
      </c>
      <c r="L3472">
        <v>1200</v>
      </c>
      <c r="M3472" t="str">
        <f t="shared" si="374"/>
        <v xml:space="preserve">N35DC   </v>
      </c>
      <c r="N3472">
        <v>1</v>
      </c>
      <c r="O3472">
        <v>1625</v>
      </c>
    </row>
    <row r="3473" spans="1:15" x14ac:dyDescent="0.25">
      <c r="A3473" t="str">
        <f>"10/21/2020 18:38:53.265"</f>
        <v>10/21/2020 18:38:53.265</v>
      </c>
      <c r="B3473" t="str">
        <f t="shared" si="376"/>
        <v>18:39:01.211</v>
      </c>
      <c r="C3473" t="str">
        <f t="shared" si="376"/>
        <v>18:39:01.211</v>
      </c>
      <c r="D3473" t="s">
        <v>1335</v>
      </c>
      <c r="E3473">
        <v>30.912973999999998</v>
      </c>
      <c r="F3473" t="s">
        <v>1336</v>
      </c>
      <c r="G3473">
        <v>-89.915070999999998</v>
      </c>
      <c r="H3473">
        <v>1600</v>
      </c>
      <c r="I3473">
        <v>-140</v>
      </c>
      <c r="J3473">
        <v>86</v>
      </c>
      <c r="K3473">
        <v>128</v>
      </c>
      <c r="L3473">
        <v>1200</v>
      </c>
      <c r="M3473" t="str">
        <f t="shared" si="374"/>
        <v xml:space="preserve">N35DC   </v>
      </c>
      <c r="N3473">
        <v>1</v>
      </c>
      <c r="O3473">
        <v>1625</v>
      </c>
    </row>
    <row r="3474" spans="1:15" x14ac:dyDescent="0.25">
      <c r="A3474" t="str">
        <f>"10/21/2020 18:38:53.265"</f>
        <v>10/21/2020 18:38:53.265</v>
      </c>
      <c r="B3474" t="str">
        <f t="shared" si="376"/>
        <v>18:39:01.211</v>
      </c>
      <c r="C3474" t="str">
        <f t="shared" si="376"/>
        <v>18:39:01.211</v>
      </c>
      <c r="D3474" t="s">
        <v>1335</v>
      </c>
      <c r="E3474">
        <v>30.912973999999998</v>
      </c>
      <c r="F3474" t="s">
        <v>1336</v>
      </c>
      <c r="G3474">
        <v>-89.915070999999998</v>
      </c>
      <c r="H3474">
        <v>1600</v>
      </c>
      <c r="I3474">
        <v>-140</v>
      </c>
      <c r="J3474">
        <v>86</v>
      </c>
      <c r="K3474">
        <v>128</v>
      </c>
      <c r="L3474">
        <v>1200</v>
      </c>
      <c r="M3474" t="str">
        <f t="shared" si="374"/>
        <v xml:space="preserve">N35DC   </v>
      </c>
      <c r="N3474">
        <v>1</v>
      </c>
      <c r="O3474">
        <v>1625</v>
      </c>
    </row>
    <row r="3475" spans="1:15" x14ac:dyDescent="0.25">
      <c r="A3475" t="str">
        <f>"10/21/2020 18:38:53.781"</f>
        <v>10/21/2020 18:38:53.781</v>
      </c>
      <c r="B3475" t="str">
        <f>"18:39:01.648"</f>
        <v>18:39:01.648</v>
      </c>
      <c r="C3475" t="str">
        <f>"18:39:01.248"</f>
        <v>18:39:01.248</v>
      </c>
      <c r="D3475" t="s">
        <v>1337</v>
      </c>
      <c r="E3475">
        <v>30.913146000000001</v>
      </c>
      <c r="F3475" t="s">
        <v>1338</v>
      </c>
      <c r="G3475">
        <v>-89.915391999999997</v>
      </c>
      <c r="H3475">
        <v>1700</v>
      </c>
      <c r="I3475">
        <v>-140</v>
      </c>
      <c r="J3475">
        <v>86</v>
      </c>
      <c r="K3475">
        <v>128</v>
      </c>
      <c r="L3475">
        <v>1200</v>
      </c>
      <c r="M3475" t="str">
        <f t="shared" si="374"/>
        <v xml:space="preserve">N35DC   </v>
      </c>
      <c r="N3475">
        <v>1</v>
      </c>
      <c r="O3475">
        <v>1625</v>
      </c>
    </row>
    <row r="3476" spans="1:15" x14ac:dyDescent="0.25">
      <c r="A3476" t="str">
        <f>"10/21/2020 18:38:56.173"</f>
        <v>10/21/2020 18:38:56.173</v>
      </c>
      <c r="B3476" t="str">
        <f>"18:39:04.117"</f>
        <v>18:39:04.117</v>
      </c>
      <c r="C3476" t="str">
        <f>"18:39:03.917"</f>
        <v>18:39:03.917</v>
      </c>
      <c r="D3476" t="s">
        <v>1339</v>
      </c>
      <c r="E3476">
        <v>30.914110999999998</v>
      </c>
      <c r="F3476" t="s">
        <v>1340</v>
      </c>
      <c r="G3476">
        <v>-89.917281000000003</v>
      </c>
      <c r="H3476">
        <v>1600</v>
      </c>
      <c r="I3476">
        <v>-140</v>
      </c>
      <c r="J3476">
        <v>89</v>
      </c>
      <c r="K3476">
        <v>128</v>
      </c>
      <c r="L3476">
        <v>1200</v>
      </c>
      <c r="M3476" t="str">
        <f t="shared" si="374"/>
        <v xml:space="preserve">N35DC   </v>
      </c>
      <c r="N3476">
        <v>1</v>
      </c>
      <c r="O3476">
        <v>1825</v>
      </c>
    </row>
    <row r="3477" spans="1:15" x14ac:dyDescent="0.25">
      <c r="A3477" t="str">
        <f>"10/21/2020 18:38:56.173"</f>
        <v>10/21/2020 18:38:56.173</v>
      </c>
      <c r="B3477" t="str">
        <f>"18:39:04.117"</f>
        <v>18:39:04.117</v>
      </c>
      <c r="C3477" t="str">
        <f>"18:39:03.917"</f>
        <v>18:39:03.917</v>
      </c>
      <c r="D3477" t="s">
        <v>1339</v>
      </c>
      <c r="E3477">
        <v>30.914110999999998</v>
      </c>
      <c r="F3477" t="s">
        <v>1340</v>
      </c>
      <c r="G3477">
        <v>-89.917281000000003</v>
      </c>
      <c r="H3477">
        <v>1600</v>
      </c>
      <c r="I3477">
        <v>-140</v>
      </c>
      <c r="J3477">
        <v>89</v>
      </c>
      <c r="K3477">
        <v>128</v>
      </c>
      <c r="L3477">
        <v>1200</v>
      </c>
      <c r="M3477" t="str">
        <f t="shared" si="374"/>
        <v xml:space="preserve">N35DC   </v>
      </c>
      <c r="N3477">
        <v>1</v>
      </c>
      <c r="O3477">
        <v>1825</v>
      </c>
    </row>
    <row r="3478" spans="1:15" x14ac:dyDescent="0.25">
      <c r="A3478" t="str">
        <f>"10/21/2020 18:38:56.173"</f>
        <v>10/21/2020 18:38:56.173</v>
      </c>
      <c r="B3478" t="str">
        <f>"18:39:04.117"</f>
        <v>18:39:04.117</v>
      </c>
      <c r="C3478" t="str">
        <f>"18:39:03.917"</f>
        <v>18:39:03.917</v>
      </c>
      <c r="D3478" t="s">
        <v>1339</v>
      </c>
      <c r="E3478">
        <v>30.914110999999998</v>
      </c>
      <c r="F3478" t="s">
        <v>1340</v>
      </c>
      <c r="G3478">
        <v>-89.917281000000003</v>
      </c>
      <c r="H3478">
        <v>1600</v>
      </c>
      <c r="I3478">
        <v>-140</v>
      </c>
      <c r="J3478">
        <v>89</v>
      </c>
      <c r="K3478">
        <v>128</v>
      </c>
      <c r="L3478">
        <v>1200</v>
      </c>
      <c r="M3478" t="str">
        <f t="shared" si="374"/>
        <v xml:space="preserve">N35DC   </v>
      </c>
      <c r="N3478">
        <v>1</v>
      </c>
      <c r="O3478">
        <v>1825</v>
      </c>
    </row>
    <row r="3479" spans="1:15" x14ac:dyDescent="0.25">
      <c r="A3479" t="str">
        <f>"10/21/2020 18:38:56.173"</f>
        <v>10/21/2020 18:38:56.173</v>
      </c>
      <c r="B3479" t="str">
        <f>"18:39:04.117"</f>
        <v>18:39:04.117</v>
      </c>
      <c r="C3479" t="str">
        <f>"18:39:03.917"</f>
        <v>18:39:03.917</v>
      </c>
      <c r="D3479" t="s">
        <v>1339</v>
      </c>
      <c r="E3479">
        <v>30.914110999999998</v>
      </c>
      <c r="F3479" t="s">
        <v>1340</v>
      </c>
      <c r="G3479">
        <v>-89.917281000000003</v>
      </c>
      <c r="H3479">
        <v>1600</v>
      </c>
      <c r="I3479">
        <v>-140</v>
      </c>
      <c r="J3479">
        <v>89</v>
      </c>
      <c r="K3479">
        <v>128</v>
      </c>
      <c r="L3479">
        <v>1200</v>
      </c>
      <c r="M3479" t="str">
        <f t="shared" si="374"/>
        <v xml:space="preserve">N35DC   </v>
      </c>
      <c r="N3479">
        <v>1</v>
      </c>
      <c r="O3479">
        <v>1825</v>
      </c>
    </row>
    <row r="3480" spans="1:15" x14ac:dyDescent="0.25">
      <c r="A3480" t="str">
        <f>"10/21/2020 18:38:56.173"</f>
        <v>10/21/2020 18:38:56.173</v>
      </c>
      <c r="B3480" t="str">
        <f>"18:39:04.117"</f>
        <v>18:39:04.117</v>
      </c>
      <c r="C3480" t="str">
        <f>"18:39:03.917"</f>
        <v>18:39:03.917</v>
      </c>
      <c r="D3480" t="s">
        <v>1339</v>
      </c>
      <c r="E3480">
        <v>30.914110999999998</v>
      </c>
      <c r="F3480" t="s">
        <v>1340</v>
      </c>
      <c r="G3480">
        <v>-89.917281000000003</v>
      </c>
      <c r="H3480">
        <v>1600</v>
      </c>
      <c r="I3480">
        <v>-140</v>
      </c>
      <c r="J3480">
        <v>89</v>
      </c>
      <c r="K3480">
        <v>128</v>
      </c>
      <c r="L3480">
        <v>1200</v>
      </c>
      <c r="M3480" t="str">
        <f t="shared" si="374"/>
        <v xml:space="preserve">N35DC   </v>
      </c>
      <c r="N3480">
        <v>1</v>
      </c>
      <c r="O3480">
        <v>1825</v>
      </c>
    </row>
    <row r="3481" spans="1:15" x14ac:dyDescent="0.25">
      <c r="A3481" t="str">
        <f>"10/21/2020 18:38:57.184"</f>
        <v>10/21/2020 18:38:57.184</v>
      </c>
      <c r="B3481" t="str">
        <f>"18:39:05.125"</f>
        <v>18:39:05.125</v>
      </c>
      <c r="C3481" t="str">
        <f>"18:39:04.825"</f>
        <v>18:39:04.825</v>
      </c>
      <c r="D3481" t="s">
        <v>1341</v>
      </c>
      <c r="E3481">
        <v>30.914539999999999</v>
      </c>
      <c r="F3481" t="s">
        <v>1342</v>
      </c>
      <c r="G3481">
        <v>-89.918031999999997</v>
      </c>
      <c r="H3481">
        <v>1700</v>
      </c>
      <c r="I3481">
        <v>-141</v>
      </c>
      <c r="J3481">
        <v>88</v>
      </c>
      <c r="K3481">
        <v>64</v>
      </c>
      <c r="L3481">
        <v>1200</v>
      </c>
      <c r="M3481" t="str">
        <f t="shared" si="374"/>
        <v xml:space="preserve">N35DC   </v>
      </c>
      <c r="N3481">
        <v>1</v>
      </c>
      <c r="O3481">
        <v>1625</v>
      </c>
    </row>
    <row r="3482" spans="1:15" x14ac:dyDescent="0.25">
      <c r="A3482" t="str">
        <f>"10/21/2020 18:38:57.184"</f>
        <v>10/21/2020 18:38:57.184</v>
      </c>
      <c r="B3482" t="str">
        <f>"18:39:05.125"</f>
        <v>18:39:05.125</v>
      </c>
      <c r="C3482" t="str">
        <f>"18:39:04.825"</f>
        <v>18:39:04.825</v>
      </c>
      <c r="D3482" t="s">
        <v>1341</v>
      </c>
      <c r="E3482">
        <v>30.914539999999999</v>
      </c>
      <c r="F3482" t="s">
        <v>1342</v>
      </c>
      <c r="G3482">
        <v>-89.918031999999997</v>
      </c>
      <c r="H3482">
        <v>1700</v>
      </c>
      <c r="I3482">
        <v>-141</v>
      </c>
      <c r="J3482">
        <v>88</v>
      </c>
      <c r="K3482">
        <v>64</v>
      </c>
      <c r="L3482">
        <v>1200</v>
      </c>
      <c r="M3482" t="str">
        <f t="shared" si="374"/>
        <v xml:space="preserve">N35DC   </v>
      </c>
      <c r="N3482">
        <v>1</v>
      </c>
      <c r="O3482">
        <v>1625</v>
      </c>
    </row>
    <row r="3483" spans="1:15" x14ac:dyDescent="0.25">
      <c r="A3483" t="str">
        <f>"10/21/2020 18:38:57.184"</f>
        <v>10/21/2020 18:38:57.184</v>
      </c>
      <c r="B3483" t="str">
        <f>"18:39:05.125"</f>
        <v>18:39:05.125</v>
      </c>
      <c r="C3483" t="str">
        <f>"18:39:04.825"</f>
        <v>18:39:04.825</v>
      </c>
      <c r="D3483" t="s">
        <v>1341</v>
      </c>
      <c r="E3483">
        <v>30.914539999999999</v>
      </c>
      <c r="F3483" t="s">
        <v>1342</v>
      </c>
      <c r="G3483">
        <v>-89.918031999999997</v>
      </c>
      <c r="H3483">
        <v>1700</v>
      </c>
      <c r="I3483">
        <v>-141</v>
      </c>
      <c r="J3483">
        <v>88</v>
      </c>
      <c r="K3483">
        <v>64</v>
      </c>
      <c r="L3483">
        <v>1200</v>
      </c>
      <c r="M3483" t="str">
        <f t="shared" si="374"/>
        <v xml:space="preserve">N35DC   </v>
      </c>
      <c r="N3483">
        <v>1</v>
      </c>
      <c r="O3483">
        <v>1625</v>
      </c>
    </row>
    <row r="3484" spans="1:15" x14ac:dyDescent="0.25">
      <c r="A3484" t="str">
        <f>"10/21/2020 18:38:57.184"</f>
        <v>10/21/2020 18:38:57.184</v>
      </c>
      <c r="B3484" t="str">
        <f>"18:39:05.125"</f>
        <v>18:39:05.125</v>
      </c>
      <c r="C3484" t="str">
        <f>"18:39:04.825"</f>
        <v>18:39:04.825</v>
      </c>
      <c r="D3484" t="s">
        <v>1341</v>
      </c>
      <c r="E3484">
        <v>30.914539999999999</v>
      </c>
      <c r="F3484" t="s">
        <v>1342</v>
      </c>
      <c r="G3484">
        <v>-89.918031999999997</v>
      </c>
      <c r="H3484">
        <v>1700</v>
      </c>
      <c r="I3484">
        <v>-141</v>
      </c>
      <c r="J3484">
        <v>88</v>
      </c>
      <c r="K3484">
        <v>64</v>
      </c>
      <c r="L3484">
        <v>1200</v>
      </c>
      <c r="M3484" t="str">
        <f t="shared" si="374"/>
        <v xml:space="preserve">N35DC   </v>
      </c>
      <c r="N3484">
        <v>1</v>
      </c>
      <c r="O3484">
        <v>1625</v>
      </c>
    </row>
    <row r="3485" spans="1:15" x14ac:dyDescent="0.25">
      <c r="A3485" t="str">
        <f>"10/21/2020 18:38:57.184"</f>
        <v>10/21/2020 18:38:57.184</v>
      </c>
      <c r="B3485" t="str">
        <f>"18:39:05.125"</f>
        <v>18:39:05.125</v>
      </c>
      <c r="C3485" t="str">
        <f>"18:39:04.825"</f>
        <v>18:39:04.825</v>
      </c>
      <c r="D3485" t="s">
        <v>1341</v>
      </c>
      <c r="E3485">
        <v>30.914539999999999</v>
      </c>
      <c r="F3485" t="s">
        <v>1342</v>
      </c>
      <c r="G3485">
        <v>-89.918031999999997</v>
      </c>
      <c r="H3485">
        <v>1700</v>
      </c>
      <c r="I3485">
        <v>-141</v>
      </c>
      <c r="J3485">
        <v>88</v>
      </c>
      <c r="K3485">
        <v>64</v>
      </c>
      <c r="L3485">
        <v>1200</v>
      </c>
      <c r="M3485" t="str">
        <f t="shared" si="374"/>
        <v xml:space="preserve">N35DC   </v>
      </c>
      <c r="N3485">
        <v>1</v>
      </c>
      <c r="O3485">
        <v>1625</v>
      </c>
    </row>
    <row r="3486" spans="1:15" x14ac:dyDescent="0.25">
      <c r="A3486" t="str">
        <f>"10/21/2020 18:38:58.144"</f>
        <v>10/21/2020 18:38:58.144</v>
      </c>
      <c r="B3486" t="str">
        <f>"18:39:06.086"</f>
        <v>18:39:06.086</v>
      </c>
      <c r="C3486" t="str">
        <f>"18:39:05.886"</f>
        <v>18:39:05.886</v>
      </c>
      <c r="D3486" t="s">
        <v>1343</v>
      </c>
      <c r="E3486">
        <v>30.914926999999999</v>
      </c>
      <c r="F3486" t="s">
        <v>1344</v>
      </c>
      <c r="G3486">
        <v>-89.91874</v>
      </c>
      <c r="H3486">
        <v>1700</v>
      </c>
      <c r="I3486">
        <v>-140</v>
      </c>
      <c r="J3486">
        <v>89</v>
      </c>
      <c r="K3486">
        <v>-256</v>
      </c>
      <c r="L3486">
        <v>1200</v>
      </c>
      <c r="M3486" t="str">
        <f t="shared" si="374"/>
        <v xml:space="preserve">N35DC   </v>
      </c>
      <c r="N3486">
        <v>1</v>
      </c>
      <c r="O3486">
        <v>1725</v>
      </c>
    </row>
    <row r="3487" spans="1:15" x14ac:dyDescent="0.25">
      <c r="A3487" t="str">
        <f>"10/21/2020 18:38:58.144"</f>
        <v>10/21/2020 18:38:58.144</v>
      </c>
      <c r="B3487" t="str">
        <f>"18:39:06.086"</f>
        <v>18:39:06.086</v>
      </c>
      <c r="C3487" t="str">
        <f>"18:39:05.886"</f>
        <v>18:39:05.886</v>
      </c>
      <c r="D3487" t="s">
        <v>1343</v>
      </c>
      <c r="E3487">
        <v>30.914926999999999</v>
      </c>
      <c r="F3487" t="s">
        <v>1344</v>
      </c>
      <c r="G3487">
        <v>-89.91874</v>
      </c>
      <c r="H3487">
        <v>1700</v>
      </c>
      <c r="I3487">
        <v>-140</v>
      </c>
      <c r="J3487">
        <v>89</v>
      </c>
      <c r="K3487">
        <v>-256</v>
      </c>
      <c r="L3487">
        <v>1200</v>
      </c>
      <c r="M3487" t="str">
        <f t="shared" si="374"/>
        <v xml:space="preserve">N35DC   </v>
      </c>
      <c r="N3487">
        <v>1</v>
      </c>
      <c r="O3487">
        <v>1725</v>
      </c>
    </row>
    <row r="3488" spans="1:15" x14ac:dyDescent="0.25">
      <c r="A3488" t="str">
        <f>"10/21/2020 18:38:58.144"</f>
        <v>10/21/2020 18:38:58.144</v>
      </c>
      <c r="B3488" t="str">
        <f>"18:39:06.086"</f>
        <v>18:39:06.086</v>
      </c>
      <c r="C3488" t="str">
        <f>"18:39:05.886"</f>
        <v>18:39:05.886</v>
      </c>
      <c r="D3488" t="s">
        <v>1343</v>
      </c>
      <c r="E3488">
        <v>30.914926999999999</v>
      </c>
      <c r="F3488" t="s">
        <v>1344</v>
      </c>
      <c r="G3488">
        <v>-89.91874</v>
      </c>
      <c r="H3488">
        <v>1700</v>
      </c>
      <c r="I3488">
        <v>-140</v>
      </c>
      <c r="J3488">
        <v>89</v>
      </c>
      <c r="K3488">
        <v>-256</v>
      </c>
      <c r="L3488">
        <v>1200</v>
      </c>
      <c r="M3488" t="str">
        <f t="shared" si="374"/>
        <v xml:space="preserve">N35DC   </v>
      </c>
      <c r="N3488">
        <v>1</v>
      </c>
      <c r="O3488">
        <v>1725</v>
      </c>
    </row>
    <row r="3489" spans="1:15" x14ac:dyDescent="0.25">
      <c r="A3489" t="str">
        <f>"10/21/2020 18:38:58.144"</f>
        <v>10/21/2020 18:38:58.144</v>
      </c>
      <c r="B3489" t="str">
        <f>"18:39:06.086"</f>
        <v>18:39:06.086</v>
      </c>
      <c r="C3489" t="str">
        <f>"18:39:05.886"</f>
        <v>18:39:05.886</v>
      </c>
      <c r="D3489" t="s">
        <v>1343</v>
      </c>
      <c r="E3489">
        <v>30.914926999999999</v>
      </c>
      <c r="F3489" t="s">
        <v>1344</v>
      </c>
      <c r="G3489">
        <v>-89.91874</v>
      </c>
      <c r="H3489">
        <v>1700</v>
      </c>
      <c r="I3489">
        <v>-140</v>
      </c>
      <c r="J3489">
        <v>89</v>
      </c>
      <c r="K3489">
        <v>-256</v>
      </c>
      <c r="L3489">
        <v>1200</v>
      </c>
      <c r="M3489" t="str">
        <f t="shared" si="374"/>
        <v xml:space="preserve">N35DC   </v>
      </c>
      <c r="N3489">
        <v>1</v>
      </c>
      <c r="O3489">
        <v>1725</v>
      </c>
    </row>
    <row r="3490" spans="1:15" x14ac:dyDescent="0.25">
      <c r="A3490" t="str">
        <f>"10/21/2020 18:38:58.144"</f>
        <v>10/21/2020 18:38:58.144</v>
      </c>
      <c r="B3490" t="str">
        <f>"18:39:06.086"</f>
        <v>18:39:06.086</v>
      </c>
      <c r="C3490" t="str">
        <f>"18:39:05.886"</f>
        <v>18:39:05.886</v>
      </c>
      <c r="D3490" t="s">
        <v>1343</v>
      </c>
      <c r="E3490">
        <v>30.914926999999999</v>
      </c>
      <c r="F3490" t="s">
        <v>1344</v>
      </c>
      <c r="G3490">
        <v>-89.91874</v>
      </c>
      <c r="H3490">
        <v>1700</v>
      </c>
      <c r="I3490">
        <v>-140</v>
      </c>
      <c r="J3490">
        <v>89</v>
      </c>
      <c r="K3490">
        <v>-256</v>
      </c>
      <c r="L3490">
        <v>1200</v>
      </c>
      <c r="M3490" t="str">
        <f t="shared" si="374"/>
        <v xml:space="preserve">N35DC   </v>
      </c>
      <c r="N3490">
        <v>1</v>
      </c>
      <c r="O3490">
        <v>1725</v>
      </c>
    </row>
    <row r="3491" spans="1:15" x14ac:dyDescent="0.25">
      <c r="A3491" t="str">
        <f t="shared" ref="A3491:A3496" si="377">"10/21/2020 18:39:01.172"</f>
        <v>10/21/2020 18:39:01.172</v>
      </c>
      <c r="B3491" t="str">
        <f t="shared" ref="B3491:B3496" si="378">"18:39:09.102"</f>
        <v>18:39:09.102</v>
      </c>
      <c r="C3491" t="str">
        <f>"18:39:08.302"</f>
        <v>18:39:08.302</v>
      </c>
      <c r="D3491" t="s">
        <v>1345</v>
      </c>
      <c r="E3491">
        <v>30.916235</v>
      </c>
      <c r="F3491" t="s">
        <v>1346</v>
      </c>
      <c r="G3491">
        <v>-89.921014</v>
      </c>
      <c r="H3491">
        <v>1600</v>
      </c>
      <c r="I3491">
        <v>-140</v>
      </c>
      <c r="J3491">
        <v>92</v>
      </c>
      <c r="K3491">
        <v>-192</v>
      </c>
      <c r="L3491">
        <v>1200</v>
      </c>
      <c r="M3491" t="str">
        <f t="shared" si="374"/>
        <v xml:space="preserve">N35DC   </v>
      </c>
      <c r="N3491">
        <v>1</v>
      </c>
      <c r="O3491">
        <v>1700</v>
      </c>
    </row>
    <row r="3492" spans="1:15" x14ac:dyDescent="0.25">
      <c r="A3492" t="str">
        <f t="shared" si="377"/>
        <v>10/21/2020 18:39:01.172</v>
      </c>
      <c r="B3492" t="str">
        <f t="shared" si="378"/>
        <v>18:39:09.102</v>
      </c>
      <c r="C3492" t="str">
        <f>"18:39:08.902"</f>
        <v>18:39:08.902</v>
      </c>
      <c r="D3492" t="s">
        <v>1345</v>
      </c>
      <c r="E3492">
        <v>30.916235</v>
      </c>
      <c r="F3492" t="s">
        <v>1346</v>
      </c>
      <c r="G3492">
        <v>-89.921014</v>
      </c>
      <c r="H3492">
        <v>1600</v>
      </c>
      <c r="I3492">
        <v>-139</v>
      </c>
      <c r="J3492">
        <v>93</v>
      </c>
      <c r="K3492">
        <v>-128</v>
      </c>
      <c r="L3492">
        <v>1200</v>
      </c>
      <c r="M3492" t="str">
        <f t="shared" si="374"/>
        <v xml:space="preserve">N35DC   </v>
      </c>
      <c r="N3492">
        <v>1</v>
      </c>
      <c r="O3492">
        <v>1700</v>
      </c>
    </row>
    <row r="3493" spans="1:15" x14ac:dyDescent="0.25">
      <c r="A3493" t="str">
        <f t="shared" si="377"/>
        <v>10/21/2020 18:39:01.172</v>
      </c>
      <c r="B3493" t="str">
        <f t="shared" si="378"/>
        <v>18:39:09.102</v>
      </c>
      <c r="C3493" t="str">
        <f>"18:39:08.902"</f>
        <v>18:39:08.902</v>
      </c>
      <c r="D3493" t="s">
        <v>1345</v>
      </c>
      <c r="E3493">
        <v>30.916235</v>
      </c>
      <c r="F3493" t="s">
        <v>1346</v>
      </c>
      <c r="G3493">
        <v>-89.921014</v>
      </c>
      <c r="H3493">
        <v>1600</v>
      </c>
      <c r="I3493">
        <v>-139</v>
      </c>
      <c r="J3493">
        <v>93</v>
      </c>
      <c r="K3493">
        <v>-128</v>
      </c>
      <c r="L3493">
        <v>1200</v>
      </c>
      <c r="M3493" t="str">
        <f t="shared" si="374"/>
        <v xml:space="preserve">N35DC   </v>
      </c>
      <c r="N3493">
        <v>1</v>
      </c>
      <c r="O3493">
        <v>1700</v>
      </c>
    </row>
    <row r="3494" spans="1:15" x14ac:dyDescent="0.25">
      <c r="A3494" t="str">
        <f t="shared" si="377"/>
        <v>10/21/2020 18:39:01.172</v>
      </c>
      <c r="B3494" t="str">
        <f t="shared" si="378"/>
        <v>18:39:09.102</v>
      </c>
      <c r="C3494" t="str">
        <f>"18:39:08.902"</f>
        <v>18:39:08.902</v>
      </c>
      <c r="D3494" t="s">
        <v>1345</v>
      </c>
      <c r="E3494">
        <v>30.916235</v>
      </c>
      <c r="F3494" t="s">
        <v>1346</v>
      </c>
      <c r="G3494">
        <v>-89.921014</v>
      </c>
      <c r="H3494">
        <v>1600</v>
      </c>
      <c r="I3494">
        <v>-139</v>
      </c>
      <c r="J3494">
        <v>93</v>
      </c>
      <c r="K3494">
        <v>-128</v>
      </c>
      <c r="L3494">
        <v>1200</v>
      </c>
      <c r="M3494" t="str">
        <f t="shared" si="374"/>
        <v xml:space="preserve">N35DC   </v>
      </c>
      <c r="N3494">
        <v>1</v>
      </c>
      <c r="O3494">
        <v>1700</v>
      </c>
    </row>
    <row r="3495" spans="1:15" x14ac:dyDescent="0.25">
      <c r="A3495" t="str">
        <f t="shared" si="377"/>
        <v>10/21/2020 18:39:01.172</v>
      </c>
      <c r="B3495" t="str">
        <f t="shared" si="378"/>
        <v>18:39:09.102</v>
      </c>
      <c r="C3495" t="str">
        <f>"18:39:08.902"</f>
        <v>18:39:08.902</v>
      </c>
      <c r="D3495" t="s">
        <v>1345</v>
      </c>
      <c r="E3495">
        <v>30.916235</v>
      </c>
      <c r="F3495" t="s">
        <v>1346</v>
      </c>
      <c r="G3495">
        <v>-89.921014</v>
      </c>
      <c r="H3495">
        <v>1600</v>
      </c>
      <c r="I3495">
        <v>-139</v>
      </c>
      <c r="J3495">
        <v>93</v>
      </c>
      <c r="K3495">
        <v>-128</v>
      </c>
      <c r="L3495">
        <v>1200</v>
      </c>
      <c r="M3495" t="str">
        <f t="shared" si="374"/>
        <v xml:space="preserve">N35DC   </v>
      </c>
      <c r="N3495">
        <v>1</v>
      </c>
      <c r="O3495">
        <v>1700</v>
      </c>
    </row>
    <row r="3496" spans="1:15" x14ac:dyDescent="0.25">
      <c r="A3496" t="str">
        <f t="shared" si="377"/>
        <v>10/21/2020 18:39:01.172</v>
      </c>
      <c r="B3496" t="str">
        <f t="shared" si="378"/>
        <v>18:39:09.102</v>
      </c>
      <c r="C3496" t="str">
        <f>"18:39:08.902"</f>
        <v>18:39:08.902</v>
      </c>
      <c r="D3496" t="s">
        <v>1345</v>
      </c>
      <c r="E3496">
        <v>30.916235</v>
      </c>
      <c r="F3496" t="s">
        <v>1346</v>
      </c>
      <c r="G3496">
        <v>-89.921014</v>
      </c>
      <c r="H3496">
        <v>1600</v>
      </c>
      <c r="I3496">
        <v>-139</v>
      </c>
      <c r="J3496">
        <v>93</v>
      </c>
      <c r="K3496">
        <v>-128</v>
      </c>
      <c r="L3496">
        <v>1200</v>
      </c>
      <c r="M3496" t="str">
        <f t="shared" si="374"/>
        <v xml:space="preserve">N35DC   </v>
      </c>
      <c r="N3496">
        <v>1</v>
      </c>
      <c r="O3496">
        <v>1700</v>
      </c>
    </row>
    <row r="3497" spans="1:15" x14ac:dyDescent="0.25">
      <c r="A3497" t="str">
        <f>"10/21/2020 18:39:06.560"</f>
        <v>10/21/2020 18:39:06.560</v>
      </c>
      <c r="B3497" t="str">
        <f>"18:39:14.484"</f>
        <v>18:39:14.484</v>
      </c>
      <c r="C3497" t="str">
        <f>"18:39:14.384"</f>
        <v>18:39:14.384</v>
      </c>
      <c r="D3497" t="s">
        <v>1347</v>
      </c>
      <c r="E3497">
        <v>30.918596000000001</v>
      </c>
      <c r="F3497" t="s">
        <v>1348</v>
      </c>
      <c r="G3497">
        <v>-89.924983999999995</v>
      </c>
      <c r="H3497">
        <v>1600</v>
      </c>
      <c r="I3497">
        <v>-134</v>
      </c>
      <c r="J3497">
        <v>97</v>
      </c>
      <c r="K3497">
        <v>64</v>
      </c>
      <c r="L3497">
        <v>1200</v>
      </c>
      <c r="M3497" t="str">
        <f t="shared" si="374"/>
        <v xml:space="preserve">N35DC   </v>
      </c>
      <c r="N3497">
        <v>1</v>
      </c>
      <c r="O3497">
        <v>1725</v>
      </c>
    </row>
    <row r="3498" spans="1:15" x14ac:dyDescent="0.25">
      <c r="A3498" t="str">
        <f>"10/21/2020 18:39:07.136"</f>
        <v>10/21/2020 18:39:07.136</v>
      </c>
      <c r="B3498" t="str">
        <f>"18:39:15.070"</f>
        <v>18:39:15.070</v>
      </c>
      <c r="C3498" t="str">
        <f>"18:39:14.870"</f>
        <v>18:39:14.870</v>
      </c>
      <c r="D3498" t="s">
        <v>1349</v>
      </c>
      <c r="E3498">
        <v>30.918831999999998</v>
      </c>
      <c r="F3498" t="s">
        <v>1350</v>
      </c>
      <c r="G3498">
        <v>-89.925413000000006</v>
      </c>
      <c r="H3498">
        <v>1600</v>
      </c>
      <c r="I3498">
        <v>-133</v>
      </c>
      <c r="J3498">
        <v>99</v>
      </c>
      <c r="K3498">
        <v>128</v>
      </c>
      <c r="L3498">
        <v>1200</v>
      </c>
      <c r="M3498" t="str">
        <f t="shared" si="374"/>
        <v xml:space="preserve">N35DC   </v>
      </c>
      <c r="N3498">
        <v>1</v>
      </c>
      <c r="O3498">
        <v>1725</v>
      </c>
    </row>
    <row r="3499" spans="1:15" x14ac:dyDescent="0.25">
      <c r="A3499" t="str">
        <f>"10/21/2020 18:39:07.136"</f>
        <v>10/21/2020 18:39:07.136</v>
      </c>
      <c r="B3499" t="str">
        <f>"18:39:15.070"</f>
        <v>18:39:15.070</v>
      </c>
      <c r="C3499" t="str">
        <f>"18:39:14.870"</f>
        <v>18:39:14.870</v>
      </c>
      <c r="D3499" t="s">
        <v>1349</v>
      </c>
      <c r="E3499">
        <v>30.918831999999998</v>
      </c>
      <c r="F3499" t="s">
        <v>1350</v>
      </c>
      <c r="G3499">
        <v>-89.925413000000006</v>
      </c>
      <c r="H3499">
        <v>1600</v>
      </c>
      <c r="I3499">
        <v>-133</v>
      </c>
      <c r="J3499">
        <v>99</v>
      </c>
      <c r="K3499">
        <v>128</v>
      </c>
      <c r="L3499">
        <v>1200</v>
      </c>
      <c r="M3499" t="str">
        <f t="shared" si="374"/>
        <v xml:space="preserve">N35DC   </v>
      </c>
      <c r="N3499">
        <v>1</v>
      </c>
      <c r="O3499">
        <v>1725</v>
      </c>
    </row>
    <row r="3500" spans="1:15" x14ac:dyDescent="0.25">
      <c r="A3500" t="str">
        <f>"10/21/2020 18:39:07.136"</f>
        <v>10/21/2020 18:39:07.136</v>
      </c>
      <c r="B3500" t="str">
        <f>"18:39:15.070"</f>
        <v>18:39:15.070</v>
      </c>
      <c r="C3500" t="str">
        <f>"18:39:14.870"</f>
        <v>18:39:14.870</v>
      </c>
      <c r="D3500" t="s">
        <v>1349</v>
      </c>
      <c r="E3500">
        <v>30.918831999999998</v>
      </c>
      <c r="F3500" t="s">
        <v>1350</v>
      </c>
      <c r="G3500">
        <v>-89.925413000000006</v>
      </c>
      <c r="H3500">
        <v>1600</v>
      </c>
      <c r="I3500">
        <v>-133</v>
      </c>
      <c r="J3500">
        <v>99</v>
      </c>
      <c r="K3500">
        <v>128</v>
      </c>
      <c r="L3500">
        <v>1200</v>
      </c>
      <c r="M3500" t="str">
        <f t="shared" si="374"/>
        <v xml:space="preserve">N35DC   </v>
      </c>
      <c r="N3500">
        <v>1</v>
      </c>
      <c r="O3500">
        <v>1725</v>
      </c>
    </row>
    <row r="3501" spans="1:15" x14ac:dyDescent="0.25">
      <c r="A3501" t="str">
        <f>"10/21/2020 18:39:07.136"</f>
        <v>10/21/2020 18:39:07.136</v>
      </c>
      <c r="B3501" t="str">
        <f>"18:39:15.070"</f>
        <v>18:39:15.070</v>
      </c>
      <c r="C3501" t="str">
        <f>"18:39:14.870"</f>
        <v>18:39:14.870</v>
      </c>
      <c r="D3501" t="s">
        <v>1349</v>
      </c>
      <c r="E3501">
        <v>30.918831999999998</v>
      </c>
      <c r="F3501" t="s">
        <v>1350</v>
      </c>
      <c r="G3501">
        <v>-89.925413000000006</v>
      </c>
      <c r="H3501">
        <v>1600</v>
      </c>
      <c r="I3501">
        <v>-133</v>
      </c>
      <c r="J3501">
        <v>99</v>
      </c>
      <c r="K3501">
        <v>128</v>
      </c>
      <c r="L3501">
        <v>1200</v>
      </c>
      <c r="M3501" t="str">
        <f t="shared" si="374"/>
        <v xml:space="preserve">N35DC   </v>
      </c>
      <c r="N3501">
        <v>1</v>
      </c>
      <c r="O3501">
        <v>1725</v>
      </c>
    </row>
    <row r="3502" spans="1:15" x14ac:dyDescent="0.25">
      <c r="A3502" t="str">
        <f>"10/21/2020 18:39:09.979"</f>
        <v>10/21/2020 18:39:09.979</v>
      </c>
      <c r="B3502" t="str">
        <f>"18:39:17.891"</f>
        <v>18:39:17.891</v>
      </c>
      <c r="C3502" t="str">
        <f>"18:39:17.891"</f>
        <v>18:39:17.891</v>
      </c>
      <c r="D3502" t="s">
        <v>1351</v>
      </c>
      <c r="E3502">
        <v>30.920227000000001</v>
      </c>
      <c r="F3502" t="s">
        <v>1352</v>
      </c>
      <c r="G3502">
        <v>-89.927323000000001</v>
      </c>
      <c r="H3502">
        <v>1600</v>
      </c>
      <c r="I3502">
        <v>-121</v>
      </c>
      <c r="J3502">
        <v>110</v>
      </c>
      <c r="K3502">
        <v>-128</v>
      </c>
      <c r="L3502">
        <v>1200</v>
      </c>
      <c r="M3502" t="str">
        <f t="shared" si="374"/>
        <v xml:space="preserve">N35DC   </v>
      </c>
      <c r="N3502">
        <v>1</v>
      </c>
      <c r="O3502">
        <v>1700</v>
      </c>
    </row>
    <row r="3503" spans="1:15" x14ac:dyDescent="0.25">
      <c r="A3503" t="str">
        <f t="shared" ref="A3503:A3508" si="379">"10/21/2020 18:39:12.508"</f>
        <v>10/21/2020 18:39:12.508</v>
      </c>
      <c r="B3503" t="str">
        <f t="shared" ref="B3503:C3508" si="380">"18:39:20.469"</f>
        <v>18:39:20.469</v>
      </c>
      <c r="C3503" t="str">
        <f t="shared" si="380"/>
        <v>18:39:20.469</v>
      </c>
      <c r="D3503" t="s">
        <v>1353</v>
      </c>
      <c r="E3503">
        <v>30.921664</v>
      </c>
      <c r="F3503" t="s">
        <v>1354</v>
      </c>
      <c r="G3503">
        <v>-89.928910999999999</v>
      </c>
      <c r="H3503">
        <v>1600</v>
      </c>
      <c r="I3503">
        <v>-106</v>
      </c>
      <c r="J3503">
        <v>123</v>
      </c>
      <c r="K3503">
        <v>-256</v>
      </c>
      <c r="L3503">
        <v>1200</v>
      </c>
      <c r="M3503" t="str">
        <f t="shared" si="374"/>
        <v xml:space="preserve">N35DC   </v>
      </c>
      <c r="N3503">
        <v>1</v>
      </c>
      <c r="O3503">
        <v>1700</v>
      </c>
    </row>
    <row r="3504" spans="1:15" x14ac:dyDescent="0.25">
      <c r="A3504" t="str">
        <f t="shared" si="379"/>
        <v>10/21/2020 18:39:12.508</v>
      </c>
      <c r="B3504" t="str">
        <f t="shared" si="380"/>
        <v>18:39:20.469</v>
      </c>
      <c r="C3504" t="str">
        <f t="shared" si="380"/>
        <v>18:39:20.469</v>
      </c>
      <c r="D3504" t="s">
        <v>1353</v>
      </c>
      <c r="E3504">
        <v>30.921664</v>
      </c>
      <c r="F3504" t="s">
        <v>1354</v>
      </c>
      <c r="G3504">
        <v>-89.928910999999999</v>
      </c>
      <c r="H3504">
        <v>1600</v>
      </c>
      <c r="I3504">
        <v>-106</v>
      </c>
      <c r="J3504">
        <v>123</v>
      </c>
      <c r="K3504">
        <v>-256</v>
      </c>
      <c r="L3504">
        <v>1200</v>
      </c>
      <c r="M3504" t="str">
        <f t="shared" si="374"/>
        <v xml:space="preserve">N35DC   </v>
      </c>
      <c r="N3504">
        <v>1</v>
      </c>
      <c r="O3504">
        <v>1700</v>
      </c>
    </row>
    <row r="3505" spans="1:15" x14ac:dyDescent="0.25">
      <c r="A3505" t="str">
        <f t="shared" si="379"/>
        <v>10/21/2020 18:39:12.508</v>
      </c>
      <c r="B3505" t="str">
        <f t="shared" si="380"/>
        <v>18:39:20.469</v>
      </c>
      <c r="C3505" t="str">
        <f t="shared" si="380"/>
        <v>18:39:20.469</v>
      </c>
      <c r="D3505" t="s">
        <v>1353</v>
      </c>
      <c r="E3505">
        <v>30.921664</v>
      </c>
      <c r="F3505" t="s">
        <v>1354</v>
      </c>
      <c r="G3505">
        <v>-89.928910999999999</v>
      </c>
      <c r="H3505">
        <v>1600</v>
      </c>
      <c r="I3505">
        <v>-106</v>
      </c>
      <c r="J3505">
        <v>123</v>
      </c>
      <c r="K3505">
        <v>-256</v>
      </c>
      <c r="L3505">
        <v>1200</v>
      </c>
      <c r="M3505" t="str">
        <f t="shared" si="374"/>
        <v xml:space="preserve">N35DC   </v>
      </c>
      <c r="N3505">
        <v>1</v>
      </c>
      <c r="O3505">
        <v>1700</v>
      </c>
    </row>
    <row r="3506" spans="1:15" x14ac:dyDescent="0.25">
      <c r="A3506" t="str">
        <f t="shared" si="379"/>
        <v>10/21/2020 18:39:12.508</v>
      </c>
      <c r="B3506" t="str">
        <f t="shared" si="380"/>
        <v>18:39:20.469</v>
      </c>
      <c r="C3506" t="str">
        <f t="shared" si="380"/>
        <v>18:39:20.469</v>
      </c>
      <c r="D3506" t="s">
        <v>1353</v>
      </c>
      <c r="E3506">
        <v>30.921664</v>
      </c>
      <c r="F3506" t="s">
        <v>1354</v>
      </c>
      <c r="G3506">
        <v>-89.928910999999999</v>
      </c>
      <c r="H3506">
        <v>1600</v>
      </c>
      <c r="I3506">
        <v>-106</v>
      </c>
      <c r="J3506">
        <v>123</v>
      </c>
      <c r="K3506">
        <v>-256</v>
      </c>
      <c r="L3506">
        <v>1200</v>
      </c>
      <c r="M3506" t="str">
        <f t="shared" si="374"/>
        <v xml:space="preserve">N35DC   </v>
      </c>
      <c r="N3506">
        <v>1</v>
      </c>
      <c r="O3506">
        <v>1700</v>
      </c>
    </row>
    <row r="3507" spans="1:15" x14ac:dyDescent="0.25">
      <c r="A3507" t="str">
        <f t="shared" si="379"/>
        <v>10/21/2020 18:39:12.508</v>
      </c>
      <c r="B3507" t="str">
        <f t="shared" si="380"/>
        <v>18:39:20.469</v>
      </c>
      <c r="C3507" t="str">
        <f t="shared" si="380"/>
        <v>18:39:20.469</v>
      </c>
      <c r="D3507" t="s">
        <v>1353</v>
      </c>
      <c r="E3507">
        <v>30.921664</v>
      </c>
      <c r="F3507" t="s">
        <v>1354</v>
      </c>
      <c r="G3507">
        <v>-89.928910999999999</v>
      </c>
      <c r="H3507">
        <v>1600</v>
      </c>
      <c r="I3507">
        <v>-106</v>
      </c>
      <c r="J3507">
        <v>123</v>
      </c>
      <c r="K3507">
        <v>-256</v>
      </c>
      <c r="L3507">
        <v>1200</v>
      </c>
      <c r="M3507" t="str">
        <f t="shared" si="374"/>
        <v xml:space="preserve">N35DC   </v>
      </c>
      <c r="N3507">
        <v>1</v>
      </c>
      <c r="O3507">
        <v>1700</v>
      </c>
    </row>
    <row r="3508" spans="1:15" x14ac:dyDescent="0.25">
      <c r="A3508" t="str">
        <f t="shared" si="379"/>
        <v>10/21/2020 18:39:12.508</v>
      </c>
      <c r="B3508" t="str">
        <f t="shared" si="380"/>
        <v>18:39:20.469</v>
      </c>
      <c r="C3508" t="str">
        <f t="shared" si="380"/>
        <v>18:39:20.469</v>
      </c>
      <c r="D3508" t="s">
        <v>1353</v>
      </c>
      <c r="E3508">
        <v>30.921664</v>
      </c>
      <c r="F3508" t="s">
        <v>1354</v>
      </c>
      <c r="G3508">
        <v>-89.928910999999999</v>
      </c>
      <c r="H3508">
        <v>1600</v>
      </c>
      <c r="I3508">
        <v>-106</v>
      </c>
      <c r="J3508">
        <v>123</v>
      </c>
      <c r="K3508">
        <v>-256</v>
      </c>
      <c r="L3508">
        <v>1200</v>
      </c>
      <c r="M3508" t="str">
        <f t="shared" si="374"/>
        <v xml:space="preserve">N35DC   </v>
      </c>
      <c r="N3508">
        <v>1</v>
      </c>
      <c r="O3508">
        <v>1700</v>
      </c>
    </row>
    <row r="3509" spans="1:15" x14ac:dyDescent="0.25">
      <c r="A3509" t="str">
        <f t="shared" ref="A3509:A3514" si="381">"10/21/2020 18:39:15.391"</f>
        <v>10/21/2020 18:39:15.391</v>
      </c>
      <c r="B3509" t="str">
        <f>"18:39:23.320"</f>
        <v>18:39:23.320</v>
      </c>
      <c r="C3509" t="str">
        <f>"18:39:23.320"</f>
        <v>18:39:23.320</v>
      </c>
      <c r="D3509" t="s">
        <v>1355</v>
      </c>
      <c r="E3509">
        <v>30.923359000000001</v>
      </c>
      <c r="F3509" t="s">
        <v>1356</v>
      </c>
      <c r="G3509">
        <v>-89.930369999999996</v>
      </c>
      <c r="H3509">
        <v>1600</v>
      </c>
      <c r="I3509">
        <v>-91</v>
      </c>
      <c r="J3509">
        <v>135</v>
      </c>
      <c r="K3509">
        <v>-704</v>
      </c>
      <c r="L3509">
        <v>1200</v>
      </c>
      <c r="M3509" t="str">
        <f t="shared" si="374"/>
        <v xml:space="preserve">N35DC   </v>
      </c>
      <c r="N3509">
        <v>1</v>
      </c>
      <c r="O3509">
        <v>1700</v>
      </c>
    </row>
    <row r="3510" spans="1:15" x14ac:dyDescent="0.25">
      <c r="A3510" t="str">
        <f t="shared" si="381"/>
        <v>10/21/2020 18:39:15.391</v>
      </c>
      <c r="B3510" t="str">
        <f>"18:39:23.320"</f>
        <v>18:39:23.320</v>
      </c>
      <c r="C3510" t="str">
        <f>"18:39:22.920"</f>
        <v>18:39:22.920</v>
      </c>
      <c r="D3510" t="s">
        <v>1355</v>
      </c>
      <c r="E3510">
        <v>30.923359000000001</v>
      </c>
      <c r="F3510" t="s">
        <v>1356</v>
      </c>
      <c r="G3510">
        <v>-89.930369999999996</v>
      </c>
      <c r="H3510">
        <v>1600</v>
      </c>
      <c r="I3510">
        <v>-94</v>
      </c>
      <c r="J3510">
        <v>134</v>
      </c>
      <c r="K3510">
        <v>-576</v>
      </c>
      <c r="L3510">
        <v>1200</v>
      </c>
      <c r="M3510" t="str">
        <f t="shared" si="374"/>
        <v xml:space="preserve">N35DC   </v>
      </c>
      <c r="N3510">
        <v>1</v>
      </c>
      <c r="O3510">
        <v>1700</v>
      </c>
    </row>
    <row r="3511" spans="1:15" x14ac:dyDescent="0.25">
      <c r="A3511" t="str">
        <f t="shared" si="381"/>
        <v>10/21/2020 18:39:15.391</v>
      </c>
      <c r="B3511" t="str">
        <f>"18:39:23.320"</f>
        <v>18:39:23.320</v>
      </c>
      <c r="C3511" t="str">
        <f>"18:39:23.320"</f>
        <v>18:39:23.320</v>
      </c>
      <c r="D3511" t="s">
        <v>1355</v>
      </c>
      <c r="E3511">
        <v>30.923359000000001</v>
      </c>
      <c r="F3511" t="s">
        <v>1356</v>
      </c>
      <c r="G3511">
        <v>-89.930369999999996</v>
      </c>
      <c r="H3511">
        <v>1600</v>
      </c>
      <c r="I3511">
        <v>-91</v>
      </c>
      <c r="J3511">
        <v>135</v>
      </c>
      <c r="K3511">
        <v>-704</v>
      </c>
      <c r="L3511">
        <v>1200</v>
      </c>
      <c r="M3511" t="str">
        <f t="shared" si="374"/>
        <v xml:space="preserve">N35DC   </v>
      </c>
      <c r="N3511">
        <v>1</v>
      </c>
      <c r="O3511">
        <v>1700</v>
      </c>
    </row>
    <row r="3512" spans="1:15" x14ac:dyDescent="0.25">
      <c r="A3512" t="str">
        <f t="shared" si="381"/>
        <v>10/21/2020 18:39:15.391</v>
      </c>
      <c r="B3512" t="str">
        <f>"18:39:23.320"</f>
        <v>18:39:23.320</v>
      </c>
      <c r="C3512" t="str">
        <f>"18:39:23.320"</f>
        <v>18:39:23.320</v>
      </c>
      <c r="D3512" t="s">
        <v>1355</v>
      </c>
      <c r="E3512">
        <v>30.923359000000001</v>
      </c>
      <c r="F3512" t="s">
        <v>1356</v>
      </c>
      <c r="G3512">
        <v>-89.930369999999996</v>
      </c>
      <c r="H3512">
        <v>1600</v>
      </c>
      <c r="I3512">
        <v>-91</v>
      </c>
      <c r="J3512">
        <v>135</v>
      </c>
      <c r="K3512">
        <v>-704</v>
      </c>
      <c r="L3512">
        <v>1200</v>
      </c>
      <c r="M3512" t="str">
        <f t="shared" si="374"/>
        <v xml:space="preserve">N35DC   </v>
      </c>
      <c r="N3512">
        <v>1</v>
      </c>
      <c r="O3512">
        <v>1700</v>
      </c>
    </row>
    <row r="3513" spans="1:15" x14ac:dyDescent="0.25">
      <c r="A3513" t="str">
        <f t="shared" si="381"/>
        <v>10/21/2020 18:39:15.391</v>
      </c>
      <c r="B3513" t="str">
        <f>"18:39:23.320"</f>
        <v>18:39:23.320</v>
      </c>
      <c r="C3513" t="str">
        <f>"18:39:23.320"</f>
        <v>18:39:23.320</v>
      </c>
      <c r="D3513" t="s">
        <v>1355</v>
      </c>
      <c r="E3513">
        <v>30.923359000000001</v>
      </c>
      <c r="F3513" t="s">
        <v>1356</v>
      </c>
      <c r="G3513">
        <v>-89.930369999999996</v>
      </c>
      <c r="H3513">
        <v>1600</v>
      </c>
      <c r="I3513">
        <v>-91</v>
      </c>
      <c r="J3513">
        <v>135</v>
      </c>
      <c r="K3513">
        <v>-704</v>
      </c>
      <c r="L3513">
        <v>1200</v>
      </c>
      <c r="M3513" t="str">
        <f t="shared" si="374"/>
        <v xml:space="preserve">N35DC   </v>
      </c>
      <c r="N3513">
        <v>1</v>
      </c>
      <c r="O3513">
        <v>1700</v>
      </c>
    </row>
    <row r="3514" spans="1:15" x14ac:dyDescent="0.25">
      <c r="A3514" t="str">
        <f t="shared" si="381"/>
        <v>10/21/2020 18:39:15.391</v>
      </c>
      <c r="B3514" t="str">
        <f>"18:39:23.320"</f>
        <v>18:39:23.320</v>
      </c>
      <c r="C3514" t="str">
        <f>"18:39:23.320"</f>
        <v>18:39:23.320</v>
      </c>
      <c r="D3514" t="s">
        <v>1355</v>
      </c>
      <c r="E3514">
        <v>30.923359000000001</v>
      </c>
      <c r="F3514" t="s">
        <v>1356</v>
      </c>
      <c r="G3514">
        <v>-89.930369999999996</v>
      </c>
      <c r="H3514">
        <v>1600</v>
      </c>
      <c r="I3514">
        <v>-91</v>
      </c>
      <c r="J3514">
        <v>135</v>
      </c>
      <c r="K3514">
        <v>-704</v>
      </c>
      <c r="L3514">
        <v>1200</v>
      </c>
      <c r="M3514" t="str">
        <f t="shared" si="374"/>
        <v xml:space="preserve">N35DC   </v>
      </c>
      <c r="N3514">
        <v>1</v>
      </c>
      <c r="O3514">
        <v>1700</v>
      </c>
    </row>
    <row r="3515" spans="1:15" x14ac:dyDescent="0.25">
      <c r="A3515" t="str">
        <f>"10/21/2020 18:39:16.403"</f>
        <v>10/21/2020 18:39:16.403</v>
      </c>
      <c r="B3515" t="str">
        <f>"18:39:24.320"</f>
        <v>18:39:24.320</v>
      </c>
      <c r="C3515" t="str">
        <f>"18:39:23.920"</f>
        <v>18:39:23.920</v>
      </c>
      <c r="D3515" t="s">
        <v>1357</v>
      </c>
      <c r="E3515">
        <v>30.924046000000001</v>
      </c>
      <c r="F3515" t="s">
        <v>1358</v>
      </c>
      <c r="G3515">
        <v>-89.930841999999998</v>
      </c>
      <c r="H3515">
        <v>1600</v>
      </c>
      <c r="I3515">
        <v>-88</v>
      </c>
      <c r="J3515">
        <v>138</v>
      </c>
      <c r="K3515">
        <v>-704</v>
      </c>
      <c r="L3515">
        <v>1200</v>
      </c>
      <c r="M3515" t="str">
        <f t="shared" si="374"/>
        <v xml:space="preserve">N35DC   </v>
      </c>
      <c r="N3515">
        <v>1</v>
      </c>
      <c r="O3515">
        <v>1675</v>
      </c>
    </row>
    <row r="3516" spans="1:15" x14ac:dyDescent="0.25">
      <c r="A3516" t="str">
        <f>"10/21/2020 18:39:16.403"</f>
        <v>10/21/2020 18:39:16.403</v>
      </c>
      <c r="B3516" t="str">
        <f>"18:39:24.320"</f>
        <v>18:39:24.320</v>
      </c>
      <c r="C3516" t="str">
        <f>"18:39:23.920"</f>
        <v>18:39:23.920</v>
      </c>
      <c r="D3516" t="s">
        <v>1357</v>
      </c>
      <c r="E3516">
        <v>30.924046000000001</v>
      </c>
      <c r="F3516" t="s">
        <v>1358</v>
      </c>
      <c r="G3516">
        <v>-89.930841999999998</v>
      </c>
      <c r="H3516">
        <v>1600</v>
      </c>
      <c r="I3516">
        <v>-88</v>
      </c>
      <c r="J3516">
        <v>138</v>
      </c>
      <c r="K3516">
        <v>-704</v>
      </c>
      <c r="L3516">
        <v>1200</v>
      </c>
      <c r="M3516" t="str">
        <f t="shared" si="374"/>
        <v xml:space="preserve">N35DC   </v>
      </c>
      <c r="N3516">
        <v>1</v>
      </c>
      <c r="O3516">
        <v>1675</v>
      </c>
    </row>
    <row r="3517" spans="1:15" x14ac:dyDescent="0.25">
      <c r="A3517" t="str">
        <f>"10/21/2020 18:39:16.403"</f>
        <v>10/21/2020 18:39:16.403</v>
      </c>
      <c r="B3517" t="str">
        <f>"18:39:24.320"</f>
        <v>18:39:24.320</v>
      </c>
      <c r="C3517" t="str">
        <f>"18:39:23.920"</f>
        <v>18:39:23.920</v>
      </c>
      <c r="D3517" t="s">
        <v>1357</v>
      </c>
      <c r="E3517">
        <v>30.924046000000001</v>
      </c>
      <c r="F3517" t="s">
        <v>1358</v>
      </c>
      <c r="G3517">
        <v>-89.930841999999998</v>
      </c>
      <c r="H3517">
        <v>1600</v>
      </c>
      <c r="I3517">
        <v>-88</v>
      </c>
      <c r="J3517">
        <v>138</v>
      </c>
      <c r="K3517">
        <v>-704</v>
      </c>
      <c r="L3517">
        <v>1200</v>
      </c>
      <c r="M3517" t="str">
        <f t="shared" si="374"/>
        <v xml:space="preserve">N35DC   </v>
      </c>
      <c r="N3517">
        <v>1</v>
      </c>
      <c r="O3517">
        <v>1675</v>
      </c>
    </row>
    <row r="3518" spans="1:15" x14ac:dyDescent="0.25">
      <c r="A3518" t="str">
        <f>"10/21/2020 18:39:16.403"</f>
        <v>10/21/2020 18:39:16.403</v>
      </c>
      <c r="B3518" t="str">
        <f>"18:39:24.320"</f>
        <v>18:39:24.320</v>
      </c>
      <c r="C3518" t="str">
        <f>"18:39:23.920"</f>
        <v>18:39:23.920</v>
      </c>
      <c r="D3518" t="s">
        <v>1357</v>
      </c>
      <c r="E3518">
        <v>30.924046000000001</v>
      </c>
      <c r="F3518" t="s">
        <v>1358</v>
      </c>
      <c r="G3518">
        <v>-89.930841999999998</v>
      </c>
      <c r="H3518">
        <v>1600</v>
      </c>
      <c r="I3518">
        <v>-88</v>
      </c>
      <c r="J3518">
        <v>138</v>
      </c>
      <c r="K3518">
        <v>-704</v>
      </c>
      <c r="L3518">
        <v>1200</v>
      </c>
      <c r="M3518" t="str">
        <f t="shared" si="374"/>
        <v xml:space="preserve">N35DC   </v>
      </c>
      <c r="N3518">
        <v>1</v>
      </c>
      <c r="O3518">
        <v>1675</v>
      </c>
    </row>
    <row r="3519" spans="1:15" x14ac:dyDescent="0.25">
      <c r="A3519" t="str">
        <f>"10/21/2020 18:39:16.880"</f>
        <v>10/21/2020 18:39:16.880</v>
      </c>
      <c r="B3519" t="str">
        <f>"18:39:24.742"</f>
        <v>18:39:24.742</v>
      </c>
      <c r="C3519" t="str">
        <f>"18:39:24.442"</f>
        <v>18:39:24.442</v>
      </c>
      <c r="D3519" t="s">
        <v>1359</v>
      </c>
      <c r="E3519">
        <v>30.924282000000002</v>
      </c>
      <c r="F3519" t="s">
        <v>1360</v>
      </c>
      <c r="G3519">
        <v>-89.931014000000005</v>
      </c>
      <c r="H3519">
        <v>1600</v>
      </c>
      <c r="I3519">
        <v>-84</v>
      </c>
      <c r="J3519">
        <v>140</v>
      </c>
      <c r="K3519">
        <v>-640</v>
      </c>
      <c r="L3519">
        <v>1200</v>
      </c>
      <c r="M3519" t="str">
        <f t="shared" si="374"/>
        <v xml:space="preserve">N35DC   </v>
      </c>
      <c r="N3519">
        <v>1</v>
      </c>
      <c r="O3519">
        <v>1675</v>
      </c>
    </row>
    <row r="3520" spans="1:15" x14ac:dyDescent="0.25">
      <c r="A3520" t="str">
        <f>"10/21/2020 18:39:19.185"</f>
        <v>10/21/2020 18:39:19.185</v>
      </c>
      <c r="B3520" t="str">
        <f>"18:39:27.156"</f>
        <v>18:39:27.156</v>
      </c>
      <c r="C3520" t="str">
        <f>"18:39:26.956"</f>
        <v>18:39:26.956</v>
      </c>
      <c r="D3520" t="s">
        <v>1361</v>
      </c>
      <c r="E3520">
        <v>30.925913000000001</v>
      </c>
      <c r="F3520" t="s">
        <v>1362</v>
      </c>
      <c r="G3520">
        <v>-89.932001</v>
      </c>
      <c r="H3520">
        <v>1600</v>
      </c>
      <c r="I3520">
        <v>-69</v>
      </c>
      <c r="J3520">
        <v>148</v>
      </c>
      <c r="K3520">
        <v>-192</v>
      </c>
      <c r="L3520">
        <v>1200</v>
      </c>
      <c r="M3520" t="str">
        <f t="shared" si="374"/>
        <v xml:space="preserve">N35DC   </v>
      </c>
      <c r="N3520">
        <v>1</v>
      </c>
      <c r="O3520">
        <v>1650</v>
      </c>
    </row>
    <row r="3521" spans="1:15" x14ac:dyDescent="0.25">
      <c r="A3521" t="str">
        <f>"10/21/2020 18:39:19.185"</f>
        <v>10/21/2020 18:39:19.185</v>
      </c>
      <c r="B3521" t="str">
        <f>"18:39:27.156"</f>
        <v>18:39:27.156</v>
      </c>
      <c r="C3521" t="str">
        <f>"18:39:26.956"</f>
        <v>18:39:26.956</v>
      </c>
      <c r="D3521" t="s">
        <v>1361</v>
      </c>
      <c r="E3521">
        <v>30.925913000000001</v>
      </c>
      <c r="F3521" t="s">
        <v>1362</v>
      </c>
      <c r="G3521">
        <v>-89.932001</v>
      </c>
      <c r="H3521">
        <v>1600</v>
      </c>
      <c r="I3521">
        <v>-69</v>
      </c>
      <c r="J3521">
        <v>148</v>
      </c>
      <c r="K3521">
        <v>-192</v>
      </c>
      <c r="L3521">
        <v>1200</v>
      </c>
      <c r="M3521" t="str">
        <f t="shared" si="374"/>
        <v xml:space="preserve">N35DC   </v>
      </c>
      <c r="N3521">
        <v>1</v>
      </c>
      <c r="O3521">
        <v>1650</v>
      </c>
    </row>
    <row r="3522" spans="1:15" x14ac:dyDescent="0.25">
      <c r="A3522" t="str">
        <f>"10/21/2020 18:39:19.185"</f>
        <v>10/21/2020 18:39:19.185</v>
      </c>
      <c r="B3522" t="str">
        <f>"18:39:27.156"</f>
        <v>18:39:27.156</v>
      </c>
      <c r="C3522" t="str">
        <f>"18:39:26.956"</f>
        <v>18:39:26.956</v>
      </c>
      <c r="D3522" t="s">
        <v>1361</v>
      </c>
      <c r="E3522">
        <v>30.925913000000001</v>
      </c>
      <c r="F3522" t="s">
        <v>1362</v>
      </c>
      <c r="G3522">
        <v>-89.932001</v>
      </c>
      <c r="H3522">
        <v>1600</v>
      </c>
      <c r="I3522">
        <v>-69</v>
      </c>
      <c r="J3522">
        <v>148</v>
      </c>
      <c r="K3522">
        <v>-192</v>
      </c>
      <c r="L3522">
        <v>1200</v>
      </c>
      <c r="M3522" t="str">
        <f t="shared" si="374"/>
        <v xml:space="preserve">N35DC   </v>
      </c>
      <c r="N3522">
        <v>1</v>
      </c>
      <c r="O3522">
        <v>1650</v>
      </c>
    </row>
    <row r="3523" spans="1:15" x14ac:dyDescent="0.25">
      <c r="A3523" t="str">
        <f>"10/21/2020 18:39:19.185"</f>
        <v>10/21/2020 18:39:19.185</v>
      </c>
      <c r="B3523" t="str">
        <f>"18:39:27.156"</f>
        <v>18:39:27.156</v>
      </c>
      <c r="C3523" t="str">
        <f>"18:39:26.956"</f>
        <v>18:39:26.956</v>
      </c>
      <c r="D3523" t="s">
        <v>1361</v>
      </c>
      <c r="E3523">
        <v>30.925913000000001</v>
      </c>
      <c r="F3523" t="s">
        <v>1362</v>
      </c>
      <c r="G3523">
        <v>-89.932001</v>
      </c>
      <c r="H3523">
        <v>1600</v>
      </c>
      <c r="I3523">
        <v>-69</v>
      </c>
      <c r="J3523">
        <v>148</v>
      </c>
      <c r="K3523">
        <v>-192</v>
      </c>
      <c r="L3523">
        <v>1200</v>
      </c>
      <c r="M3523" t="str">
        <f t="shared" si="374"/>
        <v xml:space="preserve">N35DC   </v>
      </c>
      <c r="N3523">
        <v>1</v>
      </c>
      <c r="O3523">
        <v>1650</v>
      </c>
    </row>
    <row r="3524" spans="1:15" x14ac:dyDescent="0.25">
      <c r="A3524" t="str">
        <f>"10/21/2020 18:39:19.185"</f>
        <v>10/21/2020 18:39:19.185</v>
      </c>
      <c r="B3524" t="str">
        <f>"18:39:27.156"</f>
        <v>18:39:27.156</v>
      </c>
      <c r="C3524" t="str">
        <f>"18:39:26.956"</f>
        <v>18:39:26.956</v>
      </c>
      <c r="D3524" t="s">
        <v>1361</v>
      </c>
      <c r="E3524">
        <v>30.925913000000001</v>
      </c>
      <c r="F3524" t="s">
        <v>1362</v>
      </c>
      <c r="G3524">
        <v>-89.932001</v>
      </c>
      <c r="H3524">
        <v>1600</v>
      </c>
      <c r="I3524">
        <v>-69</v>
      </c>
      <c r="J3524">
        <v>148</v>
      </c>
      <c r="K3524">
        <v>-192</v>
      </c>
      <c r="L3524">
        <v>1200</v>
      </c>
      <c r="M3524" t="str">
        <f t="shared" si="374"/>
        <v xml:space="preserve">N35DC   </v>
      </c>
      <c r="N3524">
        <v>1</v>
      </c>
      <c r="O3524">
        <v>1650</v>
      </c>
    </row>
    <row r="3525" spans="1:15" x14ac:dyDescent="0.25">
      <c r="A3525" t="str">
        <f>"10/21/2020 18:39:19.842"</f>
        <v>10/21/2020 18:39:19.842</v>
      </c>
      <c r="B3525" t="str">
        <f>"18:39:27.758"</f>
        <v>18:39:27.758</v>
      </c>
      <c r="C3525" t="str">
        <f>"18:39:27.458"</f>
        <v>18:39:27.458</v>
      </c>
      <c r="D3525" t="s">
        <v>1363</v>
      </c>
      <c r="E3525">
        <v>30.926385</v>
      </c>
      <c r="F3525" t="s">
        <v>1364</v>
      </c>
      <c r="G3525">
        <v>-89.932193999999996</v>
      </c>
      <c r="H3525">
        <v>1600</v>
      </c>
      <c r="I3525">
        <v>-66</v>
      </c>
      <c r="J3525">
        <v>149</v>
      </c>
      <c r="K3525">
        <v>0</v>
      </c>
      <c r="L3525">
        <v>1200</v>
      </c>
      <c r="M3525" t="str">
        <f t="shared" si="374"/>
        <v xml:space="preserve">N35DC   </v>
      </c>
      <c r="N3525">
        <v>1</v>
      </c>
      <c r="O3525">
        <v>1650</v>
      </c>
    </row>
    <row r="3526" spans="1:15" x14ac:dyDescent="0.25">
      <c r="A3526" t="str">
        <f>"10/21/2020 18:39:20.349"</f>
        <v>10/21/2020 18:39:20.349</v>
      </c>
      <c r="B3526" t="str">
        <f>"18:39:28.297"</f>
        <v>18:39:28.297</v>
      </c>
      <c r="C3526" t="str">
        <f>"18:39:27.897"</f>
        <v>18:39:27.897</v>
      </c>
      <c r="D3526" t="s">
        <v>1365</v>
      </c>
      <c r="E3526">
        <v>30.926749999999998</v>
      </c>
      <c r="F3526" t="s">
        <v>1366</v>
      </c>
      <c r="G3526">
        <v>-89.932387000000006</v>
      </c>
      <c r="H3526">
        <v>1600</v>
      </c>
      <c r="I3526">
        <v>-64</v>
      </c>
      <c r="J3526">
        <v>150</v>
      </c>
      <c r="K3526">
        <v>64</v>
      </c>
      <c r="L3526">
        <v>1200</v>
      </c>
      <c r="M3526" t="str">
        <f t="shared" si="374"/>
        <v xml:space="preserve">N35DC   </v>
      </c>
      <c r="N3526">
        <v>1</v>
      </c>
      <c r="O3526">
        <v>1650</v>
      </c>
    </row>
    <row r="3527" spans="1:15" x14ac:dyDescent="0.25">
      <c r="A3527" t="str">
        <f>"10/21/2020 18:39:20.349"</f>
        <v>10/21/2020 18:39:20.349</v>
      </c>
      <c r="B3527" t="str">
        <f>"18:39:28.297"</f>
        <v>18:39:28.297</v>
      </c>
      <c r="C3527" t="str">
        <f>"18:39:27.897"</f>
        <v>18:39:27.897</v>
      </c>
      <c r="D3527" t="s">
        <v>1365</v>
      </c>
      <c r="E3527">
        <v>30.926749999999998</v>
      </c>
      <c r="F3527" t="s">
        <v>1366</v>
      </c>
      <c r="G3527">
        <v>-89.932387000000006</v>
      </c>
      <c r="H3527">
        <v>1600</v>
      </c>
      <c r="I3527">
        <v>-64</v>
      </c>
      <c r="J3527">
        <v>150</v>
      </c>
      <c r="K3527">
        <v>64</v>
      </c>
      <c r="L3527">
        <v>1200</v>
      </c>
      <c r="M3527" t="str">
        <f t="shared" ref="M3527:M3590" si="382">"N35DC   "</f>
        <v xml:space="preserve">N35DC   </v>
      </c>
      <c r="N3527">
        <v>1</v>
      </c>
      <c r="O3527">
        <v>1650</v>
      </c>
    </row>
    <row r="3528" spans="1:15" x14ac:dyDescent="0.25">
      <c r="A3528" t="str">
        <f>"10/21/2020 18:39:20.349"</f>
        <v>10/21/2020 18:39:20.349</v>
      </c>
      <c r="B3528" t="str">
        <f>"18:39:28.297"</f>
        <v>18:39:28.297</v>
      </c>
      <c r="C3528" t="str">
        <f>"18:39:27.897"</f>
        <v>18:39:27.897</v>
      </c>
      <c r="D3528" t="s">
        <v>1365</v>
      </c>
      <c r="E3528">
        <v>30.926749999999998</v>
      </c>
      <c r="F3528" t="s">
        <v>1366</v>
      </c>
      <c r="G3528">
        <v>-89.932387000000006</v>
      </c>
      <c r="H3528">
        <v>1600</v>
      </c>
      <c r="I3528">
        <v>-64</v>
      </c>
      <c r="J3528">
        <v>150</v>
      </c>
      <c r="K3528">
        <v>64</v>
      </c>
      <c r="L3528">
        <v>1200</v>
      </c>
      <c r="M3528" t="str">
        <f t="shared" si="382"/>
        <v xml:space="preserve">N35DC   </v>
      </c>
      <c r="N3528">
        <v>1</v>
      </c>
      <c r="O3528">
        <v>1650</v>
      </c>
    </row>
    <row r="3529" spans="1:15" x14ac:dyDescent="0.25">
      <c r="A3529" t="str">
        <f>"10/21/2020 18:39:20.349"</f>
        <v>10/21/2020 18:39:20.349</v>
      </c>
      <c r="B3529" t="str">
        <f>"18:39:28.297"</f>
        <v>18:39:28.297</v>
      </c>
      <c r="C3529" t="str">
        <f>"18:39:27.897"</f>
        <v>18:39:27.897</v>
      </c>
      <c r="D3529" t="s">
        <v>1365</v>
      </c>
      <c r="E3529">
        <v>30.926749999999998</v>
      </c>
      <c r="F3529" t="s">
        <v>1366</v>
      </c>
      <c r="G3529">
        <v>-89.932387000000006</v>
      </c>
      <c r="H3529">
        <v>1600</v>
      </c>
      <c r="I3529">
        <v>-64</v>
      </c>
      <c r="J3529">
        <v>150</v>
      </c>
      <c r="K3529">
        <v>64</v>
      </c>
      <c r="L3529">
        <v>1200</v>
      </c>
      <c r="M3529" t="str">
        <f t="shared" si="382"/>
        <v xml:space="preserve">N35DC   </v>
      </c>
      <c r="N3529">
        <v>1</v>
      </c>
      <c r="O3529">
        <v>1650</v>
      </c>
    </row>
    <row r="3530" spans="1:15" x14ac:dyDescent="0.25">
      <c r="A3530" t="str">
        <f>"10/21/2020 18:39:20.349"</f>
        <v>10/21/2020 18:39:20.349</v>
      </c>
      <c r="B3530" t="str">
        <f>"18:39:28.297"</f>
        <v>18:39:28.297</v>
      </c>
      <c r="C3530" t="str">
        <f>"18:39:27.897"</f>
        <v>18:39:27.897</v>
      </c>
      <c r="D3530" t="s">
        <v>1365</v>
      </c>
      <c r="E3530">
        <v>30.926749999999998</v>
      </c>
      <c r="F3530" t="s">
        <v>1366</v>
      </c>
      <c r="G3530">
        <v>-89.932387000000006</v>
      </c>
      <c r="H3530">
        <v>1600</v>
      </c>
      <c r="I3530">
        <v>-64</v>
      </c>
      <c r="J3530">
        <v>150</v>
      </c>
      <c r="K3530">
        <v>64</v>
      </c>
      <c r="L3530">
        <v>1200</v>
      </c>
      <c r="M3530" t="str">
        <f t="shared" si="382"/>
        <v xml:space="preserve">N35DC   </v>
      </c>
      <c r="N3530">
        <v>1</v>
      </c>
      <c r="O3530">
        <v>1650</v>
      </c>
    </row>
    <row r="3531" spans="1:15" x14ac:dyDescent="0.25">
      <c r="A3531" t="str">
        <f t="shared" ref="A3531:A3536" si="383">"10/21/2020 18:39:21.428"</f>
        <v>10/21/2020 18:39:21.428</v>
      </c>
      <c r="B3531" t="str">
        <f t="shared" ref="B3531:B3536" si="384">"18:39:29.359"</f>
        <v>18:39:29.359</v>
      </c>
      <c r="C3531" t="str">
        <f t="shared" ref="C3531:C3536" si="385">"18:39:28.959"</f>
        <v>18:39:28.959</v>
      </c>
      <c r="D3531" t="s">
        <v>1367</v>
      </c>
      <c r="E3531">
        <v>30.927479000000002</v>
      </c>
      <c r="F3531" t="s">
        <v>1368</v>
      </c>
      <c r="G3531">
        <v>-89.932687000000001</v>
      </c>
      <c r="H3531">
        <v>1600</v>
      </c>
      <c r="I3531">
        <v>-58</v>
      </c>
      <c r="J3531">
        <v>151</v>
      </c>
      <c r="K3531">
        <v>384</v>
      </c>
      <c r="L3531">
        <v>1200</v>
      </c>
      <c r="M3531" t="str">
        <f t="shared" si="382"/>
        <v xml:space="preserve">N35DC   </v>
      </c>
      <c r="N3531">
        <v>1</v>
      </c>
      <c r="O3531">
        <v>1650</v>
      </c>
    </row>
    <row r="3532" spans="1:15" x14ac:dyDescent="0.25">
      <c r="A3532" t="str">
        <f t="shared" si="383"/>
        <v>10/21/2020 18:39:21.428</v>
      </c>
      <c r="B3532" t="str">
        <f t="shared" si="384"/>
        <v>18:39:29.359</v>
      </c>
      <c r="C3532" t="str">
        <f t="shared" si="385"/>
        <v>18:39:28.959</v>
      </c>
      <c r="D3532" t="s">
        <v>1367</v>
      </c>
      <c r="E3532">
        <v>30.927479000000002</v>
      </c>
      <c r="F3532" t="s">
        <v>1368</v>
      </c>
      <c r="G3532">
        <v>-89.932687000000001</v>
      </c>
      <c r="H3532">
        <v>1600</v>
      </c>
      <c r="I3532">
        <v>-58</v>
      </c>
      <c r="J3532">
        <v>151</v>
      </c>
      <c r="K3532">
        <v>384</v>
      </c>
      <c r="L3532">
        <v>1200</v>
      </c>
      <c r="M3532" t="str">
        <f t="shared" si="382"/>
        <v xml:space="preserve">N35DC   </v>
      </c>
      <c r="N3532">
        <v>1</v>
      </c>
      <c r="O3532">
        <v>1650</v>
      </c>
    </row>
    <row r="3533" spans="1:15" x14ac:dyDescent="0.25">
      <c r="A3533" t="str">
        <f t="shared" si="383"/>
        <v>10/21/2020 18:39:21.428</v>
      </c>
      <c r="B3533" t="str">
        <f t="shared" si="384"/>
        <v>18:39:29.359</v>
      </c>
      <c r="C3533" t="str">
        <f t="shared" si="385"/>
        <v>18:39:28.959</v>
      </c>
      <c r="D3533" t="s">
        <v>1367</v>
      </c>
      <c r="E3533">
        <v>30.927479000000002</v>
      </c>
      <c r="F3533" t="s">
        <v>1368</v>
      </c>
      <c r="G3533">
        <v>-89.932687000000001</v>
      </c>
      <c r="H3533">
        <v>1600</v>
      </c>
      <c r="I3533">
        <v>-58</v>
      </c>
      <c r="J3533">
        <v>151</v>
      </c>
      <c r="K3533">
        <v>384</v>
      </c>
      <c r="L3533">
        <v>1200</v>
      </c>
      <c r="M3533" t="str">
        <f t="shared" si="382"/>
        <v xml:space="preserve">N35DC   </v>
      </c>
      <c r="N3533">
        <v>1</v>
      </c>
      <c r="O3533">
        <v>1650</v>
      </c>
    </row>
    <row r="3534" spans="1:15" x14ac:dyDescent="0.25">
      <c r="A3534" t="str">
        <f t="shared" si="383"/>
        <v>10/21/2020 18:39:21.428</v>
      </c>
      <c r="B3534" t="str">
        <f t="shared" si="384"/>
        <v>18:39:29.359</v>
      </c>
      <c r="C3534" t="str">
        <f t="shared" si="385"/>
        <v>18:39:28.959</v>
      </c>
      <c r="D3534" t="s">
        <v>1367</v>
      </c>
      <c r="E3534">
        <v>30.927479000000002</v>
      </c>
      <c r="F3534" t="s">
        <v>1368</v>
      </c>
      <c r="G3534">
        <v>-89.932687000000001</v>
      </c>
      <c r="H3534">
        <v>1600</v>
      </c>
      <c r="I3534">
        <v>-58</v>
      </c>
      <c r="J3534">
        <v>151</v>
      </c>
      <c r="K3534">
        <v>384</v>
      </c>
      <c r="L3534">
        <v>1200</v>
      </c>
      <c r="M3534" t="str">
        <f t="shared" si="382"/>
        <v xml:space="preserve">N35DC   </v>
      </c>
      <c r="N3534">
        <v>1</v>
      </c>
      <c r="O3534">
        <v>1650</v>
      </c>
    </row>
    <row r="3535" spans="1:15" x14ac:dyDescent="0.25">
      <c r="A3535" t="str">
        <f t="shared" si="383"/>
        <v>10/21/2020 18:39:21.428</v>
      </c>
      <c r="B3535" t="str">
        <f t="shared" si="384"/>
        <v>18:39:29.359</v>
      </c>
      <c r="C3535" t="str">
        <f t="shared" si="385"/>
        <v>18:39:28.959</v>
      </c>
      <c r="D3535" t="s">
        <v>1367</v>
      </c>
      <c r="E3535">
        <v>30.927479000000002</v>
      </c>
      <c r="F3535" t="s">
        <v>1368</v>
      </c>
      <c r="G3535">
        <v>-89.932687000000001</v>
      </c>
      <c r="H3535">
        <v>1600</v>
      </c>
      <c r="I3535">
        <v>-58</v>
      </c>
      <c r="J3535">
        <v>151</v>
      </c>
      <c r="K3535">
        <v>384</v>
      </c>
      <c r="L3535">
        <v>1200</v>
      </c>
      <c r="M3535" t="str">
        <f t="shared" si="382"/>
        <v xml:space="preserve">N35DC   </v>
      </c>
      <c r="N3535">
        <v>1</v>
      </c>
      <c r="O3535">
        <v>1650</v>
      </c>
    </row>
    <row r="3536" spans="1:15" x14ac:dyDescent="0.25">
      <c r="A3536" t="str">
        <f t="shared" si="383"/>
        <v>10/21/2020 18:39:21.428</v>
      </c>
      <c r="B3536" t="str">
        <f t="shared" si="384"/>
        <v>18:39:29.359</v>
      </c>
      <c r="C3536" t="str">
        <f t="shared" si="385"/>
        <v>18:39:28.959</v>
      </c>
      <c r="D3536" t="s">
        <v>1367</v>
      </c>
      <c r="E3536">
        <v>30.927479000000002</v>
      </c>
      <c r="F3536" t="s">
        <v>1368</v>
      </c>
      <c r="G3536">
        <v>-89.932687000000001</v>
      </c>
      <c r="H3536">
        <v>1600</v>
      </c>
      <c r="I3536">
        <v>-58</v>
      </c>
      <c r="J3536">
        <v>151</v>
      </c>
      <c r="K3536">
        <v>384</v>
      </c>
      <c r="L3536">
        <v>1200</v>
      </c>
      <c r="M3536" t="str">
        <f t="shared" si="382"/>
        <v xml:space="preserve">N35DC   </v>
      </c>
      <c r="N3536">
        <v>1</v>
      </c>
      <c r="O3536">
        <v>1650</v>
      </c>
    </row>
    <row r="3537" spans="1:15" x14ac:dyDescent="0.25">
      <c r="A3537" t="str">
        <f t="shared" ref="A3537:A3542" si="386">"10/21/2020 18:39:23.428"</f>
        <v>10/21/2020 18:39:23.428</v>
      </c>
      <c r="B3537" t="str">
        <f t="shared" ref="B3537:B3542" si="387">"18:39:31.359"</f>
        <v>18:39:31.359</v>
      </c>
      <c r="C3537" t="str">
        <f>"18:39:30.959"</f>
        <v>18:39:30.959</v>
      </c>
      <c r="D3537" t="s">
        <v>1369</v>
      </c>
      <c r="E3537">
        <v>30.928895000000001</v>
      </c>
      <c r="F3537" t="s">
        <v>1370</v>
      </c>
      <c r="G3537">
        <v>-89.933223999999996</v>
      </c>
      <c r="H3537">
        <v>1600</v>
      </c>
      <c r="I3537">
        <v>-49</v>
      </c>
      <c r="J3537">
        <v>153</v>
      </c>
      <c r="K3537">
        <v>640</v>
      </c>
      <c r="L3537">
        <v>1200</v>
      </c>
      <c r="M3537" t="str">
        <f t="shared" si="382"/>
        <v xml:space="preserve">N35DC   </v>
      </c>
      <c r="N3537">
        <v>1</v>
      </c>
      <c r="O3537">
        <v>1675</v>
      </c>
    </row>
    <row r="3538" spans="1:15" x14ac:dyDescent="0.25">
      <c r="A3538" t="str">
        <f t="shared" si="386"/>
        <v>10/21/2020 18:39:23.428</v>
      </c>
      <c r="B3538" t="str">
        <f t="shared" si="387"/>
        <v>18:39:31.359</v>
      </c>
      <c r="C3538" t="str">
        <f>"18:39:30.959"</f>
        <v>18:39:30.959</v>
      </c>
      <c r="D3538" t="s">
        <v>1369</v>
      </c>
      <c r="E3538">
        <v>30.928895000000001</v>
      </c>
      <c r="F3538" t="s">
        <v>1370</v>
      </c>
      <c r="G3538">
        <v>-89.933223999999996</v>
      </c>
      <c r="H3538">
        <v>1600</v>
      </c>
      <c r="I3538">
        <v>-49</v>
      </c>
      <c r="J3538">
        <v>153</v>
      </c>
      <c r="K3538">
        <v>640</v>
      </c>
      <c r="L3538">
        <v>1200</v>
      </c>
      <c r="M3538" t="str">
        <f t="shared" si="382"/>
        <v xml:space="preserve">N35DC   </v>
      </c>
      <c r="N3538">
        <v>1</v>
      </c>
      <c r="O3538">
        <v>1675</v>
      </c>
    </row>
    <row r="3539" spans="1:15" x14ac:dyDescent="0.25">
      <c r="A3539" t="str">
        <f t="shared" si="386"/>
        <v>10/21/2020 18:39:23.428</v>
      </c>
      <c r="B3539" t="str">
        <f t="shared" si="387"/>
        <v>18:39:31.359</v>
      </c>
      <c r="C3539" t="str">
        <f>"18:39:30.959"</f>
        <v>18:39:30.959</v>
      </c>
      <c r="D3539" t="s">
        <v>1369</v>
      </c>
      <c r="E3539">
        <v>30.928895000000001</v>
      </c>
      <c r="F3539" t="s">
        <v>1370</v>
      </c>
      <c r="G3539">
        <v>-89.933223999999996</v>
      </c>
      <c r="H3539">
        <v>1600</v>
      </c>
      <c r="I3539">
        <v>-49</v>
      </c>
      <c r="J3539">
        <v>153</v>
      </c>
      <c r="K3539">
        <v>640</v>
      </c>
      <c r="L3539">
        <v>1200</v>
      </c>
      <c r="M3539" t="str">
        <f t="shared" si="382"/>
        <v xml:space="preserve">N35DC   </v>
      </c>
      <c r="N3539">
        <v>1</v>
      </c>
      <c r="O3539">
        <v>1675</v>
      </c>
    </row>
    <row r="3540" spans="1:15" x14ac:dyDescent="0.25">
      <c r="A3540" t="str">
        <f t="shared" si="386"/>
        <v>10/21/2020 18:39:23.428</v>
      </c>
      <c r="B3540" t="str">
        <f t="shared" si="387"/>
        <v>18:39:31.359</v>
      </c>
      <c r="C3540" t="str">
        <f>"18:39:30.359"</f>
        <v>18:39:30.359</v>
      </c>
      <c r="D3540" t="s">
        <v>1369</v>
      </c>
      <c r="E3540">
        <v>30.928895000000001</v>
      </c>
      <c r="F3540" t="s">
        <v>1370</v>
      </c>
      <c r="G3540">
        <v>-89.933223999999996</v>
      </c>
      <c r="H3540">
        <v>1600</v>
      </c>
      <c r="I3540">
        <v>-52</v>
      </c>
      <c r="J3540">
        <v>152</v>
      </c>
      <c r="K3540">
        <v>576</v>
      </c>
      <c r="L3540">
        <v>1200</v>
      </c>
      <c r="M3540" t="str">
        <f t="shared" si="382"/>
        <v xml:space="preserve">N35DC   </v>
      </c>
      <c r="N3540">
        <v>1</v>
      </c>
      <c r="O3540">
        <v>1675</v>
      </c>
    </row>
    <row r="3541" spans="1:15" x14ac:dyDescent="0.25">
      <c r="A3541" t="str">
        <f t="shared" si="386"/>
        <v>10/21/2020 18:39:23.428</v>
      </c>
      <c r="B3541" t="str">
        <f t="shared" si="387"/>
        <v>18:39:31.359</v>
      </c>
      <c r="C3541" t="str">
        <f>"18:39:30.959"</f>
        <v>18:39:30.959</v>
      </c>
      <c r="D3541" t="s">
        <v>1369</v>
      </c>
      <c r="E3541">
        <v>30.928895000000001</v>
      </c>
      <c r="F3541" t="s">
        <v>1370</v>
      </c>
      <c r="G3541">
        <v>-89.933223999999996</v>
      </c>
      <c r="H3541">
        <v>1600</v>
      </c>
      <c r="I3541">
        <v>-49</v>
      </c>
      <c r="J3541">
        <v>153</v>
      </c>
      <c r="K3541">
        <v>640</v>
      </c>
      <c r="L3541">
        <v>1200</v>
      </c>
      <c r="M3541" t="str">
        <f t="shared" si="382"/>
        <v xml:space="preserve">N35DC   </v>
      </c>
      <c r="N3541">
        <v>1</v>
      </c>
      <c r="O3541">
        <v>1675</v>
      </c>
    </row>
    <row r="3542" spans="1:15" x14ac:dyDescent="0.25">
      <c r="A3542" t="str">
        <f t="shared" si="386"/>
        <v>10/21/2020 18:39:23.428</v>
      </c>
      <c r="B3542" t="str">
        <f t="shared" si="387"/>
        <v>18:39:31.359</v>
      </c>
      <c r="C3542" t="str">
        <f>"18:39:30.959"</f>
        <v>18:39:30.959</v>
      </c>
      <c r="D3542" t="s">
        <v>1369</v>
      </c>
      <c r="E3542">
        <v>30.928895000000001</v>
      </c>
      <c r="F3542" t="s">
        <v>1370</v>
      </c>
      <c r="G3542">
        <v>-89.933223999999996</v>
      </c>
      <c r="H3542">
        <v>1600</v>
      </c>
      <c r="I3542">
        <v>-49</v>
      </c>
      <c r="J3542">
        <v>153</v>
      </c>
      <c r="K3542">
        <v>640</v>
      </c>
      <c r="L3542">
        <v>1200</v>
      </c>
      <c r="M3542" t="str">
        <f t="shared" si="382"/>
        <v xml:space="preserve">N35DC   </v>
      </c>
      <c r="N3542">
        <v>1</v>
      </c>
      <c r="O3542">
        <v>1675</v>
      </c>
    </row>
    <row r="3543" spans="1:15" x14ac:dyDescent="0.25">
      <c r="A3543" t="str">
        <f>"10/21/2020 18:39:24.334"</f>
        <v>10/21/2020 18:39:24.334</v>
      </c>
      <c r="B3543" t="str">
        <f>"18:39:32.258"</f>
        <v>18:39:32.258</v>
      </c>
      <c r="C3543" t="str">
        <f>"18:39:31.558"</f>
        <v>18:39:31.558</v>
      </c>
      <c r="D3543" t="s">
        <v>1371</v>
      </c>
      <c r="E3543">
        <v>30.929538999999998</v>
      </c>
      <c r="F3543" t="s">
        <v>1372</v>
      </c>
      <c r="G3543">
        <v>-89.933481</v>
      </c>
      <c r="H3543">
        <v>1600</v>
      </c>
      <c r="I3543">
        <v>-46</v>
      </c>
      <c r="J3543">
        <v>153</v>
      </c>
      <c r="K3543">
        <v>704</v>
      </c>
      <c r="L3543">
        <v>1200</v>
      </c>
      <c r="M3543" t="str">
        <f t="shared" si="382"/>
        <v xml:space="preserve">N35DC   </v>
      </c>
      <c r="N3543">
        <v>1</v>
      </c>
      <c r="O3543">
        <v>1675</v>
      </c>
    </row>
    <row r="3544" spans="1:15" x14ac:dyDescent="0.25">
      <c r="A3544" t="str">
        <f>"10/21/2020 18:39:24.334"</f>
        <v>10/21/2020 18:39:24.334</v>
      </c>
      <c r="B3544" t="str">
        <f>"18:39:32.258"</f>
        <v>18:39:32.258</v>
      </c>
      <c r="C3544" t="str">
        <f>"18:39:31.958"</f>
        <v>18:39:31.958</v>
      </c>
      <c r="D3544" t="s">
        <v>1371</v>
      </c>
      <c r="E3544">
        <v>30.929538999999998</v>
      </c>
      <c r="F3544" t="s">
        <v>1372</v>
      </c>
      <c r="G3544">
        <v>-89.933481</v>
      </c>
      <c r="H3544">
        <v>1600</v>
      </c>
      <c r="I3544">
        <v>-45</v>
      </c>
      <c r="J3544">
        <v>153</v>
      </c>
      <c r="K3544">
        <v>704</v>
      </c>
      <c r="L3544">
        <v>1200</v>
      </c>
      <c r="M3544" t="str">
        <f t="shared" si="382"/>
        <v xml:space="preserve">N35DC   </v>
      </c>
      <c r="N3544">
        <v>1</v>
      </c>
      <c r="O3544">
        <v>1700</v>
      </c>
    </row>
    <row r="3545" spans="1:15" x14ac:dyDescent="0.25">
      <c r="A3545" t="str">
        <f>"10/21/2020 18:39:24.334"</f>
        <v>10/21/2020 18:39:24.334</v>
      </c>
      <c r="B3545" t="str">
        <f>"18:39:32.258"</f>
        <v>18:39:32.258</v>
      </c>
      <c r="C3545" t="str">
        <f>"18:39:31.558"</f>
        <v>18:39:31.558</v>
      </c>
      <c r="D3545" t="s">
        <v>1371</v>
      </c>
      <c r="E3545">
        <v>30.929538999999998</v>
      </c>
      <c r="F3545" t="s">
        <v>1372</v>
      </c>
      <c r="G3545">
        <v>-89.933481</v>
      </c>
      <c r="H3545">
        <v>1600</v>
      </c>
      <c r="I3545">
        <v>-46</v>
      </c>
      <c r="J3545">
        <v>153</v>
      </c>
      <c r="K3545">
        <v>704</v>
      </c>
      <c r="L3545">
        <v>1200</v>
      </c>
      <c r="M3545" t="str">
        <f t="shared" si="382"/>
        <v xml:space="preserve">N35DC   </v>
      </c>
      <c r="N3545">
        <v>1</v>
      </c>
      <c r="O3545">
        <v>1675</v>
      </c>
    </row>
    <row r="3546" spans="1:15" x14ac:dyDescent="0.25">
      <c r="A3546" t="str">
        <f>"10/21/2020 18:39:24.334"</f>
        <v>10/21/2020 18:39:24.334</v>
      </c>
      <c r="B3546" t="str">
        <f>"18:39:32.258"</f>
        <v>18:39:32.258</v>
      </c>
      <c r="C3546" t="str">
        <f>"18:39:31.958"</f>
        <v>18:39:31.958</v>
      </c>
      <c r="D3546" t="s">
        <v>1371</v>
      </c>
      <c r="E3546">
        <v>30.929538999999998</v>
      </c>
      <c r="F3546" t="s">
        <v>1372</v>
      </c>
      <c r="G3546">
        <v>-89.933481</v>
      </c>
      <c r="H3546">
        <v>1600</v>
      </c>
      <c r="I3546">
        <v>-45</v>
      </c>
      <c r="J3546">
        <v>153</v>
      </c>
      <c r="K3546">
        <v>704</v>
      </c>
      <c r="L3546">
        <v>1200</v>
      </c>
      <c r="M3546" t="str">
        <f t="shared" si="382"/>
        <v xml:space="preserve">N35DC   </v>
      </c>
      <c r="N3546">
        <v>1</v>
      </c>
      <c r="O3546">
        <v>1700</v>
      </c>
    </row>
    <row r="3547" spans="1:15" x14ac:dyDescent="0.25">
      <c r="A3547" t="str">
        <f>"10/21/2020 18:39:24.771"</f>
        <v>10/21/2020 18:39:24.771</v>
      </c>
      <c r="B3547" t="str">
        <f>"18:39:32.664"</f>
        <v>18:39:32.664</v>
      </c>
      <c r="C3547" t="str">
        <f>"18:39:32.464"</f>
        <v>18:39:32.464</v>
      </c>
      <c r="D3547" t="s">
        <v>1373</v>
      </c>
      <c r="E3547">
        <v>30.929818000000001</v>
      </c>
      <c r="F3547" t="s">
        <v>1374</v>
      </c>
      <c r="G3547">
        <v>-89.933524000000006</v>
      </c>
      <c r="H3547">
        <v>1600</v>
      </c>
      <c r="I3547">
        <v>-43</v>
      </c>
      <c r="J3547">
        <v>153</v>
      </c>
      <c r="K3547">
        <v>704</v>
      </c>
      <c r="L3547">
        <v>1200</v>
      </c>
      <c r="M3547" t="str">
        <f t="shared" si="382"/>
        <v xml:space="preserve">N35DC   </v>
      </c>
      <c r="N3547">
        <v>1</v>
      </c>
      <c r="O3547">
        <v>1700</v>
      </c>
    </row>
    <row r="3548" spans="1:15" x14ac:dyDescent="0.25">
      <c r="A3548" t="str">
        <f t="shared" ref="A3548:A3553" si="388">"10/21/2020 18:39:27.179"</f>
        <v>10/21/2020 18:39:27.179</v>
      </c>
      <c r="B3548" t="str">
        <f t="shared" ref="B3548:B3553" si="389">"18:39:35.125"</f>
        <v>18:39:35.125</v>
      </c>
      <c r="C3548" t="str">
        <f>"18:39:34.825"</f>
        <v>18:39:34.825</v>
      </c>
      <c r="D3548" t="s">
        <v>1375</v>
      </c>
      <c r="E3548">
        <v>30.931535</v>
      </c>
      <c r="F3548" t="s">
        <v>1376</v>
      </c>
      <c r="G3548">
        <v>-89.934017999999995</v>
      </c>
      <c r="H3548">
        <v>1700</v>
      </c>
      <c r="I3548">
        <v>-35</v>
      </c>
      <c r="J3548">
        <v>152</v>
      </c>
      <c r="K3548">
        <v>768</v>
      </c>
      <c r="L3548">
        <v>1200</v>
      </c>
      <c r="M3548" t="str">
        <f t="shared" si="382"/>
        <v xml:space="preserve">N35DC   </v>
      </c>
      <c r="N3548">
        <v>1</v>
      </c>
      <c r="O3548">
        <v>1725</v>
      </c>
    </row>
    <row r="3549" spans="1:15" x14ac:dyDescent="0.25">
      <c r="A3549" t="str">
        <f t="shared" si="388"/>
        <v>10/21/2020 18:39:27.179</v>
      </c>
      <c r="B3549" t="str">
        <f t="shared" si="389"/>
        <v>18:39:35.125</v>
      </c>
      <c r="C3549" t="str">
        <f>"18:39:34.825"</f>
        <v>18:39:34.825</v>
      </c>
      <c r="D3549" t="s">
        <v>1375</v>
      </c>
      <c r="E3549">
        <v>30.931535</v>
      </c>
      <c r="F3549" t="s">
        <v>1376</v>
      </c>
      <c r="G3549">
        <v>-89.934017999999995</v>
      </c>
      <c r="H3549">
        <v>1700</v>
      </c>
      <c r="I3549">
        <v>-35</v>
      </c>
      <c r="J3549">
        <v>152</v>
      </c>
      <c r="K3549">
        <v>768</v>
      </c>
      <c r="L3549">
        <v>1200</v>
      </c>
      <c r="M3549" t="str">
        <f t="shared" si="382"/>
        <v xml:space="preserve">N35DC   </v>
      </c>
      <c r="N3549">
        <v>1</v>
      </c>
      <c r="O3549">
        <v>1725</v>
      </c>
    </row>
    <row r="3550" spans="1:15" x14ac:dyDescent="0.25">
      <c r="A3550" t="str">
        <f t="shared" si="388"/>
        <v>10/21/2020 18:39:27.179</v>
      </c>
      <c r="B3550" t="str">
        <f t="shared" si="389"/>
        <v>18:39:35.125</v>
      </c>
      <c r="C3550" t="str">
        <f>"18:39:34.825"</f>
        <v>18:39:34.825</v>
      </c>
      <c r="D3550" t="s">
        <v>1375</v>
      </c>
      <c r="E3550">
        <v>30.931535</v>
      </c>
      <c r="F3550" t="s">
        <v>1376</v>
      </c>
      <c r="G3550">
        <v>-89.934017999999995</v>
      </c>
      <c r="H3550">
        <v>1700</v>
      </c>
      <c r="I3550">
        <v>-35</v>
      </c>
      <c r="J3550">
        <v>152</v>
      </c>
      <c r="K3550">
        <v>768</v>
      </c>
      <c r="L3550">
        <v>1200</v>
      </c>
      <c r="M3550" t="str">
        <f t="shared" si="382"/>
        <v xml:space="preserve">N35DC   </v>
      </c>
      <c r="N3550">
        <v>1</v>
      </c>
      <c r="O3550">
        <v>1725</v>
      </c>
    </row>
    <row r="3551" spans="1:15" x14ac:dyDescent="0.25">
      <c r="A3551" t="str">
        <f t="shared" si="388"/>
        <v>10/21/2020 18:39:27.179</v>
      </c>
      <c r="B3551" t="str">
        <f t="shared" si="389"/>
        <v>18:39:35.125</v>
      </c>
      <c r="C3551" t="str">
        <f>"18:39:34.825"</f>
        <v>18:39:34.825</v>
      </c>
      <c r="D3551" t="s">
        <v>1375</v>
      </c>
      <c r="E3551">
        <v>30.931535</v>
      </c>
      <c r="F3551" t="s">
        <v>1376</v>
      </c>
      <c r="G3551">
        <v>-89.934017999999995</v>
      </c>
      <c r="H3551">
        <v>1700</v>
      </c>
      <c r="I3551">
        <v>-35</v>
      </c>
      <c r="J3551">
        <v>152</v>
      </c>
      <c r="K3551">
        <v>768</v>
      </c>
      <c r="L3551">
        <v>1200</v>
      </c>
      <c r="M3551" t="str">
        <f t="shared" si="382"/>
        <v xml:space="preserve">N35DC   </v>
      </c>
      <c r="N3551">
        <v>1</v>
      </c>
      <c r="O3551">
        <v>1725</v>
      </c>
    </row>
    <row r="3552" spans="1:15" x14ac:dyDescent="0.25">
      <c r="A3552" t="str">
        <f t="shared" si="388"/>
        <v>10/21/2020 18:39:27.179</v>
      </c>
      <c r="B3552" t="str">
        <f t="shared" si="389"/>
        <v>18:39:35.125</v>
      </c>
      <c r="C3552" t="str">
        <f>"18:39:34.325"</f>
        <v>18:39:34.325</v>
      </c>
      <c r="D3552" t="s">
        <v>1375</v>
      </c>
      <c r="E3552">
        <v>30.931535</v>
      </c>
      <c r="F3552" t="s">
        <v>1376</v>
      </c>
      <c r="G3552">
        <v>-89.934017999999995</v>
      </c>
      <c r="H3552">
        <v>1700</v>
      </c>
      <c r="I3552">
        <v>-37</v>
      </c>
      <c r="J3552">
        <v>152</v>
      </c>
      <c r="K3552">
        <v>768</v>
      </c>
      <c r="L3552">
        <v>1200</v>
      </c>
      <c r="M3552" t="str">
        <f t="shared" si="382"/>
        <v xml:space="preserve">N35DC   </v>
      </c>
      <c r="N3552">
        <v>1</v>
      </c>
      <c r="O3552">
        <v>1725</v>
      </c>
    </row>
    <row r="3553" spans="1:15" x14ac:dyDescent="0.25">
      <c r="A3553" t="str">
        <f t="shared" si="388"/>
        <v>10/21/2020 18:39:27.179</v>
      </c>
      <c r="B3553" t="str">
        <f t="shared" si="389"/>
        <v>18:39:35.125</v>
      </c>
      <c r="C3553" t="str">
        <f>"18:39:34.825"</f>
        <v>18:39:34.825</v>
      </c>
      <c r="D3553" t="s">
        <v>1375</v>
      </c>
      <c r="E3553">
        <v>30.931535</v>
      </c>
      <c r="F3553" t="s">
        <v>1376</v>
      </c>
      <c r="G3553">
        <v>-89.934017999999995</v>
      </c>
      <c r="H3553">
        <v>1700</v>
      </c>
      <c r="I3553">
        <v>-35</v>
      </c>
      <c r="J3553">
        <v>152</v>
      </c>
      <c r="K3553">
        <v>768</v>
      </c>
      <c r="L3553">
        <v>1200</v>
      </c>
      <c r="M3553" t="str">
        <f t="shared" si="382"/>
        <v xml:space="preserve">N35DC   </v>
      </c>
      <c r="N3553">
        <v>1</v>
      </c>
      <c r="O3553">
        <v>1725</v>
      </c>
    </row>
    <row r="3554" spans="1:15" x14ac:dyDescent="0.25">
      <c r="A3554" t="str">
        <f>"10/21/2020 18:39:28.294"</f>
        <v>10/21/2020 18:39:28.294</v>
      </c>
      <c r="B3554" t="str">
        <f>"18:39:36.250"</f>
        <v>18:39:36.250</v>
      </c>
      <c r="C3554" t="str">
        <f>"18:39:35.850"</f>
        <v>18:39:35.850</v>
      </c>
      <c r="D3554" t="s">
        <v>1377</v>
      </c>
      <c r="E3554">
        <v>30.932328999999999</v>
      </c>
      <c r="F3554" t="s">
        <v>1378</v>
      </c>
      <c r="G3554">
        <v>-89.934189000000003</v>
      </c>
      <c r="H3554">
        <v>1700</v>
      </c>
      <c r="I3554">
        <v>-33</v>
      </c>
      <c r="J3554">
        <v>151</v>
      </c>
      <c r="K3554">
        <v>640</v>
      </c>
      <c r="L3554">
        <v>1200</v>
      </c>
      <c r="M3554" t="str">
        <f t="shared" si="382"/>
        <v xml:space="preserve">N35DC   </v>
      </c>
      <c r="N3554">
        <v>1</v>
      </c>
      <c r="O3554">
        <v>1750</v>
      </c>
    </row>
    <row r="3555" spans="1:15" x14ac:dyDescent="0.25">
      <c r="A3555" t="str">
        <f>"10/21/2020 18:39:28.294"</f>
        <v>10/21/2020 18:39:28.294</v>
      </c>
      <c r="B3555" t="str">
        <f>"18:39:36.250"</f>
        <v>18:39:36.250</v>
      </c>
      <c r="C3555" t="str">
        <f>"18:39:35.850"</f>
        <v>18:39:35.850</v>
      </c>
      <c r="D3555" t="s">
        <v>1377</v>
      </c>
      <c r="E3555">
        <v>30.932328999999999</v>
      </c>
      <c r="F3555" t="s">
        <v>1378</v>
      </c>
      <c r="G3555">
        <v>-89.934189000000003</v>
      </c>
      <c r="H3555">
        <v>1700</v>
      </c>
      <c r="I3555">
        <v>-33</v>
      </c>
      <c r="J3555">
        <v>151</v>
      </c>
      <c r="K3555">
        <v>640</v>
      </c>
      <c r="L3555">
        <v>1200</v>
      </c>
      <c r="M3555" t="str">
        <f t="shared" si="382"/>
        <v xml:space="preserve">N35DC   </v>
      </c>
      <c r="N3555">
        <v>1</v>
      </c>
      <c r="O3555">
        <v>1750</v>
      </c>
    </row>
    <row r="3556" spans="1:15" x14ac:dyDescent="0.25">
      <c r="A3556" t="str">
        <f>"10/21/2020 18:39:28.294"</f>
        <v>10/21/2020 18:39:28.294</v>
      </c>
      <c r="B3556" t="str">
        <f>"18:39:36.250"</f>
        <v>18:39:36.250</v>
      </c>
      <c r="C3556" t="str">
        <f>"18:39:35.850"</f>
        <v>18:39:35.850</v>
      </c>
      <c r="D3556" t="s">
        <v>1377</v>
      </c>
      <c r="E3556">
        <v>30.932328999999999</v>
      </c>
      <c r="F3556" t="s">
        <v>1378</v>
      </c>
      <c r="G3556">
        <v>-89.934189000000003</v>
      </c>
      <c r="H3556">
        <v>1700</v>
      </c>
      <c r="I3556">
        <v>-33</v>
      </c>
      <c r="J3556">
        <v>151</v>
      </c>
      <c r="K3556">
        <v>640</v>
      </c>
      <c r="L3556">
        <v>1200</v>
      </c>
      <c r="M3556" t="str">
        <f t="shared" si="382"/>
        <v xml:space="preserve">N35DC   </v>
      </c>
      <c r="N3556">
        <v>1</v>
      </c>
      <c r="O3556">
        <v>1750</v>
      </c>
    </row>
    <row r="3557" spans="1:15" x14ac:dyDescent="0.25">
      <c r="A3557" t="str">
        <f>"10/21/2020 18:39:28.294"</f>
        <v>10/21/2020 18:39:28.294</v>
      </c>
      <c r="B3557" t="str">
        <f>"18:39:36.250"</f>
        <v>18:39:36.250</v>
      </c>
      <c r="C3557" t="str">
        <f>"18:39:35.850"</f>
        <v>18:39:35.850</v>
      </c>
      <c r="D3557" t="s">
        <v>1377</v>
      </c>
      <c r="E3557">
        <v>30.932328999999999</v>
      </c>
      <c r="F3557" t="s">
        <v>1378</v>
      </c>
      <c r="G3557">
        <v>-89.934189000000003</v>
      </c>
      <c r="H3557">
        <v>1700</v>
      </c>
      <c r="I3557">
        <v>-33</v>
      </c>
      <c r="J3557">
        <v>151</v>
      </c>
      <c r="K3557">
        <v>640</v>
      </c>
      <c r="L3557">
        <v>1200</v>
      </c>
      <c r="M3557" t="str">
        <f t="shared" si="382"/>
        <v xml:space="preserve">N35DC   </v>
      </c>
      <c r="N3557">
        <v>1</v>
      </c>
      <c r="O3557">
        <v>1750</v>
      </c>
    </row>
    <row r="3558" spans="1:15" x14ac:dyDescent="0.25">
      <c r="A3558" t="str">
        <f>"10/21/2020 18:39:28.294"</f>
        <v>10/21/2020 18:39:28.294</v>
      </c>
      <c r="B3558" t="str">
        <f>"18:39:36.250"</f>
        <v>18:39:36.250</v>
      </c>
      <c r="C3558" t="str">
        <f>"18:39:35.850"</f>
        <v>18:39:35.850</v>
      </c>
      <c r="D3558" t="s">
        <v>1377</v>
      </c>
      <c r="E3558">
        <v>30.932328999999999</v>
      </c>
      <c r="F3558" t="s">
        <v>1378</v>
      </c>
      <c r="G3558">
        <v>-89.934189000000003</v>
      </c>
      <c r="H3558">
        <v>1700</v>
      </c>
      <c r="I3558">
        <v>-33</v>
      </c>
      <c r="J3558">
        <v>151</v>
      </c>
      <c r="K3558">
        <v>640</v>
      </c>
      <c r="L3558">
        <v>1200</v>
      </c>
      <c r="M3558" t="str">
        <f t="shared" si="382"/>
        <v xml:space="preserve">N35DC   </v>
      </c>
      <c r="N3558">
        <v>1</v>
      </c>
      <c r="O3558">
        <v>1750</v>
      </c>
    </row>
    <row r="3559" spans="1:15" x14ac:dyDescent="0.25">
      <c r="A3559" t="str">
        <f>"10/21/2020 18:39:30.455"</f>
        <v>10/21/2020 18:39:30.455</v>
      </c>
      <c r="B3559" t="str">
        <f>"18:39:38.391"</f>
        <v>18:39:38.391</v>
      </c>
      <c r="C3559" t="str">
        <f>"18:39:38.091"</f>
        <v>18:39:38.091</v>
      </c>
      <c r="D3559" t="s">
        <v>1379</v>
      </c>
      <c r="E3559">
        <v>30.933831000000001</v>
      </c>
      <c r="F3559" t="s">
        <v>1380</v>
      </c>
      <c r="G3559">
        <v>-89.934576000000007</v>
      </c>
      <c r="H3559">
        <v>1700</v>
      </c>
      <c r="I3559">
        <v>-28</v>
      </c>
      <c r="J3559">
        <v>151</v>
      </c>
      <c r="K3559">
        <v>384</v>
      </c>
      <c r="L3559">
        <v>1200</v>
      </c>
      <c r="M3559" t="str">
        <f t="shared" si="382"/>
        <v xml:space="preserve">N35DC   </v>
      </c>
      <c r="N3559">
        <v>1</v>
      </c>
      <c r="O3559">
        <v>1750</v>
      </c>
    </row>
    <row r="3560" spans="1:15" x14ac:dyDescent="0.25">
      <c r="A3560" t="str">
        <f>"10/21/2020 18:39:30.455"</f>
        <v>10/21/2020 18:39:30.455</v>
      </c>
      <c r="B3560" t="str">
        <f>"18:39:38.391"</f>
        <v>18:39:38.391</v>
      </c>
      <c r="C3560" t="str">
        <f>"18:39:38.091"</f>
        <v>18:39:38.091</v>
      </c>
      <c r="D3560" t="s">
        <v>1379</v>
      </c>
      <c r="E3560">
        <v>30.933831000000001</v>
      </c>
      <c r="F3560" t="s">
        <v>1380</v>
      </c>
      <c r="G3560">
        <v>-89.934576000000007</v>
      </c>
      <c r="H3560">
        <v>1700</v>
      </c>
      <c r="I3560">
        <v>-28</v>
      </c>
      <c r="J3560">
        <v>151</v>
      </c>
      <c r="K3560">
        <v>384</v>
      </c>
      <c r="L3560">
        <v>1200</v>
      </c>
      <c r="M3560" t="str">
        <f t="shared" si="382"/>
        <v xml:space="preserve">N35DC   </v>
      </c>
      <c r="N3560">
        <v>1</v>
      </c>
      <c r="O3560">
        <v>1750</v>
      </c>
    </row>
    <row r="3561" spans="1:15" x14ac:dyDescent="0.25">
      <c r="A3561" t="str">
        <f>"10/21/2020 18:39:30.455"</f>
        <v>10/21/2020 18:39:30.455</v>
      </c>
      <c r="B3561" t="str">
        <f>"18:39:38.391"</f>
        <v>18:39:38.391</v>
      </c>
      <c r="C3561" t="str">
        <f>"18:39:38.091"</f>
        <v>18:39:38.091</v>
      </c>
      <c r="D3561" t="s">
        <v>1379</v>
      </c>
      <c r="E3561">
        <v>30.933831000000001</v>
      </c>
      <c r="F3561" t="s">
        <v>1380</v>
      </c>
      <c r="G3561">
        <v>-89.934576000000007</v>
      </c>
      <c r="H3561">
        <v>1700</v>
      </c>
      <c r="I3561">
        <v>-28</v>
      </c>
      <c r="J3561">
        <v>151</v>
      </c>
      <c r="K3561">
        <v>384</v>
      </c>
      <c r="L3561">
        <v>1200</v>
      </c>
      <c r="M3561" t="str">
        <f t="shared" si="382"/>
        <v xml:space="preserve">N35DC   </v>
      </c>
      <c r="N3561">
        <v>1</v>
      </c>
      <c r="O3561">
        <v>1750</v>
      </c>
    </row>
    <row r="3562" spans="1:15" x14ac:dyDescent="0.25">
      <c r="A3562" t="str">
        <f>"10/21/2020 18:39:30.455"</f>
        <v>10/21/2020 18:39:30.455</v>
      </c>
      <c r="B3562" t="str">
        <f>"18:39:38.391"</f>
        <v>18:39:38.391</v>
      </c>
      <c r="C3562" t="str">
        <f>"18:39:38.091"</f>
        <v>18:39:38.091</v>
      </c>
      <c r="D3562" t="s">
        <v>1379</v>
      </c>
      <c r="E3562">
        <v>30.933831000000001</v>
      </c>
      <c r="F3562" t="s">
        <v>1380</v>
      </c>
      <c r="G3562">
        <v>-89.934576000000007</v>
      </c>
      <c r="H3562">
        <v>1700</v>
      </c>
      <c r="I3562">
        <v>-28</v>
      </c>
      <c r="J3562">
        <v>151</v>
      </c>
      <c r="K3562">
        <v>384</v>
      </c>
      <c r="L3562">
        <v>1200</v>
      </c>
      <c r="M3562" t="str">
        <f t="shared" si="382"/>
        <v xml:space="preserve">N35DC   </v>
      </c>
      <c r="N3562">
        <v>1</v>
      </c>
      <c r="O3562">
        <v>1750</v>
      </c>
    </row>
    <row r="3563" spans="1:15" x14ac:dyDescent="0.25">
      <c r="A3563" t="str">
        <f>"10/21/2020 18:39:30.455"</f>
        <v>10/21/2020 18:39:30.455</v>
      </c>
      <c r="B3563" t="str">
        <f>"18:39:38.391"</f>
        <v>18:39:38.391</v>
      </c>
      <c r="C3563" t="str">
        <f>"18:39:38.091"</f>
        <v>18:39:38.091</v>
      </c>
      <c r="D3563" t="s">
        <v>1379</v>
      </c>
      <c r="E3563">
        <v>30.933831000000001</v>
      </c>
      <c r="F3563" t="s">
        <v>1380</v>
      </c>
      <c r="G3563">
        <v>-89.934576000000007</v>
      </c>
      <c r="H3563">
        <v>1700</v>
      </c>
      <c r="I3563">
        <v>-28</v>
      </c>
      <c r="J3563">
        <v>151</v>
      </c>
      <c r="K3563">
        <v>384</v>
      </c>
      <c r="L3563">
        <v>1200</v>
      </c>
      <c r="M3563" t="str">
        <f t="shared" si="382"/>
        <v xml:space="preserve">N35DC   </v>
      </c>
      <c r="N3563">
        <v>1</v>
      </c>
      <c r="O3563">
        <v>1750</v>
      </c>
    </row>
    <row r="3564" spans="1:15" x14ac:dyDescent="0.25">
      <c r="A3564" t="str">
        <f t="shared" ref="A3564:A3569" si="390">"10/21/2020 18:39:31.429"</f>
        <v>10/21/2020 18:39:31.429</v>
      </c>
      <c r="B3564" t="str">
        <f t="shared" ref="B3564:B3569" si="391">"18:39:39.383"</f>
        <v>18:39:39.383</v>
      </c>
      <c r="C3564" t="str">
        <f t="shared" ref="C3564:C3569" si="392">"18:39:38.983"</f>
        <v>18:39:38.983</v>
      </c>
      <c r="D3564" t="s">
        <v>1381</v>
      </c>
      <c r="E3564">
        <v>30.934517</v>
      </c>
      <c r="F3564" t="s">
        <v>1382</v>
      </c>
      <c r="G3564">
        <v>-89.934683000000007</v>
      </c>
      <c r="H3564">
        <v>1700</v>
      </c>
      <c r="I3564">
        <v>-27</v>
      </c>
      <c r="J3564">
        <v>151</v>
      </c>
      <c r="K3564">
        <v>256</v>
      </c>
      <c r="L3564">
        <v>1200</v>
      </c>
      <c r="M3564" t="str">
        <f t="shared" si="382"/>
        <v xml:space="preserve">N35DC   </v>
      </c>
      <c r="N3564">
        <v>1</v>
      </c>
      <c r="O3564">
        <v>1775</v>
      </c>
    </row>
    <row r="3565" spans="1:15" x14ac:dyDescent="0.25">
      <c r="A3565" t="str">
        <f t="shared" si="390"/>
        <v>10/21/2020 18:39:31.429</v>
      </c>
      <c r="B3565" t="str">
        <f t="shared" si="391"/>
        <v>18:39:39.383</v>
      </c>
      <c r="C3565" t="str">
        <f t="shared" si="392"/>
        <v>18:39:38.983</v>
      </c>
      <c r="D3565" t="s">
        <v>1381</v>
      </c>
      <c r="E3565">
        <v>30.934517</v>
      </c>
      <c r="F3565" t="s">
        <v>1382</v>
      </c>
      <c r="G3565">
        <v>-89.934683000000007</v>
      </c>
      <c r="H3565">
        <v>1700</v>
      </c>
      <c r="I3565">
        <v>-27</v>
      </c>
      <c r="J3565">
        <v>151</v>
      </c>
      <c r="K3565">
        <v>256</v>
      </c>
      <c r="L3565">
        <v>1200</v>
      </c>
      <c r="M3565" t="str">
        <f t="shared" si="382"/>
        <v xml:space="preserve">N35DC   </v>
      </c>
      <c r="N3565">
        <v>1</v>
      </c>
      <c r="O3565">
        <v>1775</v>
      </c>
    </row>
    <row r="3566" spans="1:15" x14ac:dyDescent="0.25">
      <c r="A3566" t="str">
        <f t="shared" si="390"/>
        <v>10/21/2020 18:39:31.429</v>
      </c>
      <c r="B3566" t="str">
        <f t="shared" si="391"/>
        <v>18:39:39.383</v>
      </c>
      <c r="C3566" t="str">
        <f t="shared" si="392"/>
        <v>18:39:38.983</v>
      </c>
      <c r="D3566" t="s">
        <v>1381</v>
      </c>
      <c r="E3566">
        <v>30.934517</v>
      </c>
      <c r="F3566" t="s">
        <v>1382</v>
      </c>
      <c r="G3566">
        <v>-89.934683000000007</v>
      </c>
      <c r="H3566">
        <v>1700</v>
      </c>
      <c r="I3566">
        <v>-27</v>
      </c>
      <c r="J3566">
        <v>151</v>
      </c>
      <c r="K3566">
        <v>256</v>
      </c>
      <c r="L3566">
        <v>1200</v>
      </c>
      <c r="M3566" t="str">
        <f t="shared" si="382"/>
        <v xml:space="preserve">N35DC   </v>
      </c>
      <c r="N3566">
        <v>1</v>
      </c>
      <c r="O3566">
        <v>1775</v>
      </c>
    </row>
    <row r="3567" spans="1:15" x14ac:dyDescent="0.25">
      <c r="A3567" t="str">
        <f t="shared" si="390"/>
        <v>10/21/2020 18:39:31.429</v>
      </c>
      <c r="B3567" t="str">
        <f t="shared" si="391"/>
        <v>18:39:39.383</v>
      </c>
      <c r="C3567" t="str">
        <f t="shared" si="392"/>
        <v>18:39:38.983</v>
      </c>
      <c r="D3567" t="s">
        <v>1381</v>
      </c>
      <c r="E3567">
        <v>30.934517</v>
      </c>
      <c r="F3567" t="s">
        <v>1382</v>
      </c>
      <c r="G3567">
        <v>-89.934683000000007</v>
      </c>
      <c r="H3567">
        <v>1700</v>
      </c>
      <c r="I3567">
        <v>-27</v>
      </c>
      <c r="J3567">
        <v>151</v>
      </c>
      <c r="K3567">
        <v>256</v>
      </c>
      <c r="L3567">
        <v>1200</v>
      </c>
      <c r="M3567" t="str">
        <f t="shared" si="382"/>
        <v xml:space="preserve">N35DC   </v>
      </c>
      <c r="N3567">
        <v>1</v>
      </c>
      <c r="O3567">
        <v>1775</v>
      </c>
    </row>
    <row r="3568" spans="1:15" x14ac:dyDescent="0.25">
      <c r="A3568" t="str">
        <f t="shared" si="390"/>
        <v>10/21/2020 18:39:31.429</v>
      </c>
      <c r="B3568" t="str">
        <f t="shared" si="391"/>
        <v>18:39:39.383</v>
      </c>
      <c r="C3568" t="str">
        <f t="shared" si="392"/>
        <v>18:39:38.983</v>
      </c>
      <c r="D3568" t="s">
        <v>1381</v>
      </c>
      <c r="E3568">
        <v>30.934517</v>
      </c>
      <c r="F3568" t="s">
        <v>1382</v>
      </c>
      <c r="G3568">
        <v>-89.934683000000007</v>
      </c>
      <c r="H3568">
        <v>1700</v>
      </c>
      <c r="I3568">
        <v>-27</v>
      </c>
      <c r="J3568">
        <v>151</v>
      </c>
      <c r="K3568">
        <v>256</v>
      </c>
      <c r="L3568">
        <v>1200</v>
      </c>
      <c r="M3568" t="str">
        <f t="shared" si="382"/>
        <v xml:space="preserve">N35DC   </v>
      </c>
      <c r="N3568">
        <v>1</v>
      </c>
      <c r="O3568">
        <v>1775</v>
      </c>
    </row>
    <row r="3569" spans="1:15" x14ac:dyDescent="0.25">
      <c r="A3569" t="str">
        <f t="shared" si="390"/>
        <v>10/21/2020 18:39:31.429</v>
      </c>
      <c r="B3569" t="str">
        <f t="shared" si="391"/>
        <v>18:39:39.383</v>
      </c>
      <c r="C3569" t="str">
        <f t="shared" si="392"/>
        <v>18:39:38.983</v>
      </c>
      <c r="D3569" t="s">
        <v>1381</v>
      </c>
      <c r="E3569">
        <v>30.934517</v>
      </c>
      <c r="F3569" t="s">
        <v>1382</v>
      </c>
      <c r="G3569">
        <v>-89.934683000000007</v>
      </c>
      <c r="H3569">
        <v>1700</v>
      </c>
      <c r="I3569">
        <v>-27</v>
      </c>
      <c r="J3569">
        <v>151</v>
      </c>
      <c r="K3569">
        <v>256</v>
      </c>
      <c r="L3569">
        <v>1200</v>
      </c>
      <c r="M3569" t="str">
        <f t="shared" si="382"/>
        <v xml:space="preserve">N35DC   </v>
      </c>
      <c r="N3569">
        <v>1</v>
      </c>
      <c r="O3569">
        <v>1775</v>
      </c>
    </row>
    <row r="3570" spans="1:15" x14ac:dyDescent="0.25">
      <c r="A3570" t="str">
        <f>"10/21/2020 18:39:33.927"</f>
        <v>10/21/2020 18:39:33.927</v>
      </c>
      <c r="B3570" t="str">
        <f>"18:39:41.844"</f>
        <v>18:39:41.844</v>
      </c>
      <c r="C3570" t="str">
        <f>"18:39:41.544"</f>
        <v>18:39:41.544</v>
      </c>
      <c r="D3570" t="s">
        <v>1383</v>
      </c>
      <c r="E3570">
        <v>30.936233999999999</v>
      </c>
      <c r="F3570" t="s">
        <v>1384</v>
      </c>
      <c r="G3570">
        <v>-89.935025999999993</v>
      </c>
      <c r="H3570">
        <v>1700</v>
      </c>
      <c r="I3570">
        <v>-23</v>
      </c>
      <c r="J3570">
        <v>152</v>
      </c>
      <c r="K3570">
        <v>-192</v>
      </c>
      <c r="L3570">
        <v>1200</v>
      </c>
      <c r="M3570" t="str">
        <f t="shared" si="382"/>
        <v xml:space="preserve">N35DC   </v>
      </c>
      <c r="N3570">
        <v>1</v>
      </c>
      <c r="O3570">
        <v>1775</v>
      </c>
    </row>
    <row r="3571" spans="1:15" x14ac:dyDescent="0.25">
      <c r="A3571" t="str">
        <f>"10/21/2020 18:39:34.320"</f>
        <v>10/21/2020 18:39:34.320</v>
      </c>
      <c r="B3571" t="str">
        <f>"18:39:42.273"</f>
        <v>18:39:42.273</v>
      </c>
      <c r="C3571" t="str">
        <f>"18:39:42.073"</f>
        <v>18:39:42.073</v>
      </c>
      <c r="D3571" t="s">
        <v>1385</v>
      </c>
      <c r="E3571">
        <v>30.936577</v>
      </c>
      <c r="F3571" t="s">
        <v>1386</v>
      </c>
      <c r="G3571">
        <v>-89.935068999999999</v>
      </c>
      <c r="H3571">
        <v>1700</v>
      </c>
      <c r="I3571">
        <v>-21</v>
      </c>
      <c r="J3571">
        <v>152</v>
      </c>
      <c r="K3571">
        <v>-192</v>
      </c>
      <c r="L3571">
        <v>1200</v>
      </c>
      <c r="M3571" t="str">
        <f t="shared" si="382"/>
        <v xml:space="preserve">N35DC   </v>
      </c>
      <c r="N3571">
        <v>1</v>
      </c>
      <c r="O3571">
        <v>1750</v>
      </c>
    </row>
    <row r="3572" spans="1:15" x14ac:dyDescent="0.25">
      <c r="A3572" t="str">
        <f>"10/21/2020 18:39:34.320"</f>
        <v>10/21/2020 18:39:34.320</v>
      </c>
      <c r="B3572" t="str">
        <f>"18:39:42.273"</f>
        <v>18:39:42.273</v>
      </c>
      <c r="C3572" t="str">
        <f>"18:39:41.073"</f>
        <v>18:39:41.073</v>
      </c>
      <c r="D3572" t="s">
        <v>1385</v>
      </c>
      <c r="E3572">
        <v>30.936577</v>
      </c>
      <c r="F3572" t="s">
        <v>1386</v>
      </c>
      <c r="G3572">
        <v>-89.935068999999999</v>
      </c>
      <c r="H3572">
        <v>1700</v>
      </c>
      <c r="I3572">
        <v>-24</v>
      </c>
      <c r="J3572">
        <v>151</v>
      </c>
      <c r="K3572">
        <v>-192</v>
      </c>
      <c r="L3572">
        <v>1200</v>
      </c>
      <c r="M3572" t="str">
        <f t="shared" si="382"/>
        <v xml:space="preserve">N35DC   </v>
      </c>
      <c r="N3572">
        <v>1</v>
      </c>
      <c r="O3572">
        <v>1775</v>
      </c>
    </row>
    <row r="3573" spans="1:15" x14ac:dyDescent="0.25">
      <c r="A3573" t="str">
        <f>"10/21/2020 18:39:34.320"</f>
        <v>10/21/2020 18:39:34.320</v>
      </c>
      <c r="B3573" t="str">
        <f>"18:39:42.273"</f>
        <v>18:39:42.273</v>
      </c>
      <c r="C3573" t="str">
        <f>"18:39:42.073"</f>
        <v>18:39:42.073</v>
      </c>
      <c r="D3573" t="s">
        <v>1385</v>
      </c>
      <c r="E3573">
        <v>30.936577</v>
      </c>
      <c r="F3573" t="s">
        <v>1386</v>
      </c>
      <c r="G3573">
        <v>-89.935068999999999</v>
      </c>
      <c r="H3573">
        <v>1700</v>
      </c>
      <c r="I3573">
        <v>-21</v>
      </c>
      <c r="J3573">
        <v>152</v>
      </c>
      <c r="K3573">
        <v>-192</v>
      </c>
      <c r="L3573">
        <v>1200</v>
      </c>
      <c r="M3573" t="str">
        <f t="shared" si="382"/>
        <v xml:space="preserve">N35DC   </v>
      </c>
      <c r="N3573">
        <v>1</v>
      </c>
      <c r="O3573">
        <v>1750</v>
      </c>
    </row>
    <row r="3574" spans="1:15" x14ac:dyDescent="0.25">
      <c r="A3574" t="str">
        <f>"10/21/2020 18:39:34.320"</f>
        <v>10/21/2020 18:39:34.320</v>
      </c>
      <c r="B3574" t="str">
        <f>"18:39:42.273"</f>
        <v>18:39:42.273</v>
      </c>
      <c r="C3574" t="str">
        <f>"18:39:42.073"</f>
        <v>18:39:42.073</v>
      </c>
      <c r="D3574" t="s">
        <v>1385</v>
      </c>
      <c r="E3574">
        <v>30.936577</v>
      </c>
      <c r="F3574" t="s">
        <v>1386</v>
      </c>
      <c r="G3574">
        <v>-89.935068999999999</v>
      </c>
      <c r="H3574">
        <v>1700</v>
      </c>
      <c r="I3574">
        <v>-21</v>
      </c>
      <c r="J3574">
        <v>152</v>
      </c>
      <c r="K3574">
        <v>-192</v>
      </c>
      <c r="L3574">
        <v>1200</v>
      </c>
      <c r="M3574" t="str">
        <f t="shared" si="382"/>
        <v xml:space="preserve">N35DC   </v>
      </c>
      <c r="N3574">
        <v>1</v>
      </c>
      <c r="O3574">
        <v>1750</v>
      </c>
    </row>
    <row r="3575" spans="1:15" x14ac:dyDescent="0.25">
      <c r="A3575" t="str">
        <f>"10/21/2020 18:39:34.320"</f>
        <v>10/21/2020 18:39:34.320</v>
      </c>
      <c r="B3575" t="str">
        <f>"18:39:42.273"</f>
        <v>18:39:42.273</v>
      </c>
      <c r="C3575" t="str">
        <f>"18:39:42.073"</f>
        <v>18:39:42.073</v>
      </c>
      <c r="D3575" t="s">
        <v>1385</v>
      </c>
      <c r="E3575">
        <v>30.936577</v>
      </c>
      <c r="F3575" t="s">
        <v>1386</v>
      </c>
      <c r="G3575">
        <v>-89.935068999999999</v>
      </c>
      <c r="H3575">
        <v>1700</v>
      </c>
      <c r="I3575">
        <v>-21</v>
      </c>
      <c r="J3575">
        <v>152</v>
      </c>
      <c r="K3575">
        <v>-192</v>
      </c>
      <c r="L3575">
        <v>1200</v>
      </c>
      <c r="M3575" t="str">
        <f t="shared" si="382"/>
        <v xml:space="preserve">N35DC   </v>
      </c>
      <c r="N3575">
        <v>1</v>
      </c>
      <c r="O3575">
        <v>1750</v>
      </c>
    </row>
    <row r="3576" spans="1:15" x14ac:dyDescent="0.25">
      <c r="A3576" t="str">
        <f>"10/21/2020 18:39:34.997"</f>
        <v>10/21/2020 18:39:34.997</v>
      </c>
      <c r="B3576" t="str">
        <f>"18:39:42.859"</f>
        <v>18:39:42.859</v>
      </c>
      <c r="C3576" t="str">
        <f>"18:39:42.459"</f>
        <v>18:39:42.459</v>
      </c>
      <c r="D3576" t="s">
        <v>1387</v>
      </c>
      <c r="E3576">
        <v>30.937006</v>
      </c>
      <c r="F3576" t="s">
        <v>1388</v>
      </c>
      <c r="G3576">
        <v>-89.935112000000004</v>
      </c>
      <c r="H3576">
        <v>1700</v>
      </c>
      <c r="I3576">
        <v>-20</v>
      </c>
      <c r="J3576">
        <v>152</v>
      </c>
      <c r="K3576">
        <v>-192</v>
      </c>
      <c r="L3576">
        <v>1200</v>
      </c>
      <c r="M3576" t="str">
        <f t="shared" si="382"/>
        <v xml:space="preserve">N35DC   </v>
      </c>
      <c r="N3576">
        <v>1</v>
      </c>
      <c r="O3576">
        <v>1750</v>
      </c>
    </row>
    <row r="3577" spans="1:15" x14ac:dyDescent="0.25">
      <c r="A3577" t="str">
        <f>"10/21/2020 18:39:35.520"</f>
        <v>10/21/2020 18:39:35.520</v>
      </c>
      <c r="B3577" t="str">
        <f>"18:39:43.461"</f>
        <v>18:39:43.461</v>
      </c>
      <c r="C3577" t="str">
        <f>"18:39:43.461"</f>
        <v>18:39:43.461</v>
      </c>
      <c r="D3577" t="s">
        <v>1389</v>
      </c>
      <c r="E3577">
        <v>30.937414</v>
      </c>
      <c r="F3577" t="s">
        <v>1390</v>
      </c>
      <c r="G3577">
        <v>-89.935175999999998</v>
      </c>
      <c r="H3577">
        <v>1700</v>
      </c>
      <c r="I3577">
        <v>-17</v>
      </c>
      <c r="J3577">
        <v>153</v>
      </c>
      <c r="K3577">
        <v>-320</v>
      </c>
      <c r="L3577">
        <v>1200</v>
      </c>
      <c r="M3577" t="str">
        <f t="shared" si="382"/>
        <v xml:space="preserve">N35DC   </v>
      </c>
      <c r="N3577">
        <v>1</v>
      </c>
      <c r="O3577">
        <v>1750</v>
      </c>
    </row>
    <row r="3578" spans="1:15" x14ac:dyDescent="0.25">
      <c r="A3578" t="str">
        <f>"10/21/2020 18:39:35.520"</f>
        <v>10/21/2020 18:39:35.520</v>
      </c>
      <c r="B3578" t="str">
        <f>"18:39:43.461"</f>
        <v>18:39:43.461</v>
      </c>
      <c r="C3578" t="str">
        <f>"18:39:43.461"</f>
        <v>18:39:43.461</v>
      </c>
      <c r="D3578" t="s">
        <v>1389</v>
      </c>
      <c r="E3578">
        <v>30.937414</v>
      </c>
      <c r="F3578" t="s">
        <v>1390</v>
      </c>
      <c r="G3578">
        <v>-89.935175999999998</v>
      </c>
      <c r="H3578">
        <v>1700</v>
      </c>
      <c r="I3578">
        <v>-17</v>
      </c>
      <c r="J3578">
        <v>153</v>
      </c>
      <c r="K3578">
        <v>-320</v>
      </c>
      <c r="L3578">
        <v>1200</v>
      </c>
      <c r="M3578" t="str">
        <f t="shared" si="382"/>
        <v xml:space="preserve">N35DC   </v>
      </c>
      <c r="N3578">
        <v>1</v>
      </c>
      <c r="O3578">
        <v>1750</v>
      </c>
    </row>
    <row r="3579" spans="1:15" x14ac:dyDescent="0.25">
      <c r="A3579" t="str">
        <f>"10/21/2020 18:39:35.520"</f>
        <v>10/21/2020 18:39:35.520</v>
      </c>
      <c r="B3579" t="str">
        <f>"18:39:43.461"</f>
        <v>18:39:43.461</v>
      </c>
      <c r="C3579" t="str">
        <f>"18:39:43.061"</f>
        <v>18:39:43.061</v>
      </c>
      <c r="D3579" t="s">
        <v>1389</v>
      </c>
      <c r="E3579">
        <v>30.937414</v>
      </c>
      <c r="F3579" t="s">
        <v>1390</v>
      </c>
      <c r="G3579">
        <v>-89.935175999999998</v>
      </c>
      <c r="H3579">
        <v>1700</v>
      </c>
      <c r="I3579">
        <v>-19</v>
      </c>
      <c r="J3579">
        <v>152</v>
      </c>
      <c r="K3579">
        <v>-256</v>
      </c>
      <c r="L3579">
        <v>1200</v>
      </c>
      <c r="M3579" t="str">
        <f t="shared" si="382"/>
        <v xml:space="preserve">N35DC   </v>
      </c>
      <c r="N3579">
        <v>1</v>
      </c>
      <c r="O3579">
        <v>1750</v>
      </c>
    </row>
    <row r="3580" spans="1:15" x14ac:dyDescent="0.25">
      <c r="A3580" t="str">
        <f>"10/21/2020 18:39:35.520"</f>
        <v>10/21/2020 18:39:35.520</v>
      </c>
      <c r="B3580" t="str">
        <f>"18:39:43.461"</f>
        <v>18:39:43.461</v>
      </c>
      <c r="C3580" t="str">
        <f>"18:39:43.461"</f>
        <v>18:39:43.461</v>
      </c>
      <c r="D3580" t="s">
        <v>1389</v>
      </c>
      <c r="E3580">
        <v>30.937414</v>
      </c>
      <c r="F3580" t="s">
        <v>1390</v>
      </c>
      <c r="G3580">
        <v>-89.935175999999998</v>
      </c>
      <c r="H3580">
        <v>1700</v>
      </c>
      <c r="I3580">
        <v>-17</v>
      </c>
      <c r="J3580">
        <v>153</v>
      </c>
      <c r="K3580">
        <v>-320</v>
      </c>
      <c r="L3580">
        <v>1200</v>
      </c>
      <c r="M3580" t="str">
        <f t="shared" si="382"/>
        <v xml:space="preserve">N35DC   </v>
      </c>
      <c r="N3580">
        <v>1</v>
      </c>
      <c r="O3580">
        <v>1750</v>
      </c>
    </row>
    <row r="3581" spans="1:15" x14ac:dyDescent="0.25">
      <c r="A3581" t="str">
        <f>"10/21/2020 18:39:35.520"</f>
        <v>10/21/2020 18:39:35.520</v>
      </c>
      <c r="B3581" t="str">
        <f>"18:39:43.461"</f>
        <v>18:39:43.461</v>
      </c>
      <c r="C3581" t="str">
        <f>"18:39:43.461"</f>
        <v>18:39:43.461</v>
      </c>
      <c r="D3581" t="s">
        <v>1389</v>
      </c>
      <c r="E3581">
        <v>30.937414</v>
      </c>
      <c r="F3581" t="s">
        <v>1390</v>
      </c>
      <c r="G3581">
        <v>-89.935175999999998</v>
      </c>
      <c r="H3581">
        <v>1700</v>
      </c>
      <c r="I3581">
        <v>-17</v>
      </c>
      <c r="J3581">
        <v>153</v>
      </c>
      <c r="K3581">
        <v>-320</v>
      </c>
      <c r="L3581">
        <v>1200</v>
      </c>
      <c r="M3581" t="str">
        <f t="shared" si="382"/>
        <v xml:space="preserve">N35DC   </v>
      </c>
      <c r="N3581">
        <v>1</v>
      </c>
      <c r="O3581">
        <v>1750</v>
      </c>
    </row>
    <row r="3582" spans="1:15" x14ac:dyDescent="0.25">
      <c r="A3582" t="str">
        <f t="shared" ref="A3582:A3587" si="393">"10/21/2020 18:39:37.485"</f>
        <v>10/21/2020 18:39:37.485</v>
      </c>
      <c r="B3582" t="str">
        <f>"18:39:45.422"</f>
        <v>18:39:45.422</v>
      </c>
      <c r="C3582" t="str">
        <f>"18:39:45.022"</f>
        <v>18:39:45.022</v>
      </c>
      <c r="D3582" t="s">
        <v>1391</v>
      </c>
      <c r="E3582">
        <v>30.938808999999999</v>
      </c>
      <c r="F3582" t="s">
        <v>1392</v>
      </c>
      <c r="G3582">
        <v>-89.935283999999996</v>
      </c>
      <c r="H3582">
        <v>1700</v>
      </c>
      <c r="I3582">
        <v>-11</v>
      </c>
      <c r="J3582">
        <v>154</v>
      </c>
      <c r="K3582">
        <v>-320</v>
      </c>
      <c r="L3582">
        <v>1200</v>
      </c>
      <c r="M3582" t="str">
        <f t="shared" si="382"/>
        <v xml:space="preserve">N35DC   </v>
      </c>
      <c r="N3582">
        <v>1</v>
      </c>
      <c r="O3582">
        <v>1750</v>
      </c>
    </row>
    <row r="3583" spans="1:15" x14ac:dyDescent="0.25">
      <c r="A3583" t="str">
        <f t="shared" si="393"/>
        <v>10/21/2020 18:39:37.485</v>
      </c>
      <c r="B3583" t="str">
        <f>"18:39:45.422"</f>
        <v>18:39:45.422</v>
      </c>
      <c r="C3583" t="str">
        <f>"18:39:45.022"</f>
        <v>18:39:45.022</v>
      </c>
      <c r="D3583" t="s">
        <v>1391</v>
      </c>
      <c r="E3583">
        <v>30.938808999999999</v>
      </c>
      <c r="F3583" t="s">
        <v>1392</v>
      </c>
      <c r="G3583">
        <v>-89.935283999999996</v>
      </c>
      <c r="H3583">
        <v>1700</v>
      </c>
      <c r="I3583">
        <v>-11</v>
      </c>
      <c r="J3583">
        <v>154</v>
      </c>
      <c r="K3583">
        <v>-320</v>
      </c>
      <c r="L3583">
        <v>1200</v>
      </c>
      <c r="M3583" t="str">
        <f t="shared" si="382"/>
        <v xml:space="preserve">N35DC   </v>
      </c>
      <c r="N3583">
        <v>1</v>
      </c>
      <c r="O3583">
        <v>1750</v>
      </c>
    </row>
    <row r="3584" spans="1:15" x14ac:dyDescent="0.25">
      <c r="A3584" t="str">
        <f t="shared" si="393"/>
        <v>10/21/2020 18:39:37.485</v>
      </c>
      <c r="B3584" t="str">
        <f>"18:39:45.422"</f>
        <v>18:39:45.422</v>
      </c>
      <c r="C3584" t="str">
        <f>"18:39:45.022"</f>
        <v>18:39:45.022</v>
      </c>
      <c r="D3584" t="s">
        <v>1391</v>
      </c>
      <c r="E3584">
        <v>30.938808999999999</v>
      </c>
      <c r="F3584" t="s">
        <v>1392</v>
      </c>
      <c r="G3584">
        <v>-89.935283999999996</v>
      </c>
      <c r="H3584">
        <v>1700</v>
      </c>
      <c r="I3584">
        <v>-11</v>
      </c>
      <c r="J3584">
        <v>154</v>
      </c>
      <c r="K3584">
        <v>-320</v>
      </c>
      <c r="L3584">
        <v>1200</v>
      </c>
      <c r="M3584" t="str">
        <f t="shared" si="382"/>
        <v xml:space="preserve">N35DC   </v>
      </c>
      <c r="N3584">
        <v>1</v>
      </c>
      <c r="O3584">
        <v>1750</v>
      </c>
    </row>
    <row r="3585" spans="1:15" x14ac:dyDescent="0.25">
      <c r="A3585" t="str">
        <f t="shared" si="393"/>
        <v>10/21/2020 18:39:37.485</v>
      </c>
      <c r="B3585" t="str">
        <f>"18:39:45.430"</f>
        <v>18:39:45.430</v>
      </c>
      <c r="C3585" t="str">
        <f>"18:39:45.030"</f>
        <v>18:39:45.030</v>
      </c>
      <c r="D3585" t="s">
        <v>1391</v>
      </c>
      <c r="E3585">
        <v>30.938808999999999</v>
      </c>
      <c r="F3585" t="s">
        <v>1392</v>
      </c>
      <c r="G3585">
        <v>-89.935283999999996</v>
      </c>
      <c r="H3585">
        <v>1700</v>
      </c>
      <c r="I3585">
        <v>-11</v>
      </c>
      <c r="J3585">
        <v>154</v>
      </c>
      <c r="K3585">
        <v>-320</v>
      </c>
      <c r="L3585">
        <v>1200</v>
      </c>
      <c r="M3585" t="str">
        <f t="shared" si="382"/>
        <v xml:space="preserve">N35DC   </v>
      </c>
      <c r="N3585">
        <v>1</v>
      </c>
      <c r="O3585">
        <v>1750</v>
      </c>
    </row>
    <row r="3586" spans="1:15" x14ac:dyDescent="0.25">
      <c r="A3586" t="str">
        <f t="shared" si="393"/>
        <v>10/21/2020 18:39:37.485</v>
      </c>
      <c r="B3586" t="str">
        <f>"18:39:45.422"</f>
        <v>18:39:45.422</v>
      </c>
      <c r="C3586" t="str">
        <f>"18:39:45.022"</f>
        <v>18:39:45.022</v>
      </c>
      <c r="D3586" t="s">
        <v>1391</v>
      </c>
      <c r="E3586">
        <v>30.938808999999999</v>
      </c>
      <c r="F3586" t="s">
        <v>1392</v>
      </c>
      <c r="G3586">
        <v>-89.935283999999996</v>
      </c>
      <c r="H3586">
        <v>1700</v>
      </c>
      <c r="I3586">
        <v>-11</v>
      </c>
      <c r="J3586">
        <v>154</v>
      </c>
      <c r="K3586">
        <v>-320</v>
      </c>
      <c r="L3586">
        <v>1200</v>
      </c>
      <c r="M3586" t="str">
        <f t="shared" si="382"/>
        <v xml:space="preserve">N35DC   </v>
      </c>
      <c r="N3586">
        <v>1</v>
      </c>
      <c r="O3586">
        <v>1750</v>
      </c>
    </row>
    <row r="3587" spans="1:15" x14ac:dyDescent="0.25">
      <c r="A3587" t="str">
        <f t="shared" si="393"/>
        <v>10/21/2020 18:39:37.485</v>
      </c>
      <c r="B3587" t="str">
        <f>"18:39:45.422"</f>
        <v>18:39:45.422</v>
      </c>
      <c r="C3587" t="str">
        <f>"18:39:45.022"</f>
        <v>18:39:45.022</v>
      </c>
      <c r="D3587" t="s">
        <v>1391</v>
      </c>
      <c r="E3587">
        <v>30.938808999999999</v>
      </c>
      <c r="F3587" t="s">
        <v>1392</v>
      </c>
      <c r="G3587">
        <v>-89.935283999999996</v>
      </c>
      <c r="H3587">
        <v>1700</v>
      </c>
      <c r="I3587">
        <v>-11</v>
      </c>
      <c r="J3587">
        <v>154</v>
      </c>
      <c r="K3587">
        <v>-320</v>
      </c>
      <c r="L3587">
        <v>1200</v>
      </c>
      <c r="M3587" t="str">
        <f t="shared" si="382"/>
        <v xml:space="preserve">N35DC   </v>
      </c>
      <c r="N3587">
        <v>1</v>
      </c>
      <c r="O3587">
        <v>1750</v>
      </c>
    </row>
    <row r="3588" spans="1:15" x14ac:dyDescent="0.25">
      <c r="A3588" t="str">
        <f>"10/21/2020 18:39:38.393"</f>
        <v>10/21/2020 18:39:38.393</v>
      </c>
      <c r="B3588" t="str">
        <f>"18:39:46.328"</f>
        <v>18:39:46.328</v>
      </c>
      <c r="C3588" t="str">
        <f>"18:39:46.128"</f>
        <v>18:39:46.128</v>
      </c>
      <c r="D3588" t="s">
        <v>1393</v>
      </c>
      <c r="E3588">
        <v>30.939453</v>
      </c>
      <c r="F3588" t="s">
        <v>1394</v>
      </c>
      <c r="G3588">
        <v>-89.935348000000005</v>
      </c>
      <c r="H3588">
        <v>1700</v>
      </c>
      <c r="I3588">
        <v>-6</v>
      </c>
      <c r="J3588">
        <v>154</v>
      </c>
      <c r="K3588">
        <v>-448</v>
      </c>
      <c r="L3588">
        <v>1200</v>
      </c>
      <c r="M3588" t="str">
        <f t="shared" si="382"/>
        <v xml:space="preserve">N35DC   </v>
      </c>
      <c r="N3588">
        <v>1</v>
      </c>
      <c r="O3588">
        <v>1750</v>
      </c>
    </row>
    <row r="3589" spans="1:15" x14ac:dyDescent="0.25">
      <c r="A3589" t="str">
        <f>"10/21/2020 18:39:38.393"</f>
        <v>10/21/2020 18:39:38.393</v>
      </c>
      <c r="B3589" t="str">
        <f>"18:39:46.328"</f>
        <v>18:39:46.328</v>
      </c>
      <c r="C3589" t="str">
        <f>"18:39:46.128"</f>
        <v>18:39:46.128</v>
      </c>
      <c r="D3589" t="s">
        <v>1393</v>
      </c>
      <c r="E3589">
        <v>30.939453</v>
      </c>
      <c r="F3589" t="s">
        <v>1394</v>
      </c>
      <c r="G3589">
        <v>-89.935348000000005</v>
      </c>
      <c r="H3589">
        <v>1700</v>
      </c>
      <c r="I3589">
        <v>-6</v>
      </c>
      <c r="J3589">
        <v>154</v>
      </c>
      <c r="K3589">
        <v>-448</v>
      </c>
      <c r="L3589">
        <v>1200</v>
      </c>
      <c r="M3589" t="str">
        <f t="shared" si="382"/>
        <v xml:space="preserve">N35DC   </v>
      </c>
      <c r="N3589">
        <v>1</v>
      </c>
      <c r="O3589">
        <v>1750</v>
      </c>
    </row>
    <row r="3590" spans="1:15" x14ac:dyDescent="0.25">
      <c r="A3590" t="str">
        <f>"10/21/2020 18:39:38.393"</f>
        <v>10/21/2020 18:39:38.393</v>
      </c>
      <c r="B3590" t="str">
        <f>"18:39:46.328"</f>
        <v>18:39:46.328</v>
      </c>
      <c r="C3590" t="str">
        <f>"18:39:46.128"</f>
        <v>18:39:46.128</v>
      </c>
      <c r="D3590" t="s">
        <v>1393</v>
      </c>
      <c r="E3590">
        <v>30.939453</v>
      </c>
      <c r="F3590" t="s">
        <v>1394</v>
      </c>
      <c r="G3590">
        <v>-89.935348000000005</v>
      </c>
      <c r="H3590">
        <v>1700</v>
      </c>
      <c r="I3590">
        <v>-6</v>
      </c>
      <c r="J3590">
        <v>154</v>
      </c>
      <c r="K3590">
        <v>-448</v>
      </c>
      <c r="L3590">
        <v>1200</v>
      </c>
      <c r="M3590" t="str">
        <f t="shared" si="382"/>
        <v xml:space="preserve">N35DC   </v>
      </c>
      <c r="N3590">
        <v>1</v>
      </c>
      <c r="O3590">
        <v>1750</v>
      </c>
    </row>
    <row r="3591" spans="1:15" x14ac:dyDescent="0.25">
      <c r="A3591" t="str">
        <f>"10/21/2020 18:39:38.393"</f>
        <v>10/21/2020 18:39:38.393</v>
      </c>
      <c r="B3591" t="str">
        <f>"18:39:46.328"</f>
        <v>18:39:46.328</v>
      </c>
      <c r="C3591" t="str">
        <f>"18:39:46.128"</f>
        <v>18:39:46.128</v>
      </c>
      <c r="D3591" t="s">
        <v>1393</v>
      </c>
      <c r="E3591">
        <v>30.939453</v>
      </c>
      <c r="F3591" t="s">
        <v>1394</v>
      </c>
      <c r="G3591">
        <v>-89.935348000000005</v>
      </c>
      <c r="H3591">
        <v>1700</v>
      </c>
      <c r="I3591">
        <v>-6</v>
      </c>
      <c r="J3591">
        <v>154</v>
      </c>
      <c r="K3591">
        <v>-448</v>
      </c>
      <c r="L3591">
        <v>1200</v>
      </c>
      <c r="M3591" t="str">
        <f t="shared" ref="M3591:M3654" si="394">"N35DC   "</f>
        <v xml:space="preserve">N35DC   </v>
      </c>
      <c r="N3591">
        <v>1</v>
      </c>
      <c r="O3591">
        <v>1750</v>
      </c>
    </row>
    <row r="3592" spans="1:15" x14ac:dyDescent="0.25">
      <c r="A3592" t="str">
        <f>"10/21/2020 18:39:38.857"</f>
        <v>10/21/2020 18:39:38.857</v>
      </c>
      <c r="B3592" t="str">
        <f>"18:39:46.758"</f>
        <v>18:39:46.758</v>
      </c>
      <c r="C3592" t="str">
        <f>"18:39:46.458"</f>
        <v>18:39:46.458</v>
      </c>
      <c r="D3592" t="s">
        <v>1395</v>
      </c>
      <c r="E3592">
        <v>30.939731999999999</v>
      </c>
      <c r="F3592" t="s">
        <v>1394</v>
      </c>
      <c r="G3592">
        <v>-89.935348000000005</v>
      </c>
      <c r="H3592">
        <v>1700</v>
      </c>
      <c r="I3592">
        <v>-4</v>
      </c>
      <c r="J3592">
        <v>154</v>
      </c>
      <c r="K3592">
        <v>-448</v>
      </c>
      <c r="L3592">
        <v>1200</v>
      </c>
      <c r="M3592" t="str">
        <f t="shared" si="394"/>
        <v xml:space="preserve">N35DC   </v>
      </c>
      <c r="N3592">
        <v>1</v>
      </c>
      <c r="O3592">
        <v>1725</v>
      </c>
    </row>
    <row r="3593" spans="1:15" x14ac:dyDescent="0.25">
      <c r="A3593" t="str">
        <f t="shared" ref="A3593:A3598" si="395">"10/21/2020 18:39:41.287"</f>
        <v>10/21/2020 18:39:41.287</v>
      </c>
      <c r="B3593" t="str">
        <f t="shared" ref="B3593:B3598" si="396">"18:39:49.234"</f>
        <v>18:39:49.234</v>
      </c>
      <c r="C3593" t="str">
        <f t="shared" ref="C3593:C3598" si="397">"18:39:48.934"</f>
        <v>18:39:48.934</v>
      </c>
      <c r="D3593" t="s">
        <v>1396</v>
      </c>
      <c r="E3593">
        <v>30.941534000000001</v>
      </c>
      <c r="F3593" t="s">
        <v>1397</v>
      </c>
      <c r="G3593">
        <v>-89.935219000000004</v>
      </c>
      <c r="H3593">
        <v>1600</v>
      </c>
      <c r="I3593">
        <v>12</v>
      </c>
      <c r="J3593">
        <v>155</v>
      </c>
      <c r="K3593">
        <v>-448</v>
      </c>
      <c r="L3593">
        <v>1200</v>
      </c>
      <c r="M3593" t="str">
        <f t="shared" si="394"/>
        <v xml:space="preserve">N35DC   </v>
      </c>
      <c r="N3593">
        <v>1</v>
      </c>
      <c r="O3593">
        <v>1725</v>
      </c>
    </row>
    <row r="3594" spans="1:15" x14ac:dyDescent="0.25">
      <c r="A3594" t="str">
        <f t="shared" si="395"/>
        <v>10/21/2020 18:39:41.287</v>
      </c>
      <c r="B3594" t="str">
        <f t="shared" si="396"/>
        <v>18:39:49.234</v>
      </c>
      <c r="C3594" t="str">
        <f t="shared" si="397"/>
        <v>18:39:48.934</v>
      </c>
      <c r="D3594" t="s">
        <v>1396</v>
      </c>
      <c r="E3594">
        <v>30.941534000000001</v>
      </c>
      <c r="F3594" t="s">
        <v>1397</v>
      </c>
      <c r="G3594">
        <v>-89.935219000000004</v>
      </c>
      <c r="H3594">
        <v>1600</v>
      </c>
      <c r="I3594">
        <v>12</v>
      </c>
      <c r="J3594">
        <v>155</v>
      </c>
      <c r="K3594">
        <v>-448</v>
      </c>
      <c r="L3594">
        <v>1200</v>
      </c>
      <c r="M3594" t="str">
        <f t="shared" si="394"/>
        <v xml:space="preserve">N35DC   </v>
      </c>
      <c r="N3594">
        <v>1</v>
      </c>
      <c r="O3594">
        <v>1725</v>
      </c>
    </row>
    <row r="3595" spans="1:15" x14ac:dyDescent="0.25">
      <c r="A3595" t="str">
        <f t="shared" si="395"/>
        <v>10/21/2020 18:39:41.287</v>
      </c>
      <c r="B3595" t="str">
        <f t="shared" si="396"/>
        <v>18:39:49.234</v>
      </c>
      <c r="C3595" t="str">
        <f t="shared" si="397"/>
        <v>18:39:48.934</v>
      </c>
      <c r="D3595" t="s">
        <v>1396</v>
      </c>
      <c r="E3595">
        <v>30.941534000000001</v>
      </c>
      <c r="F3595" t="s">
        <v>1397</v>
      </c>
      <c r="G3595">
        <v>-89.935219000000004</v>
      </c>
      <c r="H3595">
        <v>1600</v>
      </c>
      <c r="I3595">
        <v>12</v>
      </c>
      <c r="J3595">
        <v>155</v>
      </c>
      <c r="K3595">
        <v>-448</v>
      </c>
      <c r="L3595">
        <v>1200</v>
      </c>
      <c r="M3595" t="str">
        <f t="shared" si="394"/>
        <v xml:space="preserve">N35DC   </v>
      </c>
      <c r="N3595">
        <v>1</v>
      </c>
      <c r="O3595">
        <v>1725</v>
      </c>
    </row>
    <row r="3596" spans="1:15" x14ac:dyDescent="0.25">
      <c r="A3596" t="str">
        <f t="shared" si="395"/>
        <v>10/21/2020 18:39:41.287</v>
      </c>
      <c r="B3596" t="str">
        <f t="shared" si="396"/>
        <v>18:39:49.234</v>
      </c>
      <c r="C3596" t="str">
        <f t="shared" si="397"/>
        <v>18:39:48.934</v>
      </c>
      <c r="D3596" t="s">
        <v>1396</v>
      </c>
      <c r="E3596">
        <v>30.941534000000001</v>
      </c>
      <c r="F3596" t="s">
        <v>1397</v>
      </c>
      <c r="G3596">
        <v>-89.935219000000004</v>
      </c>
      <c r="H3596">
        <v>1600</v>
      </c>
      <c r="I3596">
        <v>12</v>
      </c>
      <c r="J3596">
        <v>155</v>
      </c>
      <c r="K3596">
        <v>-448</v>
      </c>
      <c r="L3596">
        <v>1200</v>
      </c>
      <c r="M3596" t="str">
        <f t="shared" si="394"/>
        <v xml:space="preserve">N35DC   </v>
      </c>
      <c r="N3596">
        <v>1</v>
      </c>
      <c r="O3596">
        <v>1725</v>
      </c>
    </row>
    <row r="3597" spans="1:15" x14ac:dyDescent="0.25">
      <c r="A3597" t="str">
        <f t="shared" si="395"/>
        <v>10/21/2020 18:39:41.287</v>
      </c>
      <c r="B3597" t="str">
        <f t="shared" si="396"/>
        <v>18:39:49.234</v>
      </c>
      <c r="C3597" t="str">
        <f t="shared" si="397"/>
        <v>18:39:48.934</v>
      </c>
      <c r="D3597" t="s">
        <v>1396</v>
      </c>
      <c r="E3597">
        <v>30.941534000000001</v>
      </c>
      <c r="F3597" t="s">
        <v>1397</v>
      </c>
      <c r="G3597">
        <v>-89.935219000000004</v>
      </c>
      <c r="H3597">
        <v>1600</v>
      </c>
      <c r="I3597">
        <v>12</v>
      </c>
      <c r="J3597">
        <v>155</v>
      </c>
      <c r="K3597">
        <v>-448</v>
      </c>
      <c r="L3597">
        <v>1200</v>
      </c>
      <c r="M3597" t="str">
        <f t="shared" si="394"/>
        <v xml:space="preserve">N35DC   </v>
      </c>
      <c r="N3597">
        <v>1</v>
      </c>
      <c r="O3597">
        <v>1725</v>
      </c>
    </row>
    <row r="3598" spans="1:15" x14ac:dyDescent="0.25">
      <c r="A3598" t="str">
        <f t="shared" si="395"/>
        <v>10/21/2020 18:39:41.287</v>
      </c>
      <c r="B3598" t="str">
        <f t="shared" si="396"/>
        <v>18:39:49.234</v>
      </c>
      <c r="C3598" t="str">
        <f t="shared" si="397"/>
        <v>18:39:48.934</v>
      </c>
      <c r="D3598" t="s">
        <v>1396</v>
      </c>
      <c r="E3598">
        <v>30.941534000000001</v>
      </c>
      <c r="F3598" t="s">
        <v>1397</v>
      </c>
      <c r="G3598">
        <v>-89.935219000000004</v>
      </c>
      <c r="H3598">
        <v>1600</v>
      </c>
      <c r="I3598">
        <v>12</v>
      </c>
      <c r="J3598">
        <v>155</v>
      </c>
      <c r="K3598">
        <v>-448</v>
      </c>
      <c r="L3598">
        <v>1200</v>
      </c>
      <c r="M3598" t="str">
        <f t="shared" si="394"/>
        <v xml:space="preserve">N35DC   </v>
      </c>
      <c r="N3598">
        <v>1</v>
      </c>
      <c r="O3598">
        <v>1725</v>
      </c>
    </row>
    <row r="3599" spans="1:15" x14ac:dyDescent="0.25">
      <c r="A3599" t="str">
        <f t="shared" ref="A3599:A3604" si="398">"10/21/2020 18:39:42.334"</f>
        <v>10/21/2020 18:39:42.334</v>
      </c>
      <c r="B3599" t="str">
        <f t="shared" ref="B3599:B3604" si="399">"18:39:50.289"</f>
        <v>18:39:50.289</v>
      </c>
      <c r="C3599" t="str">
        <f t="shared" ref="C3599:C3604" si="400">"18:39:49.989"</f>
        <v>18:39:49.989</v>
      </c>
      <c r="D3599" t="s">
        <v>1398</v>
      </c>
      <c r="E3599">
        <v>30.942284999999998</v>
      </c>
      <c r="F3599" t="s">
        <v>1399</v>
      </c>
      <c r="G3599">
        <v>-89.935132999999993</v>
      </c>
      <c r="H3599">
        <v>1600</v>
      </c>
      <c r="I3599">
        <v>18</v>
      </c>
      <c r="J3599">
        <v>155</v>
      </c>
      <c r="K3599">
        <v>-448</v>
      </c>
      <c r="L3599">
        <v>1200</v>
      </c>
      <c r="M3599" t="str">
        <f t="shared" si="394"/>
        <v xml:space="preserve">N35DC   </v>
      </c>
      <c r="N3599">
        <v>1</v>
      </c>
      <c r="O3599">
        <v>1700</v>
      </c>
    </row>
    <row r="3600" spans="1:15" x14ac:dyDescent="0.25">
      <c r="A3600" t="str">
        <f t="shared" si="398"/>
        <v>10/21/2020 18:39:42.334</v>
      </c>
      <c r="B3600" t="str">
        <f t="shared" si="399"/>
        <v>18:39:50.289</v>
      </c>
      <c r="C3600" t="str">
        <f t="shared" si="400"/>
        <v>18:39:49.989</v>
      </c>
      <c r="D3600" t="s">
        <v>1398</v>
      </c>
      <c r="E3600">
        <v>30.942284999999998</v>
      </c>
      <c r="F3600" t="s">
        <v>1399</v>
      </c>
      <c r="G3600">
        <v>-89.935132999999993</v>
      </c>
      <c r="H3600">
        <v>1600</v>
      </c>
      <c r="I3600">
        <v>18</v>
      </c>
      <c r="J3600">
        <v>155</v>
      </c>
      <c r="K3600">
        <v>-448</v>
      </c>
      <c r="L3600">
        <v>1200</v>
      </c>
      <c r="M3600" t="str">
        <f t="shared" si="394"/>
        <v xml:space="preserve">N35DC   </v>
      </c>
      <c r="N3600">
        <v>1</v>
      </c>
      <c r="O3600">
        <v>1700</v>
      </c>
    </row>
    <row r="3601" spans="1:15" x14ac:dyDescent="0.25">
      <c r="A3601" t="str">
        <f t="shared" si="398"/>
        <v>10/21/2020 18:39:42.334</v>
      </c>
      <c r="B3601" t="str">
        <f t="shared" si="399"/>
        <v>18:39:50.289</v>
      </c>
      <c r="C3601" t="str">
        <f t="shared" si="400"/>
        <v>18:39:49.989</v>
      </c>
      <c r="D3601" t="s">
        <v>1398</v>
      </c>
      <c r="E3601">
        <v>30.942284999999998</v>
      </c>
      <c r="F3601" t="s">
        <v>1399</v>
      </c>
      <c r="G3601">
        <v>-89.935132999999993</v>
      </c>
      <c r="H3601">
        <v>1600</v>
      </c>
      <c r="I3601">
        <v>18</v>
      </c>
      <c r="J3601">
        <v>155</v>
      </c>
      <c r="K3601">
        <v>-448</v>
      </c>
      <c r="L3601">
        <v>1200</v>
      </c>
      <c r="M3601" t="str">
        <f t="shared" si="394"/>
        <v xml:space="preserve">N35DC   </v>
      </c>
      <c r="N3601">
        <v>1</v>
      </c>
      <c r="O3601">
        <v>1700</v>
      </c>
    </row>
    <row r="3602" spans="1:15" x14ac:dyDescent="0.25">
      <c r="A3602" t="str">
        <f t="shared" si="398"/>
        <v>10/21/2020 18:39:42.334</v>
      </c>
      <c r="B3602" t="str">
        <f t="shared" si="399"/>
        <v>18:39:50.289</v>
      </c>
      <c r="C3602" t="str">
        <f t="shared" si="400"/>
        <v>18:39:49.989</v>
      </c>
      <c r="D3602" t="s">
        <v>1398</v>
      </c>
      <c r="E3602">
        <v>30.942284999999998</v>
      </c>
      <c r="F3602" t="s">
        <v>1399</v>
      </c>
      <c r="G3602">
        <v>-89.935132999999993</v>
      </c>
      <c r="H3602">
        <v>1600</v>
      </c>
      <c r="I3602">
        <v>18</v>
      </c>
      <c r="J3602">
        <v>155</v>
      </c>
      <c r="K3602">
        <v>-448</v>
      </c>
      <c r="L3602">
        <v>1200</v>
      </c>
      <c r="M3602" t="str">
        <f t="shared" si="394"/>
        <v xml:space="preserve">N35DC   </v>
      </c>
      <c r="N3602">
        <v>1</v>
      </c>
      <c r="O3602">
        <v>1700</v>
      </c>
    </row>
    <row r="3603" spans="1:15" x14ac:dyDescent="0.25">
      <c r="A3603" t="str">
        <f t="shared" si="398"/>
        <v>10/21/2020 18:39:42.334</v>
      </c>
      <c r="B3603" t="str">
        <f t="shared" si="399"/>
        <v>18:39:50.289</v>
      </c>
      <c r="C3603" t="str">
        <f t="shared" si="400"/>
        <v>18:39:49.989</v>
      </c>
      <c r="D3603" t="s">
        <v>1398</v>
      </c>
      <c r="E3603">
        <v>30.942284999999998</v>
      </c>
      <c r="F3603" t="s">
        <v>1399</v>
      </c>
      <c r="G3603">
        <v>-89.935132999999993</v>
      </c>
      <c r="H3603">
        <v>1600</v>
      </c>
      <c r="I3603">
        <v>18</v>
      </c>
      <c r="J3603">
        <v>155</v>
      </c>
      <c r="K3603">
        <v>-448</v>
      </c>
      <c r="L3603">
        <v>1200</v>
      </c>
      <c r="M3603" t="str">
        <f t="shared" si="394"/>
        <v xml:space="preserve">N35DC   </v>
      </c>
      <c r="N3603">
        <v>1</v>
      </c>
      <c r="O3603">
        <v>1700</v>
      </c>
    </row>
    <row r="3604" spans="1:15" x14ac:dyDescent="0.25">
      <c r="A3604" t="str">
        <f t="shared" si="398"/>
        <v>10/21/2020 18:39:42.334</v>
      </c>
      <c r="B3604" t="str">
        <f t="shared" si="399"/>
        <v>18:39:50.289</v>
      </c>
      <c r="C3604" t="str">
        <f t="shared" si="400"/>
        <v>18:39:49.989</v>
      </c>
      <c r="D3604" t="s">
        <v>1398</v>
      </c>
      <c r="E3604">
        <v>30.942284999999998</v>
      </c>
      <c r="F3604" t="s">
        <v>1399</v>
      </c>
      <c r="G3604">
        <v>-89.935132999999993</v>
      </c>
      <c r="H3604">
        <v>1600</v>
      </c>
      <c r="I3604">
        <v>18</v>
      </c>
      <c r="J3604">
        <v>155</v>
      </c>
      <c r="K3604">
        <v>-448</v>
      </c>
      <c r="L3604">
        <v>1200</v>
      </c>
      <c r="M3604" t="str">
        <f t="shared" si="394"/>
        <v xml:space="preserve">N35DC   </v>
      </c>
      <c r="N3604">
        <v>1</v>
      </c>
      <c r="O3604">
        <v>1700</v>
      </c>
    </row>
    <row r="3605" spans="1:15" x14ac:dyDescent="0.25">
      <c r="A3605" t="str">
        <f>"10/21/2020 18:39:45.126"</f>
        <v>10/21/2020 18:39:45.126</v>
      </c>
      <c r="B3605" t="str">
        <f t="shared" ref="B3605:C3609" si="401">"18:39:53.063"</f>
        <v>18:39:53.063</v>
      </c>
      <c r="C3605" t="str">
        <f t="shared" si="401"/>
        <v>18:39:53.063</v>
      </c>
      <c r="D3605" t="s">
        <v>1400</v>
      </c>
      <c r="E3605">
        <v>30.944258999999999</v>
      </c>
      <c r="F3605" t="s">
        <v>1401</v>
      </c>
      <c r="G3605">
        <v>-89.934640000000002</v>
      </c>
      <c r="H3605">
        <v>1600</v>
      </c>
      <c r="I3605">
        <v>40</v>
      </c>
      <c r="J3605">
        <v>152</v>
      </c>
      <c r="K3605">
        <v>-192</v>
      </c>
      <c r="L3605">
        <v>1200</v>
      </c>
      <c r="M3605" t="str">
        <f t="shared" si="394"/>
        <v xml:space="preserve">N35DC   </v>
      </c>
      <c r="N3605">
        <v>1</v>
      </c>
      <c r="O3605">
        <v>1700</v>
      </c>
    </row>
    <row r="3606" spans="1:15" x14ac:dyDescent="0.25">
      <c r="A3606" t="str">
        <f>"10/21/2020 18:39:45.126"</f>
        <v>10/21/2020 18:39:45.126</v>
      </c>
      <c r="B3606" t="str">
        <f t="shared" si="401"/>
        <v>18:39:53.063</v>
      </c>
      <c r="C3606" t="str">
        <f t="shared" si="401"/>
        <v>18:39:53.063</v>
      </c>
      <c r="D3606" t="s">
        <v>1400</v>
      </c>
      <c r="E3606">
        <v>30.944258999999999</v>
      </c>
      <c r="F3606" t="s">
        <v>1401</v>
      </c>
      <c r="G3606">
        <v>-89.934640000000002</v>
      </c>
      <c r="H3606">
        <v>1600</v>
      </c>
      <c r="I3606">
        <v>40</v>
      </c>
      <c r="J3606">
        <v>152</v>
      </c>
      <c r="K3606">
        <v>-192</v>
      </c>
      <c r="L3606">
        <v>1200</v>
      </c>
      <c r="M3606" t="str">
        <f t="shared" si="394"/>
        <v xml:space="preserve">N35DC   </v>
      </c>
      <c r="N3606">
        <v>1</v>
      </c>
      <c r="O3606">
        <v>1700</v>
      </c>
    </row>
    <row r="3607" spans="1:15" x14ac:dyDescent="0.25">
      <c r="A3607" t="str">
        <f>"10/21/2020 18:39:45.126"</f>
        <v>10/21/2020 18:39:45.126</v>
      </c>
      <c r="B3607" t="str">
        <f t="shared" si="401"/>
        <v>18:39:53.063</v>
      </c>
      <c r="C3607" t="str">
        <f t="shared" si="401"/>
        <v>18:39:53.063</v>
      </c>
      <c r="D3607" t="s">
        <v>1400</v>
      </c>
      <c r="E3607">
        <v>30.944258999999999</v>
      </c>
      <c r="F3607" t="s">
        <v>1401</v>
      </c>
      <c r="G3607">
        <v>-89.934640000000002</v>
      </c>
      <c r="H3607">
        <v>1600</v>
      </c>
      <c r="I3607">
        <v>40</v>
      </c>
      <c r="J3607">
        <v>152</v>
      </c>
      <c r="K3607">
        <v>-192</v>
      </c>
      <c r="L3607">
        <v>1200</v>
      </c>
      <c r="M3607" t="str">
        <f t="shared" si="394"/>
        <v xml:space="preserve">N35DC   </v>
      </c>
      <c r="N3607">
        <v>1</v>
      </c>
      <c r="O3607">
        <v>1700</v>
      </c>
    </row>
    <row r="3608" spans="1:15" x14ac:dyDescent="0.25">
      <c r="A3608" t="str">
        <f>"10/21/2020 18:39:45.126"</f>
        <v>10/21/2020 18:39:45.126</v>
      </c>
      <c r="B3608" t="str">
        <f t="shared" si="401"/>
        <v>18:39:53.063</v>
      </c>
      <c r="C3608" t="str">
        <f t="shared" si="401"/>
        <v>18:39:53.063</v>
      </c>
      <c r="D3608" t="s">
        <v>1400</v>
      </c>
      <c r="E3608">
        <v>30.944258999999999</v>
      </c>
      <c r="F3608" t="s">
        <v>1401</v>
      </c>
      <c r="G3608">
        <v>-89.934640000000002</v>
      </c>
      <c r="H3608">
        <v>1600</v>
      </c>
      <c r="I3608">
        <v>40</v>
      </c>
      <c r="J3608">
        <v>152</v>
      </c>
      <c r="K3608">
        <v>-192</v>
      </c>
      <c r="L3608">
        <v>1200</v>
      </c>
      <c r="M3608" t="str">
        <f t="shared" si="394"/>
        <v xml:space="preserve">N35DC   </v>
      </c>
      <c r="N3608">
        <v>1</v>
      </c>
      <c r="O3608">
        <v>1700</v>
      </c>
    </row>
    <row r="3609" spans="1:15" x14ac:dyDescent="0.25">
      <c r="A3609" t="str">
        <f>"10/21/2020 18:39:45.126"</f>
        <v>10/21/2020 18:39:45.126</v>
      </c>
      <c r="B3609" t="str">
        <f t="shared" si="401"/>
        <v>18:39:53.063</v>
      </c>
      <c r="C3609" t="str">
        <f t="shared" si="401"/>
        <v>18:39:53.063</v>
      </c>
      <c r="D3609" t="s">
        <v>1400</v>
      </c>
      <c r="E3609">
        <v>30.944258999999999</v>
      </c>
      <c r="F3609" t="s">
        <v>1401</v>
      </c>
      <c r="G3609">
        <v>-89.934640000000002</v>
      </c>
      <c r="H3609">
        <v>1600</v>
      </c>
      <c r="I3609">
        <v>40</v>
      </c>
      <c r="J3609">
        <v>152</v>
      </c>
      <c r="K3609">
        <v>-192</v>
      </c>
      <c r="L3609">
        <v>1200</v>
      </c>
      <c r="M3609" t="str">
        <f t="shared" si="394"/>
        <v xml:space="preserve">N35DC   </v>
      </c>
      <c r="N3609">
        <v>1</v>
      </c>
      <c r="O3609">
        <v>1700</v>
      </c>
    </row>
    <row r="3610" spans="1:15" x14ac:dyDescent="0.25">
      <c r="A3610" t="str">
        <f>"10/21/2020 18:39:46.035"</f>
        <v>10/21/2020 18:39:46.035</v>
      </c>
      <c r="B3610" t="str">
        <f>"18:39:53.977"</f>
        <v>18:39:53.977</v>
      </c>
      <c r="C3610" t="str">
        <f>"18:39:53.477"</f>
        <v>18:39:53.477</v>
      </c>
      <c r="D3610" t="s">
        <v>1402</v>
      </c>
      <c r="E3610">
        <v>30.944924</v>
      </c>
      <c r="F3610" t="s">
        <v>1403</v>
      </c>
      <c r="G3610">
        <v>-89.934467999999995</v>
      </c>
      <c r="H3610">
        <v>1600</v>
      </c>
      <c r="I3610">
        <v>44</v>
      </c>
      <c r="J3610">
        <v>152</v>
      </c>
      <c r="K3610">
        <v>-64</v>
      </c>
      <c r="L3610">
        <v>1200</v>
      </c>
      <c r="M3610" t="str">
        <f t="shared" si="394"/>
        <v xml:space="preserve">N35DC   </v>
      </c>
      <c r="N3610">
        <v>1</v>
      </c>
      <c r="O3610">
        <v>1700</v>
      </c>
    </row>
    <row r="3611" spans="1:15" x14ac:dyDescent="0.25">
      <c r="A3611" t="str">
        <f>"10/21/2020 18:39:46.035"</f>
        <v>10/21/2020 18:39:46.035</v>
      </c>
      <c r="B3611" t="str">
        <f>"18:39:53.977"</f>
        <v>18:39:53.977</v>
      </c>
      <c r="C3611" t="str">
        <f>"18:39:53.477"</f>
        <v>18:39:53.477</v>
      </c>
      <c r="D3611" t="s">
        <v>1402</v>
      </c>
      <c r="E3611">
        <v>30.944924</v>
      </c>
      <c r="F3611" t="s">
        <v>1403</v>
      </c>
      <c r="G3611">
        <v>-89.934467999999995</v>
      </c>
      <c r="H3611">
        <v>1600</v>
      </c>
      <c r="I3611">
        <v>44</v>
      </c>
      <c r="J3611">
        <v>152</v>
      </c>
      <c r="K3611">
        <v>-64</v>
      </c>
      <c r="L3611">
        <v>1200</v>
      </c>
      <c r="M3611" t="str">
        <f t="shared" si="394"/>
        <v xml:space="preserve">N35DC   </v>
      </c>
      <c r="N3611">
        <v>1</v>
      </c>
      <c r="O3611">
        <v>1700</v>
      </c>
    </row>
    <row r="3612" spans="1:15" x14ac:dyDescent="0.25">
      <c r="A3612" t="str">
        <f>"10/21/2020 18:39:46.035"</f>
        <v>10/21/2020 18:39:46.035</v>
      </c>
      <c r="B3612" t="str">
        <f>"18:39:53.977"</f>
        <v>18:39:53.977</v>
      </c>
      <c r="C3612" t="str">
        <f>"18:39:53.477"</f>
        <v>18:39:53.477</v>
      </c>
      <c r="D3612" t="s">
        <v>1402</v>
      </c>
      <c r="E3612">
        <v>30.944924</v>
      </c>
      <c r="F3612" t="s">
        <v>1403</v>
      </c>
      <c r="G3612">
        <v>-89.934467999999995</v>
      </c>
      <c r="H3612">
        <v>1600</v>
      </c>
      <c r="I3612">
        <v>44</v>
      </c>
      <c r="J3612">
        <v>152</v>
      </c>
      <c r="K3612">
        <v>-64</v>
      </c>
      <c r="L3612">
        <v>1200</v>
      </c>
      <c r="M3612" t="str">
        <f t="shared" si="394"/>
        <v xml:space="preserve">N35DC   </v>
      </c>
      <c r="N3612">
        <v>1</v>
      </c>
      <c r="O3612">
        <v>1700</v>
      </c>
    </row>
    <row r="3613" spans="1:15" x14ac:dyDescent="0.25">
      <c r="A3613" t="str">
        <f>"10/21/2020 18:39:46.035"</f>
        <v>10/21/2020 18:39:46.035</v>
      </c>
      <c r="B3613" t="str">
        <f>"18:39:53.977"</f>
        <v>18:39:53.977</v>
      </c>
      <c r="C3613" t="str">
        <f>"18:39:53.477"</f>
        <v>18:39:53.477</v>
      </c>
      <c r="D3613" t="s">
        <v>1402</v>
      </c>
      <c r="E3613">
        <v>30.944924</v>
      </c>
      <c r="F3613" t="s">
        <v>1403</v>
      </c>
      <c r="G3613">
        <v>-89.934467999999995</v>
      </c>
      <c r="H3613">
        <v>1600</v>
      </c>
      <c r="I3613">
        <v>44</v>
      </c>
      <c r="J3613">
        <v>152</v>
      </c>
      <c r="K3613">
        <v>-64</v>
      </c>
      <c r="L3613">
        <v>1200</v>
      </c>
      <c r="M3613" t="str">
        <f t="shared" si="394"/>
        <v xml:space="preserve">N35DC   </v>
      </c>
      <c r="N3613">
        <v>1</v>
      </c>
      <c r="O3613">
        <v>1700</v>
      </c>
    </row>
    <row r="3614" spans="1:15" x14ac:dyDescent="0.25">
      <c r="A3614" t="str">
        <f>"10/21/2020 18:39:49.002"</f>
        <v>10/21/2020 18:39:49.002</v>
      </c>
      <c r="B3614" t="str">
        <f>"18:39:56.914"</f>
        <v>18:39:56.914</v>
      </c>
      <c r="C3614" t="str">
        <f>"18:39:56.614"</f>
        <v>18:39:56.614</v>
      </c>
      <c r="D3614" t="s">
        <v>1404</v>
      </c>
      <c r="E3614">
        <v>30.946919999999999</v>
      </c>
      <c r="F3614" t="s">
        <v>1372</v>
      </c>
      <c r="G3614">
        <v>-89.933481</v>
      </c>
      <c r="H3614">
        <v>1600</v>
      </c>
      <c r="I3614">
        <v>66</v>
      </c>
      <c r="J3614">
        <v>145</v>
      </c>
      <c r="K3614">
        <v>-128</v>
      </c>
      <c r="L3614">
        <v>1200</v>
      </c>
      <c r="M3614" t="str">
        <f t="shared" si="394"/>
        <v xml:space="preserve">N35DC   </v>
      </c>
      <c r="N3614">
        <v>1</v>
      </c>
      <c r="O3614">
        <v>1675</v>
      </c>
    </row>
    <row r="3615" spans="1:15" x14ac:dyDescent="0.25">
      <c r="A3615" t="str">
        <f>"10/21/2020 18:39:49.002"</f>
        <v>10/21/2020 18:39:49.002</v>
      </c>
      <c r="B3615" t="str">
        <f>"18:39:56.914"</f>
        <v>18:39:56.914</v>
      </c>
      <c r="C3615" t="str">
        <f>"18:39:56.614"</f>
        <v>18:39:56.614</v>
      </c>
      <c r="D3615" t="s">
        <v>1404</v>
      </c>
      <c r="E3615">
        <v>30.946919999999999</v>
      </c>
      <c r="F3615" t="s">
        <v>1372</v>
      </c>
      <c r="G3615">
        <v>-89.933481</v>
      </c>
      <c r="H3615">
        <v>1600</v>
      </c>
      <c r="I3615">
        <v>66</v>
      </c>
      <c r="J3615">
        <v>145</v>
      </c>
      <c r="K3615">
        <v>-128</v>
      </c>
      <c r="L3615">
        <v>1200</v>
      </c>
      <c r="M3615" t="str">
        <f t="shared" si="394"/>
        <v xml:space="preserve">N35DC   </v>
      </c>
      <c r="N3615">
        <v>1</v>
      </c>
      <c r="O3615">
        <v>1675</v>
      </c>
    </row>
    <row r="3616" spans="1:15" x14ac:dyDescent="0.25">
      <c r="A3616" t="str">
        <f>"10/21/2020 18:39:49.002"</f>
        <v>10/21/2020 18:39:49.002</v>
      </c>
      <c r="B3616" t="str">
        <f>"18:39:56.914"</f>
        <v>18:39:56.914</v>
      </c>
      <c r="C3616" t="str">
        <f>"18:39:56.614"</f>
        <v>18:39:56.614</v>
      </c>
      <c r="D3616" t="s">
        <v>1404</v>
      </c>
      <c r="E3616">
        <v>30.946919999999999</v>
      </c>
      <c r="F3616" t="s">
        <v>1372</v>
      </c>
      <c r="G3616">
        <v>-89.933481</v>
      </c>
      <c r="H3616">
        <v>1600</v>
      </c>
      <c r="I3616">
        <v>66</v>
      </c>
      <c r="J3616">
        <v>145</v>
      </c>
      <c r="K3616">
        <v>-128</v>
      </c>
      <c r="L3616">
        <v>1200</v>
      </c>
      <c r="M3616" t="str">
        <f t="shared" si="394"/>
        <v xml:space="preserve">N35DC   </v>
      </c>
      <c r="N3616">
        <v>1</v>
      </c>
      <c r="O3616">
        <v>1675</v>
      </c>
    </row>
    <row r="3617" spans="1:15" x14ac:dyDescent="0.25">
      <c r="A3617" t="str">
        <f>"10/21/2020 18:39:49.002"</f>
        <v>10/21/2020 18:39:49.002</v>
      </c>
      <c r="B3617" t="str">
        <f>"18:39:56.914"</f>
        <v>18:39:56.914</v>
      </c>
      <c r="C3617" t="str">
        <f>"18:39:56.614"</f>
        <v>18:39:56.614</v>
      </c>
      <c r="D3617" t="s">
        <v>1404</v>
      </c>
      <c r="E3617">
        <v>30.946919999999999</v>
      </c>
      <c r="F3617" t="s">
        <v>1372</v>
      </c>
      <c r="G3617">
        <v>-89.933481</v>
      </c>
      <c r="H3617">
        <v>1600</v>
      </c>
      <c r="I3617">
        <v>66</v>
      </c>
      <c r="J3617">
        <v>145</v>
      </c>
      <c r="K3617">
        <v>-128</v>
      </c>
      <c r="L3617">
        <v>1200</v>
      </c>
      <c r="M3617" t="str">
        <f t="shared" si="394"/>
        <v xml:space="preserve">N35DC   </v>
      </c>
      <c r="N3617">
        <v>1</v>
      </c>
      <c r="O3617">
        <v>1675</v>
      </c>
    </row>
    <row r="3618" spans="1:15" x14ac:dyDescent="0.25">
      <c r="A3618" t="str">
        <f>"10/21/2020 18:39:49.002"</f>
        <v>10/21/2020 18:39:49.002</v>
      </c>
      <c r="B3618" t="str">
        <f>"18:39:56.914"</f>
        <v>18:39:56.914</v>
      </c>
      <c r="C3618" t="str">
        <f>"18:39:56.614"</f>
        <v>18:39:56.614</v>
      </c>
      <c r="D3618" t="s">
        <v>1404</v>
      </c>
      <c r="E3618">
        <v>30.946919999999999</v>
      </c>
      <c r="F3618" t="s">
        <v>1372</v>
      </c>
      <c r="G3618">
        <v>-89.933481</v>
      </c>
      <c r="H3618">
        <v>1600</v>
      </c>
      <c r="I3618">
        <v>66</v>
      </c>
      <c r="J3618">
        <v>145</v>
      </c>
      <c r="K3618">
        <v>-128</v>
      </c>
      <c r="L3618">
        <v>1200</v>
      </c>
      <c r="M3618" t="str">
        <f t="shared" si="394"/>
        <v xml:space="preserve">N35DC   </v>
      </c>
      <c r="N3618">
        <v>1</v>
      </c>
      <c r="O3618">
        <v>1675</v>
      </c>
    </row>
    <row r="3619" spans="1:15" x14ac:dyDescent="0.25">
      <c r="A3619" t="str">
        <f>"10/21/2020 18:39:51.544"</f>
        <v>10/21/2020 18:39:51.544</v>
      </c>
      <c r="B3619" t="str">
        <f>"18:39:59.492"</f>
        <v>18:39:59.492</v>
      </c>
      <c r="C3619" t="str">
        <f>"18:39:59.092"</f>
        <v>18:39:59.092</v>
      </c>
      <c r="D3619" t="s">
        <v>1405</v>
      </c>
      <c r="E3619">
        <v>30.948571999999999</v>
      </c>
      <c r="F3619" t="s">
        <v>1406</v>
      </c>
      <c r="G3619">
        <v>-89.932429999999997</v>
      </c>
      <c r="H3619">
        <v>1600</v>
      </c>
      <c r="I3619">
        <v>82</v>
      </c>
      <c r="J3619">
        <v>136</v>
      </c>
      <c r="K3619">
        <v>128</v>
      </c>
      <c r="L3619">
        <v>1200</v>
      </c>
      <c r="M3619" t="str">
        <f t="shared" si="394"/>
        <v xml:space="preserve">N35DC   </v>
      </c>
      <c r="N3619">
        <v>1</v>
      </c>
      <c r="O3619">
        <v>1700</v>
      </c>
    </row>
    <row r="3620" spans="1:15" x14ac:dyDescent="0.25">
      <c r="A3620" t="str">
        <f>"10/21/2020 18:39:52.060"</f>
        <v>10/21/2020 18:39:52.060</v>
      </c>
      <c r="B3620" t="str">
        <f>"18:39:59.992"</f>
        <v>18:39:59.992</v>
      </c>
      <c r="C3620" t="str">
        <f>"18:39:59.692"</f>
        <v>18:39:59.692</v>
      </c>
      <c r="D3620" t="s">
        <v>1407</v>
      </c>
      <c r="E3620">
        <v>30.948893999999999</v>
      </c>
      <c r="F3620" t="s">
        <v>1364</v>
      </c>
      <c r="G3620">
        <v>-89.932193999999996</v>
      </c>
      <c r="H3620">
        <v>1600</v>
      </c>
      <c r="I3620">
        <v>85</v>
      </c>
      <c r="J3620">
        <v>134</v>
      </c>
      <c r="K3620">
        <v>192</v>
      </c>
      <c r="L3620">
        <v>1200</v>
      </c>
      <c r="M3620" t="str">
        <f t="shared" si="394"/>
        <v xml:space="preserve">N35DC   </v>
      </c>
      <c r="N3620">
        <v>1</v>
      </c>
      <c r="O3620">
        <v>1700</v>
      </c>
    </row>
    <row r="3621" spans="1:15" x14ac:dyDescent="0.25">
      <c r="A3621" t="str">
        <f>"10/21/2020 18:39:52.060"</f>
        <v>10/21/2020 18:39:52.060</v>
      </c>
      <c r="B3621" t="str">
        <f>"18:39:59.992"</f>
        <v>18:39:59.992</v>
      </c>
      <c r="C3621" t="str">
        <f>"18:39:59.692"</f>
        <v>18:39:59.692</v>
      </c>
      <c r="D3621" t="s">
        <v>1407</v>
      </c>
      <c r="E3621">
        <v>30.948893999999999</v>
      </c>
      <c r="F3621" t="s">
        <v>1364</v>
      </c>
      <c r="G3621">
        <v>-89.932193999999996</v>
      </c>
      <c r="H3621">
        <v>1600</v>
      </c>
      <c r="I3621">
        <v>85</v>
      </c>
      <c r="J3621">
        <v>134</v>
      </c>
      <c r="K3621">
        <v>192</v>
      </c>
      <c r="L3621">
        <v>1200</v>
      </c>
      <c r="M3621" t="str">
        <f t="shared" si="394"/>
        <v xml:space="preserve">N35DC   </v>
      </c>
      <c r="N3621">
        <v>1</v>
      </c>
      <c r="O3621">
        <v>1700</v>
      </c>
    </row>
    <row r="3622" spans="1:15" x14ac:dyDescent="0.25">
      <c r="A3622" t="str">
        <f>"10/21/2020 18:39:52.060"</f>
        <v>10/21/2020 18:39:52.060</v>
      </c>
      <c r="B3622" t="str">
        <f>"18:39:59.992"</f>
        <v>18:39:59.992</v>
      </c>
      <c r="C3622" t="str">
        <f>"18:39:59.692"</f>
        <v>18:39:59.692</v>
      </c>
      <c r="D3622" t="s">
        <v>1407</v>
      </c>
      <c r="E3622">
        <v>30.948893999999999</v>
      </c>
      <c r="F3622" t="s">
        <v>1364</v>
      </c>
      <c r="G3622">
        <v>-89.932193999999996</v>
      </c>
      <c r="H3622">
        <v>1600</v>
      </c>
      <c r="I3622">
        <v>85</v>
      </c>
      <c r="J3622">
        <v>134</v>
      </c>
      <c r="K3622">
        <v>192</v>
      </c>
      <c r="L3622">
        <v>1200</v>
      </c>
      <c r="M3622" t="str">
        <f t="shared" si="394"/>
        <v xml:space="preserve">N35DC   </v>
      </c>
      <c r="N3622">
        <v>1</v>
      </c>
      <c r="O3622">
        <v>1700</v>
      </c>
    </row>
    <row r="3623" spans="1:15" x14ac:dyDescent="0.25">
      <c r="A3623" t="str">
        <f>"10/21/2020 18:39:52.060"</f>
        <v>10/21/2020 18:39:52.060</v>
      </c>
      <c r="B3623" t="str">
        <f>"18:39:59.992"</f>
        <v>18:39:59.992</v>
      </c>
      <c r="C3623" t="str">
        <f>"18:39:59.692"</f>
        <v>18:39:59.692</v>
      </c>
      <c r="D3623" t="s">
        <v>1407</v>
      </c>
      <c r="E3623">
        <v>30.948893999999999</v>
      </c>
      <c r="F3623" t="s">
        <v>1364</v>
      </c>
      <c r="G3623">
        <v>-89.932193999999996</v>
      </c>
      <c r="H3623">
        <v>1600</v>
      </c>
      <c r="I3623">
        <v>85</v>
      </c>
      <c r="J3623">
        <v>134</v>
      </c>
      <c r="K3623">
        <v>192</v>
      </c>
      <c r="L3623">
        <v>1200</v>
      </c>
      <c r="M3623" t="str">
        <f t="shared" si="394"/>
        <v xml:space="preserve">N35DC   </v>
      </c>
      <c r="N3623">
        <v>1</v>
      </c>
      <c r="O3623">
        <v>1700</v>
      </c>
    </row>
    <row r="3624" spans="1:15" x14ac:dyDescent="0.25">
      <c r="A3624" t="str">
        <f>"10/21/2020 18:39:52.706"</f>
        <v>10/21/2020 18:39:52.706</v>
      </c>
      <c r="B3624" t="str">
        <f>"18:40:00.578"</f>
        <v>18:40:00.578</v>
      </c>
      <c r="C3624" t="str">
        <f>"18:40:00.078"</f>
        <v>18:40:00.078</v>
      </c>
      <c r="D3624" t="s">
        <v>1408</v>
      </c>
      <c r="E3624">
        <v>30.949237</v>
      </c>
      <c r="F3624" t="s">
        <v>1409</v>
      </c>
      <c r="G3624">
        <v>-89.931893000000002</v>
      </c>
      <c r="H3624">
        <v>1600</v>
      </c>
      <c r="I3624">
        <v>88</v>
      </c>
      <c r="J3624">
        <v>132</v>
      </c>
      <c r="K3624">
        <v>192</v>
      </c>
      <c r="L3624">
        <v>1200</v>
      </c>
      <c r="M3624" t="str">
        <f t="shared" si="394"/>
        <v xml:space="preserve">N35DC   </v>
      </c>
      <c r="N3624">
        <v>1</v>
      </c>
      <c r="O3624">
        <v>1700</v>
      </c>
    </row>
    <row r="3625" spans="1:15" x14ac:dyDescent="0.25">
      <c r="A3625" t="str">
        <f>"10/21/2020 18:39:53.120"</f>
        <v>10/21/2020 18:39:53.120</v>
      </c>
      <c r="B3625" t="str">
        <f t="shared" ref="B3625:C3628" si="402">"18:40:01.086"</f>
        <v>18:40:01.086</v>
      </c>
      <c r="C3625" t="str">
        <f t="shared" si="402"/>
        <v>18:40:01.086</v>
      </c>
      <c r="D3625" t="s">
        <v>1410</v>
      </c>
      <c r="E3625">
        <v>30.949515999999999</v>
      </c>
      <c r="F3625" t="s">
        <v>1411</v>
      </c>
      <c r="G3625">
        <v>-89.931613999999996</v>
      </c>
      <c r="H3625">
        <v>1600</v>
      </c>
      <c r="I3625">
        <v>94</v>
      </c>
      <c r="J3625">
        <v>126</v>
      </c>
      <c r="K3625">
        <v>320</v>
      </c>
      <c r="L3625">
        <v>1200</v>
      </c>
      <c r="M3625" t="str">
        <f t="shared" si="394"/>
        <v xml:space="preserve">N35DC   </v>
      </c>
      <c r="N3625">
        <v>1</v>
      </c>
      <c r="O3625">
        <v>1700</v>
      </c>
    </row>
    <row r="3626" spans="1:15" x14ac:dyDescent="0.25">
      <c r="A3626" t="str">
        <f>"10/21/2020 18:39:53.120"</f>
        <v>10/21/2020 18:39:53.120</v>
      </c>
      <c r="B3626" t="str">
        <f t="shared" si="402"/>
        <v>18:40:01.086</v>
      </c>
      <c r="C3626" t="str">
        <f t="shared" si="402"/>
        <v>18:40:01.086</v>
      </c>
      <c r="D3626" t="s">
        <v>1410</v>
      </c>
      <c r="E3626">
        <v>30.949515999999999</v>
      </c>
      <c r="F3626" t="s">
        <v>1411</v>
      </c>
      <c r="G3626">
        <v>-89.931613999999996</v>
      </c>
      <c r="H3626">
        <v>1600</v>
      </c>
      <c r="I3626">
        <v>94</v>
      </c>
      <c r="J3626">
        <v>126</v>
      </c>
      <c r="K3626">
        <v>320</v>
      </c>
      <c r="L3626">
        <v>1200</v>
      </c>
      <c r="M3626" t="str">
        <f t="shared" si="394"/>
        <v xml:space="preserve">N35DC   </v>
      </c>
      <c r="N3626">
        <v>1</v>
      </c>
      <c r="O3626">
        <v>1700</v>
      </c>
    </row>
    <row r="3627" spans="1:15" x14ac:dyDescent="0.25">
      <c r="A3627" t="str">
        <f>"10/21/2020 18:39:53.120"</f>
        <v>10/21/2020 18:39:53.120</v>
      </c>
      <c r="B3627" t="str">
        <f t="shared" si="402"/>
        <v>18:40:01.086</v>
      </c>
      <c r="C3627" t="str">
        <f t="shared" si="402"/>
        <v>18:40:01.086</v>
      </c>
      <c r="D3627" t="s">
        <v>1410</v>
      </c>
      <c r="E3627">
        <v>30.949515999999999</v>
      </c>
      <c r="F3627" t="s">
        <v>1411</v>
      </c>
      <c r="G3627">
        <v>-89.931613999999996</v>
      </c>
      <c r="H3627">
        <v>1600</v>
      </c>
      <c r="I3627">
        <v>94</v>
      </c>
      <c r="J3627">
        <v>126</v>
      </c>
      <c r="K3627">
        <v>320</v>
      </c>
      <c r="L3627">
        <v>1200</v>
      </c>
      <c r="M3627" t="str">
        <f t="shared" si="394"/>
        <v xml:space="preserve">N35DC   </v>
      </c>
      <c r="N3627">
        <v>1</v>
      </c>
      <c r="O3627">
        <v>1700</v>
      </c>
    </row>
    <row r="3628" spans="1:15" x14ac:dyDescent="0.25">
      <c r="A3628" t="str">
        <f>"10/21/2020 18:39:53.120"</f>
        <v>10/21/2020 18:39:53.120</v>
      </c>
      <c r="B3628" t="str">
        <f t="shared" si="402"/>
        <v>18:40:01.086</v>
      </c>
      <c r="C3628" t="str">
        <f t="shared" si="402"/>
        <v>18:40:01.086</v>
      </c>
      <c r="D3628" t="s">
        <v>1410</v>
      </c>
      <c r="E3628">
        <v>30.949515999999999</v>
      </c>
      <c r="F3628" t="s">
        <v>1411</v>
      </c>
      <c r="G3628">
        <v>-89.931613999999996</v>
      </c>
      <c r="H3628">
        <v>1600</v>
      </c>
      <c r="I3628">
        <v>94</v>
      </c>
      <c r="J3628">
        <v>126</v>
      </c>
      <c r="K3628">
        <v>320</v>
      </c>
      <c r="L3628">
        <v>1200</v>
      </c>
      <c r="M3628" t="str">
        <f t="shared" si="394"/>
        <v xml:space="preserve">N35DC   </v>
      </c>
      <c r="N3628">
        <v>1</v>
      </c>
      <c r="O3628">
        <v>1700</v>
      </c>
    </row>
    <row r="3629" spans="1:15" x14ac:dyDescent="0.25">
      <c r="A3629" t="str">
        <f>"10/21/2020 18:39:55.584"</f>
        <v>10/21/2020 18:39:55.584</v>
      </c>
      <c r="B3629" t="str">
        <f>"18:40:03.484"</f>
        <v>18:40:03.484</v>
      </c>
      <c r="C3629" t="str">
        <f>"18:40:03.484"</f>
        <v>18:40:03.484</v>
      </c>
      <c r="D3629" t="s">
        <v>1412</v>
      </c>
      <c r="E3629">
        <v>30.950868</v>
      </c>
      <c r="F3629" t="s">
        <v>1413</v>
      </c>
      <c r="G3629">
        <v>-89.930347999999995</v>
      </c>
      <c r="H3629">
        <v>1600</v>
      </c>
      <c r="I3629">
        <v>107</v>
      </c>
      <c r="J3629">
        <v>115</v>
      </c>
      <c r="K3629">
        <v>320</v>
      </c>
      <c r="L3629">
        <v>1200</v>
      </c>
      <c r="M3629" t="str">
        <f t="shared" si="394"/>
        <v xml:space="preserve">N35DC   </v>
      </c>
      <c r="N3629">
        <v>1</v>
      </c>
      <c r="O3629">
        <v>1700</v>
      </c>
    </row>
    <row r="3630" spans="1:15" x14ac:dyDescent="0.25">
      <c r="A3630" t="str">
        <f>"10/21/2020 18:39:56.164"</f>
        <v>10/21/2020 18:39:56.164</v>
      </c>
      <c r="B3630" t="str">
        <f>"18:40:04.086"</f>
        <v>18:40:04.086</v>
      </c>
      <c r="C3630" t="str">
        <f>"18:40:03.986"</f>
        <v>18:40:03.986</v>
      </c>
      <c r="D3630" t="s">
        <v>1414</v>
      </c>
      <c r="E3630">
        <v>30.95119</v>
      </c>
      <c r="F3630" t="s">
        <v>1415</v>
      </c>
      <c r="G3630">
        <v>-89.929984000000005</v>
      </c>
      <c r="H3630">
        <v>1600</v>
      </c>
      <c r="I3630">
        <v>108</v>
      </c>
      <c r="J3630">
        <v>113</v>
      </c>
      <c r="K3630">
        <v>128</v>
      </c>
      <c r="L3630">
        <v>1200</v>
      </c>
      <c r="M3630" t="str">
        <f t="shared" si="394"/>
        <v xml:space="preserve">N35DC   </v>
      </c>
      <c r="N3630">
        <v>1</v>
      </c>
      <c r="O3630">
        <v>1725</v>
      </c>
    </row>
    <row r="3631" spans="1:15" x14ac:dyDescent="0.25">
      <c r="A3631" t="str">
        <f>"10/21/2020 18:39:56.164"</f>
        <v>10/21/2020 18:39:56.164</v>
      </c>
      <c r="B3631" t="str">
        <f>"18:40:04.086"</f>
        <v>18:40:04.086</v>
      </c>
      <c r="C3631" t="str">
        <f>"18:40:03.986"</f>
        <v>18:40:03.986</v>
      </c>
      <c r="D3631" t="s">
        <v>1414</v>
      </c>
      <c r="E3631">
        <v>30.95119</v>
      </c>
      <c r="F3631" t="s">
        <v>1415</v>
      </c>
      <c r="G3631">
        <v>-89.929984000000005</v>
      </c>
      <c r="H3631">
        <v>1600</v>
      </c>
      <c r="I3631">
        <v>108</v>
      </c>
      <c r="J3631">
        <v>113</v>
      </c>
      <c r="K3631">
        <v>128</v>
      </c>
      <c r="L3631">
        <v>1200</v>
      </c>
      <c r="M3631" t="str">
        <f t="shared" si="394"/>
        <v xml:space="preserve">N35DC   </v>
      </c>
      <c r="N3631">
        <v>1</v>
      </c>
      <c r="O3631">
        <v>1725</v>
      </c>
    </row>
    <row r="3632" spans="1:15" x14ac:dyDescent="0.25">
      <c r="A3632" t="str">
        <f>"10/21/2020 18:39:56.164"</f>
        <v>10/21/2020 18:39:56.164</v>
      </c>
      <c r="B3632" t="str">
        <f>"18:40:04.086"</f>
        <v>18:40:04.086</v>
      </c>
      <c r="C3632" t="str">
        <f>"18:40:03.986"</f>
        <v>18:40:03.986</v>
      </c>
      <c r="D3632" t="s">
        <v>1414</v>
      </c>
      <c r="E3632">
        <v>30.95119</v>
      </c>
      <c r="F3632" t="s">
        <v>1415</v>
      </c>
      <c r="G3632">
        <v>-89.929984000000005</v>
      </c>
      <c r="H3632">
        <v>1600</v>
      </c>
      <c r="I3632">
        <v>108</v>
      </c>
      <c r="J3632">
        <v>113</v>
      </c>
      <c r="K3632">
        <v>128</v>
      </c>
      <c r="L3632">
        <v>1200</v>
      </c>
      <c r="M3632" t="str">
        <f t="shared" si="394"/>
        <v xml:space="preserve">N35DC   </v>
      </c>
      <c r="N3632">
        <v>1</v>
      </c>
      <c r="O3632">
        <v>1725</v>
      </c>
    </row>
    <row r="3633" spans="1:15" x14ac:dyDescent="0.25">
      <c r="A3633" t="str">
        <f>"10/21/2020 18:39:56.164"</f>
        <v>10/21/2020 18:39:56.164</v>
      </c>
      <c r="B3633" t="str">
        <f>"18:40:04.086"</f>
        <v>18:40:04.086</v>
      </c>
      <c r="C3633" t="str">
        <f>"18:40:03.986"</f>
        <v>18:40:03.986</v>
      </c>
      <c r="D3633" t="s">
        <v>1414</v>
      </c>
      <c r="E3633">
        <v>30.95119</v>
      </c>
      <c r="F3633" t="s">
        <v>1415</v>
      </c>
      <c r="G3633">
        <v>-89.929984000000005</v>
      </c>
      <c r="H3633">
        <v>1600</v>
      </c>
      <c r="I3633">
        <v>108</v>
      </c>
      <c r="J3633">
        <v>113</v>
      </c>
      <c r="K3633">
        <v>128</v>
      </c>
      <c r="L3633">
        <v>1200</v>
      </c>
      <c r="M3633" t="str">
        <f t="shared" si="394"/>
        <v xml:space="preserve">N35DC   </v>
      </c>
      <c r="N3633">
        <v>1</v>
      </c>
      <c r="O3633">
        <v>1725</v>
      </c>
    </row>
    <row r="3634" spans="1:15" x14ac:dyDescent="0.25">
      <c r="A3634" t="str">
        <f>"10/21/2020 18:39:56.693"</f>
        <v>10/21/2020 18:39:56.693</v>
      </c>
      <c r="B3634" t="str">
        <f>"18:40:04.625"</f>
        <v>18:40:04.625</v>
      </c>
      <c r="C3634" t="str">
        <f>"18:40:04.425"</f>
        <v>18:40:04.425</v>
      </c>
      <c r="D3634" t="s">
        <v>1416</v>
      </c>
      <c r="E3634">
        <v>30.951426000000001</v>
      </c>
      <c r="F3634" t="s">
        <v>1417</v>
      </c>
      <c r="G3634">
        <v>-89.929640000000006</v>
      </c>
      <c r="H3634">
        <v>1600</v>
      </c>
      <c r="I3634">
        <v>111</v>
      </c>
      <c r="J3634">
        <v>110</v>
      </c>
      <c r="K3634">
        <v>192</v>
      </c>
      <c r="L3634">
        <v>1200</v>
      </c>
      <c r="M3634" t="str">
        <f t="shared" si="394"/>
        <v xml:space="preserve">N35DC   </v>
      </c>
      <c r="N3634">
        <v>1</v>
      </c>
      <c r="O3634">
        <v>1725</v>
      </c>
    </row>
    <row r="3635" spans="1:15" x14ac:dyDescent="0.25">
      <c r="A3635" t="str">
        <f>"10/21/2020 18:39:57.117"</f>
        <v>10/21/2020 18:39:57.117</v>
      </c>
      <c r="B3635" t="str">
        <f t="shared" ref="B3635:C3638" si="403">"18:40:05.070"</f>
        <v>18:40:05.070</v>
      </c>
      <c r="C3635" t="str">
        <f t="shared" si="403"/>
        <v>18:40:05.070</v>
      </c>
      <c r="D3635" t="s">
        <v>1418</v>
      </c>
      <c r="E3635">
        <v>30.951661999999999</v>
      </c>
      <c r="F3635" t="s">
        <v>1419</v>
      </c>
      <c r="G3635">
        <v>-89.929361</v>
      </c>
      <c r="H3635">
        <v>1600</v>
      </c>
      <c r="I3635">
        <v>113</v>
      </c>
      <c r="J3635">
        <v>107</v>
      </c>
      <c r="K3635">
        <v>384</v>
      </c>
      <c r="L3635">
        <v>1200</v>
      </c>
      <c r="M3635" t="str">
        <f t="shared" si="394"/>
        <v xml:space="preserve">N35DC   </v>
      </c>
      <c r="N3635">
        <v>1</v>
      </c>
      <c r="O3635">
        <v>1725</v>
      </c>
    </row>
    <row r="3636" spans="1:15" x14ac:dyDescent="0.25">
      <c r="A3636" t="str">
        <f>"10/21/2020 18:39:57.117"</f>
        <v>10/21/2020 18:39:57.117</v>
      </c>
      <c r="B3636" t="str">
        <f t="shared" si="403"/>
        <v>18:40:05.070</v>
      </c>
      <c r="C3636" t="str">
        <f t="shared" si="403"/>
        <v>18:40:05.070</v>
      </c>
      <c r="D3636" t="s">
        <v>1418</v>
      </c>
      <c r="E3636">
        <v>30.951661999999999</v>
      </c>
      <c r="F3636" t="s">
        <v>1419</v>
      </c>
      <c r="G3636">
        <v>-89.929361</v>
      </c>
      <c r="H3636">
        <v>1600</v>
      </c>
      <c r="I3636">
        <v>113</v>
      </c>
      <c r="J3636">
        <v>107</v>
      </c>
      <c r="K3636">
        <v>384</v>
      </c>
      <c r="L3636">
        <v>1200</v>
      </c>
      <c r="M3636" t="str">
        <f t="shared" si="394"/>
        <v xml:space="preserve">N35DC   </v>
      </c>
      <c r="N3636">
        <v>1</v>
      </c>
      <c r="O3636">
        <v>1725</v>
      </c>
    </row>
    <row r="3637" spans="1:15" x14ac:dyDescent="0.25">
      <c r="A3637" t="str">
        <f>"10/21/2020 18:39:57.117"</f>
        <v>10/21/2020 18:39:57.117</v>
      </c>
      <c r="B3637" t="str">
        <f t="shared" si="403"/>
        <v>18:40:05.070</v>
      </c>
      <c r="C3637" t="str">
        <f t="shared" si="403"/>
        <v>18:40:05.070</v>
      </c>
      <c r="D3637" t="s">
        <v>1418</v>
      </c>
      <c r="E3637">
        <v>30.951661999999999</v>
      </c>
      <c r="F3637" t="s">
        <v>1419</v>
      </c>
      <c r="G3637">
        <v>-89.929361</v>
      </c>
      <c r="H3637">
        <v>1600</v>
      </c>
      <c r="I3637">
        <v>113</v>
      </c>
      <c r="J3637">
        <v>107</v>
      </c>
      <c r="K3637">
        <v>384</v>
      </c>
      <c r="L3637">
        <v>1200</v>
      </c>
      <c r="M3637" t="str">
        <f t="shared" si="394"/>
        <v xml:space="preserve">N35DC   </v>
      </c>
      <c r="N3637">
        <v>1</v>
      </c>
      <c r="O3637">
        <v>1725</v>
      </c>
    </row>
    <row r="3638" spans="1:15" x14ac:dyDescent="0.25">
      <c r="A3638" t="str">
        <f>"10/21/2020 18:39:57.117"</f>
        <v>10/21/2020 18:39:57.117</v>
      </c>
      <c r="B3638" t="str">
        <f t="shared" si="403"/>
        <v>18:40:05.070</v>
      </c>
      <c r="C3638" t="str">
        <f t="shared" si="403"/>
        <v>18:40:05.070</v>
      </c>
      <c r="D3638" t="s">
        <v>1418</v>
      </c>
      <c r="E3638">
        <v>30.951661999999999</v>
      </c>
      <c r="F3638" t="s">
        <v>1419</v>
      </c>
      <c r="G3638">
        <v>-89.929361</v>
      </c>
      <c r="H3638">
        <v>1600</v>
      </c>
      <c r="I3638">
        <v>113</v>
      </c>
      <c r="J3638">
        <v>107</v>
      </c>
      <c r="K3638">
        <v>384</v>
      </c>
      <c r="L3638">
        <v>1200</v>
      </c>
      <c r="M3638" t="str">
        <f t="shared" si="394"/>
        <v xml:space="preserve">N35DC   </v>
      </c>
      <c r="N3638">
        <v>1</v>
      </c>
      <c r="O3638">
        <v>1725</v>
      </c>
    </row>
    <row r="3639" spans="1:15" x14ac:dyDescent="0.25">
      <c r="A3639" t="str">
        <f t="shared" ref="A3639:A3644" si="404">"10/21/2020 18:39:59.133"</f>
        <v>10/21/2020 18:39:59.133</v>
      </c>
      <c r="B3639" t="str">
        <f t="shared" ref="B3639:B3644" si="405">"18:40:07.039"</f>
        <v>18:40:07.039</v>
      </c>
      <c r="C3639" t="str">
        <f>"18:40:06.639"</f>
        <v>18:40:06.639</v>
      </c>
      <c r="D3639" t="s">
        <v>1420</v>
      </c>
      <c r="E3639">
        <v>30.952584999999999</v>
      </c>
      <c r="F3639" t="s">
        <v>1421</v>
      </c>
      <c r="G3639">
        <v>-89.928160000000005</v>
      </c>
      <c r="H3639">
        <v>1600</v>
      </c>
      <c r="I3639">
        <v>119</v>
      </c>
      <c r="J3639">
        <v>99</v>
      </c>
      <c r="K3639">
        <v>384</v>
      </c>
      <c r="L3639">
        <v>1200</v>
      </c>
      <c r="M3639" t="str">
        <f t="shared" si="394"/>
        <v xml:space="preserve">N35DC   </v>
      </c>
      <c r="N3639">
        <v>1</v>
      </c>
      <c r="O3639">
        <v>1725</v>
      </c>
    </row>
    <row r="3640" spans="1:15" x14ac:dyDescent="0.25">
      <c r="A3640" t="str">
        <f t="shared" si="404"/>
        <v>10/21/2020 18:39:59.133</v>
      </c>
      <c r="B3640" t="str">
        <f t="shared" si="405"/>
        <v>18:40:07.039</v>
      </c>
      <c r="C3640" t="str">
        <f>"18:40:06.739"</f>
        <v>18:40:06.739</v>
      </c>
      <c r="D3640" t="s">
        <v>1420</v>
      </c>
      <c r="E3640">
        <v>30.952584999999999</v>
      </c>
      <c r="F3640" t="s">
        <v>1421</v>
      </c>
      <c r="G3640">
        <v>-89.928160000000005</v>
      </c>
      <c r="H3640">
        <v>1600</v>
      </c>
      <c r="I3640">
        <v>119</v>
      </c>
      <c r="J3640">
        <v>99</v>
      </c>
      <c r="K3640">
        <v>384</v>
      </c>
      <c r="L3640">
        <v>1200</v>
      </c>
      <c r="M3640" t="str">
        <f t="shared" si="394"/>
        <v xml:space="preserve">N35DC   </v>
      </c>
      <c r="N3640">
        <v>1</v>
      </c>
      <c r="O3640">
        <v>1725</v>
      </c>
    </row>
    <row r="3641" spans="1:15" x14ac:dyDescent="0.25">
      <c r="A3641" t="str">
        <f t="shared" si="404"/>
        <v>10/21/2020 18:39:59.133</v>
      </c>
      <c r="B3641" t="str">
        <f t="shared" si="405"/>
        <v>18:40:07.039</v>
      </c>
      <c r="C3641" t="str">
        <f>"18:40:06.139"</f>
        <v>18:40:06.139</v>
      </c>
      <c r="D3641" t="s">
        <v>1420</v>
      </c>
      <c r="E3641">
        <v>30.952584999999999</v>
      </c>
      <c r="F3641" t="s">
        <v>1421</v>
      </c>
      <c r="G3641">
        <v>-89.928160000000005</v>
      </c>
      <c r="H3641">
        <v>1600</v>
      </c>
      <c r="I3641">
        <v>117</v>
      </c>
      <c r="J3641">
        <v>102</v>
      </c>
      <c r="K3641">
        <v>256</v>
      </c>
      <c r="L3641">
        <v>1200</v>
      </c>
      <c r="M3641" t="str">
        <f t="shared" si="394"/>
        <v xml:space="preserve">N35DC   </v>
      </c>
      <c r="N3641">
        <v>1</v>
      </c>
      <c r="O3641">
        <v>1725</v>
      </c>
    </row>
    <row r="3642" spans="1:15" x14ac:dyDescent="0.25">
      <c r="A3642" t="str">
        <f t="shared" si="404"/>
        <v>10/21/2020 18:39:59.133</v>
      </c>
      <c r="B3642" t="str">
        <f t="shared" si="405"/>
        <v>18:40:07.039</v>
      </c>
      <c r="C3642" t="str">
        <f>"18:40:06.739"</f>
        <v>18:40:06.739</v>
      </c>
      <c r="D3642" t="s">
        <v>1420</v>
      </c>
      <c r="E3642">
        <v>30.952584999999999</v>
      </c>
      <c r="F3642" t="s">
        <v>1421</v>
      </c>
      <c r="G3642">
        <v>-89.928160000000005</v>
      </c>
      <c r="H3642">
        <v>1600</v>
      </c>
      <c r="I3642">
        <v>119</v>
      </c>
      <c r="J3642">
        <v>99</v>
      </c>
      <c r="K3642">
        <v>384</v>
      </c>
      <c r="L3642">
        <v>1200</v>
      </c>
      <c r="M3642" t="str">
        <f t="shared" si="394"/>
        <v xml:space="preserve">N35DC   </v>
      </c>
      <c r="N3642">
        <v>1</v>
      </c>
      <c r="O3642">
        <v>1725</v>
      </c>
    </row>
    <row r="3643" spans="1:15" x14ac:dyDescent="0.25">
      <c r="A3643" t="str">
        <f t="shared" si="404"/>
        <v>10/21/2020 18:39:59.133</v>
      </c>
      <c r="B3643" t="str">
        <f t="shared" si="405"/>
        <v>18:40:07.039</v>
      </c>
      <c r="C3643" t="str">
        <f>"18:40:06.639"</f>
        <v>18:40:06.639</v>
      </c>
      <c r="D3643" t="s">
        <v>1420</v>
      </c>
      <c r="E3643">
        <v>30.952584999999999</v>
      </c>
      <c r="F3643" t="s">
        <v>1421</v>
      </c>
      <c r="G3643">
        <v>-89.928160000000005</v>
      </c>
      <c r="H3643">
        <v>1600</v>
      </c>
      <c r="I3643">
        <v>119</v>
      </c>
      <c r="J3643">
        <v>99</v>
      </c>
      <c r="K3643">
        <v>384</v>
      </c>
      <c r="L3643">
        <v>1200</v>
      </c>
      <c r="M3643" t="str">
        <f t="shared" si="394"/>
        <v xml:space="preserve">N35DC   </v>
      </c>
      <c r="N3643">
        <v>1</v>
      </c>
      <c r="O3643">
        <v>1725</v>
      </c>
    </row>
    <row r="3644" spans="1:15" x14ac:dyDescent="0.25">
      <c r="A3644" t="str">
        <f t="shared" si="404"/>
        <v>10/21/2020 18:39:59.133</v>
      </c>
      <c r="B3644" t="str">
        <f t="shared" si="405"/>
        <v>18:40:07.039</v>
      </c>
      <c r="C3644" t="str">
        <f>"18:40:06.639"</f>
        <v>18:40:06.639</v>
      </c>
      <c r="D3644" t="s">
        <v>1420</v>
      </c>
      <c r="E3644">
        <v>30.952584999999999</v>
      </c>
      <c r="F3644" t="s">
        <v>1421</v>
      </c>
      <c r="G3644">
        <v>-89.928160000000005</v>
      </c>
      <c r="H3644">
        <v>1600</v>
      </c>
      <c r="I3644">
        <v>119</v>
      </c>
      <c r="J3644">
        <v>99</v>
      </c>
      <c r="K3644">
        <v>384</v>
      </c>
      <c r="L3644">
        <v>1200</v>
      </c>
      <c r="M3644" t="str">
        <f t="shared" si="394"/>
        <v xml:space="preserve">N35DC   </v>
      </c>
      <c r="N3644">
        <v>1</v>
      </c>
      <c r="O3644">
        <v>1725</v>
      </c>
    </row>
    <row r="3645" spans="1:15" x14ac:dyDescent="0.25">
      <c r="A3645" t="str">
        <f>"10/21/2020 18:39:59.999"</f>
        <v>10/21/2020 18:39:59.999</v>
      </c>
      <c r="B3645" t="str">
        <f>"18:40:07.953"</f>
        <v>18:40:07.953</v>
      </c>
      <c r="C3645" t="str">
        <f>"18:40:07.553"</f>
        <v>18:40:07.553</v>
      </c>
      <c r="D3645" t="s">
        <v>1422</v>
      </c>
      <c r="E3645">
        <v>30.952991999999998</v>
      </c>
      <c r="F3645" t="s">
        <v>1423</v>
      </c>
      <c r="G3645">
        <v>-89.927537000000001</v>
      </c>
      <c r="H3645">
        <v>1700</v>
      </c>
      <c r="I3645">
        <v>121</v>
      </c>
      <c r="J3645">
        <v>96</v>
      </c>
      <c r="K3645">
        <v>448</v>
      </c>
      <c r="L3645">
        <v>1200</v>
      </c>
      <c r="M3645" t="str">
        <f t="shared" si="394"/>
        <v xml:space="preserve">N35DC   </v>
      </c>
      <c r="N3645">
        <v>1</v>
      </c>
      <c r="O3645">
        <v>1725</v>
      </c>
    </row>
    <row r="3646" spans="1:15" x14ac:dyDescent="0.25">
      <c r="A3646" t="str">
        <f>"10/21/2020 18:39:59.999"</f>
        <v>10/21/2020 18:39:59.999</v>
      </c>
      <c r="B3646" t="str">
        <f>"18:40:07.953"</f>
        <v>18:40:07.953</v>
      </c>
      <c r="C3646" t="str">
        <f>"18:40:07.553"</f>
        <v>18:40:07.553</v>
      </c>
      <c r="D3646" t="s">
        <v>1422</v>
      </c>
      <c r="E3646">
        <v>30.952991999999998</v>
      </c>
      <c r="F3646" t="s">
        <v>1423</v>
      </c>
      <c r="G3646">
        <v>-89.927537000000001</v>
      </c>
      <c r="H3646">
        <v>1700</v>
      </c>
      <c r="I3646">
        <v>121</v>
      </c>
      <c r="J3646">
        <v>96</v>
      </c>
      <c r="K3646">
        <v>448</v>
      </c>
      <c r="L3646">
        <v>1200</v>
      </c>
      <c r="M3646" t="str">
        <f t="shared" si="394"/>
        <v xml:space="preserve">N35DC   </v>
      </c>
      <c r="N3646">
        <v>1</v>
      </c>
      <c r="O3646">
        <v>1725</v>
      </c>
    </row>
    <row r="3647" spans="1:15" x14ac:dyDescent="0.25">
      <c r="A3647" t="str">
        <f>"10/21/2020 18:39:59.999"</f>
        <v>10/21/2020 18:39:59.999</v>
      </c>
      <c r="B3647" t="str">
        <f>"18:40:07.953"</f>
        <v>18:40:07.953</v>
      </c>
      <c r="C3647" t="str">
        <f>"18:40:07.553"</f>
        <v>18:40:07.553</v>
      </c>
      <c r="D3647" t="s">
        <v>1422</v>
      </c>
      <c r="E3647">
        <v>30.952991999999998</v>
      </c>
      <c r="F3647" t="s">
        <v>1423</v>
      </c>
      <c r="G3647">
        <v>-89.927537000000001</v>
      </c>
      <c r="H3647">
        <v>1700</v>
      </c>
      <c r="I3647">
        <v>121</v>
      </c>
      <c r="J3647">
        <v>96</v>
      </c>
      <c r="K3647">
        <v>448</v>
      </c>
      <c r="L3647">
        <v>1200</v>
      </c>
      <c r="M3647" t="str">
        <f t="shared" si="394"/>
        <v xml:space="preserve">N35DC   </v>
      </c>
      <c r="N3647">
        <v>1</v>
      </c>
      <c r="O3647">
        <v>1725</v>
      </c>
    </row>
    <row r="3648" spans="1:15" x14ac:dyDescent="0.25">
      <c r="A3648" t="str">
        <f>"10/21/2020 18:39:59.999"</f>
        <v>10/21/2020 18:39:59.999</v>
      </c>
      <c r="B3648" t="str">
        <f>"18:40:07.953"</f>
        <v>18:40:07.953</v>
      </c>
      <c r="C3648" t="str">
        <f>"18:40:07.553"</f>
        <v>18:40:07.553</v>
      </c>
      <c r="D3648" t="s">
        <v>1422</v>
      </c>
      <c r="E3648">
        <v>30.952991999999998</v>
      </c>
      <c r="F3648" t="s">
        <v>1423</v>
      </c>
      <c r="G3648">
        <v>-89.927537000000001</v>
      </c>
      <c r="H3648">
        <v>1700</v>
      </c>
      <c r="I3648">
        <v>121</v>
      </c>
      <c r="J3648">
        <v>96</v>
      </c>
      <c r="K3648">
        <v>448</v>
      </c>
      <c r="L3648">
        <v>1200</v>
      </c>
      <c r="M3648" t="str">
        <f t="shared" si="394"/>
        <v xml:space="preserve">N35DC   </v>
      </c>
      <c r="N3648">
        <v>1</v>
      </c>
      <c r="O3648">
        <v>1725</v>
      </c>
    </row>
    <row r="3649" spans="1:15" x14ac:dyDescent="0.25">
      <c r="A3649" t="str">
        <f>"10/21/2020 18:39:59.999"</f>
        <v>10/21/2020 18:39:59.999</v>
      </c>
      <c r="B3649" t="str">
        <f>"18:40:07.953"</f>
        <v>18:40:07.953</v>
      </c>
      <c r="C3649" t="str">
        <f>"18:40:07.553"</f>
        <v>18:40:07.553</v>
      </c>
      <c r="D3649" t="s">
        <v>1422</v>
      </c>
      <c r="E3649">
        <v>30.952991999999998</v>
      </c>
      <c r="F3649" t="s">
        <v>1423</v>
      </c>
      <c r="G3649">
        <v>-89.927537000000001</v>
      </c>
      <c r="H3649">
        <v>1700</v>
      </c>
      <c r="I3649">
        <v>121</v>
      </c>
      <c r="J3649">
        <v>96</v>
      </c>
      <c r="K3649">
        <v>448</v>
      </c>
      <c r="L3649">
        <v>1200</v>
      </c>
      <c r="M3649" t="str">
        <f t="shared" si="394"/>
        <v xml:space="preserve">N35DC   </v>
      </c>
      <c r="N3649">
        <v>1</v>
      </c>
      <c r="O3649">
        <v>1725</v>
      </c>
    </row>
    <row r="3650" spans="1:15" x14ac:dyDescent="0.25">
      <c r="A3650" t="str">
        <f>"10/21/2020 18:40:00.458"</f>
        <v>10/21/2020 18:40:00.458</v>
      </c>
      <c r="B3650" t="str">
        <f>"18:40:08.359"</f>
        <v>18:40:08.359</v>
      </c>
      <c r="C3650" t="str">
        <f>"18:40:08.059"</f>
        <v>18:40:08.059</v>
      </c>
      <c r="D3650" t="s">
        <v>1424</v>
      </c>
      <c r="E3650">
        <v>30.953185999999999</v>
      </c>
      <c r="F3650" t="s">
        <v>1425</v>
      </c>
      <c r="G3650">
        <v>-89.927216000000001</v>
      </c>
      <c r="H3650">
        <v>1700</v>
      </c>
      <c r="I3650">
        <v>122</v>
      </c>
      <c r="J3650">
        <v>94</v>
      </c>
      <c r="K3650">
        <v>512</v>
      </c>
      <c r="L3650">
        <v>1200</v>
      </c>
      <c r="M3650" t="str">
        <f t="shared" si="394"/>
        <v xml:space="preserve">N35DC   </v>
      </c>
      <c r="N3650">
        <v>1</v>
      </c>
      <c r="O3650">
        <v>1725</v>
      </c>
    </row>
    <row r="3651" spans="1:15" x14ac:dyDescent="0.25">
      <c r="A3651" t="str">
        <f>"10/21/2020 18:40:00.822"</f>
        <v>10/21/2020 18:40:00.822</v>
      </c>
      <c r="B3651" t="str">
        <f>"18:40:08.781"</f>
        <v>18:40:08.781</v>
      </c>
      <c r="C3651" t="str">
        <f>"18:40:08.581"</f>
        <v>18:40:08.581</v>
      </c>
      <c r="D3651" t="s">
        <v>1426</v>
      </c>
      <c r="E3651">
        <v>30.953336</v>
      </c>
      <c r="F3651" t="s">
        <v>1427</v>
      </c>
      <c r="G3651">
        <v>-89.92698</v>
      </c>
      <c r="H3651">
        <v>1700</v>
      </c>
      <c r="I3651">
        <v>123</v>
      </c>
      <c r="J3651">
        <v>92</v>
      </c>
      <c r="K3651">
        <v>448</v>
      </c>
      <c r="L3651">
        <v>1200</v>
      </c>
      <c r="M3651" t="str">
        <f t="shared" si="394"/>
        <v xml:space="preserve">N35DC   </v>
      </c>
      <c r="N3651">
        <v>1</v>
      </c>
      <c r="O3651">
        <v>1725</v>
      </c>
    </row>
    <row r="3652" spans="1:15" x14ac:dyDescent="0.25">
      <c r="A3652" t="str">
        <f>"10/21/2020 18:40:00.822"</f>
        <v>10/21/2020 18:40:00.822</v>
      </c>
      <c r="B3652" t="str">
        <f>"18:40:08.781"</f>
        <v>18:40:08.781</v>
      </c>
      <c r="C3652" t="str">
        <f>"18:40:08.581"</f>
        <v>18:40:08.581</v>
      </c>
      <c r="D3652" t="s">
        <v>1426</v>
      </c>
      <c r="E3652">
        <v>30.953336</v>
      </c>
      <c r="F3652" t="s">
        <v>1427</v>
      </c>
      <c r="G3652">
        <v>-89.92698</v>
      </c>
      <c r="H3652">
        <v>1700</v>
      </c>
      <c r="I3652">
        <v>123</v>
      </c>
      <c r="J3652">
        <v>92</v>
      </c>
      <c r="K3652">
        <v>448</v>
      </c>
      <c r="L3652">
        <v>1200</v>
      </c>
      <c r="M3652" t="str">
        <f t="shared" si="394"/>
        <v xml:space="preserve">N35DC   </v>
      </c>
      <c r="N3652">
        <v>1</v>
      </c>
      <c r="O3652">
        <v>1725</v>
      </c>
    </row>
    <row r="3653" spans="1:15" x14ac:dyDescent="0.25">
      <c r="A3653" t="str">
        <f>"10/21/2020 18:40:00.822"</f>
        <v>10/21/2020 18:40:00.822</v>
      </c>
      <c r="B3653" t="str">
        <f>"18:40:08.781"</f>
        <v>18:40:08.781</v>
      </c>
      <c r="C3653" t="str">
        <f>"18:40:08.581"</f>
        <v>18:40:08.581</v>
      </c>
      <c r="D3653" t="s">
        <v>1426</v>
      </c>
      <c r="E3653">
        <v>30.953336</v>
      </c>
      <c r="F3653" t="s">
        <v>1427</v>
      </c>
      <c r="G3653">
        <v>-89.92698</v>
      </c>
      <c r="H3653">
        <v>1700</v>
      </c>
      <c r="I3653">
        <v>123</v>
      </c>
      <c r="J3653">
        <v>92</v>
      </c>
      <c r="K3653">
        <v>448</v>
      </c>
      <c r="L3653">
        <v>1200</v>
      </c>
      <c r="M3653" t="str">
        <f t="shared" si="394"/>
        <v xml:space="preserve">N35DC   </v>
      </c>
      <c r="N3653">
        <v>1</v>
      </c>
      <c r="O3653">
        <v>1725</v>
      </c>
    </row>
    <row r="3654" spans="1:15" x14ac:dyDescent="0.25">
      <c r="A3654" t="str">
        <f>"10/21/2020 18:40:00.822"</f>
        <v>10/21/2020 18:40:00.822</v>
      </c>
      <c r="B3654" t="str">
        <f>"18:40:08.781"</f>
        <v>18:40:08.781</v>
      </c>
      <c r="C3654" t="str">
        <f>"18:40:08.581"</f>
        <v>18:40:08.581</v>
      </c>
      <c r="D3654" t="s">
        <v>1426</v>
      </c>
      <c r="E3654">
        <v>30.953336</v>
      </c>
      <c r="F3654" t="s">
        <v>1427</v>
      </c>
      <c r="G3654">
        <v>-89.92698</v>
      </c>
      <c r="H3654">
        <v>1700</v>
      </c>
      <c r="I3654">
        <v>123</v>
      </c>
      <c r="J3654">
        <v>92</v>
      </c>
      <c r="K3654">
        <v>448</v>
      </c>
      <c r="L3654">
        <v>1200</v>
      </c>
      <c r="M3654" t="str">
        <f t="shared" si="394"/>
        <v xml:space="preserve">N35DC   </v>
      </c>
      <c r="N3654">
        <v>1</v>
      </c>
      <c r="O3654">
        <v>1725</v>
      </c>
    </row>
    <row r="3655" spans="1:15" x14ac:dyDescent="0.25">
      <c r="A3655" t="str">
        <f>"10/21/2020 18:40:00.822"</f>
        <v>10/21/2020 18:40:00.822</v>
      </c>
      <c r="B3655" t="str">
        <f>"18:40:08.781"</f>
        <v>18:40:08.781</v>
      </c>
      <c r="C3655" t="str">
        <f>"18:40:08.581"</f>
        <v>18:40:08.581</v>
      </c>
      <c r="D3655" t="s">
        <v>1426</v>
      </c>
      <c r="E3655">
        <v>30.953336</v>
      </c>
      <c r="F3655" t="s">
        <v>1427</v>
      </c>
      <c r="G3655">
        <v>-89.92698</v>
      </c>
      <c r="H3655">
        <v>1700</v>
      </c>
      <c r="I3655">
        <v>123</v>
      </c>
      <c r="J3655">
        <v>92</v>
      </c>
      <c r="K3655">
        <v>448</v>
      </c>
      <c r="L3655">
        <v>1200</v>
      </c>
      <c r="M3655" t="str">
        <f t="shared" ref="M3655:M3718" si="406">"N35DC   "</f>
        <v xml:space="preserve">N35DC   </v>
      </c>
      <c r="N3655">
        <v>1</v>
      </c>
      <c r="O3655">
        <v>1725</v>
      </c>
    </row>
    <row r="3656" spans="1:15" x14ac:dyDescent="0.25">
      <c r="A3656" t="str">
        <f t="shared" ref="A3656:A3661" si="407">"10/21/2020 18:40:03.045"</f>
        <v>10/21/2020 18:40:03.045</v>
      </c>
      <c r="B3656" t="str">
        <f t="shared" ref="B3656:B3661" si="408">"18:40:11.000"</f>
        <v>18:40:11.000</v>
      </c>
      <c r="C3656" t="str">
        <f>"18:40:10.700"</f>
        <v>18:40:10.700</v>
      </c>
      <c r="D3656" t="s">
        <v>1428</v>
      </c>
      <c r="E3656">
        <v>30.954257999999999</v>
      </c>
      <c r="F3656" t="s">
        <v>1429</v>
      </c>
      <c r="G3656">
        <v>-89.925455999999997</v>
      </c>
      <c r="H3656">
        <v>1700</v>
      </c>
      <c r="I3656">
        <v>126</v>
      </c>
      <c r="J3656">
        <v>86</v>
      </c>
      <c r="K3656">
        <v>320</v>
      </c>
      <c r="L3656">
        <v>1200</v>
      </c>
      <c r="M3656" t="str">
        <f t="shared" si="406"/>
        <v xml:space="preserve">N35DC   </v>
      </c>
      <c r="N3656">
        <v>1</v>
      </c>
      <c r="O3656">
        <v>1750</v>
      </c>
    </row>
    <row r="3657" spans="1:15" x14ac:dyDescent="0.25">
      <c r="A3657" t="str">
        <f t="shared" si="407"/>
        <v>10/21/2020 18:40:03.045</v>
      </c>
      <c r="B3657" t="str">
        <f t="shared" si="408"/>
        <v>18:40:11.000</v>
      </c>
      <c r="C3657" t="str">
        <f>"18:40:10.700"</f>
        <v>18:40:10.700</v>
      </c>
      <c r="D3657" t="s">
        <v>1428</v>
      </c>
      <c r="E3657">
        <v>30.954257999999999</v>
      </c>
      <c r="F3657" t="s">
        <v>1429</v>
      </c>
      <c r="G3657">
        <v>-89.925455999999997</v>
      </c>
      <c r="H3657">
        <v>1700</v>
      </c>
      <c r="I3657">
        <v>126</v>
      </c>
      <c r="J3657">
        <v>86</v>
      </c>
      <c r="K3657">
        <v>320</v>
      </c>
      <c r="L3657">
        <v>1200</v>
      </c>
      <c r="M3657" t="str">
        <f t="shared" si="406"/>
        <v xml:space="preserve">N35DC   </v>
      </c>
      <c r="N3657">
        <v>1</v>
      </c>
      <c r="O3657">
        <v>1750</v>
      </c>
    </row>
    <row r="3658" spans="1:15" x14ac:dyDescent="0.25">
      <c r="A3658" t="str">
        <f t="shared" si="407"/>
        <v>10/21/2020 18:40:03.045</v>
      </c>
      <c r="B3658" t="str">
        <f t="shared" si="408"/>
        <v>18:40:11.000</v>
      </c>
      <c r="C3658" t="str">
        <f>"18:40:10.100"</f>
        <v>18:40:10.100</v>
      </c>
      <c r="D3658" t="s">
        <v>1428</v>
      </c>
      <c r="E3658">
        <v>30.954257999999999</v>
      </c>
      <c r="F3658" t="s">
        <v>1429</v>
      </c>
      <c r="G3658">
        <v>-89.925455999999997</v>
      </c>
      <c r="H3658">
        <v>1700</v>
      </c>
      <c r="I3658">
        <v>125</v>
      </c>
      <c r="J3658">
        <v>88</v>
      </c>
      <c r="K3658">
        <v>384</v>
      </c>
      <c r="L3658">
        <v>1200</v>
      </c>
      <c r="M3658" t="str">
        <f t="shared" si="406"/>
        <v xml:space="preserve">N35DC   </v>
      </c>
      <c r="N3658">
        <v>1</v>
      </c>
      <c r="O3658">
        <v>1750</v>
      </c>
    </row>
    <row r="3659" spans="1:15" x14ac:dyDescent="0.25">
      <c r="A3659" t="str">
        <f t="shared" si="407"/>
        <v>10/21/2020 18:40:03.045</v>
      </c>
      <c r="B3659" t="str">
        <f t="shared" si="408"/>
        <v>18:40:11.000</v>
      </c>
      <c r="C3659" t="str">
        <f>"18:40:10.700"</f>
        <v>18:40:10.700</v>
      </c>
      <c r="D3659" t="s">
        <v>1428</v>
      </c>
      <c r="E3659">
        <v>30.954257999999999</v>
      </c>
      <c r="F3659" t="s">
        <v>1429</v>
      </c>
      <c r="G3659">
        <v>-89.925455999999997</v>
      </c>
      <c r="H3659">
        <v>1700</v>
      </c>
      <c r="I3659">
        <v>126</v>
      </c>
      <c r="J3659">
        <v>86</v>
      </c>
      <c r="K3659">
        <v>320</v>
      </c>
      <c r="L3659">
        <v>1200</v>
      </c>
      <c r="M3659" t="str">
        <f t="shared" si="406"/>
        <v xml:space="preserve">N35DC   </v>
      </c>
      <c r="N3659">
        <v>1</v>
      </c>
      <c r="O3659">
        <v>1750</v>
      </c>
    </row>
    <row r="3660" spans="1:15" x14ac:dyDescent="0.25">
      <c r="A3660" t="str">
        <f t="shared" si="407"/>
        <v>10/21/2020 18:40:03.045</v>
      </c>
      <c r="B3660" t="str">
        <f t="shared" si="408"/>
        <v>18:40:11.000</v>
      </c>
      <c r="C3660" t="str">
        <f>"18:40:10.700"</f>
        <v>18:40:10.700</v>
      </c>
      <c r="D3660" t="s">
        <v>1428</v>
      </c>
      <c r="E3660">
        <v>30.954257999999999</v>
      </c>
      <c r="F3660" t="s">
        <v>1429</v>
      </c>
      <c r="G3660">
        <v>-89.925455999999997</v>
      </c>
      <c r="H3660">
        <v>1700</v>
      </c>
      <c r="I3660">
        <v>126</v>
      </c>
      <c r="J3660">
        <v>86</v>
      </c>
      <c r="K3660">
        <v>320</v>
      </c>
      <c r="L3660">
        <v>1200</v>
      </c>
      <c r="M3660" t="str">
        <f t="shared" si="406"/>
        <v xml:space="preserve">N35DC   </v>
      </c>
      <c r="N3660">
        <v>1</v>
      </c>
      <c r="O3660">
        <v>1750</v>
      </c>
    </row>
    <row r="3661" spans="1:15" x14ac:dyDescent="0.25">
      <c r="A3661" t="str">
        <f t="shared" si="407"/>
        <v>10/21/2020 18:40:03.045</v>
      </c>
      <c r="B3661" t="str">
        <f t="shared" si="408"/>
        <v>18:40:11.000</v>
      </c>
      <c r="C3661" t="str">
        <f>"18:40:10.700"</f>
        <v>18:40:10.700</v>
      </c>
      <c r="D3661" t="s">
        <v>1428</v>
      </c>
      <c r="E3661">
        <v>30.954257999999999</v>
      </c>
      <c r="F3661" t="s">
        <v>1429</v>
      </c>
      <c r="G3661">
        <v>-89.925455999999997</v>
      </c>
      <c r="H3661">
        <v>1700</v>
      </c>
      <c r="I3661">
        <v>126</v>
      </c>
      <c r="J3661">
        <v>86</v>
      </c>
      <c r="K3661">
        <v>320</v>
      </c>
      <c r="L3661">
        <v>1200</v>
      </c>
      <c r="M3661" t="str">
        <f t="shared" si="406"/>
        <v xml:space="preserve">N35DC   </v>
      </c>
      <c r="N3661">
        <v>1</v>
      </c>
      <c r="O3661">
        <v>1750</v>
      </c>
    </row>
    <row r="3662" spans="1:15" x14ac:dyDescent="0.25">
      <c r="A3662" t="str">
        <f t="shared" ref="A3662:A3667" si="409">"10/21/2020 18:40:04.131"</f>
        <v>10/21/2020 18:40:04.131</v>
      </c>
      <c r="B3662" t="str">
        <f t="shared" ref="B3662:C3667" si="410">"18:40:12.063"</f>
        <v>18:40:12.063</v>
      </c>
      <c r="C3662" t="str">
        <f t="shared" si="410"/>
        <v>18:40:12.063</v>
      </c>
      <c r="D3662" t="s">
        <v>1430</v>
      </c>
      <c r="E3662">
        <v>30.954666</v>
      </c>
      <c r="F3662" t="s">
        <v>1431</v>
      </c>
      <c r="G3662">
        <v>-89.924768999999998</v>
      </c>
      <c r="H3662">
        <v>1700</v>
      </c>
      <c r="I3662">
        <v>128</v>
      </c>
      <c r="J3662">
        <v>83</v>
      </c>
      <c r="K3662">
        <v>256</v>
      </c>
      <c r="L3662">
        <v>1200</v>
      </c>
      <c r="M3662" t="str">
        <f t="shared" si="406"/>
        <v xml:space="preserve">N35DC   </v>
      </c>
      <c r="N3662">
        <v>1</v>
      </c>
      <c r="O3662">
        <v>1750</v>
      </c>
    </row>
    <row r="3663" spans="1:15" x14ac:dyDescent="0.25">
      <c r="A3663" t="str">
        <f t="shared" si="409"/>
        <v>10/21/2020 18:40:04.131</v>
      </c>
      <c r="B3663" t="str">
        <f t="shared" si="410"/>
        <v>18:40:12.063</v>
      </c>
      <c r="C3663" t="str">
        <f t="shared" si="410"/>
        <v>18:40:12.063</v>
      </c>
      <c r="D3663" t="s">
        <v>1430</v>
      </c>
      <c r="E3663">
        <v>30.954666</v>
      </c>
      <c r="F3663" t="s">
        <v>1431</v>
      </c>
      <c r="G3663">
        <v>-89.924768999999998</v>
      </c>
      <c r="H3663">
        <v>1700</v>
      </c>
      <c r="I3663">
        <v>128</v>
      </c>
      <c r="J3663">
        <v>83</v>
      </c>
      <c r="K3663">
        <v>256</v>
      </c>
      <c r="L3663">
        <v>1200</v>
      </c>
      <c r="M3663" t="str">
        <f t="shared" si="406"/>
        <v xml:space="preserve">N35DC   </v>
      </c>
      <c r="N3663">
        <v>1</v>
      </c>
      <c r="O3663">
        <v>1750</v>
      </c>
    </row>
    <row r="3664" spans="1:15" x14ac:dyDescent="0.25">
      <c r="A3664" t="str">
        <f t="shared" si="409"/>
        <v>10/21/2020 18:40:04.131</v>
      </c>
      <c r="B3664" t="str">
        <f t="shared" si="410"/>
        <v>18:40:12.063</v>
      </c>
      <c r="C3664" t="str">
        <f t="shared" si="410"/>
        <v>18:40:12.063</v>
      </c>
      <c r="D3664" t="s">
        <v>1430</v>
      </c>
      <c r="E3664">
        <v>30.954666</v>
      </c>
      <c r="F3664" t="s">
        <v>1431</v>
      </c>
      <c r="G3664">
        <v>-89.924768999999998</v>
      </c>
      <c r="H3664">
        <v>1700</v>
      </c>
      <c r="I3664">
        <v>128</v>
      </c>
      <c r="J3664">
        <v>83</v>
      </c>
      <c r="K3664">
        <v>256</v>
      </c>
      <c r="L3664">
        <v>1200</v>
      </c>
      <c r="M3664" t="str">
        <f t="shared" si="406"/>
        <v xml:space="preserve">N35DC   </v>
      </c>
      <c r="N3664">
        <v>1</v>
      </c>
      <c r="O3664">
        <v>1750</v>
      </c>
    </row>
    <row r="3665" spans="1:15" x14ac:dyDescent="0.25">
      <c r="A3665" t="str">
        <f t="shared" si="409"/>
        <v>10/21/2020 18:40:04.131</v>
      </c>
      <c r="B3665" t="str">
        <f t="shared" si="410"/>
        <v>18:40:12.063</v>
      </c>
      <c r="C3665" t="str">
        <f t="shared" si="410"/>
        <v>18:40:12.063</v>
      </c>
      <c r="D3665" t="s">
        <v>1430</v>
      </c>
      <c r="E3665">
        <v>30.954666</v>
      </c>
      <c r="F3665" t="s">
        <v>1431</v>
      </c>
      <c r="G3665">
        <v>-89.924768999999998</v>
      </c>
      <c r="H3665">
        <v>1700</v>
      </c>
      <c r="I3665">
        <v>128</v>
      </c>
      <c r="J3665">
        <v>83</v>
      </c>
      <c r="K3665">
        <v>256</v>
      </c>
      <c r="L3665">
        <v>1200</v>
      </c>
      <c r="M3665" t="str">
        <f t="shared" si="406"/>
        <v xml:space="preserve">N35DC   </v>
      </c>
      <c r="N3665">
        <v>1</v>
      </c>
      <c r="O3665">
        <v>1750</v>
      </c>
    </row>
    <row r="3666" spans="1:15" x14ac:dyDescent="0.25">
      <c r="A3666" t="str">
        <f t="shared" si="409"/>
        <v>10/21/2020 18:40:04.131</v>
      </c>
      <c r="B3666" t="str">
        <f t="shared" si="410"/>
        <v>18:40:12.063</v>
      </c>
      <c r="C3666" t="str">
        <f t="shared" si="410"/>
        <v>18:40:12.063</v>
      </c>
      <c r="D3666" t="s">
        <v>1430</v>
      </c>
      <c r="E3666">
        <v>30.954666</v>
      </c>
      <c r="F3666" t="s">
        <v>1431</v>
      </c>
      <c r="G3666">
        <v>-89.924768999999998</v>
      </c>
      <c r="H3666">
        <v>1700</v>
      </c>
      <c r="I3666">
        <v>128</v>
      </c>
      <c r="J3666">
        <v>83</v>
      </c>
      <c r="K3666">
        <v>256</v>
      </c>
      <c r="L3666">
        <v>1200</v>
      </c>
      <c r="M3666" t="str">
        <f t="shared" si="406"/>
        <v xml:space="preserve">N35DC   </v>
      </c>
      <c r="N3666">
        <v>1</v>
      </c>
      <c r="O3666">
        <v>1750</v>
      </c>
    </row>
    <row r="3667" spans="1:15" x14ac:dyDescent="0.25">
      <c r="A3667" t="str">
        <f t="shared" si="409"/>
        <v>10/21/2020 18:40:04.131</v>
      </c>
      <c r="B3667" t="str">
        <f t="shared" si="410"/>
        <v>18:40:12.063</v>
      </c>
      <c r="C3667" t="str">
        <f t="shared" si="410"/>
        <v>18:40:12.063</v>
      </c>
      <c r="D3667" t="s">
        <v>1430</v>
      </c>
      <c r="E3667">
        <v>30.954666</v>
      </c>
      <c r="F3667" t="s">
        <v>1431</v>
      </c>
      <c r="G3667">
        <v>-89.924768999999998</v>
      </c>
      <c r="H3667">
        <v>1700</v>
      </c>
      <c r="I3667">
        <v>128</v>
      </c>
      <c r="J3667">
        <v>83</v>
      </c>
      <c r="K3667">
        <v>256</v>
      </c>
      <c r="L3667">
        <v>1200</v>
      </c>
      <c r="M3667" t="str">
        <f t="shared" si="406"/>
        <v xml:space="preserve">N35DC   </v>
      </c>
      <c r="N3667">
        <v>1</v>
      </c>
      <c r="O3667">
        <v>1750</v>
      </c>
    </row>
    <row r="3668" spans="1:15" x14ac:dyDescent="0.25">
      <c r="A3668" t="str">
        <f>"10/21/2020 18:40:07.120"</f>
        <v>10/21/2020 18:40:07.120</v>
      </c>
      <c r="B3668" t="str">
        <f>"18:40:15.063"</f>
        <v>18:40:15.063</v>
      </c>
      <c r="C3668" t="str">
        <f>"18:40:14.663"</f>
        <v>18:40:14.663</v>
      </c>
      <c r="D3668" t="s">
        <v>1432</v>
      </c>
      <c r="E3668">
        <v>30.955739000000001</v>
      </c>
      <c r="F3668" t="s">
        <v>1433</v>
      </c>
      <c r="G3668">
        <v>-89.922667000000004</v>
      </c>
      <c r="H3668">
        <v>1700</v>
      </c>
      <c r="I3668">
        <v>130</v>
      </c>
      <c r="J3668">
        <v>79</v>
      </c>
      <c r="K3668">
        <v>64</v>
      </c>
      <c r="L3668">
        <v>1200</v>
      </c>
      <c r="M3668" t="str">
        <f t="shared" si="406"/>
        <v xml:space="preserve">N35DC   </v>
      </c>
      <c r="N3668">
        <v>1</v>
      </c>
      <c r="O3668">
        <v>1775</v>
      </c>
    </row>
    <row r="3669" spans="1:15" x14ac:dyDescent="0.25">
      <c r="A3669" t="str">
        <f>"10/21/2020 18:40:07.120"</f>
        <v>10/21/2020 18:40:07.120</v>
      </c>
      <c r="B3669" t="str">
        <f>"18:40:15.063"</f>
        <v>18:40:15.063</v>
      </c>
      <c r="C3669" t="str">
        <f>"18:40:14.663"</f>
        <v>18:40:14.663</v>
      </c>
      <c r="D3669" t="s">
        <v>1432</v>
      </c>
      <c r="E3669">
        <v>30.955739000000001</v>
      </c>
      <c r="F3669" t="s">
        <v>1433</v>
      </c>
      <c r="G3669">
        <v>-89.922667000000004</v>
      </c>
      <c r="H3669">
        <v>1700</v>
      </c>
      <c r="I3669">
        <v>130</v>
      </c>
      <c r="J3669">
        <v>79</v>
      </c>
      <c r="K3669">
        <v>64</v>
      </c>
      <c r="L3669">
        <v>1200</v>
      </c>
      <c r="M3669" t="str">
        <f t="shared" si="406"/>
        <v xml:space="preserve">N35DC   </v>
      </c>
      <c r="N3669">
        <v>1</v>
      </c>
      <c r="O3669">
        <v>1775</v>
      </c>
    </row>
    <row r="3670" spans="1:15" x14ac:dyDescent="0.25">
      <c r="A3670" t="str">
        <f>"10/21/2020 18:40:07.120"</f>
        <v>10/21/2020 18:40:07.120</v>
      </c>
      <c r="B3670" t="str">
        <f>"18:40:15.063"</f>
        <v>18:40:15.063</v>
      </c>
      <c r="C3670" t="str">
        <f>"18:40:14.663"</f>
        <v>18:40:14.663</v>
      </c>
      <c r="D3670" t="s">
        <v>1432</v>
      </c>
      <c r="E3670">
        <v>30.955739000000001</v>
      </c>
      <c r="F3670" t="s">
        <v>1433</v>
      </c>
      <c r="G3670">
        <v>-89.922667000000004</v>
      </c>
      <c r="H3670">
        <v>1700</v>
      </c>
      <c r="I3670">
        <v>130</v>
      </c>
      <c r="J3670">
        <v>79</v>
      </c>
      <c r="K3670">
        <v>64</v>
      </c>
      <c r="L3670">
        <v>1200</v>
      </c>
      <c r="M3670" t="str">
        <f t="shared" si="406"/>
        <v xml:space="preserve">N35DC   </v>
      </c>
      <c r="N3670">
        <v>1</v>
      </c>
      <c r="O3670">
        <v>1775</v>
      </c>
    </row>
    <row r="3671" spans="1:15" x14ac:dyDescent="0.25">
      <c r="A3671" t="str">
        <f>"10/21/2020 18:40:07.120"</f>
        <v>10/21/2020 18:40:07.120</v>
      </c>
      <c r="B3671" t="str">
        <f>"18:40:15.063"</f>
        <v>18:40:15.063</v>
      </c>
      <c r="C3671" t="str">
        <f>"18:40:14.663"</f>
        <v>18:40:14.663</v>
      </c>
      <c r="D3671" t="s">
        <v>1432</v>
      </c>
      <c r="E3671">
        <v>30.955739000000001</v>
      </c>
      <c r="F3671" t="s">
        <v>1433</v>
      </c>
      <c r="G3671">
        <v>-89.922667000000004</v>
      </c>
      <c r="H3671">
        <v>1700</v>
      </c>
      <c r="I3671">
        <v>130</v>
      </c>
      <c r="J3671">
        <v>79</v>
      </c>
      <c r="K3671">
        <v>64</v>
      </c>
      <c r="L3671">
        <v>1200</v>
      </c>
      <c r="M3671" t="str">
        <f t="shared" si="406"/>
        <v xml:space="preserve">N35DC   </v>
      </c>
      <c r="N3671">
        <v>1</v>
      </c>
      <c r="O3671">
        <v>1775</v>
      </c>
    </row>
    <row r="3672" spans="1:15" x14ac:dyDescent="0.25">
      <c r="A3672" t="str">
        <f>"10/21/2020 18:40:07.120"</f>
        <v>10/21/2020 18:40:07.120</v>
      </c>
      <c r="B3672" t="str">
        <f>"18:40:15.063"</f>
        <v>18:40:15.063</v>
      </c>
      <c r="C3672" t="str">
        <f>"18:40:14.663"</f>
        <v>18:40:14.663</v>
      </c>
      <c r="D3672" t="s">
        <v>1432</v>
      </c>
      <c r="E3672">
        <v>30.955739000000001</v>
      </c>
      <c r="F3672" t="s">
        <v>1433</v>
      </c>
      <c r="G3672">
        <v>-89.922667000000004</v>
      </c>
      <c r="H3672">
        <v>1700</v>
      </c>
      <c r="I3672">
        <v>130</v>
      </c>
      <c r="J3672">
        <v>79</v>
      </c>
      <c r="K3672">
        <v>64</v>
      </c>
      <c r="L3672">
        <v>1200</v>
      </c>
      <c r="M3672" t="str">
        <f t="shared" si="406"/>
        <v xml:space="preserve">N35DC   </v>
      </c>
      <c r="N3672">
        <v>1</v>
      </c>
      <c r="O3672">
        <v>1775</v>
      </c>
    </row>
    <row r="3673" spans="1:15" x14ac:dyDescent="0.25">
      <c r="A3673" t="str">
        <f>"10/21/2020 18:40:08.031"</f>
        <v>10/21/2020 18:40:08.031</v>
      </c>
      <c r="B3673" t="str">
        <f>"18:40:15.961"</f>
        <v>18:40:15.961</v>
      </c>
      <c r="C3673" t="str">
        <f>"18:40:15.661"</f>
        <v>18:40:15.661</v>
      </c>
      <c r="D3673" t="s">
        <v>1434</v>
      </c>
      <c r="E3673">
        <v>30.956081999999999</v>
      </c>
      <c r="F3673" t="s">
        <v>1435</v>
      </c>
      <c r="G3673">
        <v>-89.922000999999995</v>
      </c>
      <c r="H3673">
        <v>1700</v>
      </c>
      <c r="I3673">
        <v>130</v>
      </c>
      <c r="J3673">
        <v>78</v>
      </c>
      <c r="K3673">
        <v>64</v>
      </c>
      <c r="L3673">
        <v>1200</v>
      </c>
      <c r="M3673" t="str">
        <f t="shared" si="406"/>
        <v xml:space="preserve">N35DC   </v>
      </c>
      <c r="N3673">
        <v>1</v>
      </c>
      <c r="O3673">
        <v>1775</v>
      </c>
    </row>
    <row r="3674" spans="1:15" x14ac:dyDescent="0.25">
      <c r="A3674" t="str">
        <f>"10/21/2020 18:40:08.031"</f>
        <v>10/21/2020 18:40:08.031</v>
      </c>
      <c r="B3674" t="str">
        <f>"18:40:15.961"</f>
        <v>18:40:15.961</v>
      </c>
      <c r="C3674" t="str">
        <f>"18:40:15.561"</f>
        <v>18:40:15.561</v>
      </c>
      <c r="D3674" t="s">
        <v>1434</v>
      </c>
      <c r="E3674">
        <v>30.956081999999999</v>
      </c>
      <c r="F3674" t="s">
        <v>1435</v>
      </c>
      <c r="G3674">
        <v>-89.922000999999995</v>
      </c>
      <c r="H3674">
        <v>1700</v>
      </c>
      <c r="I3674">
        <v>130</v>
      </c>
      <c r="J3674">
        <v>78</v>
      </c>
      <c r="K3674">
        <v>64</v>
      </c>
      <c r="L3674">
        <v>1200</v>
      </c>
      <c r="M3674" t="str">
        <f t="shared" si="406"/>
        <v xml:space="preserve">N35DC   </v>
      </c>
      <c r="N3674">
        <v>1</v>
      </c>
      <c r="O3674">
        <v>1775</v>
      </c>
    </row>
    <row r="3675" spans="1:15" x14ac:dyDescent="0.25">
      <c r="A3675" t="str">
        <f>"10/21/2020 18:40:08.031"</f>
        <v>10/21/2020 18:40:08.031</v>
      </c>
      <c r="B3675" t="str">
        <f>"18:40:15.961"</f>
        <v>18:40:15.961</v>
      </c>
      <c r="C3675" t="str">
        <f>"18:40:15.661"</f>
        <v>18:40:15.661</v>
      </c>
      <c r="D3675" t="s">
        <v>1434</v>
      </c>
      <c r="E3675">
        <v>30.956081999999999</v>
      </c>
      <c r="F3675" t="s">
        <v>1435</v>
      </c>
      <c r="G3675">
        <v>-89.922000999999995</v>
      </c>
      <c r="H3675">
        <v>1700</v>
      </c>
      <c r="I3675">
        <v>130</v>
      </c>
      <c r="J3675">
        <v>78</v>
      </c>
      <c r="K3675">
        <v>64</v>
      </c>
      <c r="L3675">
        <v>1200</v>
      </c>
      <c r="M3675" t="str">
        <f t="shared" si="406"/>
        <v xml:space="preserve">N35DC   </v>
      </c>
      <c r="N3675">
        <v>1</v>
      </c>
      <c r="O3675">
        <v>1775</v>
      </c>
    </row>
    <row r="3676" spans="1:15" x14ac:dyDescent="0.25">
      <c r="A3676" t="str">
        <f>"10/21/2020 18:40:08.031"</f>
        <v>10/21/2020 18:40:08.031</v>
      </c>
      <c r="B3676" t="str">
        <f>"18:40:15.961"</f>
        <v>18:40:15.961</v>
      </c>
      <c r="C3676" t="str">
        <f>"18:40:15.561"</f>
        <v>18:40:15.561</v>
      </c>
      <c r="D3676" t="s">
        <v>1434</v>
      </c>
      <c r="E3676">
        <v>30.956081999999999</v>
      </c>
      <c r="F3676" t="s">
        <v>1435</v>
      </c>
      <c r="G3676">
        <v>-89.922000999999995</v>
      </c>
      <c r="H3676">
        <v>1700</v>
      </c>
      <c r="I3676">
        <v>130</v>
      </c>
      <c r="J3676">
        <v>78</v>
      </c>
      <c r="K3676">
        <v>64</v>
      </c>
      <c r="L3676">
        <v>1200</v>
      </c>
      <c r="M3676" t="str">
        <f t="shared" si="406"/>
        <v xml:space="preserve">N35DC   </v>
      </c>
      <c r="N3676">
        <v>1</v>
      </c>
      <c r="O3676">
        <v>1775</v>
      </c>
    </row>
    <row r="3677" spans="1:15" x14ac:dyDescent="0.25">
      <c r="A3677" t="str">
        <f>"10/21/2020 18:40:08.031"</f>
        <v>10/21/2020 18:40:08.031</v>
      </c>
      <c r="B3677" t="str">
        <f>"18:40:15.961"</f>
        <v>18:40:15.961</v>
      </c>
      <c r="C3677" t="str">
        <f>"18:40:15.561"</f>
        <v>18:40:15.561</v>
      </c>
      <c r="D3677" t="s">
        <v>1434</v>
      </c>
      <c r="E3677">
        <v>30.956081999999999</v>
      </c>
      <c r="F3677" t="s">
        <v>1435</v>
      </c>
      <c r="G3677">
        <v>-89.922000999999995</v>
      </c>
      <c r="H3677">
        <v>1700</v>
      </c>
      <c r="I3677">
        <v>130</v>
      </c>
      <c r="J3677">
        <v>78</v>
      </c>
      <c r="K3677">
        <v>64</v>
      </c>
      <c r="L3677">
        <v>1200</v>
      </c>
      <c r="M3677" t="str">
        <f t="shared" si="406"/>
        <v xml:space="preserve">N35DC   </v>
      </c>
      <c r="N3677">
        <v>1</v>
      </c>
      <c r="O3677">
        <v>1775</v>
      </c>
    </row>
    <row r="3678" spans="1:15" x14ac:dyDescent="0.25">
      <c r="A3678" t="str">
        <f>"10/21/2020 18:40:09.056"</f>
        <v>10/21/2020 18:40:09.056</v>
      </c>
      <c r="B3678" t="str">
        <f>"18:40:17.031"</f>
        <v>18:40:17.031</v>
      </c>
      <c r="C3678" t="str">
        <f>"18:40:16.531"</f>
        <v>18:40:16.531</v>
      </c>
      <c r="D3678" t="s">
        <v>1436</v>
      </c>
      <c r="E3678">
        <v>30.956447000000001</v>
      </c>
      <c r="F3678" t="s">
        <v>1437</v>
      </c>
      <c r="G3678">
        <v>-89.921293000000006</v>
      </c>
      <c r="H3678">
        <v>1700</v>
      </c>
      <c r="I3678">
        <v>130</v>
      </c>
      <c r="J3678">
        <v>77</v>
      </c>
      <c r="K3678">
        <v>0</v>
      </c>
      <c r="L3678">
        <v>1200</v>
      </c>
      <c r="M3678" t="str">
        <f t="shared" si="406"/>
        <v xml:space="preserve">N35DC   </v>
      </c>
      <c r="N3678">
        <v>1</v>
      </c>
      <c r="O3678">
        <v>1775</v>
      </c>
    </row>
    <row r="3679" spans="1:15" x14ac:dyDescent="0.25">
      <c r="A3679" t="str">
        <f>"10/21/2020 18:40:09.056"</f>
        <v>10/21/2020 18:40:09.056</v>
      </c>
      <c r="B3679" t="str">
        <f>"18:40:17.031"</f>
        <v>18:40:17.031</v>
      </c>
      <c r="C3679" t="str">
        <f>"18:40:16.531"</f>
        <v>18:40:16.531</v>
      </c>
      <c r="D3679" t="s">
        <v>1436</v>
      </c>
      <c r="E3679">
        <v>30.956447000000001</v>
      </c>
      <c r="F3679" t="s">
        <v>1437</v>
      </c>
      <c r="G3679">
        <v>-89.921293000000006</v>
      </c>
      <c r="H3679">
        <v>1700</v>
      </c>
      <c r="I3679">
        <v>130</v>
      </c>
      <c r="J3679">
        <v>77</v>
      </c>
      <c r="K3679">
        <v>0</v>
      </c>
      <c r="L3679">
        <v>1200</v>
      </c>
      <c r="M3679" t="str">
        <f t="shared" si="406"/>
        <v xml:space="preserve">N35DC   </v>
      </c>
      <c r="N3679">
        <v>1</v>
      </c>
      <c r="O3679">
        <v>1775</v>
      </c>
    </row>
    <row r="3680" spans="1:15" x14ac:dyDescent="0.25">
      <c r="A3680" t="str">
        <f>"10/21/2020 18:40:09.056"</f>
        <v>10/21/2020 18:40:09.056</v>
      </c>
      <c r="B3680" t="str">
        <f>"18:40:17.031"</f>
        <v>18:40:17.031</v>
      </c>
      <c r="C3680" t="str">
        <f>"18:40:16.531"</f>
        <v>18:40:16.531</v>
      </c>
      <c r="D3680" t="s">
        <v>1436</v>
      </c>
      <c r="E3680">
        <v>30.956447000000001</v>
      </c>
      <c r="F3680" t="s">
        <v>1437</v>
      </c>
      <c r="G3680">
        <v>-89.921293000000006</v>
      </c>
      <c r="H3680">
        <v>1700</v>
      </c>
      <c r="I3680">
        <v>130</v>
      </c>
      <c r="J3680">
        <v>77</v>
      </c>
      <c r="K3680">
        <v>0</v>
      </c>
      <c r="L3680">
        <v>1200</v>
      </c>
      <c r="M3680" t="str">
        <f t="shared" si="406"/>
        <v xml:space="preserve">N35DC   </v>
      </c>
      <c r="N3680">
        <v>1</v>
      </c>
      <c r="O3680">
        <v>1775</v>
      </c>
    </row>
    <row r="3681" spans="1:15" x14ac:dyDescent="0.25">
      <c r="A3681" t="str">
        <f>"10/21/2020 18:40:09.056"</f>
        <v>10/21/2020 18:40:09.056</v>
      </c>
      <c r="B3681" t="str">
        <f>"18:40:17.031"</f>
        <v>18:40:17.031</v>
      </c>
      <c r="C3681" t="str">
        <f>"18:40:16.531"</f>
        <v>18:40:16.531</v>
      </c>
      <c r="D3681" t="s">
        <v>1436</v>
      </c>
      <c r="E3681">
        <v>30.956447000000001</v>
      </c>
      <c r="F3681" t="s">
        <v>1437</v>
      </c>
      <c r="G3681">
        <v>-89.921293000000006</v>
      </c>
      <c r="H3681">
        <v>1700</v>
      </c>
      <c r="I3681">
        <v>130</v>
      </c>
      <c r="J3681">
        <v>77</v>
      </c>
      <c r="K3681">
        <v>0</v>
      </c>
      <c r="L3681">
        <v>1200</v>
      </c>
      <c r="M3681" t="str">
        <f t="shared" si="406"/>
        <v xml:space="preserve">N35DC   </v>
      </c>
      <c r="N3681">
        <v>1</v>
      </c>
      <c r="O3681">
        <v>1775</v>
      </c>
    </row>
    <row r="3682" spans="1:15" x14ac:dyDescent="0.25">
      <c r="A3682" t="str">
        <f>"10/21/2020 18:40:09.056"</f>
        <v>10/21/2020 18:40:09.056</v>
      </c>
      <c r="B3682" t="str">
        <f>"18:40:17.031"</f>
        <v>18:40:17.031</v>
      </c>
      <c r="C3682" t="str">
        <f>"18:40:16.531"</f>
        <v>18:40:16.531</v>
      </c>
      <c r="D3682" t="s">
        <v>1436</v>
      </c>
      <c r="E3682">
        <v>30.956447000000001</v>
      </c>
      <c r="F3682" t="s">
        <v>1437</v>
      </c>
      <c r="G3682">
        <v>-89.921293000000006</v>
      </c>
      <c r="H3682">
        <v>1700</v>
      </c>
      <c r="I3682">
        <v>130</v>
      </c>
      <c r="J3682">
        <v>77</v>
      </c>
      <c r="K3682">
        <v>0</v>
      </c>
      <c r="L3682">
        <v>1200</v>
      </c>
      <c r="M3682" t="str">
        <f t="shared" si="406"/>
        <v xml:space="preserve">N35DC   </v>
      </c>
      <c r="N3682">
        <v>1</v>
      </c>
      <c r="O3682">
        <v>1775</v>
      </c>
    </row>
    <row r="3683" spans="1:15" x14ac:dyDescent="0.25">
      <c r="A3683" t="str">
        <f>"10/21/2020 18:40:12.130"</f>
        <v>10/21/2020 18:40:12.130</v>
      </c>
      <c r="B3683" t="str">
        <f>"18:40:20.055"</f>
        <v>18:40:20.055</v>
      </c>
      <c r="C3683" t="str">
        <f>"18:40:19.655"</f>
        <v>18:40:19.655</v>
      </c>
      <c r="D3683" t="s">
        <v>1438</v>
      </c>
      <c r="E3683">
        <v>30.957540999999999</v>
      </c>
      <c r="F3683" t="s">
        <v>1439</v>
      </c>
      <c r="G3683">
        <v>-89.919168999999997</v>
      </c>
      <c r="H3683">
        <v>1700</v>
      </c>
      <c r="I3683">
        <v>130</v>
      </c>
      <c r="J3683">
        <v>78</v>
      </c>
      <c r="K3683">
        <v>-64</v>
      </c>
      <c r="L3683">
        <v>1200</v>
      </c>
      <c r="M3683" t="str">
        <f t="shared" si="406"/>
        <v xml:space="preserve">N35DC   </v>
      </c>
      <c r="N3683">
        <v>1</v>
      </c>
      <c r="O3683">
        <v>1775</v>
      </c>
    </row>
    <row r="3684" spans="1:15" x14ac:dyDescent="0.25">
      <c r="A3684" t="str">
        <f>"10/21/2020 18:40:12.130"</f>
        <v>10/21/2020 18:40:12.130</v>
      </c>
      <c r="B3684" t="str">
        <f>"18:40:20.055"</f>
        <v>18:40:20.055</v>
      </c>
      <c r="C3684" t="str">
        <f>"18:40:19.655"</f>
        <v>18:40:19.655</v>
      </c>
      <c r="D3684" t="s">
        <v>1438</v>
      </c>
      <c r="E3684">
        <v>30.957540999999999</v>
      </c>
      <c r="F3684" t="s">
        <v>1439</v>
      </c>
      <c r="G3684">
        <v>-89.919168999999997</v>
      </c>
      <c r="H3684">
        <v>1700</v>
      </c>
      <c r="I3684">
        <v>130</v>
      </c>
      <c r="J3684">
        <v>78</v>
      </c>
      <c r="K3684">
        <v>-64</v>
      </c>
      <c r="L3684">
        <v>1200</v>
      </c>
      <c r="M3684" t="str">
        <f t="shared" si="406"/>
        <v xml:space="preserve">N35DC   </v>
      </c>
      <c r="N3684">
        <v>1</v>
      </c>
      <c r="O3684">
        <v>1775</v>
      </c>
    </row>
    <row r="3685" spans="1:15" x14ac:dyDescent="0.25">
      <c r="A3685" t="str">
        <f>"10/21/2020 18:40:12.130"</f>
        <v>10/21/2020 18:40:12.130</v>
      </c>
      <c r="B3685" t="str">
        <f>"18:40:20.055"</f>
        <v>18:40:20.055</v>
      </c>
      <c r="C3685" t="str">
        <f>"18:40:19.655"</f>
        <v>18:40:19.655</v>
      </c>
      <c r="D3685" t="s">
        <v>1438</v>
      </c>
      <c r="E3685">
        <v>30.957540999999999</v>
      </c>
      <c r="F3685" t="s">
        <v>1439</v>
      </c>
      <c r="G3685">
        <v>-89.919168999999997</v>
      </c>
      <c r="H3685">
        <v>1700</v>
      </c>
      <c r="I3685">
        <v>130</v>
      </c>
      <c r="J3685">
        <v>78</v>
      </c>
      <c r="K3685">
        <v>-64</v>
      </c>
      <c r="L3685">
        <v>1200</v>
      </c>
      <c r="M3685" t="str">
        <f t="shared" si="406"/>
        <v xml:space="preserve">N35DC   </v>
      </c>
      <c r="N3685">
        <v>1</v>
      </c>
      <c r="O3685">
        <v>1775</v>
      </c>
    </row>
    <row r="3686" spans="1:15" x14ac:dyDescent="0.25">
      <c r="A3686" t="str">
        <f>"10/21/2020 18:40:12.130"</f>
        <v>10/21/2020 18:40:12.130</v>
      </c>
      <c r="B3686" t="str">
        <f>"18:40:20.055"</f>
        <v>18:40:20.055</v>
      </c>
      <c r="C3686" t="str">
        <f>"18:40:19.655"</f>
        <v>18:40:19.655</v>
      </c>
      <c r="D3686" t="s">
        <v>1438</v>
      </c>
      <c r="E3686">
        <v>30.957540999999999</v>
      </c>
      <c r="F3686" t="s">
        <v>1439</v>
      </c>
      <c r="G3686">
        <v>-89.919168999999997</v>
      </c>
      <c r="H3686">
        <v>1700</v>
      </c>
      <c r="I3686">
        <v>130</v>
      </c>
      <c r="J3686">
        <v>78</v>
      </c>
      <c r="K3686">
        <v>-64</v>
      </c>
      <c r="L3686">
        <v>1200</v>
      </c>
      <c r="M3686" t="str">
        <f t="shared" si="406"/>
        <v xml:space="preserve">N35DC   </v>
      </c>
      <c r="N3686">
        <v>1</v>
      </c>
      <c r="O3686">
        <v>1775</v>
      </c>
    </row>
    <row r="3687" spans="1:15" x14ac:dyDescent="0.25">
      <c r="A3687" t="str">
        <f>"10/21/2020 18:40:12.130"</f>
        <v>10/21/2020 18:40:12.130</v>
      </c>
      <c r="B3687" t="str">
        <f>"18:40:20.055"</f>
        <v>18:40:20.055</v>
      </c>
      <c r="C3687" t="str">
        <f>"18:40:19.655"</f>
        <v>18:40:19.655</v>
      </c>
      <c r="D3687" t="s">
        <v>1438</v>
      </c>
      <c r="E3687">
        <v>30.957540999999999</v>
      </c>
      <c r="F3687" t="s">
        <v>1439</v>
      </c>
      <c r="G3687">
        <v>-89.919168999999997</v>
      </c>
      <c r="H3687">
        <v>1700</v>
      </c>
      <c r="I3687">
        <v>130</v>
      </c>
      <c r="J3687">
        <v>78</v>
      </c>
      <c r="K3687">
        <v>-64</v>
      </c>
      <c r="L3687">
        <v>1200</v>
      </c>
      <c r="M3687" t="str">
        <f t="shared" si="406"/>
        <v xml:space="preserve">N35DC   </v>
      </c>
      <c r="N3687">
        <v>1</v>
      </c>
      <c r="O3687">
        <v>1775</v>
      </c>
    </row>
    <row r="3688" spans="1:15" x14ac:dyDescent="0.25">
      <c r="A3688" t="str">
        <f>"10/21/2020 18:40:13.191"</f>
        <v>10/21/2020 18:40:13.191</v>
      </c>
      <c r="B3688" t="str">
        <f>"18:40:21.148"</f>
        <v>18:40:21.148</v>
      </c>
      <c r="C3688" t="str">
        <f>"18:40:21.148"</f>
        <v>18:40:21.148</v>
      </c>
      <c r="D3688" t="s">
        <v>1440</v>
      </c>
      <c r="E3688">
        <v>30.957927999999999</v>
      </c>
      <c r="F3688" t="s">
        <v>1441</v>
      </c>
      <c r="G3688">
        <v>-89.918374999999997</v>
      </c>
      <c r="H3688">
        <v>1700</v>
      </c>
      <c r="I3688">
        <v>129</v>
      </c>
      <c r="J3688">
        <v>79</v>
      </c>
      <c r="K3688">
        <v>-128</v>
      </c>
      <c r="L3688">
        <v>1200</v>
      </c>
      <c r="M3688" t="str">
        <f t="shared" si="406"/>
        <v xml:space="preserve">N35DC   </v>
      </c>
      <c r="N3688">
        <v>1</v>
      </c>
      <c r="O3688">
        <v>1750</v>
      </c>
    </row>
    <row r="3689" spans="1:15" x14ac:dyDescent="0.25">
      <c r="A3689" t="str">
        <f>"10/21/2020 18:40:13.191"</f>
        <v>10/21/2020 18:40:13.191</v>
      </c>
      <c r="B3689" t="str">
        <f>"18:40:21.148"</f>
        <v>18:40:21.148</v>
      </c>
      <c r="C3689" t="str">
        <f>"18:40:21.148"</f>
        <v>18:40:21.148</v>
      </c>
      <c r="D3689" t="s">
        <v>1440</v>
      </c>
      <c r="E3689">
        <v>30.957927999999999</v>
      </c>
      <c r="F3689" t="s">
        <v>1441</v>
      </c>
      <c r="G3689">
        <v>-89.918374999999997</v>
      </c>
      <c r="H3689">
        <v>1700</v>
      </c>
      <c r="I3689">
        <v>129</v>
      </c>
      <c r="J3689">
        <v>79</v>
      </c>
      <c r="K3689">
        <v>-128</v>
      </c>
      <c r="L3689">
        <v>1200</v>
      </c>
      <c r="M3689" t="str">
        <f t="shared" si="406"/>
        <v xml:space="preserve">N35DC   </v>
      </c>
      <c r="N3689">
        <v>1</v>
      </c>
      <c r="O3689">
        <v>1750</v>
      </c>
    </row>
    <row r="3690" spans="1:15" x14ac:dyDescent="0.25">
      <c r="A3690" t="str">
        <f>"10/21/2020 18:40:13.191"</f>
        <v>10/21/2020 18:40:13.191</v>
      </c>
      <c r="B3690" t="str">
        <f>"18:40:21.156"</f>
        <v>18:40:21.156</v>
      </c>
      <c r="C3690" t="str">
        <f>"18:40:21.156"</f>
        <v>18:40:21.156</v>
      </c>
      <c r="D3690" t="s">
        <v>1440</v>
      </c>
      <c r="E3690">
        <v>30.957927999999999</v>
      </c>
      <c r="F3690" t="s">
        <v>1441</v>
      </c>
      <c r="G3690">
        <v>-89.918374999999997</v>
      </c>
      <c r="H3690">
        <v>1700</v>
      </c>
      <c r="I3690">
        <v>129</v>
      </c>
      <c r="J3690">
        <v>79</v>
      </c>
      <c r="K3690">
        <v>-128</v>
      </c>
      <c r="L3690">
        <v>1200</v>
      </c>
      <c r="M3690" t="str">
        <f t="shared" si="406"/>
        <v xml:space="preserve">N35DC   </v>
      </c>
      <c r="N3690">
        <v>1</v>
      </c>
      <c r="O3690">
        <v>1750</v>
      </c>
    </row>
    <row r="3691" spans="1:15" x14ac:dyDescent="0.25">
      <c r="A3691" t="str">
        <f>"10/21/2020 18:40:13.191"</f>
        <v>10/21/2020 18:40:13.191</v>
      </c>
      <c r="B3691" t="str">
        <f>"18:40:21.148"</f>
        <v>18:40:21.148</v>
      </c>
      <c r="C3691" t="str">
        <f>"18:40:21.148"</f>
        <v>18:40:21.148</v>
      </c>
      <c r="D3691" t="s">
        <v>1440</v>
      </c>
      <c r="E3691">
        <v>30.957927999999999</v>
      </c>
      <c r="F3691" t="s">
        <v>1441</v>
      </c>
      <c r="G3691">
        <v>-89.918374999999997</v>
      </c>
      <c r="H3691">
        <v>1700</v>
      </c>
      <c r="I3691">
        <v>129</v>
      </c>
      <c r="J3691">
        <v>79</v>
      </c>
      <c r="K3691">
        <v>-128</v>
      </c>
      <c r="L3691">
        <v>1200</v>
      </c>
      <c r="M3691" t="str">
        <f t="shared" si="406"/>
        <v xml:space="preserve">N35DC   </v>
      </c>
      <c r="N3691">
        <v>1</v>
      </c>
      <c r="O3691">
        <v>1750</v>
      </c>
    </row>
    <row r="3692" spans="1:15" x14ac:dyDescent="0.25">
      <c r="A3692" t="str">
        <f>"10/21/2020 18:40:13.191"</f>
        <v>10/21/2020 18:40:13.191</v>
      </c>
      <c r="B3692" t="str">
        <f>"18:40:21.148"</f>
        <v>18:40:21.148</v>
      </c>
      <c r="C3692" t="str">
        <f>"18:40:21.148"</f>
        <v>18:40:21.148</v>
      </c>
      <c r="D3692" t="s">
        <v>1440</v>
      </c>
      <c r="E3692">
        <v>30.957927999999999</v>
      </c>
      <c r="F3692" t="s">
        <v>1441</v>
      </c>
      <c r="G3692">
        <v>-89.918374999999997</v>
      </c>
      <c r="H3692">
        <v>1700</v>
      </c>
      <c r="I3692">
        <v>129</v>
      </c>
      <c r="J3692">
        <v>79</v>
      </c>
      <c r="K3692">
        <v>-128</v>
      </c>
      <c r="L3692">
        <v>1200</v>
      </c>
      <c r="M3692" t="str">
        <f t="shared" si="406"/>
        <v xml:space="preserve">N35DC   </v>
      </c>
      <c r="N3692">
        <v>1</v>
      </c>
      <c r="O3692">
        <v>1750</v>
      </c>
    </row>
    <row r="3693" spans="1:15" x14ac:dyDescent="0.25">
      <c r="A3693" t="str">
        <f>"10/21/2020 18:40:15.705"</f>
        <v>10/21/2020 18:40:15.705</v>
      </c>
      <c r="B3693" t="str">
        <f>"18:40:23.570"</f>
        <v>18:40:23.570</v>
      </c>
      <c r="C3693" t="str">
        <f>"18:40:23.170"</f>
        <v>18:40:23.170</v>
      </c>
      <c r="D3693" t="s">
        <v>1442</v>
      </c>
      <c r="E3693">
        <v>30.958872</v>
      </c>
      <c r="F3693" t="s">
        <v>1443</v>
      </c>
      <c r="G3693">
        <v>-89.916723000000005</v>
      </c>
      <c r="H3693">
        <v>1700</v>
      </c>
      <c r="I3693">
        <v>129</v>
      </c>
      <c r="J3693">
        <v>81</v>
      </c>
      <c r="K3693">
        <v>-192</v>
      </c>
      <c r="L3693">
        <v>1200</v>
      </c>
      <c r="M3693" t="str">
        <f t="shared" si="406"/>
        <v xml:space="preserve">N35DC   </v>
      </c>
      <c r="N3693">
        <v>1</v>
      </c>
      <c r="O3693">
        <v>1750</v>
      </c>
    </row>
    <row r="3694" spans="1:15" x14ac:dyDescent="0.25">
      <c r="A3694" t="str">
        <f>"10/21/2020 18:40:16.116"</f>
        <v>10/21/2020 18:40:16.116</v>
      </c>
      <c r="B3694" t="str">
        <f>"18:40:24.047"</f>
        <v>18:40:24.047</v>
      </c>
      <c r="C3694" t="str">
        <f>"18:40:23.747"</f>
        <v>18:40:23.747</v>
      </c>
      <c r="D3694" t="s">
        <v>1444</v>
      </c>
      <c r="E3694">
        <v>30.959064999999999</v>
      </c>
      <c r="F3694" t="s">
        <v>1445</v>
      </c>
      <c r="G3694">
        <v>-89.916358000000002</v>
      </c>
      <c r="H3694">
        <v>1700</v>
      </c>
      <c r="I3694">
        <v>129</v>
      </c>
      <c r="J3694">
        <v>81</v>
      </c>
      <c r="K3694">
        <v>-192</v>
      </c>
      <c r="L3694">
        <v>1200</v>
      </c>
      <c r="M3694" t="str">
        <f t="shared" si="406"/>
        <v xml:space="preserve">N35DC   </v>
      </c>
      <c r="N3694">
        <v>1</v>
      </c>
      <c r="O3694">
        <v>1750</v>
      </c>
    </row>
    <row r="3695" spans="1:15" x14ac:dyDescent="0.25">
      <c r="A3695" t="str">
        <f>"10/21/2020 18:40:16.116"</f>
        <v>10/21/2020 18:40:16.116</v>
      </c>
      <c r="B3695" t="str">
        <f>"18:40:24.047"</f>
        <v>18:40:24.047</v>
      </c>
      <c r="C3695" t="str">
        <f>"18:40:23.747"</f>
        <v>18:40:23.747</v>
      </c>
      <c r="D3695" t="s">
        <v>1444</v>
      </c>
      <c r="E3695">
        <v>30.959064999999999</v>
      </c>
      <c r="F3695" t="s">
        <v>1445</v>
      </c>
      <c r="G3695">
        <v>-89.916358000000002</v>
      </c>
      <c r="H3695">
        <v>1700</v>
      </c>
      <c r="I3695">
        <v>129</v>
      </c>
      <c r="J3695">
        <v>81</v>
      </c>
      <c r="K3695">
        <v>-192</v>
      </c>
      <c r="L3695">
        <v>1200</v>
      </c>
      <c r="M3695" t="str">
        <f t="shared" si="406"/>
        <v xml:space="preserve">N35DC   </v>
      </c>
      <c r="N3695">
        <v>1</v>
      </c>
      <c r="O3695">
        <v>1750</v>
      </c>
    </row>
    <row r="3696" spans="1:15" x14ac:dyDescent="0.25">
      <c r="A3696" t="str">
        <f>"10/21/2020 18:40:16.116"</f>
        <v>10/21/2020 18:40:16.116</v>
      </c>
      <c r="B3696" t="str">
        <f>"18:40:24.047"</f>
        <v>18:40:24.047</v>
      </c>
      <c r="C3696" t="str">
        <f>"18:40:23.747"</f>
        <v>18:40:23.747</v>
      </c>
      <c r="D3696" t="s">
        <v>1444</v>
      </c>
      <c r="E3696">
        <v>30.959064999999999</v>
      </c>
      <c r="F3696" t="s">
        <v>1445</v>
      </c>
      <c r="G3696">
        <v>-89.916358000000002</v>
      </c>
      <c r="H3696">
        <v>1700</v>
      </c>
      <c r="I3696">
        <v>129</v>
      </c>
      <c r="J3696">
        <v>81</v>
      </c>
      <c r="K3696">
        <v>-192</v>
      </c>
      <c r="L3696">
        <v>1200</v>
      </c>
      <c r="M3696" t="str">
        <f t="shared" si="406"/>
        <v xml:space="preserve">N35DC   </v>
      </c>
      <c r="N3696">
        <v>1</v>
      </c>
      <c r="O3696">
        <v>1750</v>
      </c>
    </row>
    <row r="3697" spans="1:15" x14ac:dyDescent="0.25">
      <c r="A3697" t="str">
        <f>"10/21/2020 18:40:16.116"</f>
        <v>10/21/2020 18:40:16.116</v>
      </c>
      <c r="B3697" t="str">
        <f>"18:40:24.047"</f>
        <v>18:40:24.047</v>
      </c>
      <c r="C3697" t="str">
        <f>"18:40:23.747"</f>
        <v>18:40:23.747</v>
      </c>
      <c r="D3697" t="s">
        <v>1444</v>
      </c>
      <c r="E3697">
        <v>30.959064999999999</v>
      </c>
      <c r="F3697" t="s">
        <v>1445</v>
      </c>
      <c r="G3697">
        <v>-89.916358000000002</v>
      </c>
      <c r="H3697">
        <v>1700</v>
      </c>
      <c r="I3697">
        <v>129</v>
      </c>
      <c r="J3697">
        <v>81</v>
      </c>
      <c r="K3697">
        <v>-192</v>
      </c>
      <c r="L3697">
        <v>1200</v>
      </c>
      <c r="M3697" t="str">
        <f t="shared" si="406"/>
        <v xml:space="preserve">N35DC   </v>
      </c>
      <c r="N3697">
        <v>1</v>
      </c>
      <c r="O3697">
        <v>1750</v>
      </c>
    </row>
    <row r="3698" spans="1:15" x14ac:dyDescent="0.25">
      <c r="A3698" t="str">
        <f>"10/21/2020 18:40:17.097"</f>
        <v>10/21/2020 18:40:17.097</v>
      </c>
      <c r="B3698" t="str">
        <f>"18:40:25.039"</f>
        <v>18:40:25.039</v>
      </c>
      <c r="C3698" t="str">
        <f>"18:40:24.839"</f>
        <v>18:40:24.839</v>
      </c>
      <c r="D3698" t="s">
        <v>1446</v>
      </c>
      <c r="E3698">
        <v>30.959430000000001</v>
      </c>
      <c r="F3698" t="s">
        <v>1447</v>
      </c>
      <c r="G3698">
        <v>-89.915671000000003</v>
      </c>
      <c r="H3698">
        <v>1700</v>
      </c>
      <c r="I3698">
        <v>128</v>
      </c>
      <c r="J3698">
        <v>82</v>
      </c>
      <c r="K3698">
        <v>-256</v>
      </c>
      <c r="L3698">
        <v>1200</v>
      </c>
      <c r="M3698" t="str">
        <f t="shared" si="406"/>
        <v xml:space="preserve">N35DC   </v>
      </c>
      <c r="N3698">
        <v>1</v>
      </c>
      <c r="O3698">
        <v>1750</v>
      </c>
    </row>
    <row r="3699" spans="1:15" x14ac:dyDescent="0.25">
      <c r="A3699" t="str">
        <f>"10/21/2020 18:40:17.097"</f>
        <v>10/21/2020 18:40:17.097</v>
      </c>
      <c r="B3699" t="str">
        <f>"18:40:25.039"</f>
        <v>18:40:25.039</v>
      </c>
      <c r="C3699" t="str">
        <f>"18:40:24.839"</f>
        <v>18:40:24.839</v>
      </c>
      <c r="D3699" t="s">
        <v>1446</v>
      </c>
      <c r="E3699">
        <v>30.959430000000001</v>
      </c>
      <c r="F3699" t="s">
        <v>1447</v>
      </c>
      <c r="G3699">
        <v>-89.915671000000003</v>
      </c>
      <c r="H3699">
        <v>1700</v>
      </c>
      <c r="I3699">
        <v>128</v>
      </c>
      <c r="J3699">
        <v>82</v>
      </c>
      <c r="K3699">
        <v>-256</v>
      </c>
      <c r="L3699">
        <v>1200</v>
      </c>
      <c r="M3699" t="str">
        <f t="shared" si="406"/>
        <v xml:space="preserve">N35DC   </v>
      </c>
      <c r="N3699">
        <v>1</v>
      </c>
      <c r="O3699">
        <v>1750</v>
      </c>
    </row>
    <row r="3700" spans="1:15" x14ac:dyDescent="0.25">
      <c r="A3700" t="str">
        <f>"10/21/2020 18:40:17.097"</f>
        <v>10/21/2020 18:40:17.097</v>
      </c>
      <c r="B3700" t="str">
        <f>"18:40:25.039"</f>
        <v>18:40:25.039</v>
      </c>
      <c r="C3700" t="str">
        <f>"18:40:24.839"</f>
        <v>18:40:24.839</v>
      </c>
      <c r="D3700" t="s">
        <v>1446</v>
      </c>
      <c r="E3700">
        <v>30.959430000000001</v>
      </c>
      <c r="F3700" t="s">
        <v>1447</v>
      </c>
      <c r="G3700">
        <v>-89.915671000000003</v>
      </c>
      <c r="H3700">
        <v>1700</v>
      </c>
      <c r="I3700">
        <v>128</v>
      </c>
      <c r="J3700">
        <v>82</v>
      </c>
      <c r="K3700">
        <v>-256</v>
      </c>
      <c r="L3700">
        <v>1200</v>
      </c>
      <c r="M3700" t="str">
        <f t="shared" si="406"/>
        <v xml:space="preserve">N35DC   </v>
      </c>
      <c r="N3700">
        <v>1</v>
      </c>
      <c r="O3700">
        <v>1750</v>
      </c>
    </row>
    <row r="3701" spans="1:15" x14ac:dyDescent="0.25">
      <c r="A3701" t="str">
        <f>"10/21/2020 18:40:17.097"</f>
        <v>10/21/2020 18:40:17.097</v>
      </c>
      <c r="B3701" t="str">
        <f>"18:40:25.039"</f>
        <v>18:40:25.039</v>
      </c>
      <c r="C3701" t="str">
        <f>"18:40:24.839"</f>
        <v>18:40:24.839</v>
      </c>
      <c r="D3701" t="s">
        <v>1446</v>
      </c>
      <c r="E3701">
        <v>30.959430000000001</v>
      </c>
      <c r="F3701" t="s">
        <v>1447</v>
      </c>
      <c r="G3701">
        <v>-89.915671000000003</v>
      </c>
      <c r="H3701">
        <v>1700</v>
      </c>
      <c r="I3701">
        <v>128</v>
      </c>
      <c r="J3701">
        <v>82</v>
      </c>
      <c r="K3701">
        <v>-256</v>
      </c>
      <c r="L3701">
        <v>1200</v>
      </c>
      <c r="M3701" t="str">
        <f t="shared" si="406"/>
        <v xml:space="preserve">N35DC   </v>
      </c>
      <c r="N3701">
        <v>1</v>
      </c>
      <c r="O3701">
        <v>1750</v>
      </c>
    </row>
    <row r="3702" spans="1:15" x14ac:dyDescent="0.25">
      <c r="A3702" t="str">
        <f>"10/21/2020 18:40:17.097"</f>
        <v>10/21/2020 18:40:17.097</v>
      </c>
      <c r="B3702" t="str">
        <f>"18:40:25.039"</f>
        <v>18:40:25.039</v>
      </c>
      <c r="C3702" t="str">
        <f>"18:40:24.339"</f>
        <v>18:40:24.339</v>
      </c>
      <c r="D3702" t="s">
        <v>1446</v>
      </c>
      <c r="E3702">
        <v>30.959430000000001</v>
      </c>
      <c r="F3702" t="s">
        <v>1447</v>
      </c>
      <c r="G3702">
        <v>-89.915671000000003</v>
      </c>
      <c r="H3702">
        <v>1700</v>
      </c>
      <c r="I3702">
        <v>128</v>
      </c>
      <c r="J3702">
        <v>81</v>
      </c>
      <c r="K3702">
        <v>-192</v>
      </c>
      <c r="L3702">
        <v>1200</v>
      </c>
      <c r="M3702" t="str">
        <f t="shared" si="406"/>
        <v xml:space="preserve">N35DC   </v>
      </c>
      <c r="N3702">
        <v>1</v>
      </c>
      <c r="O3702">
        <v>1750</v>
      </c>
    </row>
    <row r="3703" spans="1:15" x14ac:dyDescent="0.25">
      <c r="A3703" t="str">
        <f>"10/21/2020 18:40:20.232"</f>
        <v>10/21/2020 18:40:20.232</v>
      </c>
      <c r="B3703" t="str">
        <f>"18:40:28.172"</f>
        <v>18:40:28.172</v>
      </c>
      <c r="C3703" t="str">
        <f>"18:40:27.772"</f>
        <v>18:40:27.772</v>
      </c>
      <c r="D3703" t="s">
        <v>1448</v>
      </c>
      <c r="E3703">
        <v>30.960630999999999</v>
      </c>
      <c r="F3703" t="s">
        <v>1449</v>
      </c>
      <c r="G3703">
        <v>-89.913589999999999</v>
      </c>
      <c r="H3703">
        <v>1700</v>
      </c>
      <c r="I3703">
        <v>127</v>
      </c>
      <c r="J3703">
        <v>84</v>
      </c>
      <c r="K3703">
        <v>-192</v>
      </c>
      <c r="L3703">
        <v>1200</v>
      </c>
      <c r="M3703" t="str">
        <f t="shared" si="406"/>
        <v xml:space="preserve">N35DC   </v>
      </c>
      <c r="N3703">
        <v>1</v>
      </c>
      <c r="O3703">
        <v>1750</v>
      </c>
    </row>
    <row r="3704" spans="1:15" x14ac:dyDescent="0.25">
      <c r="A3704" t="str">
        <f>"10/21/2020 18:40:20.232"</f>
        <v>10/21/2020 18:40:20.232</v>
      </c>
      <c r="B3704" t="str">
        <f>"18:40:28.172"</f>
        <v>18:40:28.172</v>
      </c>
      <c r="C3704" t="str">
        <f>"18:40:27.772"</f>
        <v>18:40:27.772</v>
      </c>
      <c r="D3704" t="s">
        <v>1448</v>
      </c>
      <c r="E3704">
        <v>30.960630999999999</v>
      </c>
      <c r="F3704" t="s">
        <v>1449</v>
      </c>
      <c r="G3704">
        <v>-89.913589999999999</v>
      </c>
      <c r="H3704">
        <v>1700</v>
      </c>
      <c r="I3704">
        <v>127</v>
      </c>
      <c r="J3704">
        <v>84</v>
      </c>
      <c r="K3704">
        <v>-192</v>
      </c>
      <c r="L3704">
        <v>1200</v>
      </c>
      <c r="M3704" t="str">
        <f t="shared" si="406"/>
        <v xml:space="preserve">N35DC   </v>
      </c>
      <c r="N3704">
        <v>1</v>
      </c>
      <c r="O3704">
        <v>1750</v>
      </c>
    </row>
    <row r="3705" spans="1:15" x14ac:dyDescent="0.25">
      <c r="A3705" t="str">
        <f>"10/21/2020 18:40:20.232"</f>
        <v>10/21/2020 18:40:20.232</v>
      </c>
      <c r="B3705" t="str">
        <f>"18:40:28.172"</f>
        <v>18:40:28.172</v>
      </c>
      <c r="C3705" t="str">
        <f>"18:40:27.772"</f>
        <v>18:40:27.772</v>
      </c>
      <c r="D3705" t="s">
        <v>1448</v>
      </c>
      <c r="E3705">
        <v>30.960630999999999</v>
      </c>
      <c r="F3705" t="s">
        <v>1449</v>
      </c>
      <c r="G3705">
        <v>-89.913589999999999</v>
      </c>
      <c r="H3705">
        <v>1700</v>
      </c>
      <c r="I3705">
        <v>127</v>
      </c>
      <c r="J3705">
        <v>84</v>
      </c>
      <c r="K3705">
        <v>-192</v>
      </c>
      <c r="L3705">
        <v>1200</v>
      </c>
      <c r="M3705" t="str">
        <f t="shared" si="406"/>
        <v xml:space="preserve">N35DC   </v>
      </c>
      <c r="N3705">
        <v>1</v>
      </c>
      <c r="O3705">
        <v>1750</v>
      </c>
    </row>
    <row r="3706" spans="1:15" x14ac:dyDescent="0.25">
      <c r="A3706" t="str">
        <f>"10/21/2020 18:40:20.232"</f>
        <v>10/21/2020 18:40:20.232</v>
      </c>
      <c r="B3706" t="str">
        <f>"18:40:28.172"</f>
        <v>18:40:28.172</v>
      </c>
      <c r="C3706" t="str">
        <f>"18:40:27.772"</f>
        <v>18:40:27.772</v>
      </c>
      <c r="D3706" t="s">
        <v>1448</v>
      </c>
      <c r="E3706">
        <v>30.960630999999999</v>
      </c>
      <c r="F3706" t="s">
        <v>1449</v>
      </c>
      <c r="G3706">
        <v>-89.913589999999999</v>
      </c>
      <c r="H3706">
        <v>1700</v>
      </c>
      <c r="I3706">
        <v>127</v>
      </c>
      <c r="J3706">
        <v>84</v>
      </c>
      <c r="K3706">
        <v>-192</v>
      </c>
      <c r="L3706">
        <v>1200</v>
      </c>
      <c r="M3706" t="str">
        <f t="shared" si="406"/>
        <v xml:space="preserve">N35DC   </v>
      </c>
      <c r="N3706">
        <v>1</v>
      </c>
      <c r="O3706">
        <v>1750</v>
      </c>
    </row>
    <row r="3707" spans="1:15" x14ac:dyDescent="0.25">
      <c r="A3707" t="str">
        <f>"10/21/2020 18:40:21.041"</f>
        <v>10/21/2020 18:40:21.041</v>
      </c>
      <c r="B3707" t="str">
        <f>"18:40:29.000"</f>
        <v>18:40:29.000</v>
      </c>
      <c r="C3707" t="str">
        <f>"18:40:28.800"</f>
        <v>18:40:28.800</v>
      </c>
      <c r="D3707" t="s">
        <v>1450</v>
      </c>
      <c r="E3707">
        <v>30.960953</v>
      </c>
      <c r="F3707" t="s">
        <v>1451</v>
      </c>
      <c r="G3707">
        <v>-89.912988999999996</v>
      </c>
      <c r="H3707">
        <v>1700</v>
      </c>
      <c r="I3707">
        <v>127</v>
      </c>
      <c r="J3707">
        <v>85</v>
      </c>
      <c r="K3707">
        <v>-320</v>
      </c>
      <c r="L3707">
        <v>1200</v>
      </c>
      <c r="M3707" t="str">
        <f t="shared" si="406"/>
        <v xml:space="preserve">N35DC   </v>
      </c>
      <c r="N3707">
        <v>1</v>
      </c>
      <c r="O3707">
        <v>1725</v>
      </c>
    </row>
    <row r="3708" spans="1:15" x14ac:dyDescent="0.25">
      <c r="A3708" t="str">
        <f>"10/21/2020 18:40:21.041"</f>
        <v>10/21/2020 18:40:21.041</v>
      </c>
      <c r="B3708" t="str">
        <f>"18:40:29.000"</f>
        <v>18:40:29.000</v>
      </c>
      <c r="C3708" t="str">
        <f>"18:40:28.800"</f>
        <v>18:40:28.800</v>
      </c>
      <c r="D3708" t="s">
        <v>1450</v>
      </c>
      <c r="E3708">
        <v>30.960953</v>
      </c>
      <c r="F3708" t="s">
        <v>1451</v>
      </c>
      <c r="G3708">
        <v>-89.912988999999996</v>
      </c>
      <c r="H3708">
        <v>1700</v>
      </c>
      <c r="I3708">
        <v>127</v>
      </c>
      <c r="J3708">
        <v>85</v>
      </c>
      <c r="K3708">
        <v>-320</v>
      </c>
      <c r="L3708">
        <v>1200</v>
      </c>
      <c r="M3708" t="str">
        <f t="shared" si="406"/>
        <v xml:space="preserve">N35DC   </v>
      </c>
      <c r="N3708">
        <v>1</v>
      </c>
      <c r="O3708">
        <v>1725</v>
      </c>
    </row>
    <row r="3709" spans="1:15" x14ac:dyDescent="0.25">
      <c r="A3709" t="str">
        <f>"10/21/2020 18:40:21.041"</f>
        <v>10/21/2020 18:40:21.041</v>
      </c>
      <c r="B3709" t="str">
        <f>"18:40:29.000"</f>
        <v>18:40:29.000</v>
      </c>
      <c r="C3709" t="str">
        <f>"18:40:28.800"</f>
        <v>18:40:28.800</v>
      </c>
      <c r="D3709" t="s">
        <v>1450</v>
      </c>
      <c r="E3709">
        <v>30.960953</v>
      </c>
      <c r="F3709" t="s">
        <v>1451</v>
      </c>
      <c r="G3709">
        <v>-89.912988999999996</v>
      </c>
      <c r="H3709">
        <v>1700</v>
      </c>
      <c r="I3709">
        <v>127</v>
      </c>
      <c r="J3709">
        <v>85</v>
      </c>
      <c r="K3709">
        <v>-320</v>
      </c>
      <c r="L3709">
        <v>1200</v>
      </c>
      <c r="M3709" t="str">
        <f t="shared" si="406"/>
        <v xml:space="preserve">N35DC   </v>
      </c>
      <c r="N3709">
        <v>1</v>
      </c>
      <c r="O3709">
        <v>1725</v>
      </c>
    </row>
    <row r="3710" spans="1:15" x14ac:dyDescent="0.25">
      <c r="A3710" t="str">
        <f>"10/21/2020 18:40:21.041"</f>
        <v>10/21/2020 18:40:21.041</v>
      </c>
      <c r="B3710" t="str">
        <f>"18:40:29.000"</f>
        <v>18:40:29.000</v>
      </c>
      <c r="C3710" t="str">
        <f>"18:40:28.800"</f>
        <v>18:40:28.800</v>
      </c>
      <c r="D3710" t="s">
        <v>1450</v>
      </c>
      <c r="E3710">
        <v>30.960953</v>
      </c>
      <c r="F3710" t="s">
        <v>1451</v>
      </c>
      <c r="G3710">
        <v>-89.912988999999996</v>
      </c>
      <c r="H3710">
        <v>1700</v>
      </c>
      <c r="I3710">
        <v>127</v>
      </c>
      <c r="J3710">
        <v>85</v>
      </c>
      <c r="K3710">
        <v>-320</v>
      </c>
      <c r="L3710">
        <v>1200</v>
      </c>
      <c r="M3710" t="str">
        <f t="shared" si="406"/>
        <v xml:space="preserve">N35DC   </v>
      </c>
      <c r="N3710">
        <v>1</v>
      </c>
      <c r="O3710">
        <v>1725</v>
      </c>
    </row>
    <row r="3711" spans="1:15" x14ac:dyDescent="0.25">
      <c r="A3711" t="str">
        <f>"10/21/2020 18:40:21.041"</f>
        <v>10/21/2020 18:40:21.041</v>
      </c>
      <c r="B3711" t="str">
        <f>"18:40:29.000"</f>
        <v>18:40:29.000</v>
      </c>
      <c r="C3711" t="str">
        <f>"18:40:28.800"</f>
        <v>18:40:28.800</v>
      </c>
      <c r="D3711" t="s">
        <v>1450</v>
      </c>
      <c r="E3711">
        <v>30.960953</v>
      </c>
      <c r="F3711" t="s">
        <v>1451</v>
      </c>
      <c r="G3711">
        <v>-89.912988999999996</v>
      </c>
      <c r="H3711">
        <v>1700</v>
      </c>
      <c r="I3711">
        <v>127</v>
      </c>
      <c r="J3711">
        <v>85</v>
      </c>
      <c r="K3711">
        <v>-320</v>
      </c>
      <c r="L3711">
        <v>1200</v>
      </c>
      <c r="M3711" t="str">
        <f t="shared" si="406"/>
        <v xml:space="preserve">N35DC   </v>
      </c>
      <c r="N3711">
        <v>1</v>
      </c>
      <c r="O3711">
        <v>1725</v>
      </c>
    </row>
    <row r="3712" spans="1:15" x14ac:dyDescent="0.25">
      <c r="A3712" t="str">
        <f>"10/21/2020 18:40:24.090"</f>
        <v>10/21/2020 18:40:24.090</v>
      </c>
      <c r="B3712" t="str">
        <f>"18:40:32.023"</f>
        <v>18:40:32.023</v>
      </c>
      <c r="C3712" t="str">
        <f>"18:40:31.023"</f>
        <v>18:40:31.023</v>
      </c>
      <c r="D3712" t="s">
        <v>1452</v>
      </c>
      <c r="E3712">
        <v>30.962175999999999</v>
      </c>
      <c r="F3712" t="s">
        <v>1453</v>
      </c>
      <c r="G3712">
        <v>-89.910928999999996</v>
      </c>
      <c r="H3712">
        <v>1600</v>
      </c>
      <c r="I3712">
        <v>126</v>
      </c>
      <c r="J3712">
        <v>87</v>
      </c>
      <c r="K3712">
        <v>-256</v>
      </c>
      <c r="L3712">
        <v>1200</v>
      </c>
      <c r="M3712" t="str">
        <f t="shared" si="406"/>
        <v xml:space="preserve">N35DC   </v>
      </c>
      <c r="N3712">
        <v>1</v>
      </c>
      <c r="O3712">
        <v>1725</v>
      </c>
    </row>
    <row r="3713" spans="1:15" x14ac:dyDescent="0.25">
      <c r="A3713" t="str">
        <f>"10/21/2020 18:40:24.090"</f>
        <v>10/21/2020 18:40:24.090</v>
      </c>
      <c r="B3713" t="str">
        <f>"18:40:32.023"</f>
        <v>18:40:32.023</v>
      </c>
      <c r="C3713" t="str">
        <f>"18:40:32.023"</f>
        <v>18:40:32.023</v>
      </c>
      <c r="D3713" t="s">
        <v>1452</v>
      </c>
      <c r="E3713">
        <v>30.962175999999999</v>
      </c>
      <c r="F3713" t="s">
        <v>1453</v>
      </c>
      <c r="G3713">
        <v>-89.910928999999996</v>
      </c>
      <c r="H3713">
        <v>1600</v>
      </c>
      <c r="I3713">
        <v>126</v>
      </c>
      <c r="J3713">
        <v>88</v>
      </c>
      <c r="K3713">
        <v>-128</v>
      </c>
      <c r="L3713">
        <v>1200</v>
      </c>
      <c r="M3713" t="str">
        <f t="shared" si="406"/>
        <v xml:space="preserve">N35DC   </v>
      </c>
      <c r="N3713">
        <v>1</v>
      </c>
      <c r="O3713">
        <v>1725</v>
      </c>
    </row>
    <row r="3714" spans="1:15" x14ac:dyDescent="0.25">
      <c r="A3714" t="str">
        <f>"10/21/2020 18:40:24.090"</f>
        <v>10/21/2020 18:40:24.090</v>
      </c>
      <c r="B3714" t="str">
        <f>"18:40:32.023"</f>
        <v>18:40:32.023</v>
      </c>
      <c r="C3714" t="str">
        <f>"18:40:31.023"</f>
        <v>18:40:31.023</v>
      </c>
      <c r="D3714" t="s">
        <v>1452</v>
      </c>
      <c r="E3714">
        <v>30.962175999999999</v>
      </c>
      <c r="F3714" t="s">
        <v>1453</v>
      </c>
      <c r="G3714">
        <v>-89.910928999999996</v>
      </c>
      <c r="H3714">
        <v>1600</v>
      </c>
      <c r="I3714">
        <v>126</v>
      </c>
      <c r="J3714">
        <v>87</v>
      </c>
      <c r="K3714">
        <v>-256</v>
      </c>
      <c r="L3714">
        <v>1200</v>
      </c>
      <c r="M3714" t="str">
        <f t="shared" si="406"/>
        <v xml:space="preserve">N35DC   </v>
      </c>
      <c r="N3714">
        <v>1</v>
      </c>
      <c r="O3714">
        <v>1725</v>
      </c>
    </row>
    <row r="3715" spans="1:15" x14ac:dyDescent="0.25">
      <c r="A3715" t="str">
        <f>"10/21/2020 18:40:24.090"</f>
        <v>10/21/2020 18:40:24.090</v>
      </c>
      <c r="B3715" t="str">
        <f>"18:40:32.023"</f>
        <v>18:40:32.023</v>
      </c>
      <c r="C3715" t="str">
        <f>"18:40:31.023"</f>
        <v>18:40:31.023</v>
      </c>
      <c r="D3715" t="s">
        <v>1452</v>
      </c>
      <c r="E3715">
        <v>30.962175999999999</v>
      </c>
      <c r="F3715" t="s">
        <v>1453</v>
      </c>
      <c r="G3715">
        <v>-89.910928999999996</v>
      </c>
      <c r="H3715">
        <v>1600</v>
      </c>
      <c r="I3715">
        <v>126</v>
      </c>
      <c r="J3715">
        <v>87</v>
      </c>
      <c r="K3715">
        <v>-256</v>
      </c>
      <c r="L3715">
        <v>1200</v>
      </c>
      <c r="M3715" t="str">
        <f t="shared" si="406"/>
        <v xml:space="preserve">N35DC   </v>
      </c>
      <c r="N3715">
        <v>1</v>
      </c>
      <c r="O3715">
        <v>1725</v>
      </c>
    </row>
    <row r="3716" spans="1:15" x14ac:dyDescent="0.25">
      <c r="A3716" t="str">
        <f>"10/21/2020 18:40:24.665"</f>
        <v>10/21/2020 18:40:24.665</v>
      </c>
      <c r="B3716" t="str">
        <f>"18:40:32.578"</f>
        <v>18:40:32.578</v>
      </c>
      <c r="C3716" t="str">
        <f>"18:40:32.478"</f>
        <v>18:40:32.478</v>
      </c>
      <c r="D3716" t="s">
        <v>1454</v>
      </c>
      <c r="E3716">
        <v>30.962412</v>
      </c>
      <c r="F3716" t="s">
        <v>1455</v>
      </c>
      <c r="G3716">
        <v>-89.910563999999994</v>
      </c>
      <c r="H3716">
        <v>1600</v>
      </c>
      <c r="I3716">
        <v>125</v>
      </c>
      <c r="J3716">
        <v>89</v>
      </c>
      <c r="K3716">
        <v>-128</v>
      </c>
      <c r="L3716">
        <v>1200</v>
      </c>
      <c r="M3716" t="str">
        <f t="shared" si="406"/>
        <v xml:space="preserve">N35DC   </v>
      </c>
      <c r="N3716">
        <v>1</v>
      </c>
      <c r="O3716">
        <v>1725</v>
      </c>
    </row>
    <row r="3717" spans="1:15" x14ac:dyDescent="0.25">
      <c r="A3717" t="str">
        <f>"10/21/2020 18:40:25.230"</f>
        <v>10/21/2020 18:40:25.230</v>
      </c>
      <c r="B3717" t="str">
        <f>"18:40:33.164"</f>
        <v>18:40:33.164</v>
      </c>
      <c r="C3717" t="str">
        <f>"18:40:32.964"</f>
        <v>18:40:32.964</v>
      </c>
      <c r="D3717" t="s">
        <v>1456</v>
      </c>
      <c r="E3717">
        <v>30.962648000000002</v>
      </c>
      <c r="F3717" t="s">
        <v>1457</v>
      </c>
      <c r="G3717">
        <v>-89.910134999999997</v>
      </c>
      <c r="H3717">
        <v>1600</v>
      </c>
      <c r="I3717">
        <v>125</v>
      </c>
      <c r="J3717">
        <v>90</v>
      </c>
      <c r="K3717">
        <v>-128</v>
      </c>
      <c r="L3717">
        <v>1200</v>
      </c>
      <c r="M3717" t="str">
        <f t="shared" si="406"/>
        <v xml:space="preserve">N35DC   </v>
      </c>
      <c r="N3717">
        <v>1</v>
      </c>
      <c r="O3717">
        <v>1725</v>
      </c>
    </row>
    <row r="3718" spans="1:15" x14ac:dyDescent="0.25">
      <c r="A3718" t="str">
        <f>"10/21/2020 18:40:25.230"</f>
        <v>10/21/2020 18:40:25.230</v>
      </c>
      <c r="B3718" t="str">
        <f>"18:40:33.164"</f>
        <v>18:40:33.164</v>
      </c>
      <c r="C3718" t="str">
        <f>"18:40:32.964"</f>
        <v>18:40:32.964</v>
      </c>
      <c r="D3718" t="s">
        <v>1456</v>
      </c>
      <c r="E3718">
        <v>30.962648000000002</v>
      </c>
      <c r="F3718" t="s">
        <v>1457</v>
      </c>
      <c r="G3718">
        <v>-89.910134999999997</v>
      </c>
      <c r="H3718">
        <v>1600</v>
      </c>
      <c r="I3718">
        <v>125</v>
      </c>
      <c r="J3718">
        <v>90</v>
      </c>
      <c r="K3718">
        <v>-128</v>
      </c>
      <c r="L3718">
        <v>1200</v>
      </c>
      <c r="M3718" t="str">
        <f t="shared" si="406"/>
        <v xml:space="preserve">N35DC   </v>
      </c>
      <c r="N3718">
        <v>1</v>
      </c>
      <c r="O3718">
        <v>1725</v>
      </c>
    </row>
    <row r="3719" spans="1:15" x14ac:dyDescent="0.25">
      <c r="A3719" t="str">
        <f>"10/21/2020 18:40:25.230"</f>
        <v>10/21/2020 18:40:25.230</v>
      </c>
      <c r="B3719" t="str">
        <f>"18:40:33.164"</f>
        <v>18:40:33.164</v>
      </c>
      <c r="C3719" t="str">
        <f>"18:40:32.964"</f>
        <v>18:40:32.964</v>
      </c>
      <c r="D3719" t="s">
        <v>1456</v>
      </c>
      <c r="E3719">
        <v>30.962648000000002</v>
      </c>
      <c r="F3719" t="s">
        <v>1457</v>
      </c>
      <c r="G3719">
        <v>-89.910134999999997</v>
      </c>
      <c r="H3719">
        <v>1600</v>
      </c>
      <c r="I3719">
        <v>125</v>
      </c>
      <c r="J3719">
        <v>90</v>
      </c>
      <c r="K3719">
        <v>-128</v>
      </c>
      <c r="L3719">
        <v>1200</v>
      </c>
      <c r="M3719" t="str">
        <f t="shared" ref="M3719:M3782" si="411">"N35DC   "</f>
        <v xml:space="preserve">N35DC   </v>
      </c>
      <c r="N3719">
        <v>1</v>
      </c>
      <c r="O3719">
        <v>1725</v>
      </c>
    </row>
    <row r="3720" spans="1:15" x14ac:dyDescent="0.25">
      <c r="A3720" t="str">
        <f>"10/21/2020 18:40:25.230"</f>
        <v>10/21/2020 18:40:25.230</v>
      </c>
      <c r="B3720" t="str">
        <f>"18:40:33.164"</f>
        <v>18:40:33.164</v>
      </c>
      <c r="C3720" t="str">
        <f>"18:40:32.964"</f>
        <v>18:40:32.964</v>
      </c>
      <c r="D3720" t="s">
        <v>1456</v>
      </c>
      <c r="E3720">
        <v>30.962648000000002</v>
      </c>
      <c r="F3720" t="s">
        <v>1457</v>
      </c>
      <c r="G3720">
        <v>-89.910134999999997</v>
      </c>
      <c r="H3720">
        <v>1600</v>
      </c>
      <c r="I3720">
        <v>125</v>
      </c>
      <c r="J3720">
        <v>90</v>
      </c>
      <c r="K3720">
        <v>-128</v>
      </c>
      <c r="L3720">
        <v>1200</v>
      </c>
      <c r="M3720" t="str">
        <f t="shared" si="411"/>
        <v xml:space="preserve">N35DC   </v>
      </c>
      <c r="N3720">
        <v>1</v>
      </c>
      <c r="O3720">
        <v>1725</v>
      </c>
    </row>
    <row r="3721" spans="1:15" x14ac:dyDescent="0.25">
      <c r="A3721" t="str">
        <f>"10/21/2020 18:40:25.713"</f>
        <v>10/21/2020 18:40:25.713</v>
      </c>
      <c r="B3721" t="str">
        <f>"18:40:33.648"</f>
        <v>18:40:33.648</v>
      </c>
      <c r="C3721" t="str">
        <f>"18:40:33.448"</f>
        <v>18:40:33.448</v>
      </c>
      <c r="D3721" t="s">
        <v>1458</v>
      </c>
      <c r="E3721">
        <v>30.962862999999999</v>
      </c>
      <c r="F3721" t="s">
        <v>1459</v>
      </c>
      <c r="G3721">
        <v>-89.909856000000005</v>
      </c>
      <c r="H3721">
        <v>1600</v>
      </c>
      <c r="I3721">
        <v>124</v>
      </c>
      <c r="J3721">
        <v>90</v>
      </c>
      <c r="K3721">
        <v>-128</v>
      </c>
      <c r="L3721">
        <v>1200</v>
      </c>
      <c r="M3721" t="str">
        <f t="shared" si="411"/>
        <v xml:space="preserve">N35DC   </v>
      </c>
      <c r="N3721">
        <v>1</v>
      </c>
      <c r="O3721">
        <v>1725</v>
      </c>
    </row>
    <row r="3722" spans="1:15" x14ac:dyDescent="0.25">
      <c r="A3722" t="str">
        <f>"10/21/2020 18:40:28.112"</f>
        <v>10/21/2020 18:40:28.112</v>
      </c>
      <c r="B3722" t="str">
        <f>"18:40:36.094"</f>
        <v>18:40:36.094</v>
      </c>
      <c r="C3722" t="str">
        <f>"18:40:35.794"</f>
        <v>18:40:35.794</v>
      </c>
      <c r="D3722" t="s">
        <v>1460</v>
      </c>
      <c r="E3722">
        <v>30.963913999999999</v>
      </c>
      <c r="F3722" t="s">
        <v>1461</v>
      </c>
      <c r="G3722">
        <v>-89.908289999999994</v>
      </c>
      <c r="H3722">
        <v>1600</v>
      </c>
      <c r="I3722">
        <v>121</v>
      </c>
      <c r="J3722">
        <v>94</v>
      </c>
      <c r="K3722">
        <v>64</v>
      </c>
      <c r="L3722">
        <v>1200</v>
      </c>
      <c r="M3722" t="str">
        <f t="shared" si="411"/>
        <v xml:space="preserve">N35DC   </v>
      </c>
      <c r="N3722">
        <v>1</v>
      </c>
      <c r="O3722">
        <v>1725</v>
      </c>
    </row>
    <row r="3723" spans="1:15" x14ac:dyDescent="0.25">
      <c r="A3723" t="str">
        <f>"10/21/2020 18:40:28.112"</f>
        <v>10/21/2020 18:40:28.112</v>
      </c>
      <c r="B3723" t="str">
        <f>"18:40:36.094"</f>
        <v>18:40:36.094</v>
      </c>
      <c r="C3723" t="str">
        <f>"18:40:35.794"</f>
        <v>18:40:35.794</v>
      </c>
      <c r="D3723" t="s">
        <v>1460</v>
      </c>
      <c r="E3723">
        <v>30.963913999999999</v>
      </c>
      <c r="F3723" t="s">
        <v>1461</v>
      </c>
      <c r="G3723">
        <v>-89.908289999999994</v>
      </c>
      <c r="H3723">
        <v>1600</v>
      </c>
      <c r="I3723">
        <v>121</v>
      </c>
      <c r="J3723">
        <v>94</v>
      </c>
      <c r="K3723">
        <v>64</v>
      </c>
      <c r="L3723">
        <v>1200</v>
      </c>
      <c r="M3723" t="str">
        <f t="shared" si="411"/>
        <v xml:space="preserve">N35DC   </v>
      </c>
      <c r="N3723">
        <v>1</v>
      </c>
      <c r="O3723">
        <v>1725</v>
      </c>
    </row>
    <row r="3724" spans="1:15" x14ac:dyDescent="0.25">
      <c r="A3724" t="str">
        <f>"10/21/2020 18:40:28.112"</f>
        <v>10/21/2020 18:40:28.112</v>
      </c>
      <c r="B3724" t="str">
        <f>"18:40:36.094"</f>
        <v>18:40:36.094</v>
      </c>
      <c r="C3724" t="str">
        <f>"18:40:35.794"</f>
        <v>18:40:35.794</v>
      </c>
      <c r="D3724" t="s">
        <v>1460</v>
      </c>
      <c r="E3724">
        <v>30.963913999999999</v>
      </c>
      <c r="F3724" t="s">
        <v>1461</v>
      </c>
      <c r="G3724">
        <v>-89.908289999999994</v>
      </c>
      <c r="H3724">
        <v>1600</v>
      </c>
      <c r="I3724">
        <v>121</v>
      </c>
      <c r="J3724">
        <v>94</v>
      </c>
      <c r="K3724">
        <v>64</v>
      </c>
      <c r="L3724">
        <v>1200</v>
      </c>
      <c r="M3724" t="str">
        <f t="shared" si="411"/>
        <v xml:space="preserve">N35DC   </v>
      </c>
      <c r="N3724">
        <v>1</v>
      </c>
      <c r="O3724">
        <v>1725</v>
      </c>
    </row>
    <row r="3725" spans="1:15" x14ac:dyDescent="0.25">
      <c r="A3725" t="str">
        <f>"10/21/2020 18:40:28.112"</f>
        <v>10/21/2020 18:40:28.112</v>
      </c>
      <c r="B3725" t="str">
        <f>"18:40:36.094"</f>
        <v>18:40:36.094</v>
      </c>
      <c r="C3725" t="str">
        <f>"18:40:35.794"</f>
        <v>18:40:35.794</v>
      </c>
      <c r="D3725" t="s">
        <v>1460</v>
      </c>
      <c r="E3725">
        <v>30.963913999999999</v>
      </c>
      <c r="F3725" t="s">
        <v>1461</v>
      </c>
      <c r="G3725">
        <v>-89.908289999999994</v>
      </c>
      <c r="H3725">
        <v>1600</v>
      </c>
      <c r="I3725">
        <v>121</v>
      </c>
      <c r="J3725">
        <v>94</v>
      </c>
      <c r="K3725">
        <v>64</v>
      </c>
      <c r="L3725">
        <v>1200</v>
      </c>
      <c r="M3725" t="str">
        <f t="shared" si="411"/>
        <v xml:space="preserve">N35DC   </v>
      </c>
      <c r="N3725">
        <v>1</v>
      </c>
      <c r="O3725">
        <v>1725</v>
      </c>
    </row>
    <row r="3726" spans="1:15" x14ac:dyDescent="0.25">
      <c r="A3726" t="str">
        <f>"10/21/2020 18:40:28.112"</f>
        <v>10/21/2020 18:40:28.112</v>
      </c>
      <c r="B3726" t="str">
        <f>"18:40:36.094"</f>
        <v>18:40:36.094</v>
      </c>
      <c r="C3726" t="str">
        <f>"18:40:35.794"</f>
        <v>18:40:35.794</v>
      </c>
      <c r="D3726" t="s">
        <v>1460</v>
      </c>
      <c r="E3726">
        <v>30.963913999999999</v>
      </c>
      <c r="F3726" t="s">
        <v>1461</v>
      </c>
      <c r="G3726">
        <v>-89.908289999999994</v>
      </c>
      <c r="H3726">
        <v>1600</v>
      </c>
      <c r="I3726">
        <v>121</v>
      </c>
      <c r="J3726">
        <v>94</v>
      </c>
      <c r="K3726">
        <v>64</v>
      </c>
      <c r="L3726">
        <v>1200</v>
      </c>
      <c r="M3726" t="str">
        <f t="shared" si="411"/>
        <v xml:space="preserve">N35DC   </v>
      </c>
      <c r="N3726">
        <v>1</v>
      </c>
      <c r="O3726">
        <v>1725</v>
      </c>
    </row>
    <row r="3727" spans="1:15" x14ac:dyDescent="0.25">
      <c r="A3727" t="str">
        <f>"10/21/2020 18:40:29.072"</f>
        <v>10/21/2020 18:40:29.072</v>
      </c>
      <c r="B3727" t="str">
        <f>"18:40:37.023"</f>
        <v>18:40:37.023</v>
      </c>
      <c r="C3727" t="str">
        <f>"18:40:36.823"</f>
        <v>18:40:36.823</v>
      </c>
      <c r="D3727" t="s">
        <v>1462</v>
      </c>
      <c r="E3727">
        <v>30.964321999999999</v>
      </c>
      <c r="F3727" t="s">
        <v>1463</v>
      </c>
      <c r="G3727">
        <v>-89.907668000000001</v>
      </c>
      <c r="H3727">
        <v>1600</v>
      </c>
      <c r="I3727">
        <v>120</v>
      </c>
      <c r="J3727">
        <v>94</v>
      </c>
      <c r="K3727">
        <v>128</v>
      </c>
      <c r="L3727">
        <v>1200</v>
      </c>
      <c r="M3727" t="str">
        <f t="shared" si="411"/>
        <v xml:space="preserve">N35DC   </v>
      </c>
      <c r="N3727">
        <v>1</v>
      </c>
      <c r="O3727">
        <v>1725</v>
      </c>
    </row>
    <row r="3728" spans="1:15" x14ac:dyDescent="0.25">
      <c r="A3728" t="str">
        <f>"10/21/2020 18:40:29.072"</f>
        <v>10/21/2020 18:40:29.072</v>
      </c>
      <c r="B3728" t="str">
        <f>"18:40:37.023"</f>
        <v>18:40:37.023</v>
      </c>
      <c r="C3728" t="str">
        <f>"18:40:36.823"</f>
        <v>18:40:36.823</v>
      </c>
      <c r="D3728" t="s">
        <v>1462</v>
      </c>
      <c r="E3728">
        <v>30.964321999999999</v>
      </c>
      <c r="F3728" t="s">
        <v>1463</v>
      </c>
      <c r="G3728">
        <v>-89.907668000000001</v>
      </c>
      <c r="H3728">
        <v>1600</v>
      </c>
      <c r="I3728">
        <v>120</v>
      </c>
      <c r="J3728">
        <v>94</v>
      </c>
      <c r="K3728">
        <v>128</v>
      </c>
      <c r="L3728">
        <v>1200</v>
      </c>
      <c r="M3728" t="str">
        <f t="shared" si="411"/>
        <v xml:space="preserve">N35DC   </v>
      </c>
      <c r="N3728">
        <v>1</v>
      </c>
      <c r="O3728">
        <v>1725</v>
      </c>
    </row>
    <row r="3729" spans="1:15" x14ac:dyDescent="0.25">
      <c r="A3729" t="str">
        <f>"10/21/2020 18:40:29.072"</f>
        <v>10/21/2020 18:40:29.072</v>
      </c>
      <c r="B3729" t="str">
        <f>"18:40:37.023"</f>
        <v>18:40:37.023</v>
      </c>
      <c r="C3729" t="str">
        <f>"18:40:36.823"</f>
        <v>18:40:36.823</v>
      </c>
      <c r="D3729" t="s">
        <v>1462</v>
      </c>
      <c r="E3729">
        <v>30.964321999999999</v>
      </c>
      <c r="F3729" t="s">
        <v>1463</v>
      </c>
      <c r="G3729">
        <v>-89.907668000000001</v>
      </c>
      <c r="H3729">
        <v>1600</v>
      </c>
      <c r="I3729">
        <v>120</v>
      </c>
      <c r="J3729">
        <v>94</v>
      </c>
      <c r="K3729">
        <v>128</v>
      </c>
      <c r="L3729">
        <v>1200</v>
      </c>
      <c r="M3729" t="str">
        <f t="shared" si="411"/>
        <v xml:space="preserve">N35DC   </v>
      </c>
      <c r="N3729">
        <v>1</v>
      </c>
      <c r="O3729">
        <v>1725</v>
      </c>
    </row>
    <row r="3730" spans="1:15" x14ac:dyDescent="0.25">
      <c r="A3730" t="str">
        <f>"10/21/2020 18:40:29.072"</f>
        <v>10/21/2020 18:40:29.072</v>
      </c>
      <c r="B3730" t="str">
        <f>"18:40:37.023"</f>
        <v>18:40:37.023</v>
      </c>
      <c r="C3730" t="str">
        <f>"18:40:36.823"</f>
        <v>18:40:36.823</v>
      </c>
      <c r="D3730" t="s">
        <v>1462</v>
      </c>
      <c r="E3730">
        <v>30.964321999999999</v>
      </c>
      <c r="F3730" t="s">
        <v>1463</v>
      </c>
      <c r="G3730">
        <v>-89.907668000000001</v>
      </c>
      <c r="H3730">
        <v>1600</v>
      </c>
      <c r="I3730">
        <v>120</v>
      </c>
      <c r="J3730">
        <v>94</v>
      </c>
      <c r="K3730">
        <v>128</v>
      </c>
      <c r="L3730">
        <v>1200</v>
      </c>
      <c r="M3730" t="str">
        <f t="shared" si="411"/>
        <v xml:space="preserve">N35DC   </v>
      </c>
      <c r="N3730">
        <v>1</v>
      </c>
      <c r="O3730">
        <v>1725</v>
      </c>
    </row>
    <row r="3731" spans="1:15" x14ac:dyDescent="0.25">
      <c r="A3731" t="str">
        <f>"10/21/2020 18:40:32.153"</f>
        <v>10/21/2020 18:40:32.153</v>
      </c>
      <c r="B3731" t="str">
        <f>"18:40:40.047"</f>
        <v>18:40:40.047</v>
      </c>
      <c r="C3731" t="str">
        <f>"18:40:39.847"</f>
        <v>18:40:39.847</v>
      </c>
      <c r="D3731" t="s">
        <v>1464</v>
      </c>
      <c r="E3731">
        <v>30.965651999999999</v>
      </c>
      <c r="F3731" t="s">
        <v>1465</v>
      </c>
      <c r="G3731">
        <v>-89.905693999999997</v>
      </c>
      <c r="H3731">
        <v>1700</v>
      </c>
      <c r="I3731">
        <v>118</v>
      </c>
      <c r="J3731">
        <v>95</v>
      </c>
      <c r="K3731">
        <v>64</v>
      </c>
      <c r="L3731">
        <v>1200</v>
      </c>
      <c r="M3731" t="str">
        <f t="shared" si="411"/>
        <v xml:space="preserve">N35DC   </v>
      </c>
      <c r="N3731">
        <v>1</v>
      </c>
      <c r="O3731">
        <v>1725</v>
      </c>
    </row>
    <row r="3732" spans="1:15" x14ac:dyDescent="0.25">
      <c r="A3732" t="str">
        <f>"10/21/2020 18:40:32.153"</f>
        <v>10/21/2020 18:40:32.153</v>
      </c>
      <c r="B3732" t="str">
        <f>"18:40:40.047"</f>
        <v>18:40:40.047</v>
      </c>
      <c r="C3732" t="str">
        <f>"18:40:39.247"</f>
        <v>18:40:39.247</v>
      </c>
      <c r="D3732" t="s">
        <v>1464</v>
      </c>
      <c r="E3732">
        <v>30.965651999999999</v>
      </c>
      <c r="F3732" t="s">
        <v>1465</v>
      </c>
      <c r="G3732">
        <v>-89.905693999999997</v>
      </c>
      <c r="H3732">
        <v>1700</v>
      </c>
      <c r="I3732">
        <v>119</v>
      </c>
      <c r="J3732">
        <v>95</v>
      </c>
      <c r="K3732">
        <v>64</v>
      </c>
      <c r="L3732">
        <v>1200</v>
      </c>
      <c r="M3732" t="str">
        <f t="shared" si="411"/>
        <v xml:space="preserve">N35DC   </v>
      </c>
      <c r="N3732">
        <v>1</v>
      </c>
      <c r="O3732">
        <v>1825</v>
      </c>
    </row>
    <row r="3733" spans="1:15" x14ac:dyDescent="0.25">
      <c r="A3733" t="str">
        <f>"10/21/2020 18:40:32.153"</f>
        <v>10/21/2020 18:40:32.153</v>
      </c>
      <c r="B3733" t="str">
        <f>"18:40:40.047"</f>
        <v>18:40:40.047</v>
      </c>
      <c r="C3733" t="str">
        <f>"18:40:39.847"</f>
        <v>18:40:39.847</v>
      </c>
      <c r="D3733" t="s">
        <v>1464</v>
      </c>
      <c r="E3733">
        <v>30.965651999999999</v>
      </c>
      <c r="F3733" t="s">
        <v>1465</v>
      </c>
      <c r="G3733">
        <v>-89.905693999999997</v>
      </c>
      <c r="H3733">
        <v>1700</v>
      </c>
      <c r="I3733">
        <v>118</v>
      </c>
      <c r="J3733">
        <v>95</v>
      </c>
      <c r="K3733">
        <v>64</v>
      </c>
      <c r="L3733">
        <v>1200</v>
      </c>
      <c r="M3733" t="str">
        <f t="shared" si="411"/>
        <v xml:space="preserve">N35DC   </v>
      </c>
      <c r="N3733">
        <v>1</v>
      </c>
      <c r="O3733">
        <v>1725</v>
      </c>
    </row>
    <row r="3734" spans="1:15" x14ac:dyDescent="0.25">
      <c r="A3734" t="str">
        <f>"10/21/2020 18:40:32.153"</f>
        <v>10/21/2020 18:40:32.153</v>
      </c>
      <c r="B3734" t="str">
        <f>"18:40:40.047"</f>
        <v>18:40:40.047</v>
      </c>
      <c r="C3734" t="str">
        <f>"18:40:39.847"</f>
        <v>18:40:39.847</v>
      </c>
      <c r="D3734" t="s">
        <v>1464</v>
      </c>
      <c r="E3734">
        <v>30.965651999999999</v>
      </c>
      <c r="F3734" t="s">
        <v>1465</v>
      </c>
      <c r="G3734">
        <v>-89.905693999999997</v>
      </c>
      <c r="H3734">
        <v>1700</v>
      </c>
      <c r="I3734">
        <v>118</v>
      </c>
      <c r="J3734">
        <v>95</v>
      </c>
      <c r="K3734">
        <v>64</v>
      </c>
      <c r="L3734">
        <v>1200</v>
      </c>
      <c r="M3734" t="str">
        <f t="shared" si="411"/>
        <v xml:space="preserve">N35DC   </v>
      </c>
      <c r="N3734">
        <v>1</v>
      </c>
      <c r="O3734">
        <v>1725</v>
      </c>
    </row>
    <row r="3735" spans="1:15" x14ac:dyDescent="0.25">
      <c r="A3735" t="str">
        <f>"10/21/2020 18:40:32.153"</f>
        <v>10/21/2020 18:40:32.153</v>
      </c>
      <c r="B3735" t="str">
        <f>"18:40:40.047"</f>
        <v>18:40:40.047</v>
      </c>
      <c r="C3735" t="str">
        <f>"18:40:39.847"</f>
        <v>18:40:39.847</v>
      </c>
      <c r="D3735" t="s">
        <v>1464</v>
      </c>
      <c r="E3735">
        <v>30.965651999999999</v>
      </c>
      <c r="F3735" t="s">
        <v>1465</v>
      </c>
      <c r="G3735">
        <v>-89.905693999999997</v>
      </c>
      <c r="H3735">
        <v>1700</v>
      </c>
      <c r="I3735">
        <v>118</v>
      </c>
      <c r="J3735">
        <v>95</v>
      </c>
      <c r="K3735">
        <v>64</v>
      </c>
      <c r="L3735">
        <v>1200</v>
      </c>
      <c r="M3735" t="str">
        <f t="shared" si="411"/>
        <v xml:space="preserve">N35DC   </v>
      </c>
      <c r="N3735">
        <v>1</v>
      </c>
      <c r="O3735">
        <v>1725</v>
      </c>
    </row>
    <row r="3736" spans="1:15" x14ac:dyDescent="0.25">
      <c r="A3736" t="str">
        <f>"10/21/2020 18:40:33.309"</f>
        <v>10/21/2020 18:40:33.309</v>
      </c>
      <c r="B3736" t="str">
        <f>"18:40:41.203"</f>
        <v>18:40:41.203</v>
      </c>
      <c r="C3736" t="str">
        <f>"18:40:40.303"</f>
        <v>18:40:40.303</v>
      </c>
      <c r="D3736" t="s">
        <v>1466</v>
      </c>
      <c r="E3736">
        <v>30.966145999999998</v>
      </c>
      <c r="F3736" t="s">
        <v>1467</v>
      </c>
      <c r="G3736">
        <v>-89.904943000000003</v>
      </c>
      <c r="H3736">
        <v>1700</v>
      </c>
      <c r="I3736">
        <v>118</v>
      </c>
      <c r="J3736">
        <v>95</v>
      </c>
      <c r="K3736">
        <v>64</v>
      </c>
      <c r="L3736">
        <v>1200</v>
      </c>
      <c r="M3736" t="str">
        <f t="shared" si="411"/>
        <v xml:space="preserve">N35DC   </v>
      </c>
      <c r="N3736">
        <v>1</v>
      </c>
      <c r="O3736">
        <v>1825</v>
      </c>
    </row>
    <row r="3737" spans="1:15" x14ac:dyDescent="0.25">
      <c r="A3737" t="str">
        <f>"10/21/2020 18:40:33.309"</f>
        <v>10/21/2020 18:40:33.309</v>
      </c>
      <c r="B3737" t="str">
        <f>"18:40:41.203"</f>
        <v>18:40:41.203</v>
      </c>
      <c r="C3737" t="str">
        <f>"18:40:40.703"</f>
        <v>18:40:40.703</v>
      </c>
      <c r="D3737" t="s">
        <v>1466</v>
      </c>
      <c r="E3737">
        <v>30.966145999999998</v>
      </c>
      <c r="F3737" t="s">
        <v>1467</v>
      </c>
      <c r="G3737">
        <v>-89.904943000000003</v>
      </c>
      <c r="H3737">
        <v>1700</v>
      </c>
      <c r="I3737">
        <v>118</v>
      </c>
      <c r="J3737">
        <v>95</v>
      </c>
      <c r="K3737">
        <v>64</v>
      </c>
      <c r="L3737">
        <v>1200</v>
      </c>
      <c r="M3737" t="str">
        <f t="shared" si="411"/>
        <v xml:space="preserve">N35DC   </v>
      </c>
      <c r="N3737">
        <v>1</v>
      </c>
      <c r="O3737">
        <v>1625</v>
      </c>
    </row>
    <row r="3738" spans="1:15" x14ac:dyDescent="0.25">
      <c r="A3738" t="str">
        <f>"10/21/2020 18:40:33.309"</f>
        <v>10/21/2020 18:40:33.309</v>
      </c>
      <c r="B3738" t="str">
        <f>"18:40:41.203"</f>
        <v>18:40:41.203</v>
      </c>
      <c r="C3738" t="str">
        <f>"18:40:40.703"</f>
        <v>18:40:40.703</v>
      </c>
      <c r="D3738" t="s">
        <v>1466</v>
      </c>
      <c r="E3738">
        <v>30.966145999999998</v>
      </c>
      <c r="F3738" t="s">
        <v>1467</v>
      </c>
      <c r="G3738">
        <v>-89.904943000000003</v>
      </c>
      <c r="H3738">
        <v>1700</v>
      </c>
      <c r="I3738">
        <v>118</v>
      </c>
      <c r="J3738">
        <v>95</v>
      </c>
      <c r="K3738">
        <v>64</v>
      </c>
      <c r="L3738">
        <v>1200</v>
      </c>
      <c r="M3738" t="str">
        <f t="shared" si="411"/>
        <v xml:space="preserve">N35DC   </v>
      </c>
      <c r="N3738">
        <v>1</v>
      </c>
      <c r="O3738">
        <v>1625</v>
      </c>
    </row>
    <row r="3739" spans="1:15" x14ac:dyDescent="0.25">
      <c r="A3739" t="str">
        <f>"10/21/2020 18:40:33.309"</f>
        <v>10/21/2020 18:40:33.309</v>
      </c>
      <c r="B3739" t="str">
        <f>"18:40:41.203"</f>
        <v>18:40:41.203</v>
      </c>
      <c r="C3739" t="str">
        <f>"18:40:40.703"</f>
        <v>18:40:40.703</v>
      </c>
      <c r="D3739" t="s">
        <v>1466</v>
      </c>
      <c r="E3739">
        <v>30.966145999999998</v>
      </c>
      <c r="F3739" t="s">
        <v>1467</v>
      </c>
      <c r="G3739">
        <v>-89.904943000000003</v>
      </c>
      <c r="H3739">
        <v>1700</v>
      </c>
      <c r="I3739">
        <v>118</v>
      </c>
      <c r="J3739">
        <v>95</v>
      </c>
      <c r="K3739">
        <v>64</v>
      </c>
      <c r="L3739">
        <v>1200</v>
      </c>
      <c r="M3739" t="str">
        <f t="shared" si="411"/>
        <v xml:space="preserve">N35DC   </v>
      </c>
      <c r="N3739">
        <v>1</v>
      </c>
      <c r="O3739">
        <v>1625</v>
      </c>
    </row>
    <row r="3740" spans="1:15" x14ac:dyDescent="0.25">
      <c r="A3740" t="str">
        <f>"10/21/2020 18:40:33.309"</f>
        <v>10/21/2020 18:40:33.309</v>
      </c>
      <c r="B3740" t="str">
        <f>"18:40:41.203"</f>
        <v>18:40:41.203</v>
      </c>
      <c r="C3740" t="str">
        <f>"18:40:40.703"</f>
        <v>18:40:40.703</v>
      </c>
      <c r="D3740" t="s">
        <v>1466</v>
      </c>
      <c r="E3740">
        <v>30.966145999999998</v>
      </c>
      <c r="F3740" t="s">
        <v>1467</v>
      </c>
      <c r="G3740">
        <v>-89.904943000000003</v>
      </c>
      <c r="H3740">
        <v>1700</v>
      </c>
      <c r="I3740">
        <v>118</v>
      </c>
      <c r="J3740">
        <v>95</v>
      </c>
      <c r="K3740">
        <v>64</v>
      </c>
      <c r="L3740">
        <v>1200</v>
      </c>
      <c r="M3740" t="str">
        <f t="shared" si="411"/>
        <v xml:space="preserve">N35DC   </v>
      </c>
      <c r="N3740">
        <v>1</v>
      </c>
      <c r="O3740">
        <v>1625</v>
      </c>
    </row>
    <row r="3741" spans="1:15" x14ac:dyDescent="0.25">
      <c r="A3741" t="str">
        <f>"10/21/2020 18:40:35.776"</f>
        <v>10/21/2020 18:40:35.776</v>
      </c>
      <c r="B3741" t="str">
        <f>"18:40:43.648"</f>
        <v>18:40:43.648</v>
      </c>
      <c r="C3741" t="str">
        <f>"18:40:43.648"</f>
        <v>18:40:43.648</v>
      </c>
      <c r="D3741" t="s">
        <v>1468</v>
      </c>
      <c r="E3741">
        <v>30.967262000000002</v>
      </c>
      <c r="F3741" t="s">
        <v>1469</v>
      </c>
      <c r="G3741">
        <v>-89.903440000000003</v>
      </c>
      <c r="H3741">
        <v>1700</v>
      </c>
      <c r="I3741">
        <v>117</v>
      </c>
      <c r="J3741">
        <v>96</v>
      </c>
      <c r="K3741">
        <v>64</v>
      </c>
      <c r="L3741">
        <v>1200</v>
      </c>
      <c r="M3741" t="str">
        <f t="shared" si="411"/>
        <v xml:space="preserve">N35DC   </v>
      </c>
      <c r="N3741">
        <v>1</v>
      </c>
      <c r="O3741">
        <v>1725</v>
      </c>
    </row>
    <row r="3742" spans="1:15" x14ac:dyDescent="0.25">
      <c r="A3742" t="str">
        <f>"10/21/2020 18:40:36.151"</f>
        <v>10/21/2020 18:40:36.151</v>
      </c>
      <c r="B3742" t="str">
        <f>"18:40:44.102"</f>
        <v>18:40:44.102</v>
      </c>
      <c r="C3742" t="str">
        <f>"18:40:43.702"</f>
        <v>18:40:43.702</v>
      </c>
      <c r="D3742" t="s">
        <v>1470</v>
      </c>
      <c r="E3742">
        <v>30.967433</v>
      </c>
      <c r="F3742" t="s">
        <v>1471</v>
      </c>
      <c r="G3742">
        <v>-89.903119000000004</v>
      </c>
      <c r="H3742">
        <v>1700</v>
      </c>
      <c r="I3742">
        <v>117</v>
      </c>
      <c r="J3742">
        <v>96</v>
      </c>
      <c r="K3742">
        <v>64</v>
      </c>
      <c r="L3742">
        <v>1200</v>
      </c>
      <c r="M3742" t="str">
        <f t="shared" si="411"/>
        <v xml:space="preserve">N35DC   </v>
      </c>
      <c r="N3742">
        <v>1</v>
      </c>
      <c r="O3742">
        <v>1725</v>
      </c>
    </row>
    <row r="3743" spans="1:15" x14ac:dyDescent="0.25">
      <c r="A3743" t="str">
        <f>"10/21/2020 18:40:36.151"</f>
        <v>10/21/2020 18:40:36.151</v>
      </c>
      <c r="B3743" t="str">
        <f>"18:40:44.102"</f>
        <v>18:40:44.102</v>
      </c>
      <c r="C3743" t="str">
        <f>"18:40:43.702"</f>
        <v>18:40:43.702</v>
      </c>
      <c r="D3743" t="s">
        <v>1470</v>
      </c>
      <c r="E3743">
        <v>30.967433</v>
      </c>
      <c r="F3743" t="s">
        <v>1471</v>
      </c>
      <c r="G3743">
        <v>-89.903119000000004</v>
      </c>
      <c r="H3743">
        <v>1700</v>
      </c>
      <c r="I3743">
        <v>117</v>
      </c>
      <c r="J3743">
        <v>96</v>
      </c>
      <c r="K3743">
        <v>64</v>
      </c>
      <c r="L3743">
        <v>1200</v>
      </c>
      <c r="M3743" t="str">
        <f t="shared" si="411"/>
        <v xml:space="preserve">N35DC   </v>
      </c>
      <c r="N3743">
        <v>1</v>
      </c>
      <c r="O3743">
        <v>1725</v>
      </c>
    </row>
    <row r="3744" spans="1:15" x14ac:dyDescent="0.25">
      <c r="A3744" t="str">
        <f>"10/21/2020 18:40:36.151"</f>
        <v>10/21/2020 18:40:36.151</v>
      </c>
      <c r="B3744" t="str">
        <f>"18:40:44.102"</f>
        <v>18:40:44.102</v>
      </c>
      <c r="C3744" t="str">
        <f>"18:40:43.702"</f>
        <v>18:40:43.702</v>
      </c>
      <c r="D3744" t="s">
        <v>1470</v>
      </c>
      <c r="E3744">
        <v>30.967433</v>
      </c>
      <c r="F3744" t="s">
        <v>1471</v>
      </c>
      <c r="G3744">
        <v>-89.903119000000004</v>
      </c>
      <c r="H3744">
        <v>1700</v>
      </c>
      <c r="I3744">
        <v>117</v>
      </c>
      <c r="J3744">
        <v>96</v>
      </c>
      <c r="K3744">
        <v>64</v>
      </c>
      <c r="L3744">
        <v>1200</v>
      </c>
      <c r="M3744" t="str">
        <f t="shared" si="411"/>
        <v xml:space="preserve">N35DC   </v>
      </c>
      <c r="N3744">
        <v>1</v>
      </c>
      <c r="O3744">
        <v>1725</v>
      </c>
    </row>
    <row r="3745" spans="1:15" x14ac:dyDescent="0.25">
      <c r="A3745" t="str">
        <f>"10/21/2020 18:40:36.151"</f>
        <v>10/21/2020 18:40:36.151</v>
      </c>
      <c r="B3745" t="str">
        <f>"18:40:44.102"</f>
        <v>18:40:44.102</v>
      </c>
      <c r="C3745" t="str">
        <f>"18:40:43.702"</f>
        <v>18:40:43.702</v>
      </c>
      <c r="D3745" t="s">
        <v>1470</v>
      </c>
      <c r="E3745">
        <v>30.967433</v>
      </c>
      <c r="F3745" t="s">
        <v>1471</v>
      </c>
      <c r="G3745">
        <v>-89.903119000000004</v>
      </c>
      <c r="H3745">
        <v>1700</v>
      </c>
      <c r="I3745">
        <v>117</v>
      </c>
      <c r="J3745">
        <v>96</v>
      </c>
      <c r="K3745">
        <v>64</v>
      </c>
      <c r="L3745">
        <v>1200</v>
      </c>
      <c r="M3745" t="str">
        <f t="shared" si="411"/>
        <v xml:space="preserve">N35DC   </v>
      </c>
      <c r="N3745">
        <v>1</v>
      </c>
      <c r="O3745">
        <v>1725</v>
      </c>
    </row>
    <row r="3746" spans="1:15" x14ac:dyDescent="0.25">
      <c r="A3746" t="str">
        <f>"10/21/2020 18:40:39.358"</f>
        <v>10/21/2020 18:40:39.358</v>
      </c>
      <c r="B3746" t="str">
        <f t="shared" ref="B3746:C3748" si="412">"18:40:47.313"</f>
        <v>18:40:47.313</v>
      </c>
      <c r="C3746" t="str">
        <f t="shared" si="412"/>
        <v>18:40:47.313</v>
      </c>
      <c r="D3746" t="s">
        <v>1472</v>
      </c>
      <c r="E3746">
        <v>30.96885</v>
      </c>
      <c r="F3746" t="s">
        <v>1473</v>
      </c>
      <c r="G3746">
        <v>-89.901122999999998</v>
      </c>
      <c r="H3746">
        <v>1700</v>
      </c>
      <c r="I3746">
        <v>116</v>
      </c>
      <c r="J3746">
        <v>96</v>
      </c>
      <c r="K3746">
        <v>-64</v>
      </c>
      <c r="L3746">
        <v>1200</v>
      </c>
      <c r="M3746" t="str">
        <f t="shared" si="411"/>
        <v xml:space="preserve">N35DC   </v>
      </c>
      <c r="N3746">
        <v>1</v>
      </c>
      <c r="O3746">
        <v>1725</v>
      </c>
    </row>
    <row r="3747" spans="1:15" x14ac:dyDescent="0.25">
      <c r="A3747" t="str">
        <f>"10/21/2020 18:40:39.358"</f>
        <v>10/21/2020 18:40:39.358</v>
      </c>
      <c r="B3747" t="str">
        <f t="shared" si="412"/>
        <v>18:40:47.313</v>
      </c>
      <c r="C3747" t="str">
        <f t="shared" si="412"/>
        <v>18:40:47.313</v>
      </c>
      <c r="D3747" t="s">
        <v>1472</v>
      </c>
      <c r="E3747">
        <v>30.96885</v>
      </c>
      <c r="F3747" t="s">
        <v>1473</v>
      </c>
      <c r="G3747">
        <v>-89.901122999999998</v>
      </c>
      <c r="H3747">
        <v>1700</v>
      </c>
      <c r="I3747">
        <v>116</v>
      </c>
      <c r="J3747">
        <v>96</v>
      </c>
      <c r="K3747">
        <v>-64</v>
      </c>
      <c r="L3747">
        <v>1200</v>
      </c>
      <c r="M3747" t="str">
        <f t="shared" si="411"/>
        <v xml:space="preserve">N35DC   </v>
      </c>
      <c r="N3747">
        <v>1</v>
      </c>
      <c r="O3747">
        <v>1725</v>
      </c>
    </row>
    <row r="3748" spans="1:15" x14ac:dyDescent="0.25">
      <c r="A3748" t="str">
        <f>"10/21/2020 18:40:39.358"</f>
        <v>10/21/2020 18:40:39.358</v>
      </c>
      <c r="B3748" t="str">
        <f t="shared" si="412"/>
        <v>18:40:47.313</v>
      </c>
      <c r="C3748" t="str">
        <f t="shared" si="412"/>
        <v>18:40:47.313</v>
      </c>
      <c r="D3748" t="s">
        <v>1472</v>
      </c>
      <c r="E3748">
        <v>30.96885</v>
      </c>
      <c r="F3748" t="s">
        <v>1473</v>
      </c>
      <c r="G3748">
        <v>-89.901122999999998</v>
      </c>
      <c r="H3748">
        <v>1700</v>
      </c>
      <c r="I3748">
        <v>116</v>
      </c>
      <c r="J3748">
        <v>96</v>
      </c>
      <c r="K3748">
        <v>-64</v>
      </c>
      <c r="L3748">
        <v>1200</v>
      </c>
      <c r="M3748" t="str">
        <f t="shared" si="411"/>
        <v xml:space="preserve">N35DC   </v>
      </c>
      <c r="N3748">
        <v>1</v>
      </c>
      <c r="O3748">
        <v>1725</v>
      </c>
    </row>
    <row r="3749" spans="1:15" x14ac:dyDescent="0.25">
      <c r="A3749" t="str">
        <f>"10/21/2020 18:40:39.358"</f>
        <v>10/21/2020 18:40:39.358</v>
      </c>
      <c r="B3749" t="str">
        <f>"18:40:47.313"</f>
        <v>18:40:47.313</v>
      </c>
      <c r="C3749" t="str">
        <f>"18:40:46.712"</f>
        <v>18:40:46.712</v>
      </c>
      <c r="D3749" t="s">
        <v>1472</v>
      </c>
      <c r="E3749">
        <v>30.96885</v>
      </c>
      <c r="F3749" t="s">
        <v>1473</v>
      </c>
      <c r="G3749">
        <v>-89.901122999999998</v>
      </c>
      <c r="H3749">
        <v>1700</v>
      </c>
      <c r="I3749">
        <v>116</v>
      </c>
      <c r="J3749">
        <v>96</v>
      </c>
      <c r="K3749">
        <v>64</v>
      </c>
      <c r="L3749">
        <v>1200</v>
      </c>
      <c r="M3749" t="str">
        <f t="shared" si="411"/>
        <v xml:space="preserve">N35DC   </v>
      </c>
      <c r="N3749">
        <v>1</v>
      </c>
      <c r="O3749">
        <v>1725</v>
      </c>
    </row>
    <row r="3750" spans="1:15" x14ac:dyDescent="0.25">
      <c r="A3750" t="str">
        <f>"10/21/2020 18:40:39.358"</f>
        <v>10/21/2020 18:40:39.358</v>
      </c>
      <c r="B3750" t="str">
        <f>"18:40:47.313"</f>
        <v>18:40:47.313</v>
      </c>
      <c r="C3750" t="str">
        <f>"18:40:47.313"</f>
        <v>18:40:47.313</v>
      </c>
      <c r="D3750" t="s">
        <v>1472</v>
      </c>
      <c r="E3750">
        <v>30.96885</v>
      </c>
      <c r="F3750" t="s">
        <v>1473</v>
      </c>
      <c r="G3750">
        <v>-89.901122999999998</v>
      </c>
      <c r="H3750">
        <v>1700</v>
      </c>
      <c r="I3750">
        <v>116</v>
      </c>
      <c r="J3750">
        <v>96</v>
      </c>
      <c r="K3750">
        <v>-64</v>
      </c>
      <c r="L3750">
        <v>1200</v>
      </c>
      <c r="M3750" t="str">
        <f t="shared" si="411"/>
        <v xml:space="preserve">N35DC   </v>
      </c>
      <c r="N3750">
        <v>1</v>
      </c>
      <c r="O3750">
        <v>1725</v>
      </c>
    </row>
    <row r="3751" spans="1:15" x14ac:dyDescent="0.25">
      <c r="A3751" t="str">
        <f>"10/21/2020 18:40:41.404"</f>
        <v>10/21/2020 18:40:41.404</v>
      </c>
      <c r="B3751" t="str">
        <f>"18:40:49.336"</f>
        <v>18:40:49.336</v>
      </c>
      <c r="C3751" t="str">
        <f>"18:40:48.936"</f>
        <v>18:40:48.936</v>
      </c>
      <c r="D3751" t="s">
        <v>1474</v>
      </c>
      <c r="E3751">
        <v>30.969771999999999</v>
      </c>
      <c r="F3751" t="s">
        <v>1475</v>
      </c>
      <c r="G3751">
        <v>-89.899878999999999</v>
      </c>
      <c r="H3751">
        <v>1700</v>
      </c>
      <c r="I3751">
        <v>116</v>
      </c>
      <c r="J3751">
        <v>96</v>
      </c>
      <c r="K3751">
        <v>0</v>
      </c>
      <c r="L3751">
        <v>1200</v>
      </c>
      <c r="M3751" t="str">
        <f t="shared" si="411"/>
        <v xml:space="preserve">N35DC   </v>
      </c>
      <c r="N3751">
        <v>1</v>
      </c>
      <c r="O3751">
        <v>1725</v>
      </c>
    </row>
    <row r="3752" spans="1:15" x14ac:dyDescent="0.25">
      <c r="A3752" t="str">
        <f>"10/21/2020 18:40:41.404"</f>
        <v>10/21/2020 18:40:41.404</v>
      </c>
      <c r="B3752" t="str">
        <f>"18:40:49.336"</f>
        <v>18:40:49.336</v>
      </c>
      <c r="C3752" t="str">
        <f>"18:40:48.936"</f>
        <v>18:40:48.936</v>
      </c>
      <c r="D3752" t="s">
        <v>1474</v>
      </c>
      <c r="E3752">
        <v>30.969771999999999</v>
      </c>
      <c r="F3752" t="s">
        <v>1475</v>
      </c>
      <c r="G3752">
        <v>-89.899878999999999</v>
      </c>
      <c r="H3752">
        <v>1700</v>
      </c>
      <c r="I3752">
        <v>116</v>
      </c>
      <c r="J3752">
        <v>96</v>
      </c>
      <c r="K3752">
        <v>0</v>
      </c>
      <c r="L3752">
        <v>1200</v>
      </c>
      <c r="M3752" t="str">
        <f t="shared" si="411"/>
        <v xml:space="preserve">N35DC   </v>
      </c>
      <c r="N3752">
        <v>1</v>
      </c>
      <c r="O3752">
        <v>1725</v>
      </c>
    </row>
    <row r="3753" spans="1:15" x14ac:dyDescent="0.25">
      <c r="A3753" t="str">
        <f>"10/21/2020 18:40:41.404"</f>
        <v>10/21/2020 18:40:41.404</v>
      </c>
      <c r="B3753" t="str">
        <f>"18:40:49.336"</f>
        <v>18:40:49.336</v>
      </c>
      <c r="C3753" t="str">
        <f>"18:40:48.936"</f>
        <v>18:40:48.936</v>
      </c>
      <c r="D3753" t="s">
        <v>1474</v>
      </c>
      <c r="E3753">
        <v>30.969771999999999</v>
      </c>
      <c r="F3753" t="s">
        <v>1475</v>
      </c>
      <c r="G3753">
        <v>-89.899878999999999</v>
      </c>
      <c r="H3753">
        <v>1700</v>
      </c>
      <c r="I3753">
        <v>116</v>
      </c>
      <c r="J3753">
        <v>96</v>
      </c>
      <c r="K3753">
        <v>0</v>
      </c>
      <c r="L3753">
        <v>1200</v>
      </c>
      <c r="M3753" t="str">
        <f t="shared" si="411"/>
        <v xml:space="preserve">N35DC   </v>
      </c>
      <c r="N3753">
        <v>1</v>
      </c>
      <c r="O3753">
        <v>1725</v>
      </c>
    </row>
    <row r="3754" spans="1:15" x14ac:dyDescent="0.25">
      <c r="A3754" t="str">
        <f>"10/21/2020 18:40:41.404"</f>
        <v>10/21/2020 18:40:41.404</v>
      </c>
      <c r="B3754" t="str">
        <f>"18:40:49.336"</f>
        <v>18:40:49.336</v>
      </c>
      <c r="C3754" t="str">
        <f>"18:40:48.936"</f>
        <v>18:40:48.936</v>
      </c>
      <c r="D3754" t="s">
        <v>1474</v>
      </c>
      <c r="E3754">
        <v>30.969771999999999</v>
      </c>
      <c r="F3754" t="s">
        <v>1475</v>
      </c>
      <c r="G3754">
        <v>-89.899878999999999</v>
      </c>
      <c r="H3754">
        <v>1700</v>
      </c>
      <c r="I3754">
        <v>116</v>
      </c>
      <c r="J3754">
        <v>96</v>
      </c>
      <c r="K3754">
        <v>0</v>
      </c>
      <c r="L3754">
        <v>1200</v>
      </c>
      <c r="M3754" t="str">
        <f t="shared" si="411"/>
        <v xml:space="preserve">N35DC   </v>
      </c>
      <c r="N3754">
        <v>1</v>
      </c>
      <c r="O3754">
        <v>1725</v>
      </c>
    </row>
    <row r="3755" spans="1:15" x14ac:dyDescent="0.25">
      <c r="A3755" t="str">
        <f>"10/21/2020 18:40:41.926"</f>
        <v>10/21/2020 18:40:41.926</v>
      </c>
      <c r="B3755" t="str">
        <f>"18:40:49.828"</f>
        <v>18:40:49.828</v>
      </c>
      <c r="C3755" t="str">
        <f>"18:40:48.928"</f>
        <v>18:40:48.928</v>
      </c>
      <c r="D3755" t="s">
        <v>1476</v>
      </c>
      <c r="E3755">
        <v>30.969987</v>
      </c>
      <c r="F3755" t="s">
        <v>1477</v>
      </c>
      <c r="G3755">
        <v>-89.899535</v>
      </c>
      <c r="H3755">
        <v>1700</v>
      </c>
      <c r="I3755">
        <v>116</v>
      </c>
      <c r="J3755">
        <v>96</v>
      </c>
      <c r="K3755">
        <v>0</v>
      </c>
      <c r="L3755">
        <v>1200</v>
      </c>
      <c r="M3755" t="str">
        <f t="shared" si="411"/>
        <v xml:space="preserve">N35DC   </v>
      </c>
      <c r="N3755">
        <v>1</v>
      </c>
      <c r="O3755">
        <v>1725</v>
      </c>
    </row>
    <row r="3756" spans="1:15" x14ac:dyDescent="0.25">
      <c r="A3756" t="str">
        <f>"10/21/2020 18:40:45.294"</f>
        <v>10/21/2020 18:40:45.294</v>
      </c>
      <c r="B3756" t="str">
        <f>"18:40:53.203"</f>
        <v>18:40:53.203</v>
      </c>
      <c r="C3756" t="str">
        <f>"18:40:52.903"</f>
        <v>18:40:52.903</v>
      </c>
      <c r="D3756" t="s">
        <v>1478</v>
      </c>
      <c r="E3756">
        <v>30.971509999999999</v>
      </c>
      <c r="F3756" t="s">
        <v>1479</v>
      </c>
      <c r="G3756">
        <v>-89.897453999999996</v>
      </c>
      <c r="H3756">
        <v>1700</v>
      </c>
      <c r="I3756">
        <v>116</v>
      </c>
      <c r="J3756">
        <v>96</v>
      </c>
      <c r="K3756">
        <v>-64</v>
      </c>
      <c r="L3756">
        <v>1200</v>
      </c>
      <c r="M3756" t="str">
        <f t="shared" si="411"/>
        <v xml:space="preserve">N35DC   </v>
      </c>
      <c r="N3756">
        <v>1</v>
      </c>
      <c r="O3756">
        <v>1725</v>
      </c>
    </row>
    <row r="3757" spans="1:15" x14ac:dyDescent="0.25">
      <c r="A3757" t="str">
        <f>"10/21/2020 18:40:45.294"</f>
        <v>10/21/2020 18:40:45.294</v>
      </c>
      <c r="B3757" t="str">
        <f>"18:40:53.203"</f>
        <v>18:40:53.203</v>
      </c>
      <c r="C3757" t="str">
        <f>"18:40:52.903"</f>
        <v>18:40:52.903</v>
      </c>
      <c r="D3757" t="s">
        <v>1478</v>
      </c>
      <c r="E3757">
        <v>30.971509999999999</v>
      </c>
      <c r="F3757" t="s">
        <v>1479</v>
      </c>
      <c r="G3757">
        <v>-89.897453999999996</v>
      </c>
      <c r="H3757">
        <v>1700</v>
      </c>
      <c r="I3757">
        <v>116</v>
      </c>
      <c r="J3757">
        <v>96</v>
      </c>
      <c r="K3757">
        <v>-64</v>
      </c>
      <c r="L3757">
        <v>1200</v>
      </c>
      <c r="M3757" t="str">
        <f t="shared" si="411"/>
        <v xml:space="preserve">N35DC   </v>
      </c>
      <c r="N3757">
        <v>1</v>
      </c>
      <c r="O3757">
        <v>1725</v>
      </c>
    </row>
    <row r="3758" spans="1:15" x14ac:dyDescent="0.25">
      <c r="A3758" t="str">
        <f>"10/21/2020 18:40:45.797"</f>
        <v>10/21/2020 18:40:45.797</v>
      </c>
      <c r="B3758" t="str">
        <f>"18:40:53.672"</f>
        <v>18:40:53.672</v>
      </c>
      <c r="C3758" t="str">
        <f>"18:40:53.372"</f>
        <v>18:40:53.372</v>
      </c>
      <c r="D3758" t="s">
        <v>1480</v>
      </c>
      <c r="E3758">
        <v>30.971703999999999</v>
      </c>
      <c r="F3758" t="s">
        <v>1481</v>
      </c>
      <c r="G3758">
        <v>-89.897131999999999</v>
      </c>
      <c r="H3758">
        <v>1700</v>
      </c>
      <c r="I3758">
        <v>116</v>
      </c>
      <c r="J3758">
        <v>96</v>
      </c>
      <c r="K3758">
        <v>-64</v>
      </c>
      <c r="L3758">
        <v>1200</v>
      </c>
      <c r="M3758" t="str">
        <f t="shared" si="411"/>
        <v xml:space="preserve">N35DC   </v>
      </c>
      <c r="N3758">
        <v>1</v>
      </c>
      <c r="O3758">
        <v>1725</v>
      </c>
    </row>
    <row r="3759" spans="1:15" x14ac:dyDescent="0.25">
      <c r="A3759" t="str">
        <f>"10/21/2020 18:40:49.221"</f>
        <v>10/21/2020 18:40:49.221</v>
      </c>
      <c r="B3759" t="str">
        <f>"18:40:57.102"</f>
        <v>18:40:57.102</v>
      </c>
      <c r="C3759" t="str">
        <f>"18:40:57.002"</f>
        <v>18:40:57.002</v>
      </c>
      <c r="D3759" t="s">
        <v>1482</v>
      </c>
      <c r="E3759">
        <v>30.973206000000001</v>
      </c>
      <c r="F3759" t="s">
        <v>1483</v>
      </c>
      <c r="G3759">
        <v>-89.894964999999999</v>
      </c>
      <c r="H3759">
        <v>1600</v>
      </c>
      <c r="I3759">
        <v>118</v>
      </c>
      <c r="J3759">
        <v>94</v>
      </c>
      <c r="K3759">
        <v>64</v>
      </c>
      <c r="L3759">
        <v>1200</v>
      </c>
      <c r="M3759" t="str">
        <f t="shared" si="411"/>
        <v xml:space="preserve">N35DC   </v>
      </c>
      <c r="N3759">
        <v>1</v>
      </c>
      <c r="O3759">
        <v>1825</v>
      </c>
    </row>
    <row r="3760" spans="1:15" x14ac:dyDescent="0.25">
      <c r="A3760" t="str">
        <f>"10/21/2020 18:40:49.221"</f>
        <v>10/21/2020 18:40:49.221</v>
      </c>
      <c r="B3760" t="str">
        <f>"18:40:57.102"</f>
        <v>18:40:57.102</v>
      </c>
      <c r="C3760" t="str">
        <f>"18:40:57.002"</f>
        <v>18:40:57.002</v>
      </c>
      <c r="D3760" t="s">
        <v>1482</v>
      </c>
      <c r="E3760">
        <v>30.973206000000001</v>
      </c>
      <c r="F3760" t="s">
        <v>1483</v>
      </c>
      <c r="G3760">
        <v>-89.894964999999999</v>
      </c>
      <c r="H3760">
        <v>1600</v>
      </c>
      <c r="I3760">
        <v>118</v>
      </c>
      <c r="J3760">
        <v>94</v>
      </c>
      <c r="K3760">
        <v>64</v>
      </c>
      <c r="L3760">
        <v>1200</v>
      </c>
      <c r="M3760" t="str">
        <f t="shared" si="411"/>
        <v xml:space="preserve">N35DC   </v>
      </c>
      <c r="N3760">
        <v>1</v>
      </c>
      <c r="O3760">
        <v>1725</v>
      </c>
    </row>
    <row r="3761" spans="1:15" x14ac:dyDescent="0.25">
      <c r="A3761" t="str">
        <f>"10/21/2020 18:40:49.221"</f>
        <v>10/21/2020 18:40:49.221</v>
      </c>
      <c r="B3761" t="str">
        <f>"18:40:57.102"</f>
        <v>18:40:57.102</v>
      </c>
      <c r="C3761" t="str">
        <f>"18:40:57.002"</f>
        <v>18:40:57.002</v>
      </c>
      <c r="D3761" t="s">
        <v>1482</v>
      </c>
      <c r="E3761">
        <v>30.973206000000001</v>
      </c>
      <c r="F3761" t="s">
        <v>1483</v>
      </c>
      <c r="G3761">
        <v>-89.894964999999999</v>
      </c>
      <c r="H3761">
        <v>1600</v>
      </c>
      <c r="I3761">
        <v>118</v>
      </c>
      <c r="J3761">
        <v>94</v>
      </c>
      <c r="K3761">
        <v>64</v>
      </c>
      <c r="L3761">
        <v>1200</v>
      </c>
      <c r="M3761" t="str">
        <f t="shared" si="411"/>
        <v xml:space="preserve">N35DC   </v>
      </c>
      <c r="N3761">
        <v>1</v>
      </c>
      <c r="O3761">
        <v>1825</v>
      </c>
    </row>
    <row r="3762" spans="1:15" x14ac:dyDescent="0.25">
      <c r="A3762" t="str">
        <f>"10/21/2020 18:40:49.221"</f>
        <v>10/21/2020 18:40:49.221</v>
      </c>
      <c r="B3762" t="str">
        <f>"18:40:57.102"</f>
        <v>18:40:57.102</v>
      </c>
      <c r="C3762" t="str">
        <f>"18:40:57.002"</f>
        <v>18:40:57.002</v>
      </c>
      <c r="D3762" t="s">
        <v>1482</v>
      </c>
      <c r="E3762">
        <v>30.973206000000001</v>
      </c>
      <c r="F3762" t="s">
        <v>1483</v>
      </c>
      <c r="G3762">
        <v>-89.894964999999999</v>
      </c>
      <c r="H3762">
        <v>1600</v>
      </c>
      <c r="I3762">
        <v>118</v>
      </c>
      <c r="J3762">
        <v>94</v>
      </c>
      <c r="K3762">
        <v>64</v>
      </c>
      <c r="L3762">
        <v>1200</v>
      </c>
      <c r="M3762" t="str">
        <f t="shared" si="411"/>
        <v xml:space="preserve">N35DC   </v>
      </c>
      <c r="N3762">
        <v>1</v>
      </c>
      <c r="O3762">
        <v>1825</v>
      </c>
    </row>
    <row r="3763" spans="1:15" x14ac:dyDescent="0.25">
      <c r="A3763" t="str">
        <f>"10/21/2020 18:40:49.221"</f>
        <v>10/21/2020 18:40:49.221</v>
      </c>
      <c r="B3763" t="str">
        <f>"18:40:57.102"</f>
        <v>18:40:57.102</v>
      </c>
      <c r="C3763" t="str">
        <f>"18:40:57.002"</f>
        <v>18:40:57.002</v>
      </c>
      <c r="D3763" t="s">
        <v>1482</v>
      </c>
      <c r="E3763">
        <v>30.973206000000001</v>
      </c>
      <c r="F3763" t="s">
        <v>1483</v>
      </c>
      <c r="G3763">
        <v>-89.894964999999999</v>
      </c>
      <c r="H3763">
        <v>1600</v>
      </c>
      <c r="I3763">
        <v>118</v>
      </c>
      <c r="J3763">
        <v>94</v>
      </c>
      <c r="K3763">
        <v>64</v>
      </c>
      <c r="L3763">
        <v>1200</v>
      </c>
      <c r="M3763" t="str">
        <f t="shared" si="411"/>
        <v xml:space="preserve">N35DC   </v>
      </c>
      <c r="N3763">
        <v>1</v>
      </c>
      <c r="O3763">
        <v>1825</v>
      </c>
    </row>
    <row r="3764" spans="1:15" x14ac:dyDescent="0.25">
      <c r="A3764" t="str">
        <f>"10/21/2020 18:40:50.374"</f>
        <v>10/21/2020 18:40:50.374</v>
      </c>
      <c r="B3764" t="str">
        <f>"18:40:58.289"</f>
        <v>18:40:58.289</v>
      </c>
      <c r="C3764" t="str">
        <f>"18:40:58.089"</f>
        <v>18:40:58.089</v>
      </c>
      <c r="D3764" t="s">
        <v>1484</v>
      </c>
      <c r="E3764">
        <v>30.973721000000001</v>
      </c>
      <c r="F3764" t="s">
        <v>1485</v>
      </c>
      <c r="G3764">
        <v>-89.894192000000004</v>
      </c>
      <c r="H3764">
        <v>1600</v>
      </c>
      <c r="I3764">
        <v>118</v>
      </c>
      <c r="J3764">
        <v>94</v>
      </c>
      <c r="K3764">
        <v>0</v>
      </c>
      <c r="L3764">
        <v>1200</v>
      </c>
      <c r="M3764" t="str">
        <f t="shared" si="411"/>
        <v xml:space="preserve">N35DC   </v>
      </c>
      <c r="N3764">
        <v>1</v>
      </c>
      <c r="O3764">
        <v>1625</v>
      </c>
    </row>
    <row r="3765" spans="1:15" x14ac:dyDescent="0.25">
      <c r="A3765" t="str">
        <f>"10/21/2020 18:40:50.374"</f>
        <v>10/21/2020 18:40:50.374</v>
      </c>
      <c r="B3765" t="str">
        <f>"18:40:58.289"</f>
        <v>18:40:58.289</v>
      </c>
      <c r="C3765" t="str">
        <f>"18:40:58.089"</f>
        <v>18:40:58.089</v>
      </c>
      <c r="D3765" t="s">
        <v>1484</v>
      </c>
      <c r="E3765">
        <v>30.973721000000001</v>
      </c>
      <c r="F3765" t="s">
        <v>1485</v>
      </c>
      <c r="G3765">
        <v>-89.894192000000004</v>
      </c>
      <c r="H3765">
        <v>1600</v>
      </c>
      <c r="I3765">
        <v>118</v>
      </c>
      <c r="J3765">
        <v>94</v>
      </c>
      <c r="K3765">
        <v>0</v>
      </c>
      <c r="L3765">
        <v>1200</v>
      </c>
      <c r="M3765" t="str">
        <f t="shared" si="411"/>
        <v xml:space="preserve">N35DC   </v>
      </c>
      <c r="N3765">
        <v>1</v>
      </c>
      <c r="O3765">
        <v>1625</v>
      </c>
    </row>
    <row r="3766" spans="1:15" x14ac:dyDescent="0.25">
      <c r="A3766" t="str">
        <f>"10/21/2020 18:40:50.374"</f>
        <v>10/21/2020 18:40:50.374</v>
      </c>
      <c r="B3766" t="str">
        <f>"18:40:58.289"</f>
        <v>18:40:58.289</v>
      </c>
      <c r="C3766" t="str">
        <f>"18:40:58.089"</f>
        <v>18:40:58.089</v>
      </c>
      <c r="D3766" t="s">
        <v>1484</v>
      </c>
      <c r="E3766">
        <v>30.973721000000001</v>
      </c>
      <c r="F3766" t="s">
        <v>1485</v>
      </c>
      <c r="G3766">
        <v>-89.894192000000004</v>
      </c>
      <c r="H3766">
        <v>1600</v>
      </c>
      <c r="I3766">
        <v>118</v>
      </c>
      <c r="J3766">
        <v>94</v>
      </c>
      <c r="K3766">
        <v>0</v>
      </c>
      <c r="L3766">
        <v>1200</v>
      </c>
      <c r="M3766" t="str">
        <f t="shared" si="411"/>
        <v xml:space="preserve">N35DC   </v>
      </c>
      <c r="N3766">
        <v>1</v>
      </c>
      <c r="O3766">
        <v>1625</v>
      </c>
    </row>
    <row r="3767" spans="1:15" x14ac:dyDescent="0.25">
      <c r="A3767" t="str">
        <f>"10/21/2020 18:40:50.374"</f>
        <v>10/21/2020 18:40:50.374</v>
      </c>
      <c r="B3767" t="str">
        <f>"18:40:58.289"</f>
        <v>18:40:58.289</v>
      </c>
      <c r="C3767" t="str">
        <f>"18:40:58.089"</f>
        <v>18:40:58.089</v>
      </c>
      <c r="D3767" t="s">
        <v>1484</v>
      </c>
      <c r="E3767">
        <v>30.973721000000001</v>
      </c>
      <c r="F3767" t="s">
        <v>1485</v>
      </c>
      <c r="G3767">
        <v>-89.894192000000004</v>
      </c>
      <c r="H3767">
        <v>1600</v>
      </c>
      <c r="I3767">
        <v>118</v>
      </c>
      <c r="J3767">
        <v>94</v>
      </c>
      <c r="K3767">
        <v>0</v>
      </c>
      <c r="L3767">
        <v>1200</v>
      </c>
      <c r="M3767" t="str">
        <f t="shared" si="411"/>
        <v xml:space="preserve">N35DC   </v>
      </c>
      <c r="N3767">
        <v>1</v>
      </c>
      <c r="O3767">
        <v>1625</v>
      </c>
    </row>
    <row r="3768" spans="1:15" x14ac:dyDescent="0.25">
      <c r="A3768" t="str">
        <f>"10/21/2020 18:40:53.474"</f>
        <v>10/21/2020 18:40:53.474</v>
      </c>
      <c r="B3768" t="str">
        <f>"18:41:01.422"</f>
        <v>18:41:01.422</v>
      </c>
      <c r="C3768" t="str">
        <f>"18:41:01.122"</f>
        <v>18:41:01.122</v>
      </c>
      <c r="D3768" t="s">
        <v>1486</v>
      </c>
      <c r="E3768">
        <v>30.975072000000001</v>
      </c>
      <c r="F3768" t="s">
        <v>1487</v>
      </c>
      <c r="G3768">
        <v>-89.892218</v>
      </c>
      <c r="H3768">
        <v>1600</v>
      </c>
      <c r="I3768">
        <v>118</v>
      </c>
      <c r="J3768">
        <v>93</v>
      </c>
      <c r="K3768">
        <v>0</v>
      </c>
      <c r="L3768">
        <v>1200</v>
      </c>
      <c r="M3768" t="str">
        <f t="shared" si="411"/>
        <v xml:space="preserve">N35DC   </v>
      </c>
      <c r="N3768">
        <v>1</v>
      </c>
      <c r="O3768">
        <v>1725</v>
      </c>
    </row>
    <row r="3769" spans="1:15" x14ac:dyDescent="0.25">
      <c r="A3769" t="str">
        <f>"10/21/2020 18:40:53.474"</f>
        <v>10/21/2020 18:40:53.474</v>
      </c>
      <c r="B3769" t="str">
        <f>"18:41:01.422"</f>
        <v>18:41:01.422</v>
      </c>
      <c r="C3769" t="str">
        <f>"18:41:01.122"</f>
        <v>18:41:01.122</v>
      </c>
      <c r="D3769" t="s">
        <v>1486</v>
      </c>
      <c r="E3769">
        <v>30.975072000000001</v>
      </c>
      <c r="F3769" t="s">
        <v>1487</v>
      </c>
      <c r="G3769">
        <v>-89.892218</v>
      </c>
      <c r="H3769">
        <v>1600</v>
      </c>
      <c r="I3769">
        <v>118</v>
      </c>
      <c r="J3769">
        <v>93</v>
      </c>
      <c r="K3769">
        <v>0</v>
      </c>
      <c r="L3769">
        <v>1200</v>
      </c>
      <c r="M3769" t="str">
        <f t="shared" si="411"/>
        <v xml:space="preserve">N35DC   </v>
      </c>
      <c r="N3769">
        <v>1</v>
      </c>
      <c r="O3769">
        <v>1725</v>
      </c>
    </row>
    <row r="3770" spans="1:15" x14ac:dyDescent="0.25">
      <c r="A3770" t="str">
        <f>"10/21/2020 18:40:53.474"</f>
        <v>10/21/2020 18:40:53.474</v>
      </c>
      <c r="B3770" t="str">
        <f>"18:41:01.422"</f>
        <v>18:41:01.422</v>
      </c>
      <c r="C3770" t="str">
        <f>"18:41:01.122"</f>
        <v>18:41:01.122</v>
      </c>
      <c r="D3770" t="s">
        <v>1486</v>
      </c>
      <c r="E3770">
        <v>30.975072000000001</v>
      </c>
      <c r="F3770" t="s">
        <v>1487</v>
      </c>
      <c r="G3770">
        <v>-89.892218</v>
      </c>
      <c r="H3770">
        <v>1600</v>
      </c>
      <c r="I3770">
        <v>118</v>
      </c>
      <c r="J3770">
        <v>93</v>
      </c>
      <c r="K3770">
        <v>0</v>
      </c>
      <c r="L3770">
        <v>1200</v>
      </c>
      <c r="M3770" t="str">
        <f t="shared" si="411"/>
        <v xml:space="preserve">N35DC   </v>
      </c>
      <c r="N3770">
        <v>1</v>
      </c>
      <c r="O3770">
        <v>1725</v>
      </c>
    </row>
    <row r="3771" spans="1:15" x14ac:dyDescent="0.25">
      <c r="A3771" t="str">
        <f>"10/21/2020 18:40:53.474"</f>
        <v>10/21/2020 18:40:53.474</v>
      </c>
      <c r="B3771" t="str">
        <f>"18:41:01.422"</f>
        <v>18:41:01.422</v>
      </c>
      <c r="C3771" t="str">
        <f>"18:41:01.122"</f>
        <v>18:41:01.122</v>
      </c>
      <c r="D3771" t="s">
        <v>1486</v>
      </c>
      <c r="E3771">
        <v>30.975072000000001</v>
      </c>
      <c r="F3771" t="s">
        <v>1487</v>
      </c>
      <c r="G3771">
        <v>-89.892218</v>
      </c>
      <c r="H3771">
        <v>1600</v>
      </c>
      <c r="I3771">
        <v>118</v>
      </c>
      <c r="J3771">
        <v>93</v>
      </c>
      <c r="K3771">
        <v>0</v>
      </c>
      <c r="L3771">
        <v>1200</v>
      </c>
      <c r="M3771" t="str">
        <f t="shared" si="411"/>
        <v xml:space="preserve">N35DC   </v>
      </c>
      <c r="N3771">
        <v>1</v>
      </c>
      <c r="O3771">
        <v>1725</v>
      </c>
    </row>
    <row r="3772" spans="1:15" x14ac:dyDescent="0.25">
      <c r="A3772" t="str">
        <f>"10/21/2020 18:40:53.474"</f>
        <v>10/21/2020 18:40:53.474</v>
      </c>
      <c r="B3772" t="str">
        <f>"18:41:01.422"</f>
        <v>18:41:01.422</v>
      </c>
      <c r="C3772" t="str">
        <f>"18:41:01.122"</f>
        <v>18:41:01.122</v>
      </c>
      <c r="D3772" t="s">
        <v>1486</v>
      </c>
      <c r="E3772">
        <v>30.975072000000001</v>
      </c>
      <c r="F3772" t="s">
        <v>1487</v>
      </c>
      <c r="G3772">
        <v>-89.892218</v>
      </c>
      <c r="H3772">
        <v>1600</v>
      </c>
      <c r="I3772">
        <v>118</v>
      </c>
      <c r="J3772">
        <v>93</v>
      </c>
      <c r="K3772">
        <v>0</v>
      </c>
      <c r="L3772">
        <v>1200</v>
      </c>
      <c r="M3772" t="str">
        <f t="shared" si="411"/>
        <v xml:space="preserve">N35DC   </v>
      </c>
      <c r="N3772">
        <v>1</v>
      </c>
      <c r="O3772">
        <v>1725</v>
      </c>
    </row>
    <row r="3773" spans="1:15" x14ac:dyDescent="0.25">
      <c r="A3773" t="str">
        <f>"10/21/2020 18:40:54.468"</f>
        <v>10/21/2020 18:40:54.468</v>
      </c>
      <c r="B3773" t="str">
        <f>"18:41:02.383"</f>
        <v>18:41:02.383</v>
      </c>
      <c r="C3773" t="str">
        <f>"18:41:02.083"</f>
        <v>18:41:02.083</v>
      </c>
      <c r="D3773" t="s">
        <v>1488</v>
      </c>
      <c r="E3773">
        <v>30.975501999999999</v>
      </c>
      <c r="F3773" t="s">
        <v>1489</v>
      </c>
      <c r="G3773">
        <v>-89.891596000000007</v>
      </c>
      <c r="H3773">
        <v>1600</v>
      </c>
      <c r="I3773">
        <v>119</v>
      </c>
      <c r="J3773">
        <v>93</v>
      </c>
      <c r="K3773">
        <v>0</v>
      </c>
      <c r="L3773">
        <v>1200</v>
      </c>
      <c r="M3773" t="str">
        <f t="shared" si="411"/>
        <v xml:space="preserve">N35DC   </v>
      </c>
      <c r="N3773">
        <v>1</v>
      </c>
      <c r="O3773">
        <v>1825</v>
      </c>
    </row>
    <row r="3774" spans="1:15" x14ac:dyDescent="0.25">
      <c r="A3774" t="str">
        <f>"10/21/2020 18:40:54.468"</f>
        <v>10/21/2020 18:40:54.468</v>
      </c>
      <c r="B3774" t="str">
        <f>"18:41:02.383"</f>
        <v>18:41:02.383</v>
      </c>
      <c r="C3774" t="str">
        <f>"18:41:02.083"</f>
        <v>18:41:02.083</v>
      </c>
      <c r="D3774" t="s">
        <v>1488</v>
      </c>
      <c r="E3774">
        <v>30.975501999999999</v>
      </c>
      <c r="F3774" t="s">
        <v>1489</v>
      </c>
      <c r="G3774">
        <v>-89.891596000000007</v>
      </c>
      <c r="H3774">
        <v>1600</v>
      </c>
      <c r="I3774">
        <v>119</v>
      </c>
      <c r="J3774">
        <v>93</v>
      </c>
      <c r="K3774">
        <v>0</v>
      </c>
      <c r="L3774">
        <v>1200</v>
      </c>
      <c r="M3774" t="str">
        <f t="shared" si="411"/>
        <v xml:space="preserve">N35DC   </v>
      </c>
      <c r="N3774">
        <v>1</v>
      </c>
      <c r="O3774">
        <v>1825</v>
      </c>
    </row>
    <row r="3775" spans="1:15" x14ac:dyDescent="0.25">
      <c r="A3775" t="str">
        <f>"10/21/2020 18:40:54.468"</f>
        <v>10/21/2020 18:40:54.468</v>
      </c>
      <c r="B3775" t="str">
        <f>"18:41:02.383"</f>
        <v>18:41:02.383</v>
      </c>
      <c r="C3775" t="str">
        <f>"18:41:02.083"</f>
        <v>18:41:02.083</v>
      </c>
      <c r="D3775" t="s">
        <v>1488</v>
      </c>
      <c r="E3775">
        <v>30.975501999999999</v>
      </c>
      <c r="F3775" t="s">
        <v>1489</v>
      </c>
      <c r="G3775">
        <v>-89.891596000000007</v>
      </c>
      <c r="H3775">
        <v>1600</v>
      </c>
      <c r="I3775">
        <v>119</v>
      </c>
      <c r="J3775">
        <v>93</v>
      </c>
      <c r="K3775">
        <v>0</v>
      </c>
      <c r="L3775">
        <v>1200</v>
      </c>
      <c r="M3775" t="str">
        <f t="shared" si="411"/>
        <v xml:space="preserve">N35DC   </v>
      </c>
      <c r="N3775">
        <v>1</v>
      </c>
      <c r="O3775">
        <v>1825</v>
      </c>
    </row>
    <row r="3776" spans="1:15" x14ac:dyDescent="0.25">
      <c r="A3776" t="str">
        <f>"10/21/2020 18:40:54.468"</f>
        <v>10/21/2020 18:40:54.468</v>
      </c>
      <c r="B3776" t="str">
        <f>"18:41:02.383"</f>
        <v>18:41:02.383</v>
      </c>
      <c r="C3776" t="str">
        <f>"18:41:02.083"</f>
        <v>18:41:02.083</v>
      </c>
      <c r="D3776" t="s">
        <v>1488</v>
      </c>
      <c r="E3776">
        <v>30.975501999999999</v>
      </c>
      <c r="F3776" t="s">
        <v>1489</v>
      </c>
      <c r="G3776">
        <v>-89.891596000000007</v>
      </c>
      <c r="H3776">
        <v>1600</v>
      </c>
      <c r="I3776">
        <v>119</v>
      </c>
      <c r="J3776">
        <v>93</v>
      </c>
      <c r="K3776">
        <v>0</v>
      </c>
      <c r="L3776">
        <v>1200</v>
      </c>
      <c r="M3776" t="str">
        <f t="shared" si="411"/>
        <v xml:space="preserve">N35DC   </v>
      </c>
      <c r="N3776">
        <v>1</v>
      </c>
      <c r="O3776">
        <v>1825</v>
      </c>
    </row>
    <row r="3777" spans="1:15" x14ac:dyDescent="0.25">
      <c r="A3777" t="str">
        <f>"10/21/2020 18:40:54.468"</f>
        <v>10/21/2020 18:40:54.468</v>
      </c>
      <c r="B3777" t="str">
        <f>"18:41:02.383"</f>
        <v>18:41:02.383</v>
      </c>
      <c r="C3777" t="str">
        <f>"18:41:01.683"</f>
        <v>18:41:01.683</v>
      </c>
      <c r="D3777" t="s">
        <v>1488</v>
      </c>
      <c r="E3777">
        <v>30.975501999999999</v>
      </c>
      <c r="F3777" t="s">
        <v>1489</v>
      </c>
      <c r="G3777">
        <v>-89.891596000000007</v>
      </c>
      <c r="H3777">
        <v>1600</v>
      </c>
      <c r="I3777">
        <v>119</v>
      </c>
      <c r="J3777">
        <v>93</v>
      </c>
      <c r="K3777">
        <v>0</v>
      </c>
      <c r="L3777">
        <v>1200</v>
      </c>
      <c r="M3777" t="str">
        <f t="shared" si="411"/>
        <v xml:space="preserve">N35DC   </v>
      </c>
      <c r="N3777">
        <v>1</v>
      </c>
      <c r="O3777">
        <v>1725</v>
      </c>
    </row>
    <row r="3778" spans="1:15" x14ac:dyDescent="0.25">
      <c r="A3778" t="str">
        <f>"10/21/2020 18:40:56.227"</f>
        <v>10/21/2020 18:40:56.227</v>
      </c>
      <c r="B3778" t="str">
        <f>"18:41:04.172"</f>
        <v>18:41:04.172</v>
      </c>
      <c r="C3778" t="str">
        <f>"18:41:03.972"</f>
        <v>18:41:03.972</v>
      </c>
      <c r="D3778" t="s">
        <v>1490</v>
      </c>
      <c r="E3778">
        <v>30.976274</v>
      </c>
      <c r="F3778" t="s">
        <v>1491</v>
      </c>
      <c r="G3778">
        <v>-89.890459000000007</v>
      </c>
      <c r="H3778">
        <v>1600</v>
      </c>
      <c r="I3778">
        <v>118</v>
      </c>
      <c r="J3778">
        <v>94</v>
      </c>
      <c r="K3778">
        <v>-128</v>
      </c>
      <c r="L3778">
        <v>1200</v>
      </c>
      <c r="M3778" t="str">
        <f t="shared" si="411"/>
        <v xml:space="preserve">N35DC   </v>
      </c>
      <c r="N3778">
        <v>1</v>
      </c>
      <c r="O3778">
        <v>1725</v>
      </c>
    </row>
    <row r="3779" spans="1:15" x14ac:dyDescent="0.25">
      <c r="A3779" t="str">
        <f>"10/21/2020 18:40:56.227"</f>
        <v>10/21/2020 18:40:56.227</v>
      </c>
      <c r="B3779" t="str">
        <f>"18:41:04.172"</f>
        <v>18:41:04.172</v>
      </c>
      <c r="C3779" t="str">
        <f>"18:41:03.372"</f>
        <v>18:41:03.372</v>
      </c>
      <c r="D3779" t="s">
        <v>1490</v>
      </c>
      <c r="E3779">
        <v>30.976274</v>
      </c>
      <c r="F3779" t="s">
        <v>1491</v>
      </c>
      <c r="G3779">
        <v>-89.890459000000007</v>
      </c>
      <c r="H3779">
        <v>1600</v>
      </c>
      <c r="I3779">
        <v>118</v>
      </c>
      <c r="J3779">
        <v>94</v>
      </c>
      <c r="K3779">
        <v>-128</v>
      </c>
      <c r="L3779">
        <v>1200</v>
      </c>
      <c r="M3779" t="str">
        <f t="shared" si="411"/>
        <v xml:space="preserve">N35DC   </v>
      </c>
      <c r="N3779">
        <v>1</v>
      </c>
      <c r="O3779">
        <v>1725</v>
      </c>
    </row>
    <row r="3780" spans="1:15" x14ac:dyDescent="0.25">
      <c r="A3780" t="str">
        <f>"10/21/2020 18:40:56.227"</f>
        <v>10/21/2020 18:40:56.227</v>
      </c>
      <c r="B3780" t="str">
        <f>"18:41:04.172"</f>
        <v>18:41:04.172</v>
      </c>
      <c r="C3780" t="str">
        <f>"18:41:03.972"</f>
        <v>18:41:03.972</v>
      </c>
      <c r="D3780" t="s">
        <v>1490</v>
      </c>
      <c r="E3780">
        <v>30.976274</v>
      </c>
      <c r="F3780" t="s">
        <v>1491</v>
      </c>
      <c r="G3780">
        <v>-89.890459000000007</v>
      </c>
      <c r="H3780">
        <v>1600</v>
      </c>
      <c r="I3780">
        <v>118</v>
      </c>
      <c r="J3780">
        <v>94</v>
      </c>
      <c r="K3780">
        <v>-128</v>
      </c>
      <c r="L3780">
        <v>1200</v>
      </c>
      <c r="M3780" t="str">
        <f t="shared" si="411"/>
        <v xml:space="preserve">N35DC   </v>
      </c>
      <c r="N3780">
        <v>1</v>
      </c>
      <c r="O3780">
        <v>1725</v>
      </c>
    </row>
    <row r="3781" spans="1:15" x14ac:dyDescent="0.25">
      <c r="A3781" t="str">
        <f>"10/21/2020 18:40:56.227"</f>
        <v>10/21/2020 18:40:56.227</v>
      </c>
      <c r="B3781" t="str">
        <f>"18:41:04.172"</f>
        <v>18:41:04.172</v>
      </c>
      <c r="C3781" t="str">
        <f>"18:41:03.972"</f>
        <v>18:41:03.972</v>
      </c>
      <c r="D3781" t="s">
        <v>1490</v>
      </c>
      <c r="E3781">
        <v>30.976274</v>
      </c>
      <c r="F3781" t="s">
        <v>1491</v>
      </c>
      <c r="G3781">
        <v>-89.890459000000007</v>
      </c>
      <c r="H3781">
        <v>1600</v>
      </c>
      <c r="I3781">
        <v>118</v>
      </c>
      <c r="J3781">
        <v>94</v>
      </c>
      <c r="K3781">
        <v>-128</v>
      </c>
      <c r="L3781">
        <v>1200</v>
      </c>
      <c r="M3781" t="str">
        <f t="shared" si="411"/>
        <v xml:space="preserve">N35DC   </v>
      </c>
      <c r="N3781">
        <v>1</v>
      </c>
      <c r="O3781">
        <v>1725</v>
      </c>
    </row>
    <row r="3782" spans="1:15" x14ac:dyDescent="0.25">
      <c r="A3782" t="str">
        <f>"10/21/2020 18:40:56.227"</f>
        <v>10/21/2020 18:40:56.227</v>
      </c>
      <c r="B3782" t="str">
        <f>"18:41:04.172"</f>
        <v>18:41:04.172</v>
      </c>
      <c r="C3782" t="str">
        <f>"18:41:03.972"</f>
        <v>18:41:03.972</v>
      </c>
      <c r="D3782" t="s">
        <v>1490</v>
      </c>
      <c r="E3782">
        <v>30.976274</v>
      </c>
      <c r="F3782" t="s">
        <v>1491</v>
      </c>
      <c r="G3782">
        <v>-89.890459000000007</v>
      </c>
      <c r="H3782">
        <v>1600</v>
      </c>
      <c r="I3782">
        <v>118</v>
      </c>
      <c r="J3782">
        <v>94</v>
      </c>
      <c r="K3782">
        <v>-128</v>
      </c>
      <c r="L3782">
        <v>1200</v>
      </c>
      <c r="M3782" t="str">
        <f t="shared" si="411"/>
        <v xml:space="preserve">N35DC   </v>
      </c>
      <c r="N3782">
        <v>1</v>
      </c>
      <c r="O3782">
        <v>1725</v>
      </c>
    </row>
    <row r="3783" spans="1:15" x14ac:dyDescent="0.25">
      <c r="A3783" t="str">
        <f>"10/21/2020 18:40:57.228"</f>
        <v>10/21/2020 18:40:57.228</v>
      </c>
      <c r="B3783" t="str">
        <f>"18:41:05.102"</f>
        <v>18:41:05.102</v>
      </c>
      <c r="C3783" t="str">
        <f>"18:41:04.402"</f>
        <v>18:41:04.402</v>
      </c>
      <c r="D3783" t="s">
        <v>1492</v>
      </c>
      <c r="E3783">
        <v>30.976703000000001</v>
      </c>
      <c r="F3783" t="s">
        <v>1493</v>
      </c>
      <c r="G3783">
        <v>-89.889858000000004</v>
      </c>
      <c r="H3783">
        <v>1600</v>
      </c>
      <c r="I3783">
        <v>118</v>
      </c>
      <c r="J3783">
        <v>94</v>
      </c>
      <c r="K3783">
        <v>-64</v>
      </c>
      <c r="L3783">
        <v>1200</v>
      </c>
      <c r="M3783" t="str">
        <f t="shared" ref="M3783:M3846" si="413">"N35DC   "</f>
        <v xml:space="preserve">N35DC   </v>
      </c>
      <c r="N3783">
        <v>1</v>
      </c>
      <c r="O3783">
        <v>1725</v>
      </c>
    </row>
    <row r="3784" spans="1:15" x14ac:dyDescent="0.25">
      <c r="A3784" t="str">
        <f>"10/21/2020 18:40:57.228"</f>
        <v>10/21/2020 18:40:57.228</v>
      </c>
      <c r="B3784" t="str">
        <f>"18:41:05.102"</f>
        <v>18:41:05.102</v>
      </c>
      <c r="C3784" t="str">
        <f>"18:41:05.002"</f>
        <v>18:41:05.002</v>
      </c>
      <c r="D3784" t="s">
        <v>1492</v>
      </c>
      <c r="E3784">
        <v>30.976703000000001</v>
      </c>
      <c r="F3784" t="s">
        <v>1493</v>
      </c>
      <c r="G3784">
        <v>-89.889858000000004</v>
      </c>
      <c r="H3784">
        <v>1600</v>
      </c>
      <c r="I3784">
        <v>118</v>
      </c>
      <c r="J3784">
        <v>94</v>
      </c>
      <c r="K3784">
        <v>0</v>
      </c>
      <c r="L3784">
        <v>1200</v>
      </c>
      <c r="M3784" t="str">
        <f t="shared" si="413"/>
        <v xml:space="preserve">N35DC   </v>
      </c>
      <c r="N3784">
        <v>1</v>
      </c>
      <c r="O3784">
        <v>1725</v>
      </c>
    </row>
    <row r="3785" spans="1:15" x14ac:dyDescent="0.25">
      <c r="A3785" t="str">
        <f>"10/21/2020 18:40:57.228"</f>
        <v>10/21/2020 18:40:57.228</v>
      </c>
      <c r="B3785" t="str">
        <f>"18:41:05.102"</f>
        <v>18:41:05.102</v>
      </c>
      <c r="C3785" t="str">
        <f>"18:41:05.002"</f>
        <v>18:41:05.002</v>
      </c>
      <c r="D3785" t="s">
        <v>1492</v>
      </c>
      <c r="E3785">
        <v>30.976703000000001</v>
      </c>
      <c r="F3785" t="s">
        <v>1493</v>
      </c>
      <c r="G3785">
        <v>-89.889858000000004</v>
      </c>
      <c r="H3785">
        <v>1600</v>
      </c>
      <c r="I3785">
        <v>118</v>
      </c>
      <c r="J3785">
        <v>94</v>
      </c>
      <c r="K3785">
        <v>0</v>
      </c>
      <c r="L3785">
        <v>1200</v>
      </c>
      <c r="M3785" t="str">
        <f t="shared" si="413"/>
        <v xml:space="preserve">N35DC   </v>
      </c>
      <c r="N3785">
        <v>1</v>
      </c>
      <c r="O3785">
        <v>1725</v>
      </c>
    </row>
    <row r="3786" spans="1:15" x14ac:dyDescent="0.25">
      <c r="A3786" t="str">
        <f>"10/21/2020 18:40:57.228"</f>
        <v>10/21/2020 18:40:57.228</v>
      </c>
      <c r="B3786" t="str">
        <f>"18:41:05.102"</f>
        <v>18:41:05.102</v>
      </c>
      <c r="C3786" t="str">
        <f>"18:41:05.002"</f>
        <v>18:41:05.002</v>
      </c>
      <c r="D3786" t="s">
        <v>1492</v>
      </c>
      <c r="E3786">
        <v>30.976703000000001</v>
      </c>
      <c r="F3786" t="s">
        <v>1493</v>
      </c>
      <c r="G3786">
        <v>-89.889858000000004</v>
      </c>
      <c r="H3786">
        <v>1600</v>
      </c>
      <c r="I3786">
        <v>118</v>
      </c>
      <c r="J3786">
        <v>94</v>
      </c>
      <c r="K3786">
        <v>0</v>
      </c>
      <c r="L3786">
        <v>1200</v>
      </c>
      <c r="M3786" t="str">
        <f t="shared" si="413"/>
        <v xml:space="preserve">N35DC   </v>
      </c>
      <c r="N3786">
        <v>1</v>
      </c>
      <c r="O3786">
        <v>1725</v>
      </c>
    </row>
    <row r="3787" spans="1:15" x14ac:dyDescent="0.25">
      <c r="A3787" t="str">
        <f>"10/21/2020 18:40:57.228"</f>
        <v>10/21/2020 18:40:57.228</v>
      </c>
      <c r="B3787" t="str">
        <f>"18:41:05.102"</f>
        <v>18:41:05.102</v>
      </c>
      <c r="C3787" t="str">
        <f>"18:41:05.002"</f>
        <v>18:41:05.002</v>
      </c>
      <c r="D3787" t="s">
        <v>1492</v>
      </c>
      <c r="E3787">
        <v>30.976703000000001</v>
      </c>
      <c r="F3787" t="s">
        <v>1493</v>
      </c>
      <c r="G3787">
        <v>-89.889858000000004</v>
      </c>
      <c r="H3787">
        <v>1600</v>
      </c>
      <c r="I3787">
        <v>118</v>
      </c>
      <c r="J3787">
        <v>94</v>
      </c>
      <c r="K3787">
        <v>0</v>
      </c>
      <c r="L3787">
        <v>1200</v>
      </c>
      <c r="M3787" t="str">
        <f t="shared" si="413"/>
        <v xml:space="preserve">N35DC   </v>
      </c>
      <c r="N3787">
        <v>1</v>
      </c>
      <c r="O3787">
        <v>1725</v>
      </c>
    </row>
    <row r="3788" spans="1:15" x14ac:dyDescent="0.25">
      <c r="A3788" t="str">
        <f>"10/21/2020 18:41:00.241"</f>
        <v>10/21/2020 18:41:00.241</v>
      </c>
      <c r="B3788" t="str">
        <f>"18:41:08.141"</f>
        <v>18:41:08.141</v>
      </c>
      <c r="C3788" t="str">
        <f>"18:41:07.541"</f>
        <v>18:41:07.541</v>
      </c>
      <c r="D3788" t="s">
        <v>1494</v>
      </c>
      <c r="E3788">
        <v>30.978055000000001</v>
      </c>
      <c r="F3788" t="s">
        <v>1495</v>
      </c>
      <c r="G3788">
        <v>-89.887991</v>
      </c>
      <c r="H3788">
        <v>1600</v>
      </c>
      <c r="I3788">
        <v>116</v>
      </c>
      <c r="J3788">
        <v>96</v>
      </c>
      <c r="K3788">
        <v>64</v>
      </c>
      <c r="L3788">
        <v>1200</v>
      </c>
      <c r="M3788" t="str">
        <f t="shared" si="413"/>
        <v xml:space="preserve">N35DC   </v>
      </c>
      <c r="N3788">
        <v>1</v>
      </c>
      <c r="O3788">
        <v>1825</v>
      </c>
    </row>
    <row r="3789" spans="1:15" x14ac:dyDescent="0.25">
      <c r="A3789" t="str">
        <f>"10/21/2020 18:41:00.241"</f>
        <v>10/21/2020 18:41:00.241</v>
      </c>
      <c r="B3789" t="str">
        <f>"18:41:08.141"</f>
        <v>18:41:08.141</v>
      </c>
      <c r="C3789" t="str">
        <f>"18:41:07.941"</f>
        <v>18:41:07.941</v>
      </c>
      <c r="D3789" t="s">
        <v>1494</v>
      </c>
      <c r="E3789">
        <v>30.978055000000001</v>
      </c>
      <c r="F3789" t="s">
        <v>1495</v>
      </c>
      <c r="G3789">
        <v>-89.887991</v>
      </c>
      <c r="H3789">
        <v>1600</v>
      </c>
      <c r="I3789">
        <v>116</v>
      </c>
      <c r="J3789">
        <v>96</v>
      </c>
      <c r="K3789">
        <v>64</v>
      </c>
      <c r="L3789">
        <v>1200</v>
      </c>
      <c r="M3789" t="str">
        <f t="shared" si="413"/>
        <v xml:space="preserve">N35DC   </v>
      </c>
      <c r="N3789">
        <v>1</v>
      </c>
      <c r="O3789">
        <v>1725</v>
      </c>
    </row>
    <row r="3790" spans="1:15" x14ac:dyDescent="0.25">
      <c r="A3790" t="str">
        <f>"10/21/2020 18:41:00.241"</f>
        <v>10/21/2020 18:41:00.241</v>
      </c>
      <c r="B3790" t="str">
        <f>"18:41:08.141"</f>
        <v>18:41:08.141</v>
      </c>
      <c r="C3790" t="str">
        <f>"18:41:07.941"</f>
        <v>18:41:07.941</v>
      </c>
      <c r="D3790" t="s">
        <v>1494</v>
      </c>
      <c r="E3790">
        <v>30.978055000000001</v>
      </c>
      <c r="F3790" t="s">
        <v>1495</v>
      </c>
      <c r="G3790">
        <v>-89.887991</v>
      </c>
      <c r="H3790">
        <v>1600</v>
      </c>
      <c r="I3790">
        <v>116</v>
      </c>
      <c r="J3790">
        <v>96</v>
      </c>
      <c r="K3790">
        <v>64</v>
      </c>
      <c r="L3790">
        <v>1200</v>
      </c>
      <c r="M3790" t="str">
        <f t="shared" si="413"/>
        <v xml:space="preserve">N35DC   </v>
      </c>
      <c r="N3790">
        <v>1</v>
      </c>
      <c r="O3790">
        <v>1725</v>
      </c>
    </row>
    <row r="3791" spans="1:15" x14ac:dyDescent="0.25">
      <c r="A3791" t="str">
        <f>"10/21/2020 18:41:00.241"</f>
        <v>10/21/2020 18:41:00.241</v>
      </c>
      <c r="B3791" t="str">
        <f>"18:41:08.141"</f>
        <v>18:41:08.141</v>
      </c>
      <c r="C3791" t="str">
        <f>"18:41:07.941"</f>
        <v>18:41:07.941</v>
      </c>
      <c r="D3791" t="s">
        <v>1494</v>
      </c>
      <c r="E3791">
        <v>30.978055000000001</v>
      </c>
      <c r="F3791" t="s">
        <v>1495</v>
      </c>
      <c r="G3791">
        <v>-89.887991</v>
      </c>
      <c r="H3791">
        <v>1600</v>
      </c>
      <c r="I3791">
        <v>116</v>
      </c>
      <c r="J3791">
        <v>96</v>
      </c>
      <c r="K3791">
        <v>64</v>
      </c>
      <c r="L3791">
        <v>1200</v>
      </c>
      <c r="M3791" t="str">
        <f t="shared" si="413"/>
        <v xml:space="preserve">N35DC   </v>
      </c>
      <c r="N3791">
        <v>1</v>
      </c>
      <c r="O3791">
        <v>1725</v>
      </c>
    </row>
    <row r="3792" spans="1:15" x14ac:dyDescent="0.25">
      <c r="A3792" t="str">
        <f>"10/21/2020 18:41:00.241"</f>
        <v>10/21/2020 18:41:00.241</v>
      </c>
      <c r="B3792" t="str">
        <f>"18:41:08.141"</f>
        <v>18:41:08.141</v>
      </c>
      <c r="C3792" t="str">
        <f>"18:41:07.941"</f>
        <v>18:41:07.941</v>
      </c>
      <c r="D3792" t="s">
        <v>1494</v>
      </c>
      <c r="E3792">
        <v>30.978055000000001</v>
      </c>
      <c r="F3792" t="s">
        <v>1495</v>
      </c>
      <c r="G3792">
        <v>-89.887991</v>
      </c>
      <c r="H3792">
        <v>1600</v>
      </c>
      <c r="I3792">
        <v>116</v>
      </c>
      <c r="J3792">
        <v>96</v>
      </c>
      <c r="K3792">
        <v>64</v>
      </c>
      <c r="L3792">
        <v>1200</v>
      </c>
      <c r="M3792" t="str">
        <f t="shared" si="413"/>
        <v xml:space="preserve">N35DC   </v>
      </c>
      <c r="N3792">
        <v>1</v>
      </c>
      <c r="O3792">
        <v>1725</v>
      </c>
    </row>
    <row r="3793" spans="1:15" x14ac:dyDescent="0.25">
      <c r="A3793" t="str">
        <f>"10/21/2020 18:41:01.353"</f>
        <v>10/21/2020 18:41:01.353</v>
      </c>
      <c r="B3793" t="str">
        <f>"18:41:09.313"</f>
        <v>18:41:09.313</v>
      </c>
      <c r="C3793" t="str">
        <f>"18:41:08.813"</f>
        <v>18:41:08.813</v>
      </c>
      <c r="D3793" t="s">
        <v>1496</v>
      </c>
      <c r="E3793">
        <v>30.978570000000001</v>
      </c>
      <c r="F3793" t="s">
        <v>1497</v>
      </c>
      <c r="G3793">
        <v>-89.887218000000004</v>
      </c>
      <c r="H3793">
        <v>1700</v>
      </c>
      <c r="I3793">
        <v>115</v>
      </c>
      <c r="J3793">
        <v>97</v>
      </c>
      <c r="K3793">
        <v>64</v>
      </c>
      <c r="L3793">
        <v>1200</v>
      </c>
      <c r="M3793" t="str">
        <f t="shared" si="413"/>
        <v xml:space="preserve">N35DC   </v>
      </c>
      <c r="N3793">
        <v>1</v>
      </c>
      <c r="O3793">
        <v>1725</v>
      </c>
    </row>
    <row r="3794" spans="1:15" x14ac:dyDescent="0.25">
      <c r="A3794" t="str">
        <f>"10/21/2020 18:41:01.353"</f>
        <v>10/21/2020 18:41:01.353</v>
      </c>
      <c r="B3794" t="str">
        <f>"18:41:09.313"</f>
        <v>18:41:09.313</v>
      </c>
      <c r="C3794" t="str">
        <f>"18:41:08.813"</f>
        <v>18:41:08.813</v>
      </c>
      <c r="D3794" t="s">
        <v>1496</v>
      </c>
      <c r="E3794">
        <v>30.978570000000001</v>
      </c>
      <c r="F3794" t="s">
        <v>1497</v>
      </c>
      <c r="G3794">
        <v>-89.887218000000004</v>
      </c>
      <c r="H3794">
        <v>1700</v>
      </c>
      <c r="I3794">
        <v>115</v>
      </c>
      <c r="J3794">
        <v>97</v>
      </c>
      <c r="K3794">
        <v>64</v>
      </c>
      <c r="L3794">
        <v>1200</v>
      </c>
      <c r="M3794" t="str">
        <f t="shared" si="413"/>
        <v xml:space="preserve">N35DC   </v>
      </c>
      <c r="N3794">
        <v>1</v>
      </c>
      <c r="O3794">
        <v>1725</v>
      </c>
    </row>
    <row r="3795" spans="1:15" x14ac:dyDescent="0.25">
      <c r="A3795" t="str">
        <f>"10/21/2020 18:41:01.353"</f>
        <v>10/21/2020 18:41:01.353</v>
      </c>
      <c r="B3795" t="str">
        <f>"18:41:09.313"</f>
        <v>18:41:09.313</v>
      </c>
      <c r="C3795" t="str">
        <f>"18:41:08.813"</f>
        <v>18:41:08.813</v>
      </c>
      <c r="D3795" t="s">
        <v>1496</v>
      </c>
      <c r="E3795">
        <v>30.978570000000001</v>
      </c>
      <c r="F3795" t="s">
        <v>1497</v>
      </c>
      <c r="G3795">
        <v>-89.887218000000004</v>
      </c>
      <c r="H3795">
        <v>1700</v>
      </c>
      <c r="I3795">
        <v>115</v>
      </c>
      <c r="J3795">
        <v>97</v>
      </c>
      <c r="K3795">
        <v>64</v>
      </c>
      <c r="L3795">
        <v>1200</v>
      </c>
      <c r="M3795" t="str">
        <f t="shared" si="413"/>
        <v xml:space="preserve">N35DC   </v>
      </c>
      <c r="N3795">
        <v>1</v>
      </c>
      <c r="O3795">
        <v>1725</v>
      </c>
    </row>
    <row r="3796" spans="1:15" x14ac:dyDescent="0.25">
      <c r="A3796" t="str">
        <f>"10/21/2020 18:41:01.353"</f>
        <v>10/21/2020 18:41:01.353</v>
      </c>
      <c r="B3796" t="str">
        <f>"18:41:09.313"</f>
        <v>18:41:09.313</v>
      </c>
      <c r="C3796" t="str">
        <f>"18:41:08.813"</f>
        <v>18:41:08.813</v>
      </c>
      <c r="D3796" t="s">
        <v>1496</v>
      </c>
      <c r="E3796">
        <v>30.978570000000001</v>
      </c>
      <c r="F3796" t="s">
        <v>1497</v>
      </c>
      <c r="G3796">
        <v>-89.887218000000004</v>
      </c>
      <c r="H3796">
        <v>1700</v>
      </c>
      <c r="I3796">
        <v>115</v>
      </c>
      <c r="J3796">
        <v>97</v>
      </c>
      <c r="K3796">
        <v>64</v>
      </c>
      <c r="L3796">
        <v>1200</v>
      </c>
      <c r="M3796" t="str">
        <f t="shared" si="413"/>
        <v xml:space="preserve">N35DC   </v>
      </c>
      <c r="N3796">
        <v>1</v>
      </c>
      <c r="O3796">
        <v>1725</v>
      </c>
    </row>
    <row r="3797" spans="1:15" x14ac:dyDescent="0.25">
      <c r="A3797" t="str">
        <f>"10/21/2020 18:41:01.353"</f>
        <v>10/21/2020 18:41:01.353</v>
      </c>
      <c r="B3797" t="str">
        <f>"18:41:09.313"</f>
        <v>18:41:09.313</v>
      </c>
      <c r="C3797" t="str">
        <f>"18:41:08.813"</f>
        <v>18:41:08.813</v>
      </c>
      <c r="D3797" t="s">
        <v>1496</v>
      </c>
      <c r="E3797">
        <v>30.978570000000001</v>
      </c>
      <c r="F3797" t="s">
        <v>1497</v>
      </c>
      <c r="G3797">
        <v>-89.887218000000004</v>
      </c>
      <c r="H3797">
        <v>1700</v>
      </c>
      <c r="I3797">
        <v>115</v>
      </c>
      <c r="J3797">
        <v>97</v>
      </c>
      <c r="K3797">
        <v>64</v>
      </c>
      <c r="L3797">
        <v>1200</v>
      </c>
      <c r="M3797" t="str">
        <f t="shared" si="413"/>
        <v xml:space="preserve">N35DC   </v>
      </c>
      <c r="N3797">
        <v>1</v>
      </c>
      <c r="O3797">
        <v>1725</v>
      </c>
    </row>
    <row r="3798" spans="1:15" x14ac:dyDescent="0.25">
      <c r="A3798" t="str">
        <f>"10/21/2020 18:41:04.217"</f>
        <v>10/21/2020 18:41:04.217</v>
      </c>
      <c r="B3798" t="str">
        <f>"18:41:12.148"</f>
        <v>18:41:12.148</v>
      </c>
      <c r="C3798" t="str">
        <f>"18:41:12.048"</f>
        <v>18:41:12.048</v>
      </c>
      <c r="D3798" t="s">
        <v>1498</v>
      </c>
      <c r="E3798">
        <v>30.979835999999999</v>
      </c>
      <c r="F3798" t="s">
        <v>1499</v>
      </c>
      <c r="G3798">
        <v>-89.885502000000002</v>
      </c>
      <c r="H3798">
        <v>1700</v>
      </c>
      <c r="I3798">
        <v>115</v>
      </c>
      <c r="J3798">
        <v>96</v>
      </c>
      <c r="K3798">
        <v>256</v>
      </c>
      <c r="L3798">
        <v>1200</v>
      </c>
      <c r="M3798" t="str">
        <f t="shared" si="413"/>
        <v xml:space="preserve">N35DC   </v>
      </c>
      <c r="N3798">
        <v>1</v>
      </c>
      <c r="O3798">
        <v>1725</v>
      </c>
    </row>
    <row r="3799" spans="1:15" x14ac:dyDescent="0.25">
      <c r="A3799" t="str">
        <f>"10/21/2020 18:41:04.217"</f>
        <v>10/21/2020 18:41:04.217</v>
      </c>
      <c r="B3799" t="str">
        <f>"18:41:12.148"</f>
        <v>18:41:12.148</v>
      </c>
      <c r="C3799" t="str">
        <f>"18:41:12.048"</f>
        <v>18:41:12.048</v>
      </c>
      <c r="D3799" t="s">
        <v>1498</v>
      </c>
      <c r="E3799">
        <v>30.979835999999999</v>
      </c>
      <c r="F3799" t="s">
        <v>1499</v>
      </c>
      <c r="G3799">
        <v>-89.885502000000002</v>
      </c>
      <c r="H3799">
        <v>1700</v>
      </c>
      <c r="I3799">
        <v>115</v>
      </c>
      <c r="J3799">
        <v>96</v>
      </c>
      <c r="K3799">
        <v>256</v>
      </c>
      <c r="L3799">
        <v>1200</v>
      </c>
      <c r="M3799" t="str">
        <f t="shared" si="413"/>
        <v xml:space="preserve">N35DC   </v>
      </c>
      <c r="N3799">
        <v>1</v>
      </c>
      <c r="O3799">
        <v>1725</v>
      </c>
    </row>
    <row r="3800" spans="1:15" x14ac:dyDescent="0.25">
      <c r="A3800" t="str">
        <f>"10/21/2020 18:41:04.217"</f>
        <v>10/21/2020 18:41:04.217</v>
      </c>
      <c r="B3800" t="str">
        <f>"18:41:12.148"</f>
        <v>18:41:12.148</v>
      </c>
      <c r="C3800" t="str">
        <f>"18:41:12.048"</f>
        <v>18:41:12.048</v>
      </c>
      <c r="D3800" t="s">
        <v>1498</v>
      </c>
      <c r="E3800">
        <v>30.979835999999999</v>
      </c>
      <c r="F3800" t="s">
        <v>1499</v>
      </c>
      <c r="G3800">
        <v>-89.885502000000002</v>
      </c>
      <c r="H3800">
        <v>1700</v>
      </c>
      <c r="I3800">
        <v>115</v>
      </c>
      <c r="J3800">
        <v>96</v>
      </c>
      <c r="K3800">
        <v>256</v>
      </c>
      <c r="L3800">
        <v>1200</v>
      </c>
      <c r="M3800" t="str">
        <f t="shared" si="413"/>
        <v xml:space="preserve">N35DC   </v>
      </c>
      <c r="N3800">
        <v>1</v>
      </c>
      <c r="O3800">
        <v>1725</v>
      </c>
    </row>
    <row r="3801" spans="1:15" x14ac:dyDescent="0.25">
      <c r="A3801" t="str">
        <f>"10/21/2020 18:41:04.217"</f>
        <v>10/21/2020 18:41:04.217</v>
      </c>
      <c r="B3801" t="str">
        <f>"18:41:12.148"</f>
        <v>18:41:12.148</v>
      </c>
      <c r="C3801" t="str">
        <f>"18:41:12.048"</f>
        <v>18:41:12.048</v>
      </c>
      <c r="D3801" t="s">
        <v>1498</v>
      </c>
      <c r="E3801">
        <v>30.979835999999999</v>
      </c>
      <c r="F3801" t="s">
        <v>1499</v>
      </c>
      <c r="G3801">
        <v>-89.885502000000002</v>
      </c>
      <c r="H3801">
        <v>1700</v>
      </c>
      <c r="I3801">
        <v>115</v>
      </c>
      <c r="J3801">
        <v>96</v>
      </c>
      <c r="K3801">
        <v>256</v>
      </c>
      <c r="L3801">
        <v>1200</v>
      </c>
      <c r="M3801" t="str">
        <f t="shared" si="413"/>
        <v xml:space="preserve">N35DC   </v>
      </c>
      <c r="N3801">
        <v>1</v>
      </c>
      <c r="O3801">
        <v>1725</v>
      </c>
    </row>
    <row r="3802" spans="1:15" x14ac:dyDescent="0.25">
      <c r="A3802" t="str">
        <f>"10/21/2020 18:41:04.217"</f>
        <v>10/21/2020 18:41:04.217</v>
      </c>
      <c r="B3802" t="str">
        <f>"18:41:12.148"</f>
        <v>18:41:12.148</v>
      </c>
      <c r="C3802" t="str">
        <f>"18:41:12.048"</f>
        <v>18:41:12.048</v>
      </c>
      <c r="D3802" t="s">
        <v>1498</v>
      </c>
      <c r="E3802">
        <v>30.979835999999999</v>
      </c>
      <c r="F3802" t="s">
        <v>1499</v>
      </c>
      <c r="G3802">
        <v>-89.885502000000002</v>
      </c>
      <c r="H3802">
        <v>1700</v>
      </c>
      <c r="I3802">
        <v>115</v>
      </c>
      <c r="J3802">
        <v>96</v>
      </c>
      <c r="K3802">
        <v>256</v>
      </c>
      <c r="L3802">
        <v>1200</v>
      </c>
      <c r="M3802" t="str">
        <f t="shared" si="413"/>
        <v xml:space="preserve">N35DC   </v>
      </c>
      <c r="N3802">
        <v>1</v>
      </c>
      <c r="O3802">
        <v>1725</v>
      </c>
    </row>
    <row r="3803" spans="1:15" x14ac:dyDescent="0.25">
      <c r="A3803" t="str">
        <f>"10/21/2020 18:41:05.274"</f>
        <v>10/21/2020 18:41:05.274</v>
      </c>
      <c r="B3803" t="str">
        <f>"18:41:13.164"</f>
        <v>18:41:13.164</v>
      </c>
      <c r="C3803" t="str">
        <f>"18:41:12.064"</f>
        <v>18:41:12.064</v>
      </c>
      <c r="D3803" t="s">
        <v>1500</v>
      </c>
      <c r="E3803">
        <v>30.980287000000001</v>
      </c>
      <c r="F3803" t="s">
        <v>1241</v>
      </c>
      <c r="G3803">
        <v>-89.884857999999994</v>
      </c>
      <c r="H3803">
        <v>1700</v>
      </c>
      <c r="I3803">
        <v>115</v>
      </c>
      <c r="J3803">
        <v>96</v>
      </c>
      <c r="K3803">
        <v>256</v>
      </c>
      <c r="L3803">
        <v>1200</v>
      </c>
      <c r="M3803" t="str">
        <f t="shared" si="413"/>
        <v xml:space="preserve">N35DC   </v>
      </c>
      <c r="N3803">
        <v>1</v>
      </c>
      <c r="O3803">
        <v>1725</v>
      </c>
    </row>
    <row r="3804" spans="1:15" x14ac:dyDescent="0.25">
      <c r="A3804" t="str">
        <f>"10/21/2020 18:41:05.274"</f>
        <v>10/21/2020 18:41:05.274</v>
      </c>
      <c r="B3804" t="str">
        <f>"18:41:13.164"</f>
        <v>18:41:13.164</v>
      </c>
      <c r="C3804" t="str">
        <f>"18:41:12.064"</f>
        <v>18:41:12.064</v>
      </c>
      <c r="D3804" t="s">
        <v>1500</v>
      </c>
      <c r="E3804">
        <v>30.980287000000001</v>
      </c>
      <c r="F3804" t="s">
        <v>1241</v>
      </c>
      <c r="G3804">
        <v>-89.884857999999994</v>
      </c>
      <c r="H3804">
        <v>1700</v>
      </c>
      <c r="I3804">
        <v>115</v>
      </c>
      <c r="J3804">
        <v>96</v>
      </c>
      <c r="K3804">
        <v>256</v>
      </c>
      <c r="L3804">
        <v>1200</v>
      </c>
      <c r="M3804" t="str">
        <f t="shared" si="413"/>
        <v xml:space="preserve">N35DC   </v>
      </c>
      <c r="N3804">
        <v>1</v>
      </c>
      <c r="O3804">
        <v>1725</v>
      </c>
    </row>
    <row r="3805" spans="1:15" x14ac:dyDescent="0.25">
      <c r="A3805" t="str">
        <f>"10/21/2020 18:41:05.274"</f>
        <v>10/21/2020 18:41:05.274</v>
      </c>
      <c r="B3805" t="str">
        <f>"18:41:13.164"</f>
        <v>18:41:13.164</v>
      </c>
      <c r="C3805" t="str">
        <f>"18:41:12.064"</f>
        <v>18:41:12.064</v>
      </c>
      <c r="D3805" t="s">
        <v>1500</v>
      </c>
      <c r="E3805">
        <v>30.980287000000001</v>
      </c>
      <c r="F3805" t="s">
        <v>1241</v>
      </c>
      <c r="G3805">
        <v>-89.884857999999994</v>
      </c>
      <c r="H3805">
        <v>1700</v>
      </c>
      <c r="I3805">
        <v>115</v>
      </c>
      <c r="J3805">
        <v>96</v>
      </c>
      <c r="K3805">
        <v>256</v>
      </c>
      <c r="L3805">
        <v>1200</v>
      </c>
      <c r="M3805" t="str">
        <f t="shared" si="413"/>
        <v xml:space="preserve">N35DC   </v>
      </c>
      <c r="N3805">
        <v>1</v>
      </c>
      <c r="O3805">
        <v>1725</v>
      </c>
    </row>
    <row r="3806" spans="1:15" x14ac:dyDescent="0.25">
      <c r="A3806" t="str">
        <f>"10/21/2020 18:41:05.274"</f>
        <v>10/21/2020 18:41:05.274</v>
      </c>
      <c r="B3806" t="str">
        <f>"18:41:13.164"</f>
        <v>18:41:13.164</v>
      </c>
      <c r="C3806" t="str">
        <f>"18:41:12.064"</f>
        <v>18:41:12.064</v>
      </c>
      <c r="D3806" t="s">
        <v>1500</v>
      </c>
      <c r="E3806">
        <v>30.980287000000001</v>
      </c>
      <c r="F3806" t="s">
        <v>1241</v>
      </c>
      <c r="G3806">
        <v>-89.884857999999994</v>
      </c>
      <c r="H3806">
        <v>1700</v>
      </c>
      <c r="I3806">
        <v>115</v>
      </c>
      <c r="J3806">
        <v>96</v>
      </c>
      <c r="K3806">
        <v>256</v>
      </c>
      <c r="L3806">
        <v>1200</v>
      </c>
      <c r="M3806" t="str">
        <f t="shared" si="413"/>
        <v xml:space="preserve">N35DC   </v>
      </c>
      <c r="N3806">
        <v>1</v>
      </c>
      <c r="O3806">
        <v>1725</v>
      </c>
    </row>
    <row r="3807" spans="1:15" x14ac:dyDescent="0.25">
      <c r="A3807" t="str">
        <f>"10/21/2020 18:41:05.725"</f>
        <v>10/21/2020 18:41:05.725</v>
      </c>
      <c r="B3807" t="str">
        <f>"18:41:13.648"</f>
        <v>18:41:13.648</v>
      </c>
      <c r="C3807" t="str">
        <f>"18:41:13.448"</f>
        <v>18:41:13.448</v>
      </c>
      <c r="D3807" t="s">
        <v>1501</v>
      </c>
      <c r="E3807">
        <v>30.98048</v>
      </c>
      <c r="F3807" t="s">
        <v>1239</v>
      </c>
      <c r="G3807">
        <v>-89.884579000000002</v>
      </c>
      <c r="H3807">
        <v>1700</v>
      </c>
      <c r="I3807">
        <v>115</v>
      </c>
      <c r="J3807">
        <v>95</v>
      </c>
      <c r="K3807">
        <v>192</v>
      </c>
      <c r="L3807">
        <v>1200</v>
      </c>
      <c r="M3807" t="str">
        <f t="shared" si="413"/>
        <v xml:space="preserve">N35DC   </v>
      </c>
      <c r="N3807">
        <v>1</v>
      </c>
      <c r="O3807">
        <v>1750</v>
      </c>
    </row>
    <row r="3808" spans="1:15" x14ac:dyDescent="0.25">
      <c r="A3808" t="str">
        <f>"10/21/2020 18:41:07.942"</f>
        <v>10/21/2020 18:41:07.942</v>
      </c>
      <c r="B3808" t="str">
        <f>"18:41:15.805"</f>
        <v>18:41:15.805</v>
      </c>
      <c r="C3808" t="str">
        <f>"18:41:15.405"</f>
        <v>18:41:15.405</v>
      </c>
      <c r="D3808" t="s">
        <v>1502</v>
      </c>
      <c r="E3808">
        <v>30.981445000000001</v>
      </c>
      <c r="F3808" t="s">
        <v>1503</v>
      </c>
      <c r="G3808">
        <v>-89.883206000000001</v>
      </c>
      <c r="H3808">
        <v>1700</v>
      </c>
      <c r="I3808">
        <v>115</v>
      </c>
      <c r="J3808">
        <v>94</v>
      </c>
      <c r="K3808">
        <v>64</v>
      </c>
      <c r="L3808">
        <v>1200</v>
      </c>
      <c r="M3808" t="str">
        <f t="shared" si="413"/>
        <v xml:space="preserve">N35DC   </v>
      </c>
      <c r="N3808">
        <v>1</v>
      </c>
      <c r="O3808">
        <v>1750</v>
      </c>
    </row>
    <row r="3809" spans="1:15" x14ac:dyDescent="0.25">
      <c r="A3809" t="str">
        <f>"10/21/2020 18:41:08.405"</f>
        <v>10/21/2020 18:41:08.405</v>
      </c>
      <c r="B3809" t="str">
        <f>"18:41:16.328"</f>
        <v>18:41:16.328</v>
      </c>
      <c r="C3809" t="str">
        <f>"18:41:15.428"</f>
        <v>18:41:15.428</v>
      </c>
      <c r="D3809" t="s">
        <v>1504</v>
      </c>
      <c r="E3809">
        <v>30.981638</v>
      </c>
      <c r="F3809" t="s">
        <v>755</v>
      </c>
      <c r="G3809">
        <v>-89.882884000000004</v>
      </c>
      <c r="H3809">
        <v>1700</v>
      </c>
      <c r="I3809">
        <v>115</v>
      </c>
      <c r="J3809">
        <v>94</v>
      </c>
      <c r="K3809">
        <v>64</v>
      </c>
      <c r="L3809">
        <v>1200</v>
      </c>
      <c r="M3809" t="str">
        <f t="shared" si="413"/>
        <v xml:space="preserve">N35DC   </v>
      </c>
      <c r="N3809">
        <v>1</v>
      </c>
      <c r="O3809">
        <v>1750</v>
      </c>
    </row>
    <row r="3810" spans="1:15" x14ac:dyDescent="0.25">
      <c r="A3810" t="str">
        <f>"10/21/2020 18:41:08.405"</f>
        <v>10/21/2020 18:41:08.405</v>
      </c>
      <c r="B3810" t="str">
        <f>"18:41:16.328"</f>
        <v>18:41:16.328</v>
      </c>
      <c r="C3810" t="str">
        <f>"18:41:15.428"</f>
        <v>18:41:15.428</v>
      </c>
      <c r="D3810" t="s">
        <v>1504</v>
      </c>
      <c r="E3810">
        <v>30.981638</v>
      </c>
      <c r="F3810" t="s">
        <v>755</v>
      </c>
      <c r="G3810">
        <v>-89.882884000000004</v>
      </c>
      <c r="H3810">
        <v>1700</v>
      </c>
      <c r="I3810">
        <v>115</v>
      </c>
      <c r="J3810">
        <v>94</v>
      </c>
      <c r="K3810">
        <v>64</v>
      </c>
      <c r="L3810">
        <v>1200</v>
      </c>
      <c r="M3810" t="str">
        <f t="shared" si="413"/>
        <v xml:space="preserve">N35DC   </v>
      </c>
      <c r="N3810">
        <v>1</v>
      </c>
      <c r="O3810">
        <v>1750</v>
      </c>
    </row>
    <row r="3811" spans="1:15" x14ac:dyDescent="0.25">
      <c r="A3811" t="str">
        <f>"10/21/2020 18:41:08.405"</f>
        <v>10/21/2020 18:41:08.405</v>
      </c>
      <c r="B3811" t="str">
        <f>"18:41:16.328"</f>
        <v>18:41:16.328</v>
      </c>
      <c r="C3811" t="str">
        <f>"18:41:15.428"</f>
        <v>18:41:15.428</v>
      </c>
      <c r="D3811" t="s">
        <v>1504</v>
      </c>
      <c r="E3811">
        <v>30.981638</v>
      </c>
      <c r="F3811" t="s">
        <v>755</v>
      </c>
      <c r="G3811">
        <v>-89.882884000000004</v>
      </c>
      <c r="H3811">
        <v>1700</v>
      </c>
      <c r="I3811">
        <v>115</v>
      </c>
      <c r="J3811">
        <v>94</v>
      </c>
      <c r="K3811">
        <v>64</v>
      </c>
      <c r="L3811">
        <v>1200</v>
      </c>
      <c r="M3811" t="str">
        <f t="shared" si="413"/>
        <v xml:space="preserve">N35DC   </v>
      </c>
      <c r="N3811">
        <v>1</v>
      </c>
      <c r="O3811">
        <v>1750</v>
      </c>
    </row>
    <row r="3812" spans="1:15" x14ac:dyDescent="0.25">
      <c r="A3812" t="str">
        <f>"10/21/2020 18:41:08.405"</f>
        <v>10/21/2020 18:41:08.405</v>
      </c>
      <c r="B3812" t="str">
        <f>"18:41:16.328"</f>
        <v>18:41:16.328</v>
      </c>
      <c r="C3812" t="str">
        <f>"18:41:15.428"</f>
        <v>18:41:15.428</v>
      </c>
      <c r="D3812" t="s">
        <v>1504</v>
      </c>
      <c r="E3812">
        <v>30.981638</v>
      </c>
      <c r="F3812" t="s">
        <v>755</v>
      </c>
      <c r="G3812">
        <v>-89.882884000000004</v>
      </c>
      <c r="H3812">
        <v>1700</v>
      </c>
      <c r="I3812">
        <v>115</v>
      </c>
      <c r="J3812">
        <v>94</v>
      </c>
      <c r="K3812">
        <v>64</v>
      </c>
      <c r="L3812">
        <v>1200</v>
      </c>
      <c r="M3812" t="str">
        <f t="shared" si="413"/>
        <v xml:space="preserve">N35DC   </v>
      </c>
      <c r="N3812">
        <v>1</v>
      </c>
      <c r="O3812">
        <v>1750</v>
      </c>
    </row>
    <row r="3813" spans="1:15" x14ac:dyDescent="0.25">
      <c r="A3813" t="str">
        <f>"10/21/2020 18:41:08.946"</f>
        <v>10/21/2020 18:41:08.946</v>
      </c>
      <c r="B3813" t="str">
        <f>"18:41:16.875"</f>
        <v>18:41:16.875</v>
      </c>
      <c r="C3813" t="str">
        <f>"18:41:15.375"</f>
        <v>18:41:15.375</v>
      </c>
      <c r="D3813" t="s">
        <v>1505</v>
      </c>
      <c r="E3813">
        <v>30.981895999999999</v>
      </c>
      <c r="F3813" t="s">
        <v>1506</v>
      </c>
      <c r="G3813">
        <v>-89.882541000000003</v>
      </c>
      <c r="H3813">
        <v>1700</v>
      </c>
      <c r="I3813">
        <v>115</v>
      </c>
      <c r="J3813">
        <v>94</v>
      </c>
      <c r="K3813">
        <v>64</v>
      </c>
      <c r="L3813">
        <v>1200</v>
      </c>
      <c r="M3813" t="str">
        <f t="shared" si="413"/>
        <v xml:space="preserve">N35DC   </v>
      </c>
      <c r="N3813">
        <v>1</v>
      </c>
      <c r="O3813">
        <v>1750</v>
      </c>
    </row>
    <row r="3814" spans="1:15" x14ac:dyDescent="0.25">
      <c r="A3814" t="str">
        <f>"10/21/2020 18:41:09.420"</f>
        <v>10/21/2020 18:41:09.420</v>
      </c>
      <c r="B3814" t="str">
        <f>"18:41:17.352"</f>
        <v>18:41:17.352</v>
      </c>
      <c r="C3814" t="str">
        <f>"18:41:17.052"</f>
        <v>18:41:17.052</v>
      </c>
      <c r="D3814" t="s">
        <v>1507</v>
      </c>
      <c r="E3814">
        <v>30.982088999999998</v>
      </c>
      <c r="F3814" t="s">
        <v>757</v>
      </c>
      <c r="G3814">
        <v>-89.882283000000001</v>
      </c>
      <c r="H3814">
        <v>1700</v>
      </c>
      <c r="I3814">
        <v>116</v>
      </c>
      <c r="J3814">
        <v>93</v>
      </c>
      <c r="K3814">
        <v>-64</v>
      </c>
      <c r="L3814">
        <v>1200</v>
      </c>
      <c r="M3814" t="str">
        <f t="shared" si="413"/>
        <v xml:space="preserve">N35DC   </v>
      </c>
      <c r="N3814">
        <v>1</v>
      </c>
      <c r="O3814">
        <v>1750</v>
      </c>
    </row>
    <row r="3815" spans="1:15" x14ac:dyDescent="0.25">
      <c r="A3815" t="str">
        <f>"10/21/2020 18:41:09.420"</f>
        <v>10/21/2020 18:41:09.420</v>
      </c>
      <c r="B3815" t="str">
        <f>"18:41:17.352"</f>
        <v>18:41:17.352</v>
      </c>
      <c r="C3815" t="str">
        <f>"18:41:17.052"</f>
        <v>18:41:17.052</v>
      </c>
      <c r="D3815" t="s">
        <v>1507</v>
      </c>
      <c r="E3815">
        <v>30.982088999999998</v>
      </c>
      <c r="F3815" t="s">
        <v>757</v>
      </c>
      <c r="G3815">
        <v>-89.882283000000001</v>
      </c>
      <c r="H3815">
        <v>1700</v>
      </c>
      <c r="I3815">
        <v>116</v>
      </c>
      <c r="J3815">
        <v>93</v>
      </c>
      <c r="K3815">
        <v>-64</v>
      </c>
      <c r="L3815">
        <v>1200</v>
      </c>
      <c r="M3815" t="str">
        <f t="shared" si="413"/>
        <v xml:space="preserve">N35DC   </v>
      </c>
      <c r="N3815">
        <v>1</v>
      </c>
      <c r="O3815">
        <v>1750</v>
      </c>
    </row>
    <row r="3816" spans="1:15" x14ac:dyDescent="0.25">
      <c r="A3816" t="str">
        <f>"10/21/2020 18:41:09.420"</f>
        <v>10/21/2020 18:41:09.420</v>
      </c>
      <c r="B3816" t="str">
        <f>"18:41:17.352"</f>
        <v>18:41:17.352</v>
      </c>
      <c r="C3816" t="str">
        <f>"18:41:17.052"</f>
        <v>18:41:17.052</v>
      </c>
      <c r="D3816" t="s">
        <v>1507</v>
      </c>
      <c r="E3816">
        <v>30.982088999999998</v>
      </c>
      <c r="F3816" t="s">
        <v>757</v>
      </c>
      <c r="G3816">
        <v>-89.882283000000001</v>
      </c>
      <c r="H3816">
        <v>1700</v>
      </c>
      <c r="I3816">
        <v>116</v>
      </c>
      <c r="J3816">
        <v>93</v>
      </c>
      <c r="K3816">
        <v>-64</v>
      </c>
      <c r="L3816">
        <v>1200</v>
      </c>
      <c r="M3816" t="str">
        <f t="shared" si="413"/>
        <v xml:space="preserve">N35DC   </v>
      </c>
      <c r="N3816">
        <v>1</v>
      </c>
      <c r="O3816">
        <v>1750</v>
      </c>
    </row>
    <row r="3817" spans="1:15" x14ac:dyDescent="0.25">
      <c r="A3817" t="str">
        <f>"10/21/2020 18:41:09.420"</f>
        <v>10/21/2020 18:41:09.420</v>
      </c>
      <c r="B3817" t="str">
        <f>"18:41:17.352"</f>
        <v>18:41:17.352</v>
      </c>
      <c r="C3817" t="str">
        <f>"18:41:17.052"</f>
        <v>18:41:17.052</v>
      </c>
      <c r="D3817" t="s">
        <v>1507</v>
      </c>
      <c r="E3817">
        <v>30.982088999999998</v>
      </c>
      <c r="F3817" t="s">
        <v>757</v>
      </c>
      <c r="G3817">
        <v>-89.882283000000001</v>
      </c>
      <c r="H3817">
        <v>1700</v>
      </c>
      <c r="I3817">
        <v>116</v>
      </c>
      <c r="J3817">
        <v>93</v>
      </c>
      <c r="K3817">
        <v>-64</v>
      </c>
      <c r="L3817">
        <v>1200</v>
      </c>
      <c r="M3817" t="str">
        <f t="shared" si="413"/>
        <v xml:space="preserve">N35DC   </v>
      </c>
      <c r="N3817">
        <v>1</v>
      </c>
      <c r="O3817">
        <v>1750</v>
      </c>
    </row>
    <row r="3818" spans="1:15" x14ac:dyDescent="0.25">
      <c r="A3818" t="str">
        <f>"10/21/2020 18:41:11.453"</f>
        <v>10/21/2020 18:41:11.453</v>
      </c>
      <c r="B3818" t="str">
        <f>"18:41:19.391"</f>
        <v>18:41:19.391</v>
      </c>
      <c r="C3818" t="str">
        <f>"18:41:19.091"</f>
        <v>18:41:19.091</v>
      </c>
      <c r="D3818" t="s">
        <v>1508</v>
      </c>
      <c r="E3818">
        <v>30.982990000000001</v>
      </c>
      <c r="F3818" t="s">
        <v>1509</v>
      </c>
      <c r="G3818">
        <v>-89.881017</v>
      </c>
      <c r="H3818">
        <v>1700</v>
      </c>
      <c r="I3818">
        <v>116</v>
      </c>
      <c r="J3818">
        <v>92</v>
      </c>
      <c r="K3818">
        <v>128</v>
      </c>
      <c r="L3818">
        <v>1200</v>
      </c>
      <c r="M3818" t="str">
        <f t="shared" si="413"/>
        <v xml:space="preserve">N35DC   </v>
      </c>
      <c r="N3818">
        <v>1</v>
      </c>
      <c r="O3818">
        <v>1750</v>
      </c>
    </row>
    <row r="3819" spans="1:15" x14ac:dyDescent="0.25">
      <c r="A3819" t="str">
        <f>"10/21/2020 18:41:11.453"</f>
        <v>10/21/2020 18:41:11.453</v>
      </c>
      <c r="B3819" t="str">
        <f>"18:41:19.391"</f>
        <v>18:41:19.391</v>
      </c>
      <c r="C3819" t="str">
        <f>"18:41:19.091"</f>
        <v>18:41:19.091</v>
      </c>
      <c r="D3819" t="s">
        <v>1508</v>
      </c>
      <c r="E3819">
        <v>30.982990000000001</v>
      </c>
      <c r="F3819" t="s">
        <v>1509</v>
      </c>
      <c r="G3819">
        <v>-89.881017</v>
      </c>
      <c r="H3819">
        <v>1700</v>
      </c>
      <c r="I3819">
        <v>116</v>
      </c>
      <c r="J3819">
        <v>92</v>
      </c>
      <c r="K3819">
        <v>128</v>
      </c>
      <c r="L3819">
        <v>1200</v>
      </c>
      <c r="M3819" t="str">
        <f t="shared" si="413"/>
        <v xml:space="preserve">N35DC   </v>
      </c>
      <c r="N3819">
        <v>1</v>
      </c>
      <c r="O3819">
        <v>1750</v>
      </c>
    </row>
    <row r="3820" spans="1:15" x14ac:dyDescent="0.25">
      <c r="A3820" t="str">
        <f>"10/21/2020 18:41:11.453"</f>
        <v>10/21/2020 18:41:11.453</v>
      </c>
      <c r="B3820" t="str">
        <f>"18:41:19.391"</f>
        <v>18:41:19.391</v>
      </c>
      <c r="C3820" t="str">
        <f>"18:41:19.091"</f>
        <v>18:41:19.091</v>
      </c>
      <c r="D3820" t="s">
        <v>1508</v>
      </c>
      <c r="E3820">
        <v>30.982990000000001</v>
      </c>
      <c r="F3820" t="s">
        <v>1509</v>
      </c>
      <c r="G3820">
        <v>-89.881017</v>
      </c>
      <c r="H3820">
        <v>1700</v>
      </c>
      <c r="I3820">
        <v>116</v>
      </c>
      <c r="J3820">
        <v>92</v>
      </c>
      <c r="K3820">
        <v>128</v>
      </c>
      <c r="L3820">
        <v>1200</v>
      </c>
      <c r="M3820" t="str">
        <f t="shared" si="413"/>
        <v xml:space="preserve">N35DC   </v>
      </c>
      <c r="N3820">
        <v>1</v>
      </c>
      <c r="O3820">
        <v>1750</v>
      </c>
    </row>
    <row r="3821" spans="1:15" x14ac:dyDescent="0.25">
      <c r="A3821" t="str">
        <f>"10/21/2020 18:41:11.453"</f>
        <v>10/21/2020 18:41:11.453</v>
      </c>
      <c r="B3821" t="str">
        <f>"18:41:19.391"</f>
        <v>18:41:19.391</v>
      </c>
      <c r="C3821" t="str">
        <f>"18:41:19.091"</f>
        <v>18:41:19.091</v>
      </c>
      <c r="D3821" t="s">
        <v>1508</v>
      </c>
      <c r="E3821">
        <v>30.982990000000001</v>
      </c>
      <c r="F3821" t="s">
        <v>1509</v>
      </c>
      <c r="G3821">
        <v>-89.881017</v>
      </c>
      <c r="H3821">
        <v>1700</v>
      </c>
      <c r="I3821">
        <v>116</v>
      </c>
      <c r="J3821">
        <v>92</v>
      </c>
      <c r="K3821">
        <v>128</v>
      </c>
      <c r="L3821">
        <v>1200</v>
      </c>
      <c r="M3821" t="str">
        <f t="shared" si="413"/>
        <v xml:space="preserve">N35DC   </v>
      </c>
      <c r="N3821">
        <v>1</v>
      </c>
      <c r="O3821">
        <v>1750</v>
      </c>
    </row>
    <row r="3822" spans="1:15" x14ac:dyDescent="0.25">
      <c r="A3822" t="str">
        <f>"10/21/2020 18:41:12.060"</f>
        <v>10/21/2020 18:41:12.060</v>
      </c>
      <c r="B3822" t="str">
        <f>"18:41:19.961"</f>
        <v>18:41:19.961</v>
      </c>
      <c r="C3822" t="str">
        <f>"18:41:19.661"</f>
        <v>18:41:19.661</v>
      </c>
      <c r="D3822" t="s">
        <v>1510</v>
      </c>
      <c r="E3822">
        <v>30.983205000000002</v>
      </c>
      <c r="F3822" t="s">
        <v>1511</v>
      </c>
      <c r="G3822">
        <v>-89.880630999999994</v>
      </c>
      <c r="H3822">
        <v>1700</v>
      </c>
      <c r="I3822">
        <v>116</v>
      </c>
      <c r="J3822">
        <v>92</v>
      </c>
      <c r="K3822">
        <v>0</v>
      </c>
      <c r="L3822">
        <v>1200</v>
      </c>
      <c r="M3822" t="str">
        <f t="shared" si="413"/>
        <v xml:space="preserve">N35DC   </v>
      </c>
      <c r="N3822">
        <v>1</v>
      </c>
      <c r="O3822">
        <v>1750</v>
      </c>
    </row>
    <row r="3823" spans="1:15" x14ac:dyDescent="0.25">
      <c r="A3823" t="str">
        <f>"10/21/2020 18:41:12.507"</f>
        <v>10/21/2020 18:41:12.507</v>
      </c>
      <c r="B3823" t="str">
        <f>"18:41:20.430"</f>
        <v>18:41:20.430</v>
      </c>
      <c r="C3823" t="str">
        <f>"18:41:19.630"</f>
        <v>18:41:19.630</v>
      </c>
      <c r="D3823" t="s">
        <v>1512</v>
      </c>
      <c r="E3823">
        <v>30.983419000000001</v>
      </c>
      <c r="F3823" t="s">
        <v>765</v>
      </c>
      <c r="G3823">
        <v>-89.880394999999993</v>
      </c>
      <c r="H3823">
        <v>1700</v>
      </c>
      <c r="I3823">
        <v>116</v>
      </c>
      <c r="J3823">
        <v>92</v>
      </c>
      <c r="K3823">
        <v>0</v>
      </c>
      <c r="L3823">
        <v>1200</v>
      </c>
      <c r="M3823" t="str">
        <f t="shared" si="413"/>
        <v xml:space="preserve">N35DC   </v>
      </c>
      <c r="N3823">
        <v>1</v>
      </c>
      <c r="O3823">
        <v>1750</v>
      </c>
    </row>
    <row r="3824" spans="1:15" x14ac:dyDescent="0.25">
      <c r="A3824" t="str">
        <f>"10/21/2020 18:41:12.507"</f>
        <v>10/21/2020 18:41:12.507</v>
      </c>
      <c r="B3824" t="str">
        <f>"18:41:20.430"</f>
        <v>18:41:20.430</v>
      </c>
      <c r="C3824" t="str">
        <f>"18:41:19.630"</f>
        <v>18:41:19.630</v>
      </c>
      <c r="D3824" t="s">
        <v>1512</v>
      </c>
      <c r="E3824">
        <v>30.983419000000001</v>
      </c>
      <c r="F3824" t="s">
        <v>765</v>
      </c>
      <c r="G3824">
        <v>-89.880394999999993</v>
      </c>
      <c r="H3824">
        <v>1700</v>
      </c>
      <c r="I3824">
        <v>116</v>
      </c>
      <c r="J3824">
        <v>92</v>
      </c>
      <c r="K3824">
        <v>0</v>
      </c>
      <c r="L3824">
        <v>1200</v>
      </c>
      <c r="M3824" t="str">
        <f t="shared" si="413"/>
        <v xml:space="preserve">N35DC   </v>
      </c>
      <c r="N3824">
        <v>1</v>
      </c>
      <c r="O3824">
        <v>1750</v>
      </c>
    </row>
    <row r="3825" spans="1:15" x14ac:dyDescent="0.25">
      <c r="A3825" t="str">
        <f>"10/21/2020 18:41:12.507"</f>
        <v>10/21/2020 18:41:12.507</v>
      </c>
      <c r="B3825" t="str">
        <f>"18:41:20.430"</f>
        <v>18:41:20.430</v>
      </c>
      <c r="C3825" t="str">
        <f>"18:41:19.630"</f>
        <v>18:41:19.630</v>
      </c>
      <c r="D3825" t="s">
        <v>1512</v>
      </c>
      <c r="E3825">
        <v>30.983419000000001</v>
      </c>
      <c r="F3825" t="s">
        <v>765</v>
      </c>
      <c r="G3825">
        <v>-89.880394999999993</v>
      </c>
      <c r="H3825">
        <v>1700</v>
      </c>
      <c r="I3825">
        <v>116</v>
      </c>
      <c r="J3825">
        <v>92</v>
      </c>
      <c r="K3825">
        <v>0</v>
      </c>
      <c r="L3825">
        <v>1200</v>
      </c>
      <c r="M3825" t="str">
        <f t="shared" si="413"/>
        <v xml:space="preserve">N35DC   </v>
      </c>
      <c r="N3825">
        <v>1</v>
      </c>
      <c r="O3825">
        <v>1750</v>
      </c>
    </row>
    <row r="3826" spans="1:15" x14ac:dyDescent="0.25">
      <c r="A3826" t="str">
        <f>"10/21/2020 18:41:13.123"</f>
        <v>10/21/2020 18:41:13.123</v>
      </c>
      <c r="B3826" t="str">
        <f>"18:41:21.008"</f>
        <v>18:41:21.008</v>
      </c>
      <c r="C3826" t="str">
        <f>"18:41:21.008"</f>
        <v>18:41:21.008</v>
      </c>
      <c r="D3826" t="s">
        <v>1513</v>
      </c>
      <c r="E3826">
        <v>30.983677</v>
      </c>
      <c r="F3826" t="s">
        <v>1514</v>
      </c>
      <c r="G3826">
        <v>-89.879965999999996</v>
      </c>
      <c r="H3826">
        <v>1700</v>
      </c>
      <c r="I3826">
        <v>116</v>
      </c>
      <c r="J3826">
        <v>92</v>
      </c>
      <c r="K3826">
        <v>-64</v>
      </c>
      <c r="L3826">
        <v>1200</v>
      </c>
      <c r="M3826" t="str">
        <f t="shared" si="413"/>
        <v xml:space="preserve">N35DC   </v>
      </c>
      <c r="N3826">
        <v>1</v>
      </c>
      <c r="O3826">
        <v>1750</v>
      </c>
    </row>
    <row r="3827" spans="1:15" x14ac:dyDescent="0.25">
      <c r="A3827" t="str">
        <f>"10/21/2020 18:41:15.466"</f>
        <v>10/21/2020 18:41:15.466</v>
      </c>
      <c r="B3827" t="str">
        <f>"18:41:23.398"</f>
        <v>18:41:23.398</v>
      </c>
      <c r="C3827" t="str">
        <f>"18:41:22.998"</f>
        <v>18:41:22.998</v>
      </c>
      <c r="D3827" t="s">
        <v>1515</v>
      </c>
      <c r="E3827">
        <v>30.984663999999999</v>
      </c>
      <c r="F3827" t="s">
        <v>781</v>
      </c>
      <c r="G3827">
        <v>-89.878484999999998</v>
      </c>
      <c r="H3827">
        <v>1700</v>
      </c>
      <c r="I3827">
        <v>116</v>
      </c>
      <c r="J3827">
        <v>92</v>
      </c>
      <c r="K3827">
        <v>-128</v>
      </c>
      <c r="L3827">
        <v>1200</v>
      </c>
      <c r="M3827" t="str">
        <f t="shared" si="413"/>
        <v xml:space="preserve">N35DC   </v>
      </c>
      <c r="N3827">
        <v>1</v>
      </c>
      <c r="O3827">
        <v>1725</v>
      </c>
    </row>
    <row r="3828" spans="1:15" x14ac:dyDescent="0.25">
      <c r="A3828" t="str">
        <f>"10/21/2020 18:41:15.466"</f>
        <v>10/21/2020 18:41:15.466</v>
      </c>
      <c r="B3828" t="str">
        <f>"18:41:23.398"</f>
        <v>18:41:23.398</v>
      </c>
      <c r="C3828" t="str">
        <f>"18:41:22.998"</f>
        <v>18:41:22.998</v>
      </c>
      <c r="D3828" t="s">
        <v>1515</v>
      </c>
      <c r="E3828">
        <v>30.984663999999999</v>
      </c>
      <c r="F3828" t="s">
        <v>781</v>
      </c>
      <c r="G3828">
        <v>-89.878484999999998</v>
      </c>
      <c r="H3828">
        <v>1700</v>
      </c>
      <c r="I3828">
        <v>116</v>
      </c>
      <c r="J3828">
        <v>92</v>
      </c>
      <c r="K3828">
        <v>-128</v>
      </c>
      <c r="L3828">
        <v>1200</v>
      </c>
      <c r="M3828" t="str">
        <f t="shared" si="413"/>
        <v xml:space="preserve">N35DC   </v>
      </c>
      <c r="N3828">
        <v>1</v>
      </c>
      <c r="O3828">
        <v>1725</v>
      </c>
    </row>
    <row r="3829" spans="1:15" x14ac:dyDescent="0.25">
      <c r="A3829" t="str">
        <f>"10/21/2020 18:41:15.466"</f>
        <v>10/21/2020 18:41:15.466</v>
      </c>
      <c r="B3829" t="str">
        <f>"18:41:23.398"</f>
        <v>18:41:23.398</v>
      </c>
      <c r="C3829" t="str">
        <f>"18:41:22.998"</f>
        <v>18:41:22.998</v>
      </c>
      <c r="D3829" t="s">
        <v>1515</v>
      </c>
      <c r="E3829">
        <v>30.984663999999999</v>
      </c>
      <c r="F3829" t="s">
        <v>781</v>
      </c>
      <c r="G3829">
        <v>-89.878484999999998</v>
      </c>
      <c r="H3829">
        <v>1700</v>
      </c>
      <c r="I3829">
        <v>116</v>
      </c>
      <c r="J3829">
        <v>92</v>
      </c>
      <c r="K3829">
        <v>-128</v>
      </c>
      <c r="L3829">
        <v>1200</v>
      </c>
      <c r="M3829" t="str">
        <f t="shared" si="413"/>
        <v xml:space="preserve">N35DC   </v>
      </c>
      <c r="N3829">
        <v>1</v>
      </c>
      <c r="O3829">
        <v>1725</v>
      </c>
    </row>
    <row r="3830" spans="1:15" x14ac:dyDescent="0.25">
      <c r="A3830" t="str">
        <f>"10/21/2020 18:41:15.466"</f>
        <v>10/21/2020 18:41:15.466</v>
      </c>
      <c r="B3830" t="str">
        <f>"18:41:23.398"</f>
        <v>18:41:23.398</v>
      </c>
      <c r="C3830" t="str">
        <f>"18:41:22.998"</f>
        <v>18:41:22.998</v>
      </c>
      <c r="D3830" t="s">
        <v>1515</v>
      </c>
      <c r="E3830">
        <v>30.984663999999999</v>
      </c>
      <c r="F3830" t="s">
        <v>781</v>
      </c>
      <c r="G3830">
        <v>-89.878484999999998</v>
      </c>
      <c r="H3830">
        <v>1700</v>
      </c>
      <c r="I3830">
        <v>116</v>
      </c>
      <c r="J3830">
        <v>92</v>
      </c>
      <c r="K3830">
        <v>-128</v>
      </c>
      <c r="L3830">
        <v>1200</v>
      </c>
      <c r="M3830" t="str">
        <f t="shared" si="413"/>
        <v xml:space="preserve">N35DC   </v>
      </c>
      <c r="N3830">
        <v>1</v>
      </c>
      <c r="O3830">
        <v>1725</v>
      </c>
    </row>
    <row r="3831" spans="1:15" x14ac:dyDescent="0.25">
      <c r="A3831" t="str">
        <f>"10/21/2020 18:41:16.574"</f>
        <v>10/21/2020 18:41:16.574</v>
      </c>
      <c r="B3831" t="str">
        <f>"18:41:24.492"</f>
        <v>18:41:24.492</v>
      </c>
      <c r="C3831" t="str">
        <f>"18:41:24.092"</f>
        <v>18:41:24.092</v>
      </c>
      <c r="D3831" t="s">
        <v>1516</v>
      </c>
      <c r="E3831">
        <v>30.985157000000001</v>
      </c>
      <c r="F3831" t="s">
        <v>802</v>
      </c>
      <c r="G3831">
        <v>-89.877798999999996</v>
      </c>
      <c r="H3831">
        <v>1700</v>
      </c>
      <c r="I3831">
        <v>116</v>
      </c>
      <c r="J3831">
        <v>92</v>
      </c>
      <c r="K3831">
        <v>-128</v>
      </c>
      <c r="L3831">
        <v>1200</v>
      </c>
      <c r="M3831" t="str">
        <f t="shared" si="413"/>
        <v xml:space="preserve">N35DC   </v>
      </c>
      <c r="N3831">
        <v>1</v>
      </c>
      <c r="O3831">
        <v>1725</v>
      </c>
    </row>
    <row r="3832" spans="1:15" x14ac:dyDescent="0.25">
      <c r="A3832" t="str">
        <f>"10/21/2020 18:41:16.574"</f>
        <v>10/21/2020 18:41:16.574</v>
      </c>
      <c r="B3832" t="str">
        <f>"18:41:24.492"</f>
        <v>18:41:24.492</v>
      </c>
      <c r="C3832" t="str">
        <f>"18:41:24.092"</f>
        <v>18:41:24.092</v>
      </c>
      <c r="D3832" t="s">
        <v>1516</v>
      </c>
      <c r="E3832">
        <v>30.985157000000001</v>
      </c>
      <c r="F3832" t="s">
        <v>802</v>
      </c>
      <c r="G3832">
        <v>-89.877798999999996</v>
      </c>
      <c r="H3832">
        <v>1700</v>
      </c>
      <c r="I3832">
        <v>116</v>
      </c>
      <c r="J3832">
        <v>92</v>
      </c>
      <c r="K3832">
        <v>-128</v>
      </c>
      <c r="L3832">
        <v>1200</v>
      </c>
      <c r="M3832" t="str">
        <f t="shared" si="413"/>
        <v xml:space="preserve">N35DC   </v>
      </c>
      <c r="N3832">
        <v>1</v>
      </c>
      <c r="O3832">
        <v>1725</v>
      </c>
    </row>
    <row r="3833" spans="1:15" x14ac:dyDescent="0.25">
      <c r="A3833" t="str">
        <f>"10/21/2020 18:41:16.574"</f>
        <v>10/21/2020 18:41:16.574</v>
      </c>
      <c r="B3833" t="str">
        <f>"18:41:24.492"</f>
        <v>18:41:24.492</v>
      </c>
      <c r="C3833" t="str">
        <f>"18:41:24.092"</f>
        <v>18:41:24.092</v>
      </c>
      <c r="D3833" t="s">
        <v>1516</v>
      </c>
      <c r="E3833">
        <v>30.985157000000001</v>
      </c>
      <c r="F3833" t="s">
        <v>802</v>
      </c>
      <c r="G3833">
        <v>-89.877798999999996</v>
      </c>
      <c r="H3833">
        <v>1700</v>
      </c>
      <c r="I3833">
        <v>116</v>
      </c>
      <c r="J3833">
        <v>92</v>
      </c>
      <c r="K3833">
        <v>-128</v>
      </c>
      <c r="L3833">
        <v>1200</v>
      </c>
      <c r="M3833" t="str">
        <f t="shared" si="413"/>
        <v xml:space="preserve">N35DC   </v>
      </c>
      <c r="N3833">
        <v>1</v>
      </c>
      <c r="O3833">
        <v>1725</v>
      </c>
    </row>
    <row r="3834" spans="1:15" x14ac:dyDescent="0.25">
      <c r="A3834" t="str">
        <f>"10/21/2020 18:41:16.574"</f>
        <v>10/21/2020 18:41:16.574</v>
      </c>
      <c r="B3834" t="str">
        <f>"18:41:24.492"</f>
        <v>18:41:24.492</v>
      </c>
      <c r="C3834" t="str">
        <f>"18:41:24.092"</f>
        <v>18:41:24.092</v>
      </c>
      <c r="D3834" t="s">
        <v>1516</v>
      </c>
      <c r="E3834">
        <v>30.985157000000001</v>
      </c>
      <c r="F3834" t="s">
        <v>802</v>
      </c>
      <c r="G3834">
        <v>-89.877798999999996</v>
      </c>
      <c r="H3834">
        <v>1700</v>
      </c>
      <c r="I3834">
        <v>116</v>
      </c>
      <c r="J3834">
        <v>92</v>
      </c>
      <c r="K3834">
        <v>-128</v>
      </c>
      <c r="L3834">
        <v>1200</v>
      </c>
      <c r="M3834" t="str">
        <f t="shared" si="413"/>
        <v xml:space="preserve">N35DC   </v>
      </c>
      <c r="N3834">
        <v>1</v>
      </c>
      <c r="O3834">
        <v>1725</v>
      </c>
    </row>
    <row r="3835" spans="1:15" x14ac:dyDescent="0.25">
      <c r="A3835" t="str">
        <f>"10/21/2020 18:41:16.574"</f>
        <v>10/21/2020 18:41:16.574</v>
      </c>
      <c r="B3835" t="str">
        <f>"18:41:24.492"</f>
        <v>18:41:24.492</v>
      </c>
      <c r="C3835" t="str">
        <f>"18:41:24.092"</f>
        <v>18:41:24.092</v>
      </c>
      <c r="D3835" t="s">
        <v>1516</v>
      </c>
      <c r="E3835">
        <v>30.985157000000001</v>
      </c>
      <c r="F3835" t="s">
        <v>802</v>
      </c>
      <c r="G3835">
        <v>-89.877798999999996</v>
      </c>
      <c r="H3835">
        <v>1700</v>
      </c>
      <c r="I3835">
        <v>116</v>
      </c>
      <c r="J3835">
        <v>92</v>
      </c>
      <c r="K3835">
        <v>-128</v>
      </c>
      <c r="L3835">
        <v>1200</v>
      </c>
      <c r="M3835" t="str">
        <f t="shared" si="413"/>
        <v xml:space="preserve">N35DC   </v>
      </c>
      <c r="N3835">
        <v>1</v>
      </c>
      <c r="O3835">
        <v>1725</v>
      </c>
    </row>
    <row r="3836" spans="1:15" x14ac:dyDescent="0.25">
      <c r="A3836" t="str">
        <f>"10/21/2020 18:41:18.959"</f>
        <v>10/21/2020 18:41:18.959</v>
      </c>
      <c r="B3836" t="str">
        <f>"18:41:26.813"</f>
        <v>18:41:26.813</v>
      </c>
      <c r="C3836" t="str">
        <f>"18:41:26.613"</f>
        <v>18:41:26.613</v>
      </c>
      <c r="D3836" t="s">
        <v>1517</v>
      </c>
      <c r="E3836">
        <v>30.986122999999999</v>
      </c>
      <c r="F3836" t="s">
        <v>839</v>
      </c>
      <c r="G3836">
        <v>-89.876339000000002</v>
      </c>
      <c r="H3836">
        <v>1600</v>
      </c>
      <c r="I3836">
        <v>117</v>
      </c>
      <c r="J3836">
        <v>92</v>
      </c>
      <c r="K3836">
        <v>-256</v>
      </c>
      <c r="L3836">
        <v>1200</v>
      </c>
      <c r="M3836" t="str">
        <f t="shared" si="413"/>
        <v xml:space="preserve">N35DC   </v>
      </c>
      <c r="N3836">
        <v>1</v>
      </c>
      <c r="O3836">
        <v>1725</v>
      </c>
    </row>
    <row r="3837" spans="1:15" x14ac:dyDescent="0.25">
      <c r="A3837" t="str">
        <f>"10/21/2020 18:41:19.429"</f>
        <v>10/21/2020 18:41:19.429</v>
      </c>
      <c r="B3837" t="str">
        <f>"18:41:27.367"</f>
        <v>18:41:27.367</v>
      </c>
      <c r="C3837" t="str">
        <f>"18:41:27.167"</f>
        <v>18:41:27.167</v>
      </c>
      <c r="D3837" t="s">
        <v>1518</v>
      </c>
      <c r="E3837">
        <v>30.986381000000002</v>
      </c>
      <c r="F3837" t="s">
        <v>484</v>
      </c>
      <c r="G3837">
        <v>-89.876018000000002</v>
      </c>
      <c r="H3837">
        <v>1600</v>
      </c>
      <c r="I3837">
        <v>117</v>
      </c>
      <c r="J3837">
        <v>92</v>
      </c>
      <c r="K3837">
        <v>-256</v>
      </c>
      <c r="L3837">
        <v>1200</v>
      </c>
      <c r="M3837" t="str">
        <f t="shared" si="413"/>
        <v xml:space="preserve">N35DC   </v>
      </c>
      <c r="N3837">
        <v>1</v>
      </c>
      <c r="O3837">
        <v>1725</v>
      </c>
    </row>
    <row r="3838" spans="1:15" x14ac:dyDescent="0.25">
      <c r="A3838" t="str">
        <f>"10/21/2020 18:41:19.429"</f>
        <v>10/21/2020 18:41:19.429</v>
      </c>
      <c r="B3838" t="str">
        <f>"18:41:27.367"</f>
        <v>18:41:27.367</v>
      </c>
      <c r="C3838" t="str">
        <f>"18:41:27.167"</f>
        <v>18:41:27.167</v>
      </c>
      <c r="D3838" t="s">
        <v>1518</v>
      </c>
      <c r="E3838">
        <v>30.986381000000002</v>
      </c>
      <c r="F3838" t="s">
        <v>484</v>
      </c>
      <c r="G3838">
        <v>-89.876018000000002</v>
      </c>
      <c r="H3838">
        <v>1600</v>
      </c>
      <c r="I3838">
        <v>117</v>
      </c>
      <c r="J3838">
        <v>92</v>
      </c>
      <c r="K3838">
        <v>-256</v>
      </c>
      <c r="L3838">
        <v>1200</v>
      </c>
      <c r="M3838" t="str">
        <f t="shared" si="413"/>
        <v xml:space="preserve">N35DC   </v>
      </c>
      <c r="N3838">
        <v>1</v>
      </c>
      <c r="O3838">
        <v>1725</v>
      </c>
    </row>
    <row r="3839" spans="1:15" x14ac:dyDescent="0.25">
      <c r="A3839" t="str">
        <f>"10/21/2020 18:41:19.429"</f>
        <v>10/21/2020 18:41:19.429</v>
      </c>
      <c r="B3839" t="str">
        <f>"18:41:27.367"</f>
        <v>18:41:27.367</v>
      </c>
      <c r="C3839" t="str">
        <f>"18:41:27.167"</f>
        <v>18:41:27.167</v>
      </c>
      <c r="D3839" t="s">
        <v>1518</v>
      </c>
      <c r="E3839">
        <v>30.986381000000002</v>
      </c>
      <c r="F3839" t="s">
        <v>484</v>
      </c>
      <c r="G3839">
        <v>-89.876018000000002</v>
      </c>
      <c r="H3839">
        <v>1600</v>
      </c>
      <c r="I3839">
        <v>117</v>
      </c>
      <c r="J3839">
        <v>92</v>
      </c>
      <c r="K3839">
        <v>-256</v>
      </c>
      <c r="L3839">
        <v>1200</v>
      </c>
      <c r="M3839" t="str">
        <f t="shared" si="413"/>
        <v xml:space="preserve">N35DC   </v>
      </c>
      <c r="N3839">
        <v>1</v>
      </c>
      <c r="O3839">
        <v>1725</v>
      </c>
    </row>
    <row r="3840" spans="1:15" x14ac:dyDescent="0.25">
      <c r="A3840" t="str">
        <f>"10/21/2020 18:41:19.961"</f>
        <v>10/21/2020 18:41:19.961</v>
      </c>
      <c r="B3840" t="str">
        <f>"18:41:27.852"</f>
        <v>18:41:27.852</v>
      </c>
      <c r="C3840" t="str">
        <f>"18:41:27.152"</f>
        <v>18:41:27.152</v>
      </c>
      <c r="D3840" t="s">
        <v>1519</v>
      </c>
      <c r="E3840">
        <v>30.986574000000001</v>
      </c>
      <c r="F3840" t="s">
        <v>848</v>
      </c>
      <c r="G3840">
        <v>-89.875696000000005</v>
      </c>
      <c r="H3840">
        <v>1600</v>
      </c>
      <c r="I3840">
        <v>117</v>
      </c>
      <c r="J3840">
        <v>92</v>
      </c>
      <c r="K3840">
        <v>-256</v>
      </c>
      <c r="L3840">
        <v>1200</v>
      </c>
      <c r="M3840" t="str">
        <f t="shared" si="413"/>
        <v xml:space="preserve">N35DC   </v>
      </c>
      <c r="N3840">
        <v>1</v>
      </c>
      <c r="O3840">
        <v>1725</v>
      </c>
    </row>
    <row r="3841" spans="1:15" x14ac:dyDescent="0.25">
      <c r="A3841" t="str">
        <f>"10/21/2020 18:41:20.490"</f>
        <v>10/21/2020 18:41:20.490</v>
      </c>
      <c r="B3841" t="str">
        <f>"18:41:28.375"</f>
        <v>18:41:28.375</v>
      </c>
      <c r="C3841" t="str">
        <f>"18:41:28.275"</f>
        <v>18:41:28.275</v>
      </c>
      <c r="D3841" t="s">
        <v>1520</v>
      </c>
      <c r="E3841">
        <v>30.986788000000001</v>
      </c>
      <c r="F3841" t="s">
        <v>1521</v>
      </c>
      <c r="G3841">
        <v>-89.875352000000007</v>
      </c>
      <c r="H3841">
        <v>1600</v>
      </c>
      <c r="I3841">
        <v>118</v>
      </c>
      <c r="J3841">
        <v>92</v>
      </c>
      <c r="K3841">
        <v>-128</v>
      </c>
      <c r="L3841">
        <v>1200</v>
      </c>
      <c r="M3841" t="str">
        <f t="shared" si="413"/>
        <v xml:space="preserve">N35DC   </v>
      </c>
      <c r="N3841">
        <v>1</v>
      </c>
      <c r="O3841">
        <v>1725</v>
      </c>
    </row>
    <row r="3842" spans="1:15" x14ac:dyDescent="0.25">
      <c r="A3842" t="str">
        <f>"10/21/2020 18:41:20.490"</f>
        <v>10/21/2020 18:41:20.490</v>
      </c>
      <c r="B3842" t="str">
        <f>"18:41:28.375"</f>
        <v>18:41:28.375</v>
      </c>
      <c r="C3842" t="str">
        <f>"18:41:28.275"</f>
        <v>18:41:28.275</v>
      </c>
      <c r="D3842" t="s">
        <v>1520</v>
      </c>
      <c r="E3842">
        <v>30.986788000000001</v>
      </c>
      <c r="F3842" t="s">
        <v>1521</v>
      </c>
      <c r="G3842">
        <v>-89.875352000000007</v>
      </c>
      <c r="H3842">
        <v>1600</v>
      </c>
      <c r="I3842">
        <v>118</v>
      </c>
      <c r="J3842">
        <v>92</v>
      </c>
      <c r="K3842">
        <v>-128</v>
      </c>
      <c r="L3842">
        <v>1200</v>
      </c>
      <c r="M3842" t="str">
        <f t="shared" si="413"/>
        <v xml:space="preserve">N35DC   </v>
      </c>
      <c r="N3842">
        <v>1</v>
      </c>
      <c r="O3842">
        <v>1725</v>
      </c>
    </row>
    <row r="3843" spans="1:15" x14ac:dyDescent="0.25">
      <c r="A3843" t="str">
        <f>"10/21/2020 18:41:20.490"</f>
        <v>10/21/2020 18:41:20.490</v>
      </c>
      <c r="B3843" t="str">
        <f>"18:41:28.375"</f>
        <v>18:41:28.375</v>
      </c>
      <c r="C3843" t="str">
        <f>"18:41:28.275"</f>
        <v>18:41:28.275</v>
      </c>
      <c r="D3843" t="s">
        <v>1520</v>
      </c>
      <c r="E3843">
        <v>30.986788000000001</v>
      </c>
      <c r="F3843" t="s">
        <v>1521</v>
      </c>
      <c r="G3843">
        <v>-89.875352000000007</v>
      </c>
      <c r="H3843">
        <v>1600</v>
      </c>
      <c r="I3843">
        <v>118</v>
      </c>
      <c r="J3843">
        <v>92</v>
      </c>
      <c r="K3843">
        <v>-128</v>
      </c>
      <c r="L3843">
        <v>1200</v>
      </c>
      <c r="M3843" t="str">
        <f t="shared" si="413"/>
        <v xml:space="preserve">N35DC   </v>
      </c>
      <c r="N3843">
        <v>1</v>
      </c>
      <c r="O3843">
        <v>1725</v>
      </c>
    </row>
    <row r="3844" spans="1:15" x14ac:dyDescent="0.25">
      <c r="A3844" t="str">
        <f>"10/21/2020 18:41:20.490"</f>
        <v>10/21/2020 18:41:20.490</v>
      </c>
      <c r="B3844" t="str">
        <f>"18:41:28.375"</f>
        <v>18:41:28.375</v>
      </c>
      <c r="C3844" t="str">
        <f>"18:41:28.275"</f>
        <v>18:41:28.275</v>
      </c>
      <c r="D3844" t="s">
        <v>1520</v>
      </c>
      <c r="E3844">
        <v>30.986788000000001</v>
      </c>
      <c r="F3844" t="s">
        <v>1521</v>
      </c>
      <c r="G3844">
        <v>-89.875352000000007</v>
      </c>
      <c r="H3844">
        <v>1600</v>
      </c>
      <c r="I3844">
        <v>118</v>
      </c>
      <c r="J3844">
        <v>92</v>
      </c>
      <c r="K3844">
        <v>-128</v>
      </c>
      <c r="L3844">
        <v>1200</v>
      </c>
      <c r="M3844" t="str">
        <f t="shared" si="413"/>
        <v xml:space="preserve">N35DC   </v>
      </c>
      <c r="N3844">
        <v>1</v>
      </c>
      <c r="O3844">
        <v>1725</v>
      </c>
    </row>
    <row r="3845" spans="1:15" x14ac:dyDescent="0.25">
      <c r="A3845" t="str">
        <f>"10/21/2020 18:41:22.406"</f>
        <v>10/21/2020 18:41:22.406</v>
      </c>
      <c r="B3845" t="str">
        <f>"18:41:30.344"</f>
        <v>18:41:30.344</v>
      </c>
      <c r="C3845" t="str">
        <f>"18:41:30.144"</f>
        <v>18:41:30.144</v>
      </c>
      <c r="D3845" t="s">
        <v>1522</v>
      </c>
      <c r="E3845">
        <v>30.987646999999999</v>
      </c>
      <c r="F3845" t="s">
        <v>874</v>
      </c>
      <c r="G3845">
        <v>-89.874086000000005</v>
      </c>
      <c r="H3845">
        <v>1600</v>
      </c>
      <c r="I3845">
        <v>119</v>
      </c>
      <c r="J3845">
        <v>91</v>
      </c>
      <c r="K3845">
        <v>-64</v>
      </c>
      <c r="L3845">
        <v>1200</v>
      </c>
      <c r="M3845" t="str">
        <f t="shared" si="413"/>
        <v xml:space="preserve">N35DC   </v>
      </c>
      <c r="N3845">
        <v>1</v>
      </c>
      <c r="O3845">
        <v>1725</v>
      </c>
    </row>
    <row r="3846" spans="1:15" x14ac:dyDescent="0.25">
      <c r="A3846" t="str">
        <f>"10/21/2020 18:41:22.406"</f>
        <v>10/21/2020 18:41:22.406</v>
      </c>
      <c r="B3846" t="str">
        <f>"18:41:30.344"</f>
        <v>18:41:30.344</v>
      </c>
      <c r="C3846" t="str">
        <f>"18:41:30.144"</f>
        <v>18:41:30.144</v>
      </c>
      <c r="D3846" t="s">
        <v>1522</v>
      </c>
      <c r="E3846">
        <v>30.987646999999999</v>
      </c>
      <c r="F3846" t="s">
        <v>874</v>
      </c>
      <c r="G3846">
        <v>-89.874086000000005</v>
      </c>
      <c r="H3846">
        <v>1600</v>
      </c>
      <c r="I3846">
        <v>119</v>
      </c>
      <c r="J3846">
        <v>91</v>
      </c>
      <c r="K3846">
        <v>-64</v>
      </c>
      <c r="L3846">
        <v>1200</v>
      </c>
      <c r="M3846" t="str">
        <f t="shared" si="413"/>
        <v xml:space="preserve">N35DC   </v>
      </c>
      <c r="N3846">
        <v>1</v>
      </c>
      <c r="O3846">
        <v>1725</v>
      </c>
    </row>
    <row r="3847" spans="1:15" x14ac:dyDescent="0.25">
      <c r="A3847" t="str">
        <f>"10/21/2020 18:41:22.406"</f>
        <v>10/21/2020 18:41:22.406</v>
      </c>
      <c r="B3847" t="str">
        <f>"18:41:30.344"</f>
        <v>18:41:30.344</v>
      </c>
      <c r="C3847" t="str">
        <f>"18:41:30.144"</f>
        <v>18:41:30.144</v>
      </c>
      <c r="D3847" t="s">
        <v>1522</v>
      </c>
      <c r="E3847">
        <v>30.987646999999999</v>
      </c>
      <c r="F3847" t="s">
        <v>874</v>
      </c>
      <c r="G3847">
        <v>-89.874086000000005</v>
      </c>
      <c r="H3847">
        <v>1600</v>
      </c>
      <c r="I3847">
        <v>119</v>
      </c>
      <c r="J3847">
        <v>91</v>
      </c>
      <c r="K3847">
        <v>-64</v>
      </c>
      <c r="L3847">
        <v>1200</v>
      </c>
      <c r="M3847" t="str">
        <f t="shared" ref="M3847:M3910" si="414">"N35DC   "</f>
        <v xml:space="preserve">N35DC   </v>
      </c>
      <c r="N3847">
        <v>1</v>
      </c>
      <c r="O3847">
        <v>1725</v>
      </c>
    </row>
    <row r="3848" spans="1:15" x14ac:dyDescent="0.25">
      <c r="A3848" t="str">
        <f>"10/21/2020 18:41:22.406"</f>
        <v>10/21/2020 18:41:22.406</v>
      </c>
      <c r="B3848" t="str">
        <f>"18:41:30.344"</f>
        <v>18:41:30.344</v>
      </c>
      <c r="C3848" t="str">
        <f>"18:41:30.144"</f>
        <v>18:41:30.144</v>
      </c>
      <c r="D3848" t="s">
        <v>1522</v>
      </c>
      <c r="E3848">
        <v>30.987646999999999</v>
      </c>
      <c r="F3848" t="s">
        <v>874</v>
      </c>
      <c r="G3848">
        <v>-89.874086000000005</v>
      </c>
      <c r="H3848">
        <v>1600</v>
      </c>
      <c r="I3848">
        <v>119</v>
      </c>
      <c r="J3848">
        <v>91</v>
      </c>
      <c r="K3848">
        <v>-64</v>
      </c>
      <c r="L3848">
        <v>1200</v>
      </c>
      <c r="M3848" t="str">
        <f t="shared" si="414"/>
        <v xml:space="preserve">N35DC   </v>
      </c>
      <c r="N3848">
        <v>1</v>
      </c>
      <c r="O3848">
        <v>1725</v>
      </c>
    </row>
    <row r="3849" spans="1:15" x14ac:dyDescent="0.25">
      <c r="A3849" t="str">
        <f>"10/21/2020 18:41:23.040"</f>
        <v>10/21/2020 18:41:23.040</v>
      </c>
      <c r="B3849" t="str">
        <f>"18:41:30.938"</f>
        <v>18:41:30.938</v>
      </c>
      <c r="C3849" t="str">
        <f>"18:41:30.637"</f>
        <v>18:41:30.637</v>
      </c>
      <c r="D3849" t="s">
        <v>1523</v>
      </c>
      <c r="E3849">
        <v>30.987904</v>
      </c>
      <c r="F3849" t="s">
        <v>705</v>
      </c>
      <c r="G3849">
        <v>-89.873765000000006</v>
      </c>
      <c r="H3849">
        <v>1600</v>
      </c>
      <c r="I3849">
        <v>119</v>
      </c>
      <c r="J3849">
        <v>91</v>
      </c>
      <c r="K3849">
        <v>0</v>
      </c>
      <c r="L3849">
        <v>1200</v>
      </c>
      <c r="M3849" t="str">
        <f t="shared" si="414"/>
        <v xml:space="preserve">N35DC   </v>
      </c>
      <c r="N3849">
        <v>1</v>
      </c>
      <c r="O3849">
        <v>1725</v>
      </c>
    </row>
    <row r="3850" spans="1:15" x14ac:dyDescent="0.25">
      <c r="A3850" t="str">
        <f>"10/21/2020 18:41:23.417"</f>
        <v>10/21/2020 18:41:23.417</v>
      </c>
      <c r="B3850" t="str">
        <f>"18:41:31.344"</f>
        <v>18:41:31.344</v>
      </c>
      <c r="C3850" t="str">
        <f>"18:41:31.144"</f>
        <v>18:41:31.144</v>
      </c>
      <c r="D3850" t="s">
        <v>1524</v>
      </c>
      <c r="E3850">
        <v>30.988033000000001</v>
      </c>
      <c r="F3850" t="s">
        <v>1525</v>
      </c>
      <c r="G3850">
        <v>-89.873486</v>
      </c>
      <c r="H3850">
        <v>1600</v>
      </c>
      <c r="I3850">
        <v>119</v>
      </c>
      <c r="J3850">
        <v>90</v>
      </c>
      <c r="K3850">
        <v>0</v>
      </c>
      <c r="L3850">
        <v>1200</v>
      </c>
      <c r="M3850" t="str">
        <f t="shared" si="414"/>
        <v xml:space="preserve">N35DC   </v>
      </c>
      <c r="N3850">
        <v>1</v>
      </c>
      <c r="O3850">
        <v>1725</v>
      </c>
    </row>
    <row r="3851" spans="1:15" x14ac:dyDescent="0.25">
      <c r="A3851" t="str">
        <f>"10/21/2020 18:41:23.417"</f>
        <v>10/21/2020 18:41:23.417</v>
      </c>
      <c r="B3851" t="str">
        <f>"18:41:31.344"</f>
        <v>18:41:31.344</v>
      </c>
      <c r="C3851" t="str">
        <f>"18:41:31.144"</f>
        <v>18:41:31.144</v>
      </c>
      <c r="D3851" t="s">
        <v>1524</v>
      </c>
      <c r="E3851">
        <v>30.988033000000001</v>
      </c>
      <c r="F3851" t="s">
        <v>1525</v>
      </c>
      <c r="G3851">
        <v>-89.873486</v>
      </c>
      <c r="H3851">
        <v>1600</v>
      </c>
      <c r="I3851">
        <v>119</v>
      </c>
      <c r="J3851">
        <v>90</v>
      </c>
      <c r="K3851">
        <v>0</v>
      </c>
      <c r="L3851">
        <v>1200</v>
      </c>
      <c r="M3851" t="str">
        <f t="shared" si="414"/>
        <v xml:space="preserve">N35DC   </v>
      </c>
      <c r="N3851">
        <v>1</v>
      </c>
      <c r="O3851">
        <v>1725</v>
      </c>
    </row>
    <row r="3852" spans="1:15" x14ac:dyDescent="0.25">
      <c r="A3852" t="str">
        <f>"10/21/2020 18:41:23.417"</f>
        <v>10/21/2020 18:41:23.417</v>
      </c>
      <c r="B3852" t="str">
        <f>"18:41:31.344"</f>
        <v>18:41:31.344</v>
      </c>
      <c r="C3852" t="str">
        <f>"18:41:31.144"</f>
        <v>18:41:31.144</v>
      </c>
      <c r="D3852" t="s">
        <v>1524</v>
      </c>
      <c r="E3852">
        <v>30.988033000000001</v>
      </c>
      <c r="F3852" t="s">
        <v>1525</v>
      </c>
      <c r="G3852">
        <v>-89.873486</v>
      </c>
      <c r="H3852">
        <v>1600</v>
      </c>
      <c r="I3852">
        <v>119</v>
      </c>
      <c r="J3852">
        <v>90</v>
      </c>
      <c r="K3852">
        <v>0</v>
      </c>
      <c r="L3852">
        <v>1200</v>
      </c>
      <c r="M3852" t="str">
        <f t="shared" si="414"/>
        <v xml:space="preserve">N35DC   </v>
      </c>
      <c r="N3852">
        <v>1</v>
      </c>
      <c r="O3852">
        <v>1725</v>
      </c>
    </row>
    <row r="3853" spans="1:15" x14ac:dyDescent="0.25">
      <c r="A3853" t="str">
        <f>"10/21/2020 18:41:23.417"</f>
        <v>10/21/2020 18:41:23.417</v>
      </c>
      <c r="B3853" t="str">
        <f>"18:41:31.344"</f>
        <v>18:41:31.344</v>
      </c>
      <c r="C3853" t="str">
        <f>"18:41:31.144"</f>
        <v>18:41:31.144</v>
      </c>
      <c r="D3853" t="s">
        <v>1524</v>
      </c>
      <c r="E3853">
        <v>30.988033000000001</v>
      </c>
      <c r="F3853" t="s">
        <v>1525</v>
      </c>
      <c r="G3853">
        <v>-89.873486</v>
      </c>
      <c r="H3853">
        <v>1600</v>
      </c>
      <c r="I3853">
        <v>119</v>
      </c>
      <c r="J3853">
        <v>90</v>
      </c>
      <c r="K3853">
        <v>0</v>
      </c>
      <c r="L3853">
        <v>1200</v>
      </c>
      <c r="M3853" t="str">
        <f t="shared" si="414"/>
        <v xml:space="preserve">N35DC   </v>
      </c>
      <c r="N3853">
        <v>1</v>
      </c>
      <c r="O3853">
        <v>1725</v>
      </c>
    </row>
    <row r="3854" spans="1:15" x14ac:dyDescent="0.25">
      <c r="A3854" t="str">
        <f>"10/21/2020 18:41:26.516"</f>
        <v>10/21/2020 18:41:26.516</v>
      </c>
      <c r="B3854" t="str">
        <f>"18:41:34.438"</f>
        <v>18:41:34.438</v>
      </c>
      <c r="C3854" t="str">
        <f>"18:41:34.038"</f>
        <v>18:41:34.038</v>
      </c>
      <c r="D3854" t="s">
        <v>1526</v>
      </c>
      <c r="E3854">
        <v>30.989319999999999</v>
      </c>
      <c r="F3854" t="s">
        <v>899</v>
      </c>
      <c r="G3854">
        <v>-89.871510999999998</v>
      </c>
      <c r="H3854">
        <v>1600</v>
      </c>
      <c r="I3854">
        <v>120</v>
      </c>
      <c r="J3854">
        <v>89</v>
      </c>
      <c r="K3854">
        <v>128</v>
      </c>
      <c r="L3854">
        <v>1200</v>
      </c>
      <c r="M3854" t="str">
        <f t="shared" si="414"/>
        <v xml:space="preserve">N35DC   </v>
      </c>
      <c r="N3854">
        <v>1</v>
      </c>
      <c r="O3854">
        <v>1725</v>
      </c>
    </row>
    <row r="3855" spans="1:15" x14ac:dyDescent="0.25">
      <c r="A3855" t="str">
        <f>"10/21/2020 18:41:26.516"</f>
        <v>10/21/2020 18:41:26.516</v>
      </c>
      <c r="B3855" t="str">
        <f>"18:41:34.438"</f>
        <v>18:41:34.438</v>
      </c>
      <c r="C3855" t="str">
        <f>"18:41:34.038"</f>
        <v>18:41:34.038</v>
      </c>
      <c r="D3855" t="s">
        <v>1526</v>
      </c>
      <c r="E3855">
        <v>30.989319999999999</v>
      </c>
      <c r="F3855" t="s">
        <v>899</v>
      </c>
      <c r="G3855">
        <v>-89.871510999999998</v>
      </c>
      <c r="H3855">
        <v>1600</v>
      </c>
      <c r="I3855">
        <v>120</v>
      </c>
      <c r="J3855">
        <v>89</v>
      </c>
      <c r="K3855">
        <v>128</v>
      </c>
      <c r="L3855">
        <v>1200</v>
      </c>
      <c r="M3855" t="str">
        <f t="shared" si="414"/>
        <v xml:space="preserve">N35DC   </v>
      </c>
      <c r="N3855">
        <v>1</v>
      </c>
      <c r="O3855">
        <v>1725</v>
      </c>
    </row>
    <row r="3856" spans="1:15" x14ac:dyDescent="0.25">
      <c r="A3856" t="str">
        <f>"10/21/2020 18:41:26.516"</f>
        <v>10/21/2020 18:41:26.516</v>
      </c>
      <c r="B3856" t="str">
        <f>"18:41:34.438"</f>
        <v>18:41:34.438</v>
      </c>
      <c r="C3856" t="str">
        <f>"18:41:34.038"</f>
        <v>18:41:34.038</v>
      </c>
      <c r="D3856" t="s">
        <v>1526</v>
      </c>
      <c r="E3856">
        <v>30.989319999999999</v>
      </c>
      <c r="F3856" t="s">
        <v>899</v>
      </c>
      <c r="G3856">
        <v>-89.871510999999998</v>
      </c>
      <c r="H3856">
        <v>1600</v>
      </c>
      <c r="I3856">
        <v>120</v>
      </c>
      <c r="J3856">
        <v>89</v>
      </c>
      <c r="K3856">
        <v>128</v>
      </c>
      <c r="L3856">
        <v>1200</v>
      </c>
      <c r="M3856" t="str">
        <f t="shared" si="414"/>
        <v xml:space="preserve">N35DC   </v>
      </c>
      <c r="N3856">
        <v>1</v>
      </c>
      <c r="O3856">
        <v>1725</v>
      </c>
    </row>
    <row r="3857" spans="1:15" x14ac:dyDescent="0.25">
      <c r="A3857" t="str">
        <f>"10/21/2020 18:41:26.516"</f>
        <v>10/21/2020 18:41:26.516</v>
      </c>
      <c r="B3857" t="str">
        <f>"18:41:34.438"</f>
        <v>18:41:34.438</v>
      </c>
      <c r="C3857" t="str">
        <f>"18:41:34.038"</f>
        <v>18:41:34.038</v>
      </c>
      <c r="D3857" t="s">
        <v>1526</v>
      </c>
      <c r="E3857">
        <v>30.989319999999999</v>
      </c>
      <c r="F3857" t="s">
        <v>899</v>
      </c>
      <c r="G3857">
        <v>-89.871510999999998</v>
      </c>
      <c r="H3857">
        <v>1600</v>
      </c>
      <c r="I3857">
        <v>120</v>
      </c>
      <c r="J3857">
        <v>89</v>
      </c>
      <c r="K3857">
        <v>128</v>
      </c>
      <c r="L3857">
        <v>1200</v>
      </c>
      <c r="M3857" t="str">
        <f t="shared" si="414"/>
        <v xml:space="preserve">N35DC   </v>
      </c>
      <c r="N3857">
        <v>1</v>
      </c>
      <c r="O3857">
        <v>1725</v>
      </c>
    </row>
    <row r="3858" spans="1:15" x14ac:dyDescent="0.25">
      <c r="A3858" t="str">
        <f>"10/21/2020 18:41:26.516"</f>
        <v>10/21/2020 18:41:26.516</v>
      </c>
      <c r="B3858" t="str">
        <f>"18:41:34.438"</f>
        <v>18:41:34.438</v>
      </c>
      <c r="C3858" t="str">
        <f>"18:41:34.038"</f>
        <v>18:41:34.038</v>
      </c>
      <c r="D3858" t="s">
        <v>1526</v>
      </c>
      <c r="E3858">
        <v>30.989319999999999</v>
      </c>
      <c r="F3858" t="s">
        <v>899</v>
      </c>
      <c r="G3858">
        <v>-89.871510999999998</v>
      </c>
      <c r="H3858">
        <v>1600</v>
      </c>
      <c r="I3858">
        <v>120</v>
      </c>
      <c r="J3858">
        <v>89</v>
      </c>
      <c r="K3858">
        <v>128</v>
      </c>
      <c r="L3858">
        <v>1200</v>
      </c>
      <c r="M3858" t="str">
        <f t="shared" si="414"/>
        <v xml:space="preserve">N35DC   </v>
      </c>
      <c r="N3858">
        <v>1</v>
      </c>
      <c r="O3858">
        <v>1725</v>
      </c>
    </row>
    <row r="3859" spans="1:15" x14ac:dyDescent="0.25">
      <c r="A3859" t="str">
        <f>"10/21/2020 18:41:27.427"</f>
        <v>10/21/2020 18:41:27.427</v>
      </c>
      <c r="B3859" t="str">
        <f>"18:41:35.383"</f>
        <v>18:41:35.383</v>
      </c>
      <c r="C3859" t="str">
        <f>"18:41:34.583"</f>
        <v>18:41:34.583</v>
      </c>
      <c r="D3859" t="s">
        <v>1527</v>
      </c>
      <c r="E3859">
        <v>30.989727999999999</v>
      </c>
      <c r="F3859" t="s">
        <v>965</v>
      </c>
      <c r="G3859">
        <v>-89.870846</v>
      </c>
      <c r="H3859">
        <v>1700</v>
      </c>
      <c r="I3859">
        <v>120</v>
      </c>
      <c r="J3859">
        <v>89</v>
      </c>
      <c r="K3859">
        <v>192</v>
      </c>
      <c r="L3859">
        <v>1200</v>
      </c>
      <c r="M3859" t="str">
        <f t="shared" si="414"/>
        <v xml:space="preserve">N35DC   </v>
      </c>
      <c r="N3859">
        <v>1</v>
      </c>
      <c r="O3859">
        <v>1725</v>
      </c>
    </row>
    <row r="3860" spans="1:15" x14ac:dyDescent="0.25">
      <c r="A3860" t="str">
        <f>"10/21/2020 18:41:27.427"</f>
        <v>10/21/2020 18:41:27.427</v>
      </c>
      <c r="B3860" t="str">
        <f>"18:41:35.383"</f>
        <v>18:41:35.383</v>
      </c>
      <c r="C3860" t="str">
        <f>"18:41:34.583"</f>
        <v>18:41:34.583</v>
      </c>
      <c r="D3860" t="s">
        <v>1527</v>
      </c>
      <c r="E3860">
        <v>30.989727999999999</v>
      </c>
      <c r="F3860" t="s">
        <v>965</v>
      </c>
      <c r="G3860">
        <v>-89.870846</v>
      </c>
      <c r="H3860">
        <v>1700</v>
      </c>
      <c r="I3860">
        <v>120</v>
      </c>
      <c r="J3860">
        <v>89</v>
      </c>
      <c r="K3860">
        <v>192</v>
      </c>
      <c r="L3860">
        <v>1200</v>
      </c>
      <c r="M3860" t="str">
        <f t="shared" si="414"/>
        <v xml:space="preserve">N35DC   </v>
      </c>
      <c r="N3860">
        <v>1</v>
      </c>
      <c r="O3860">
        <v>1725</v>
      </c>
    </row>
    <row r="3861" spans="1:15" x14ac:dyDescent="0.25">
      <c r="A3861" t="str">
        <f>"10/21/2020 18:41:27.427"</f>
        <v>10/21/2020 18:41:27.427</v>
      </c>
      <c r="B3861" t="str">
        <f>"18:41:35.383"</f>
        <v>18:41:35.383</v>
      </c>
      <c r="C3861" t="str">
        <f>"18:41:34.583"</f>
        <v>18:41:34.583</v>
      </c>
      <c r="D3861" t="s">
        <v>1527</v>
      </c>
      <c r="E3861">
        <v>30.989727999999999</v>
      </c>
      <c r="F3861" t="s">
        <v>965</v>
      </c>
      <c r="G3861">
        <v>-89.870846</v>
      </c>
      <c r="H3861">
        <v>1700</v>
      </c>
      <c r="I3861">
        <v>120</v>
      </c>
      <c r="J3861">
        <v>89</v>
      </c>
      <c r="K3861">
        <v>192</v>
      </c>
      <c r="L3861">
        <v>1200</v>
      </c>
      <c r="M3861" t="str">
        <f t="shared" si="414"/>
        <v xml:space="preserve">N35DC   </v>
      </c>
      <c r="N3861">
        <v>1</v>
      </c>
      <c r="O3861">
        <v>1725</v>
      </c>
    </row>
    <row r="3862" spans="1:15" x14ac:dyDescent="0.25">
      <c r="A3862" t="str">
        <f>"10/21/2020 18:41:27.427"</f>
        <v>10/21/2020 18:41:27.427</v>
      </c>
      <c r="B3862" t="str">
        <f>"18:41:35.383"</f>
        <v>18:41:35.383</v>
      </c>
      <c r="C3862" t="str">
        <f>"18:41:34.583"</f>
        <v>18:41:34.583</v>
      </c>
      <c r="D3862" t="s">
        <v>1527</v>
      </c>
      <c r="E3862">
        <v>30.989727999999999</v>
      </c>
      <c r="F3862" t="s">
        <v>965</v>
      </c>
      <c r="G3862">
        <v>-89.870846</v>
      </c>
      <c r="H3862">
        <v>1700</v>
      </c>
      <c r="I3862">
        <v>120</v>
      </c>
      <c r="J3862">
        <v>89</v>
      </c>
      <c r="K3862">
        <v>192</v>
      </c>
      <c r="L3862">
        <v>1200</v>
      </c>
      <c r="M3862" t="str">
        <f t="shared" si="414"/>
        <v xml:space="preserve">N35DC   </v>
      </c>
      <c r="N3862">
        <v>1</v>
      </c>
      <c r="O3862">
        <v>1725</v>
      </c>
    </row>
    <row r="3863" spans="1:15" x14ac:dyDescent="0.25">
      <c r="A3863" t="str">
        <f>"10/21/2020 18:41:29.563"</f>
        <v>10/21/2020 18:41:29.563</v>
      </c>
      <c r="B3863" t="str">
        <f>"18:41:37.477"</f>
        <v>18:41:37.477</v>
      </c>
      <c r="C3863" t="str">
        <f>"18:41:37.077"</f>
        <v>18:41:37.077</v>
      </c>
      <c r="D3863" t="s">
        <v>1528</v>
      </c>
      <c r="E3863">
        <v>30.990565</v>
      </c>
      <c r="F3863" t="s">
        <v>1057</v>
      </c>
      <c r="G3863">
        <v>-89.869472999999999</v>
      </c>
      <c r="H3863">
        <v>1700</v>
      </c>
      <c r="I3863">
        <v>119</v>
      </c>
      <c r="J3863">
        <v>90</v>
      </c>
      <c r="K3863">
        <v>128</v>
      </c>
      <c r="L3863">
        <v>1200</v>
      </c>
      <c r="M3863" t="str">
        <f t="shared" si="414"/>
        <v xml:space="preserve">N35DC   </v>
      </c>
      <c r="N3863">
        <v>1</v>
      </c>
      <c r="O3863">
        <v>1725</v>
      </c>
    </row>
    <row r="3864" spans="1:15" x14ac:dyDescent="0.25">
      <c r="A3864" t="str">
        <f>"10/21/2020 18:41:29.563"</f>
        <v>10/21/2020 18:41:29.563</v>
      </c>
      <c r="B3864" t="str">
        <f>"18:41:37.477"</f>
        <v>18:41:37.477</v>
      </c>
      <c r="C3864" t="str">
        <f>"18:41:37.077"</f>
        <v>18:41:37.077</v>
      </c>
      <c r="D3864" t="s">
        <v>1528</v>
      </c>
      <c r="E3864">
        <v>30.990565</v>
      </c>
      <c r="F3864" t="s">
        <v>1057</v>
      </c>
      <c r="G3864">
        <v>-89.869472999999999</v>
      </c>
      <c r="H3864">
        <v>1700</v>
      </c>
      <c r="I3864">
        <v>119</v>
      </c>
      <c r="J3864">
        <v>90</v>
      </c>
      <c r="K3864">
        <v>128</v>
      </c>
      <c r="L3864">
        <v>1200</v>
      </c>
      <c r="M3864" t="str">
        <f t="shared" si="414"/>
        <v xml:space="preserve">N35DC   </v>
      </c>
      <c r="N3864">
        <v>1</v>
      </c>
      <c r="O3864">
        <v>1725</v>
      </c>
    </row>
    <row r="3865" spans="1:15" x14ac:dyDescent="0.25">
      <c r="A3865" t="str">
        <f>"10/21/2020 18:41:29.563"</f>
        <v>10/21/2020 18:41:29.563</v>
      </c>
      <c r="B3865" t="str">
        <f>"18:41:37.477"</f>
        <v>18:41:37.477</v>
      </c>
      <c r="C3865" t="str">
        <f>"18:41:37.077"</f>
        <v>18:41:37.077</v>
      </c>
      <c r="D3865" t="s">
        <v>1528</v>
      </c>
      <c r="E3865">
        <v>30.990565</v>
      </c>
      <c r="F3865" t="s">
        <v>1057</v>
      </c>
      <c r="G3865">
        <v>-89.869472999999999</v>
      </c>
      <c r="H3865">
        <v>1700</v>
      </c>
      <c r="I3865">
        <v>119</v>
      </c>
      <c r="J3865">
        <v>90</v>
      </c>
      <c r="K3865">
        <v>128</v>
      </c>
      <c r="L3865">
        <v>1200</v>
      </c>
      <c r="M3865" t="str">
        <f t="shared" si="414"/>
        <v xml:space="preserve">N35DC   </v>
      </c>
      <c r="N3865">
        <v>1</v>
      </c>
      <c r="O3865">
        <v>1725</v>
      </c>
    </row>
    <row r="3866" spans="1:15" x14ac:dyDescent="0.25">
      <c r="A3866" t="str">
        <f>"10/21/2020 18:41:29.563"</f>
        <v>10/21/2020 18:41:29.563</v>
      </c>
      <c r="B3866" t="str">
        <f>"18:41:37.477"</f>
        <v>18:41:37.477</v>
      </c>
      <c r="C3866" t="str">
        <f>"18:41:37.077"</f>
        <v>18:41:37.077</v>
      </c>
      <c r="D3866" t="s">
        <v>1528</v>
      </c>
      <c r="E3866">
        <v>30.990565</v>
      </c>
      <c r="F3866" t="s">
        <v>1057</v>
      </c>
      <c r="G3866">
        <v>-89.869472999999999</v>
      </c>
      <c r="H3866">
        <v>1700</v>
      </c>
      <c r="I3866">
        <v>119</v>
      </c>
      <c r="J3866">
        <v>90</v>
      </c>
      <c r="K3866">
        <v>128</v>
      </c>
      <c r="L3866">
        <v>1200</v>
      </c>
      <c r="M3866" t="str">
        <f t="shared" si="414"/>
        <v xml:space="preserve">N35DC   </v>
      </c>
      <c r="N3866">
        <v>1</v>
      </c>
      <c r="O3866">
        <v>1725</v>
      </c>
    </row>
    <row r="3867" spans="1:15" x14ac:dyDescent="0.25">
      <c r="A3867" t="str">
        <f>"10/21/2020 18:41:29.563"</f>
        <v>10/21/2020 18:41:29.563</v>
      </c>
      <c r="B3867" t="str">
        <f>"18:41:37.477"</f>
        <v>18:41:37.477</v>
      </c>
      <c r="C3867" t="str">
        <f>"18:41:37.077"</f>
        <v>18:41:37.077</v>
      </c>
      <c r="D3867" t="s">
        <v>1528</v>
      </c>
      <c r="E3867">
        <v>30.990565</v>
      </c>
      <c r="F3867" t="s">
        <v>1057</v>
      </c>
      <c r="G3867">
        <v>-89.869472999999999</v>
      </c>
      <c r="H3867">
        <v>1700</v>
      </c>
      <c r="I3867">
        <v>119</v>
      </c>
      <c r="J3867">
        <v>90</v>
      </c>
      <c r="K3867">
        <v>128</v>
      </c>
      <c r="L3867">
        <v>1200</v>
      </c>
      <c r="M3867" t="str">
        <f t="shared" si="414"/>
        <v xml:space="preserve">N35DC   </v>
      </c>
      <c r="N3867">
        <v>1</v>
      </c>
      <c r="O3867">
        <v>1725</v>
      </c>
    </row>
    <row r="3868" spans="1:15" x14ac:dyDescent="0.25">
      <c r="A3868" t="str">
        <f>"10/21/2020 18:41:30.489"</f>
        <v>10/21/2020 18:41:30.489</v>
      </c>
      <c r="B3868" t="str">
        <f>"18:41:38.422"</f>
        <v>18:41:38.422</v>
      </c>
      <c r="C3868" t="str">
        <f>"18:41:38.122"</f>
        <v>18:41:38.122</v>
      </c>
      <c r="D3868" t="s">
        <v>1529</v>
      </c>
      <c r="E3868">
        <v>30.990973</v>
      </c>
      <c r="F3868" t="s">
        <v>1081</v>
      </c>
      <c r="G3868">
        <v>-89.868915000000001</v>
      </c>
      <c r="H3868">
        <v>1700</v>
      </c>
      <c r="I3868">
        <v>118</v>
      </c>
      <c r="J3868">
        <v>90</v>
      </c>
      <c r="K3868">
        <v>128</v>
      </c>
      <c r="L3868">
        <v>1200</v>
      </c>
      <c r="M3868" t="str">
        <f t="shared" si="414"/>
        <v xml:space="preserve">N35DC   </v>
      </c>
      <c r="N3868">
        <v>1</v>
      </c>
      <c r="O3868">
        <v>1725</v>
      </c>
    </row>
    <row r="3869" spans="1:15" x14ac:dyDescent="0.25">
      <c r="A3869" t="str">
        <f>"10/21/2020 18:41:30.980"</f>
        <v>10/21/2020 18:41:30.980</v>
      </c>
      <c r="B3869" t="str">
        <f>"18:41:38.891"</f>
        <v>18:41:38.891</v>
      </c>
      <c r="C3869" t="str">
        <f>"18:41:38.591"</f>
        <v>18:41:38.591</v>
      </c>
      <c r="D3869" t="s">
        <v>1530</v>
      </c>
      <c r="E3869">
        <v>30.991187</v>
      </c>
      <c r="F3869" t="s">
        <v>1092</v>
      </c>
      <c r="G3869">
        <v>-89.868593000000004</v>
      </c>
      <c r="H3869">
        <v>1700</v>
      </c>
      <c r="I3869">
        <v>118</v>
      </c>
      <c r="J3869">
        <v>91</v>
      </c>
      <c r="K3869">
        <v>128</v>
      </c>
      <c r="L3869">
        <v>1200</v>
      </c>
      <c r="M3869" t="str">
        <f t="shared" si="414"/>
        <v xml:space="preserve">N35DC   </v>
      </c>
      <c r="N3869">
        <v>1</v>
      </c>
      <c r="O3869">
        <v>1725</v>
      </c>
    </row>
    <row r="3870" spans="1:15" x14ac:dyDescent="0.25">
      <c r="A3870" t="str">
        <f>"10/21/2020 18:41:33.346"</f>
        <v>10/21/2020 18:41:33.346</v>
      </c>
      <c r="B3870" t="str">
        <f>"18:41:41.289"</f>
        <v>18:41:41.289</v>
      </c>
      <c r="C3870" t="str">
        <f>"18:41:40.889"</f>
        <v>18:41:40.889</v>
      </c>
      <c r="D3870" t="s">
        <v>1531</v>
      </c>
      <c r="E3870">
        <v>30.992196</v>
      </c>
      <c r="F3870" t="s">
        <v>1532</v>
      </c>
      <c r="G3870">
        <v>-89.867133999999993</v>
      </c>
      <c r="H3870">
        <v>1700</v>
      </c>
      <c r="I3870">
        <v>116</v>
      </c>
      <c r="J3870">
        <v>92</v>
      </c>
      <c r="K3870">
        <v>128</v>
      </c>
      <c r="L3870">
        <v>1200</v>
      </c>
      <c r="M3870" t="str">
        <f t="shared" si="414"/>
        <v xml:space="preserve">N35DC   </v>
      </c>
      <c r="N3870">
        <v>1</v>
      </c>
      <c r="O3870">
        <v>1725</v>
      </c>
    </row>
    <row r="3871" spans="1:15" x14ac:dyDescent="0.25">
      <c r="A3871" t="str">
        <f>"10/21/2020 18:41:33.346"</f>
        <v>10/21/2020 18:41:33.346</v>
      </c>
      <c r="B3871" t="str">
        <f>"18:41:41.289"</f>
        <v>18:41:41.289</v>
      </c>
      <c r="C3871" t="str">
        <f>"18:41:40.889"</f>
        <v>18:41:40.889</v>
      </c>
      <c r="D3871" t="s">
        <v>1531</v>
      </c>
      <c r="E3871">
        <v>30.992196</v>
      </c>
      <c r="F3871" t="s">
        <v>1532</v>
      </c>
      <c r="G3871">
        <v>-89.867133999999993</v>
      </c>
      <c r="H3871">
        <v>1700</v>
      </c>
      <c r="I3871">
        <v>116</v>
      </c>
      <c r="J3871">
        <v>92</v>
      </c>
      <c r="K3871">
        <v>128</v>
      </c>
      <c r="L3871">
        <v>1200</v>
      </c>
      <c r="M3871" t="str">
        <f t="shared" si="414"/>
        <v xml:space="preserve">N35DC   </v>
      </c>
      <c r="N3871">
        <v>1</v>
      </c>
      <c r="O3871">
        <v>1725</v>
      </c>
    </row>
    <row r="3872" spans="1:15" x14ac:dyDescent="0.25">
      <c r="A3872" t="str">
        <f>"10/21/2020 18:41:33.346"</f>
        <v>10/21/2020 18:41:33.346</v>
      </c>
      <c r="B3872" t="str">
        <f>"18:41:41.289"</f>
        <v>18:41:41.289</v>
      </c>
      <c r="C3872" t="str">
        <f>"18:41:40.889"</f>
        <v>18:41:40.889</v>
      </c>
      <c r="D3872" t="s">
        <v>1531</v>
      </c>
      <c r="E3872">
        <v>30.992196</v>
      </c>
      <c r="F3872" t="s">
        <v>1532</v>
      </c>
      <c r="G3872">
        <v>-89.867133999999993</v>
      </c>
      <c r="H3872">
        <v>1700</v>
      </c>
      <c r="I3872">
        <v>116</v>
      </c>
      <c r="J3872">
        <v>92</v>
      </c>
      <c r="K3872">
        <v>128</v>
      </c>
      <c r="L3872">
        <v>1200</v>
      </c>
      <c r="M3872" t="str">
        <f t="shared" si="414"/>
        <v xml:space="preserve">N35DC   </v>
      </c>
      <c r="N3872">
        <v>1</v>
      </c>
      <c r="O3872">
        <v>1725</v>
      </c>
    </row>
    <row r="3873" spans="1:15" x14ac:dyDescent="0.25">
      <c r="A3873" t="str">
        <f>"10/21/2020 18:41:33.346"</f>
        <v>10/21/2020 18:41:33.346</v>
      </c>
      <c r="B3873" t="str">
        <f>"18:41:41.289"</f>
        <v>18:41:41.289</v>
      </c>
      <c r="C3873" t="str">
        <f>"18:41:40.889"</f>
        <v>18:41:40.889</v>
      </c>
      <c r="D3873" t="s">
        <v>1531</v>
      </c>
      <c r="E3873">
        <v>30.992196</v>
      </c>
      <c r="F3873" t="s">
        <v>1532</v>
      </c>
      <c r="G3873">
        <v>-89.867133999999993</v>
      </c>
      <c r="H3873">
        <v>1700</v>
      </c>
      <c r="I3873">
        <v>116</v>
      </c>
      <c r="J3873">
        <v>92</v>
      </c>
      <c r="K3873">
        <v>128</v>
      </c>
      <c r="L3873">
        <v>1200</v>
      </c>
      <c r="M3873" t="str">
        <f t="shared" si="414"/>
        <v xml:space="preserve">N35DC   </v>
      </c>
      <c r="N3873">
        <v>1</v>
      </c>
      <c r="O3873">
        <v>1725</v>
      </c>
    </row>
    <row r="3874" spans="1:15" x14ac:dyDescent="0.25">
      <c r="A3874" t="str">
        <f>"10/21/2020 18:41:33.346"</f>
        <v>10/21/2020 18:41:33.346</v>
      </c>
      <c r="B3874" t="str">
        <f>"18:41:41.289"</f>
        <v>18:41:41.289</v>
      </c>
      <c r="C3874" t="str">
        <f>"18:41:40.889"</f>
        <v>18:41:40.889</v>
      </c>
      <c r="D3874" t="s">
        <v>1531</v>
      </c>
      <c r="E3874">
        <v>30.992196</v>
      </c>
      <c r="F3874" t="s">
        <v>1532</v>
      </c>
      <c r="G3874">
        <v>-89.867133999999993</v>
      </c>
      <c r="H3874">
        <v>1700</v>
      </c>
      <c r="I3874">
        <v>116</v>
      </c>
      <c r="J3874">
        <v>92</v>
      </c>
      <c r="K3874">
        <v>128</v>
      </c>
      <c r="L3874">
        <v>1200</v>
      </c>
      <c r="M3874" t="str">
        <f t="shared" si="414"/>
        <v xml:space="preserve">N35DC   </v>
      </c>
      <c r="N3874">
        <v>1</v>
      </c>
      <c r="O3874">
        <v>1725</v>
      </c>
    </row>
    <row r="3875" spans="1:15" x14ac:dyDescent="0.25">
      <c r="A3875" t="str">
        <f>"10/21/2020 18:41:34.303"</f>
        <v>10/21/2020 18:41:34.303</v>
      </c>
      <c r="B3875" t="str">
        <f>"18:41:42.219"</f>
        <v>18:41:42.219</v>
      </c>
      <c r="C3875" t="str">
        <f>"18:41:41.919"</f>
        <v>18:41:41.919</v>
      </c>
      <c r="D3875" t="s">
        <v>1533</v>
      </c>
      <c r="E3875">
        <v>30.992625</v>
      </c>
      <c r="F3875" t="s">
        <v>1534</v>
      </c>
      <c r="G3875">
        <v>-89.866512</v>
      </c>
      <c r="H3875">
        <v>1700</v>
      </c>
      <c r="I3875">
        <v>115</v>
      </c>
      <c r="J3875">
        <v>93</v>
      </c>
      <c r="K3875">
        <v>64</v>
      </c>
      <c r="L3875">
        <v>1200</v>
      </c>
      <c r="M3875" t="str">
        <f t="shared" si="414"/>
        <v xml:space="preserve">N35DC   </v>
      </c>
      <c r="N3875">
        <v>1</v>
      </c>
      <c r="O3875">
        <v>1750</v>
      </c>
    </row>
    <row r="3876" spans="1:15" x14ac:dyDescent="0.25">
      <c r="A3876" t="str">
        <f>"10/21/2020 18:41:34.303"</f>
        <v>10/21/2020 18:41:34.303</v>
      </c>
      <c r="B3876" t="str">
        <f>"18:41:42.219"</f>
        <v>18:41:42.219</v>
      </c>
      <c r="C3876" t="str">
        <f>"18:41:41.919"</f>
        <v>18:41:41.919</v>
      </c>
      <c r="D3876" t="s">
        <v>1533</v>
      </c>
      <c r="E3876">
        <v>30.992625</v>
      </c>
      <c r="F3876" t="s">
        <v>1534</v>
      </c>
      <c r="G3876">
        <v>-89.866512</v>
      </c>
      <c r="H3876">
        <v>1700</v>
      </c>
      <c r="I3876">
        <v>115</v>
      </c>
      <c r="J3876">
        <v>93</v>
      </c>
      <c r="K3876">
        <v>64</v>
      </c>
      <c r="L3876">
        <v>1200</v>
      </c>
      <c r="M3876" t="str">
        <f t="shared" si="414"/>
        <v xml:space="preserve">N35DC   </v>
      </c>
      <c r="N3876">
        <v>1</v>
      </c>
      <c r="O3876">
        <v>1750</v>
      </c>
    </row>
    <row r="3877" spans="1:15" x14ac:dyDescent="0.25">
      <c r="A3877" t="str">
        <f>"10/21/2020 18:41:34.303"</f>
        <v>10/21/2020 18:41:34.303</v>
      </c>
      <c r="B3877" t="str">
        <f>"18:41:42.219"</f>
        <v>18:41:42.219</v>
      </c>
      <c r="C3877" t="str">
        <f>"18:41:41.919"</f>
        <v>18:41:41.919</v>
      </c>
      <c r="D3877" t="s">
        <v>1533</v>
      </c>
      <c r="E3877">
        <v>30.992625</v>
      </c>
      <c r="F3877" t="s">
        <v>1534</v>
      </c>
      <c r="G3877">
        <v>-89.866512</v>
      </c>
      <c r="H3877">
        <v>1700</v>
      </c>
      <c r="I3877">
        <v>115</v>
      </c>
      <c r="J3877">
        <v>93</v>
      </c>
      <c r="K3877">
        <v>64</v>
      </c>
      <c r="L3877">
        <v>1200</v>
      </c>
      <c r="M3877" t="str">
        <f t="shared" si="414"/>
        <v xml:space="preserve">N35DC   </v>
      </c>
      <c r="N3877">
        <v>1</v>
      </c>
      <c r="O3877">
        <v>1750</v>
      </c>
    </row>
    <row r="3878" spans="1:15" x14ac:dyDescent="0.25">
      <c r="A3878" t="str">
        <f>"10/21/2020 18:41:34.303"</f>
        <v>10/21/2020 18:41:34.303</v>
      </c>
      <c r="B3878" t="str">
        <f>"18:41:42.219"</f>
        <v>18:41:42.219</v>
      </c>
      <c r="C3878" t="str">
        <f>"18:41:41.919"</f>
        <v>18:41:41.919</v>
      </c>
      <c r="D3878" t="s">
        <v>1533</v>
      </c>
      <c r="E3878">
        <v>30.992625</v>
      </c>
      <c r="F3878" t="s">
        <v>1534</v>
      </c>
      <c r="G3878">
        <v>-89.866512</v>
      </c>
      <c r="H3878">
        <v>1700</v>
      </c>
      <c r="I3878">
        <v>115</v>
      </c>
      <c r="J3878">
        <v>93</v>
      </c>
      <c r="K3878">
        <v>64</v>
      </c>
      <c r="L3878">
        <v>1200</v>
      </c>
      <c r="M3878" t="str">
        <f t="shared" si="414"/>
        <v xml:space="preserve">N35DC   </v>
      </c>
      <c r="N3878">
        <v>1</v>
      </c>
      <c r="O3878">
        <v>1750</v>
      </c>
    </row>
    <row r="3879" spans="1:15" x14ac:dyDescent="0.25">
      <c r="A3879" t="str">
        <f>"10/21/2020 18:41:34.303"</f>
        <v>10/21/2020 18:41:34.303</v>
      </c>
      <c r="B3879" t="str">
        <f>"18:41:42.219"</f>
        <v>18:41:42.219</v>
      </c>
      <c r="C3879" t="str">
        <f>"18:41:41.919"</f>
        <v>18:41:41.919</v>
      </c>
      <c r="D3879" t="s">
        <v>1533</v>
      </c>
      <c r="E3879">
        <v>30.992625</v>
      </c>
      <c r="F3879" t="s">
        <v>1534</v>
      </c>
      <c r="G3879">
        <v>-89.866512</v>
      </c>
      <c r="H3879">
        <v>1700</v>
      </c>
      <c r="I3879">
        <v>115</v>
      </c>
      <c r="J3879">
        <v>93</v>
      </c>
      <c r="K3879">
        <v>64</v>
      </c>
      <c r="L3879">
        <v>1200</v>
      </c>
      <c r="M3879" t="str">
        <f t="shared" si="414"/>
        <v xml:space="preserve">N35DC   </v>
      </c>
      <c r="N3879">
        <v>1</v>
      </c>
      <c r="O3879">
        <v>1750</v>
      </c>
    </row>
    <row r="3880" spans="1:15" x14ac:dyDescent="0.25">
      <c r="A3880" t="str">
        <f>"10/21/2020 18:41:36.468"</f>
        <v>10/21/2020 18:41:36.468</v>
      </c>
      <c r="B3880" t="str">
        <f>"18:41:44.406"</f>
        <v>18:41:44.406</v>
      </c>
      <c r="C3880" t="str">
        <f>"18:41:44.106"</f>
        <v>18:41:44.106</v>
      </c>
      <c r="D3880" t="s">
        <v>1535</v>
      </c>
      <c r="E3880">
        <v>30.993569000000001</v>
      </c>
      <c r="F3880" t="s">
        <v>1536</v>
      </c>
      <c r="G3880">
        <v>-89.865138999999999</v>
      </c>
      <c r="H3880">
        <v>1700</v>
      </c>
      <c r="I3880">
        <v>114</v>
      </c>
      <c r="J3880">
        <v>94</v>
      </c>
      <c r="K3880">
        <v>0</v>
      </c>
      <c r="L3880">
        <v>1200</v>
      </c>
      <c r="M3880" t="str">
        <f t="shared" si="414"/>
        <v xml:space="preserve">N35DC   </v>
      </c>
      <c r="N3880">
        <v>1</v>
      </c>
      <c r="O3880">
        <v>1750</v>
      </c>
    </row>
    <row r="3881" spans="1:15" x14ac:dyDescent="0.25">
      <c r="A3881" t="str">
        <f>"10/21/2020 18:41:36.468"</f>
        <v>10/21/2020 18:41:36.468</v>
      </c>
      <c r="B3881" t="str">
        <f>"18:41:44.406"</f>
        <v>18:41:44.406</v>
      </c>
      <c r="C3881" t="str">
        <f>"18:41:44.106"</f>
        <v>18:41:44.106</v>
      </c>
      <c r="D3881" t="s">
        <v>1535</v>
      </c>
      <c r="E3881">
        <v>30.993569000000001</v>
      </c>
      <c r="F3881" t="s">
        <v>1536</v>
      </c>
      <c r="G3881">
        <v>-89.865138999999999</v>
      </c>
      <c r="H3881">
        <v>1700</v>
      </c>
      <c r="I3881">
        <v>114</v>
      </c>
      <c r="J3881">
        <v>94</v>
      </c>
      <c r="K3881">
        <v>0</v>
      </c>
      <c r="L3881">
        <v>1200</v>
      </c>
      <c r="M3881" t="str">
        <f t="shared" si="414"/>
        <v xml:space="preserve">N35DC   </v>
      </c>
      <c r="N3881">
        <v>1</v>
      </c>
      <c r="O3881">
        <v>1750</v>
      </c>
    </row>
    <row r="3882" spans="1:15" x14ac:dyDescent="0.25">
      <c r="A3882" t="str">
        <f>"10/21/2020 18:41:36.468"</f>
        <v>10/21/2020 18:41:36.468</v>
      </c>
      <c r="B3882" t="str">
        <f>"18:41:44.406"</f>
        <v>18:41:44.406</v>
      </c>
      <c r="C3882" t="str">
        <f>"18:41:44.106"</f>
        <v>18:41:44.106</v>
      </c>
      <c r="D3882" t="s">
        <v>1535</v>
      </c>
      <c r="E3882">
        <v>30.993569000000001</v>
      </c>
      <c r="F3882" t="s">
        <v>1536</v>
      </c>
      <c r="G3882">
        <v>-89.865138999999999</v>
      </c>
      <c r="H3882">
        <v>1700</v>
      </c>
      <c r="I3882">
        <v>114</v>
      </c>
      <c r="J3882">
        <v>94</v>
      </c>
      <c r="K3882">
        <v>0</v>
      </c>
      <c r="L3882">
        <v>1200</v>
      </c>
      <c r="M3882" t="str">
        <f t="shared" si="414"/>
        <v xml:space="preserve">N35DC   </v>
      </c>
      <c r="N3882">
        <v>1</v>
      </c>
      <c r="O3882">
        <v>1750</v>
      </c>
    </row>
    <row r="3883" spans="1:15" x14ac:dyDescent="0.25">
      <c r="A3883" t="str">
        <f>"10/21/2020 18:41:36.468"</f>
        <v>10/21/2020 18:41:36.468</v>
      </c>
      <c r="B3883" t="str">
        <f>"18:41:44.406"</f>
        <v>18:41:44.406</v>
      </c>
      <c r="C3883" t="str">
        <f>"18:41:44.106"</f>
        <v>18:41:44.106</v>
      </c>
      <c r="D3883" t="s">
        <v>1535</v>
      </c>
      <c r="E3883">
        <v>30.993569000000001</v>
      </c>
      <c r="F3883" t="s">
        <v>1536</v>
      </c>
      <c r="G3883">
        <v>-89.865138999999999</v>
      </c>
      <c r="H3883">
        <v>1700</v>
      </c>
      <c r="I3883">
        <v>114</v>
      </c>
      <c r="J3883">
        <v>94</v>
      </c>
      <c r="K3883">
        <v>0</v>
      </c>
      <c r="L3883">
        <v>1200</v>
      </c>
      <c r="M3883" t="str">
        <f t="shared" si="414"/>
        <v xml:space="preserve">N35DC   </v>
      </c>
      <c r="N3883">
        <v>1</v>
      </c>
      <c r="O3883">
        <v>1750</v>
      </c>
    </row>
    <row r="3884" spans="1:15" x14ac:dyDescent="0.25">
      <c r="A3884" t="str">
        <f>"10/21/2020 18:41:36.468"</f>
        <v>10/21/2020 18:41:36.468</v>
      </c>
      <c r="B3884" t="str">
        <f>"18:41:44.406"</f>
        <v>18:41:44.406</v>
      </c>
      <c r="C3884" t="str">
        <f>"18:41:44.106"</f>
        <v>18:41:44.106</v>
      </c>
      <c r="D3884" t="s">
        <v>1535</v>
      </c>
      <c r="E3884">
        <v>30.993569000000001</v>
      </c>
      <c r="F3884" t="s">
        <v>1536</v>
      </c>
      <c r="G3884">
        <v>-89.865138999999999</v>
      </c>
      <c r="H3884">
        <v>1700</v>
      </c>
      <c r="I3884">
        <v>114</v>
      </c>
      <c r="J3884">
        <v>94</v>
      </c>
      <c r="K3884">
        <v>0</v>
      </c>
      <c r="L3884">
        <v>1200</v>
      </c>
      <c r="M3884" t="str">
        <f t="shared" si="414"/>
        <v xml:space="preserve">N35DC   </v>
      </c>
      <c r="N3884">
        <v>1</v>
      </c>
      <c r="O3884">
        <v>1750</v>
      </c>
    </row>
    <row r="3885" spans="1:15" x14ac:dyDescent="0.25">
      <c r="A3885" t="str">
        <f>"10/21/2020 18:41:37.590"</f>
        <v>10/21/2020 18:41:37.590</v>
      </c>
      <c r="B3885" t="str">
        <f>"18:41:45.516"</f>
        <v>18:41:45.516</v>
      </c>
      <c r="C3885" t="str">
        <f>"18:41:45.116"</f>
        <v>18:41:45.116</v>
      </c>
      <c r="D3885" t="s">
        <v>1537</v>
      </c>
      <c r="E3885">
        <v>30.994019999999999</v>
      </c>
      <c r="F3885" t="s">
        <v>1538</v>
      </c>
      <c r="G3885">
        <v>-89.864473000000004</v>
      </c>
      <c r="H3885">
        <v>1700</v>
      </c>
      <c r="I3885">
        <v>114</v>
      </c>
      <c r="J3885">
        <v>94</v>
      </c>
      <c r="K3885">
        <v>-128</v>
      </c>
      <c r="L3885">
        <v>1200</v>
      </c>
      <c r="M3885" t="str">
        <f t="shared" si="414"/>
        <v xml:space="preserve">N35DC   </v>
      </c>
      <c r="N3885">
        <v>1</v>
      </c>
      <c r="O3885">
        <v>1750</v>
      </c>
    </row>
    <row r="3886" spans="1:15" x14ac:dyDescent="0.25">
      <c r="A3886" t="str">
        <f>"10/21/2020 18:41:37.590"</f>
        <v>10/21/2020 18:41:37.590</v>
      </c>
      <c r="B3886" t="str">
        <f>"18:41:45.516"</f>
        <v>18:41:45.516</v>
      </c>
      <c r="C3886" t="str">
        <f>"18:41:45.116"</f>
        <v>18:41:45.116</v>
      </c>
      <c r="D3886" t="s">
        <v>1537</v>
      </c>
      <c r="E3886">
        <v>30.994019999999999</v>
      </c>
      <c r="F3886" t="s">
        <v>1538</v>
      </c>
      <c r="G3886">
        <v>-89.864473000000004</v>
      </c>
      <c r="H3886">
        <v>1700</v>
      </c>
      <c r="I3886">
        <v>114</v>
      </c>
      <c r="J3886">
        <v>94</v>
      </c>
      <c r="K3886">
        <v>-128</v>
      </c>
      <c r="L3886">
        <v>1200</v>
      </c>
      <c r="M3886" t="str">
        <f t="shared" si="414"/>
        <v xml:space="preserve">N35DC   </v>
      </c>
      <c r="N3886">
        <v>1</v>
      </c>
      <c r="O3886">
        <v>1750</v>
      </c>
    </row>
    <row r="3887" spans="1:15" x14ac:dyDescent="0.25">
      <c r="A3887" t="str">
        <f>"10/21/2020 18:41:37.590"</f>
        <v>10/21/2020 18:41:37.590</v>
      </c>
      <c r="B3887" t="str">
        <f>"18:41:45.516"</f>
        <v>18:41:45.516</v>
      </c>
      <c r="C3887" t="str">
        <f>"18:41:45.116"</f>
        <v>18:41:45.116</v>
      </c>
      <c r="D3887" t="s">
        <v>1537</v>
      </c>
      <c r="E3887">
        <v>30.994019999999999</v>
      </c>
      <c r="F3887" t="s">
        <v>1538</v>
      </c>
      <c r="G3887">
        <v>-89.864473000000004</v>
      </c>
      <c r="H3887">
        <v>1700</v>
      </c>
      <c r="I3887">
        <v>114</v>
      </c>
      <c r="J3887">
        <v>94</v>
      </c>
      <c r="K3887">
        <v>-128</v>
      </c>
      <c r="L3887">
        <v>1200</v>
      </c>
      <c r="M3887" t="str">
        <f t="shared" si="414"/>
        <v xml:space="preserve">N35DC   </v>
      </c>
      <c r="N3887">
        <v>1</v>
      </c>
      <c r="O3887">
        <v>1750</v>
      </c>
    </row>
    <row r="3888" spans="1:15" x14ac:dyDescent="0.25">
      <c r="A3888" t="str">
        <f>"10/21/2020 18:41:37.590"</f>
        <v>10/21/2020 18:41:37.590</v>
      </c>
      <c r="B3888" t="str">
        <f>"18:41:45.516"</f>
        <v>18:41:45.516</v>
      </c>
      <c r="C3888" t="str">
        <f>"18:41:45.116"</f>
        <v>18:41:45.116</v>
      </c>
      <c r="D3888" t="s">
        <v>1537</v>
      </c>
      <c r="E3888">
        <v>30.994019999999999</v>
      </c>
      <c r="F3888" t="s">
        <v>1538</v>
      </c>
      <c r="G3888">
        <v>-89.864473000000004</v>
      </c>
      <c r="H3888">
        <v>1700</v>
      </c>
      <c r="I3888">
        <v>114</v>
      </c>
      <c r="J3888">
        <v>94</v>
      </c>
      <c r="K3888">
        <v>-128</v>
      </c>
      <c r="L3888">
        <v>1200</v>
      </c>
      <c r="M3888" t="str">
        <f t="shared" si="414"/>
        <v xml:space="preserve">N35DC   </v>
      </c>
      <c r="N3888">
        <v>1</v>
      </c>
      <c r="O3888">
        <v>1750</v>
      </c>
    </row>
    <row r="3889" spans="1:15" x14ac:dyDescent="0.25">
      <c r="A3889" t="str">
        <f>"10/21/2020 18:41:40.440"</f>
        <v>10/21/2020 18:41:40.440</v>
      </c>
      <c r="B3889" t="str">
        <f>"18:41:48.383"</f>
        <v>18:41:48.383</v>
      </c>
      <c r="C3889" t="str">
        <f>"18:41:48.083"</f>
        <v>18:41:48.083</v>
      </c>
      <c r="D3889" t="s">
        <v>1539</v>
      </c>
      <c r="E3889">
        <v>30.995307</v>
      </c>
      <c r="F3889" t="s">
        <v>1540</v>
      </c>
      <c r="G3889">
        <v>-89.862778000000006</v>
      </c>
      <c r="H3889">
        <v>1700</v>
      </c>
      <c r="I3889">
        <v>115</v>
      </c>
      <c r="J3889">
        <v>94</v>
      </c>
      <c r="K3889">
        <v>-192</v>
      </c>
      <c r="L3889">
        <v>1200</v>
      </c>
      <c r="M3889" t="str">
        <f t="shared" si="414"/>
        <v xml:space="preserve">N35DC   </v>
      </c>
      <c r="N3889">
        <v>1</v>
      </c>
      <c r="O3889">
        <v>1725</v>
      </c>
    </row>
    <row r="3890" spans="1:15" x14ac:dyDescent="0.25">
      <c r="A3890" t="str">
        <f>"10/21/2020 18:41:40.440"</f>
        <v>10/21/2020 18:41:40.440</v>
      </c>
      <c r="B3890" t="str">
        <f>"18:41:48.383"</f>
        <v>18:41:48.383</v>
      </c>
      <c r="C3890" t="str">
        <f>"18:41:48.083"</f>
        <v>18:41:48.083</v>
      </c>
      <c r="D3890" t="s">
        <v>1539</v>
      </c>
      <c r="E3890">
        <v>30.995307</v>
      </c>
      <c r="F3890" t="s">
        <v>1540</v>
      </c>
      <c r="G3890">
        <v>-89.862778000000006</v>
      </c>
      <c r="H3890">
        <v>1700</v>
      </c>
      <c r="I3890">
        <v>115</v>
      </c>
      <c r="J3890">
        <v>94</v>
      </c>
      <c r="K3890">
        <v>-192</v>
      </c>
      <c r="L3890">
        <v>1200</v>
      </c>
      <c r="M3890" t="str">
        <f t="shared" si="414"/>
        <v xml:space="preserve">N35DC   </v>
      </c>
      <c r="N3890">
        <v>1</v>
      </c>
      <c r="O3890">
        <v>1725</v>
      </c>
    </row>
    <row r="3891" spans="1:15" x14ac:dyDescent="0.25">
      <c r="A3891" t="str">
        <f>"10/21/2020 18:41:40.440"</f>
        <v>10/21/2020 18:41:40.440</v>
      </c>
      <c r="B3891" t="str">
        <f>"18:41:48.383"</f>
        <v>18:41:48.383</v>
      </c>
      <c r="C3891" t="str">
        <f>"18:41:48.083"</f>
        <v>18:41:48.083</v>
      </c>
      <c r="D3891" t="s">
        <v>1539</v>
      </c>
      <c r="E3891">
        <v>30.995307</v>
      </c>
      <c r="F3891" t="s">
        <v>1540</v>
      </c>
      <c r="G3891">
        <v>-89.862778000000006</v>
      </c>
      <c r="H3891">
        <v>1700</v>
      </c>
      <c r="I3891">
        <v>115</v>
      </c>
      <c r="J3891">
        <v>94</v>
      </c>
      <c r="K3891">
        <v>-192</v>
      </c>
      <c r="L3891">
        <v>1200</v>
      </c>
      <c r="M3891" t="str">
        <f t="shared" si="414"/>
        <v xml:space="preserve">N35DC   </v>
      </c>
      <c r="N3891">
        <v>1</v>
      </c>
      <c r="O3891">
        <v>1725</v>
      </c>
    </row>
    <row r="3892" spans="1:15" x14ac:dyDescent="0.25">
      <c r="A3892" t="str">
        <f>"10/21/2020 18:41:40.440"</f>
        <v>10/21/2020 18:41:40.440</v>
      </c>
      <c r="B3892" t="str">
        <f>"18:41:48.383"</f>
        <v>18:41:48.383</v>
      </c>
      <c r="C3892" t="str">
        <f>"18:41:48.083"</f>
        <v>18:41:48.083</v>
      </c>
      <c r="D3892" t="s">
        <v>1539</v>
      </c>
      <c r="E3892">
        <v>30.995307</v>
      </c>
      <c r="F3892" t="s">
        <v>1540</v>
      </c>
      <c r="G3892">
        <v>-89.862778000000006</v>
      </c>
      <c r="H3892">
        <v>1700</v>
      </c>
      <c r="I3892">
        <v>115</v>
      </c>
      <c r="J3892">
        <v>94</v>
      </c>
      <c r="K3892">
        <v>-192</v>
      </c>
      <c r="L3892">
        <v>1200</v>
      </c>
      <c r="M3892" t="str">
        <f t="shared" si="414"/>
        <v xml:space="preserve">N35DC   </v>
      </c>
      <c r="N3892">
        <v>1</v>
      </c>
      <c r="O3892">
        <v>1725</v>
      </c>
    </row>
    <row r="3893" spans="1:15" x14ac:dyDescent="0.25">
      <c r="A3893" t="str">
        <f>"10/21/2020 18:41:40.440"</f>
        <v>10/21/2020 18:41:40.440</v>
      </c>
      <c r="B3893" t="str">
        <f>"18:41:48.383"</f>
        <v>18:41:48.383</v>
      </c>
      <c r="C3893" t="str">
        <f>"18:41:47.283"</f>
        <v>18:41:47.283</v>
      </c>
      <c r="D3893" t="s">
        <v>1539</v>
      </c>
      <c r="E3893">
        <v>30.995307</v>
      </c>
      <c r="F3893" t="s">
        <v>1540</v>
      </c>
      <c r="G3893">
        <v>-89.862778000000006</v>
      </c>
      <c r="H3893">
        <v>1700</v>
      </c>
      <c r="I3893">
        <v>114</v>
      </c>
      <c r="J3893">
        <v>94</v>
      </c>
      <c r="K3893">
        <v>-128</v>
      </c>
      <c r="L3893">
        <v>1200</v>
      </c>
      <c r="M3893" t="str">
        <f t="shared" si="414"/>
        <v xml:space="preserve">N35DC   </v>
      </c>
      <c r="N3893">
        <v>1</v>
      </c>
      <c r="O3893">
        <v>1725</v>
      </c>
    </row>
    <row r="3894" spans="1:15" x14ac:dyDescent="0.25">
      <c r="A3894" t="str">
        <f>"10/21/2020 18:41:41.299"</f>
        <v>10/21/2020 18:41:41.299</v>
      </c>
      <c r="B3894" t="str">
        <f t="shared" ref="B3894:C3897" si="415">"18:41:49.242"</f>
        <v>18:41:49.242</v>
      </c>
      <c r="C3894" t="str">
        <f t="shared" si="415"/>
        <v>18:41:49.242</v>
      </c>
      <c r="D3894" t="s">
        <v>1541</v>
      </c>
      <c r="E3894">
        <v>30.995671999999999</v>
      </c>
      <c r="F3894" t="s">
        <v>1542</v>
      </c>
      <c r="G3894">
        <v>-89.862241999999995</v>
      </c>
      <c r="H3894">
        <v>1700</v>
      </c>
      <c r="I3894">
        <v>115</v>
      </c>
      <c r="J3894">
        <v>94</v>
      </c>
      <c r="K3894">
        <v>-192</v>
      </c>
      <c r="L3894">
        <v>1200</v>
      </c>
      <c r="M3894" t="str">
        <f t="shared" si="414"/>
        <v xml:space="preserve">N35DC   </v>
      </c>
      <c r="N3894">
        <v>1</v>
      </c>
      <c r="O3894">
        <v>1725</v>
      </c>
    </row>
    <row r="3895" spans="1:15" x14ac:dyDescent="0.25">
      <c r="A3895" t="str">
        <f>"10/21/2020 18:41:41.299"</f>
        <v>10/21/2020 18:41:41.299</v>
      </c>
      <c r="B3895" t="str">
        <f t="shared" si="415"/>
        <v>18:41:49.242</v>
      </c>
      <c r="C3895" t="str">
        <f t="shared" si="415"/>
        <v>18:41:49.242</v>
      </c>
      <c r="D3895" t="s">
        <v>1541</v>
      </c>
      <c r="E3895">
        <v>30.995671999999999</v>
      </c>
      <c r="F3895" t="s">
        <v>1542</v>
      </c>
      <c r="G3895">
        <v>-89.862241999999995</v>
      </c>
      <c r="H3895">
        <v>1700</v>
      </c>
      <c r="I3895">
        <v>115</v>
      </c>
      <c r="J3895">
        <v>94</v>
      </c>
      <c r="K3895">
        <v>-192</v>
      </c>
      <c r="L3895">
        <v>1200</v>
      </c>
      <c r="M3895" t="str">
        <f t="shared" si="414"/>
        <v xml:space="preserve">N35DC   </v>
      </c>
      <c r="N3895">
        <v>1</v>
      </c>
      <c r="O3895">
        <v>1725</v>
      </c>
    </row>
    <row r="3896" spans="1:15" x14ac:dyDescent="0.25">
      <c r="A3896" t="str">
        <f>"10/21/2020 18:41:41.299"</f>
        <v>10/21/2020 18:41:41.299</v>
      </c>
      <c r="B3896" t="str">
        <f t="shared" si="415"/>
        <v>18:41:49.242</v>
      </c>
      <c r="C3896" t="str">
        <f t="shared" si="415"/>
        <v>18:41:49.242</v>
      </c>
      <c r="D3896" t="s">
        <v>1541</v>
      </c>
      <c r="E3896">
        <v>30.995671999999999</v>
      </c>
      <c r="F3896" t="s">
        <v>1542</v>
      </c>
      <c r="G3896">
        <v>-89.862241999999995</v>
      </c>
      <c r="H3896">
        <v>1700</v>
      </c>
      <c r="I3896">
        <v>115</v>
      </c>
      <c r="J3896">
        <v>94</v>
      </c>
      <c r="K3896">
        <v>-192</v>
      </c>
      <c r="L3896">
        <v>1200</v>
      </c>
      <c r="M3896" t="str">
        <f t="shared" si="414"/>
        <v xml:space="preserve">N35DC   </v>
      </c>
      <c r="N3896">
        <v>1</v>
      </c>
      <c r="O3896">
        <v>1725</v>
      </c>
    </row>
    <row r="3897" spans="1:15" x14ac:dyDescent="0.25">
      <c r="A3897" t="str">
        <f>"10/21/2020 18:41:41.299"</f>
        <v>10/21/2020 18:41:41.299</v>
      </c>
      <c r="B3897" t="str">
        <f t="shared" si="415"/>
        <v>18:41:49.242</v>
      </c>
      <c r="C3897" t="str">
        <f t="shared" si="415"/>
        <v>18:41:49.242</v>
      </c>
      <c r="D3897" t="s">
        <v>1541</v>
      </c>
      <c r="E3897">
        <v>30.995671999999999</v>
      </c>
      <c r="F3897" t="s">
        <v>1542</v>
      </c>
      <c r="G3897">
        <v>-89.862241999999995</v>
      </c>
      <c r="H3897">
        <v>1700</v>
      </c>
      <c r="I3897">
        <v>115</v>
      </c>
      <c r="J3897">
        <v>94</v>
      </c>
      <c r="K3897">
        <v>-192</v>
      </c>
      <c r="L3897">
        <v>1200</v>
      </c>
      <c r="M3897" t="str">
        <f t="shared" si="414"/>
        <v xml:space="preserve">N35DC   </v>
      </c>
      <c r="N3897">
        <v>1</v>
      </c>
      <c r="O3897">
        <v>1725</v>
      </c>
    </row>
    <row r="3898" spans="1:15" x14ac:dyDescent="0.25">
      <c r="A3898" t="str">
        <f>"10/21/2020 18:41:43.546"</f>
        <v>10/21/2020 18:41:43.546</v>
      </c>
      <c r="B3898" t="str">
        <f>"18:41:51.477"</f>
        <v>18:41:51.477</v>
      </c>
      <c r="C3898" t="str">
        <f>"18:41:51.277"</f>
        <v>18:41:51.277</v>
      </c>
      <c r="D3898" t="s">
        <v>1543</v>
      </c>
      <c r="E3898">
        <v>30.996616</v>
      </c>
      <c r="F3898" t="s">
        <v>1544</v>
      </c>
      <c r="G3898">
        <v>-89.860867999999996</v>
      </c>
      <c r="H3898">
        <v>1700</v>
      </c>
      <c r="I3898">
        <v>116</v>
      </c>
      <c r="J3898">
        <v>94</v>
      </c>
      <c r="K3898">
        <v>-64</v>
      </c>
      <c r="L3898">
        <v>1200</v>
      </c>
      <c r="M3898" t="str">
        <f t="shared" si="414"/>
        <v xml:space="preserve">N35DC   </v>
      </c>
      <c r="N3898">
        <v>1</v>
      </c>
      <c r="O3898">
        <v>1725</v>
      </c>
    </row>
    <row r="3899" spans="1:15" x14ac:dyDescent="0.25">
      <c r="A3899" t="str">
        <f>"10/21/2020 18:41:43.546"</f>
        <v>10/21/2020 18:41:43.546</v>
      </c>
      <c r="B3899" t="str">
        <f>"18:41:51.477"</f>
        <v>18:41:51.477</v>
      </c>
      <c r="C3899" t="str">
        <f>"18:41:51.277"</f>
        <v>18:41:51.277</v>
      </c>
      <c r="D3899" t="s">
        <v>1543</v>
      </c>
      <c r="E3899">
        <v>30.996616</v>
      </c>
      <c r="F3899" t="s">
        <v>1544</v>
      </c>
      <c r="G3899">
        <v>-89.860867999999996</v>
      </c>
      <c r="H3899">
        <v>1700</v>
      </c>
      <c r="I3899">
        <v>116</v>
      </c>
      <c r="J3899">
        <v>94</v>
      </c>
      <c r="K3899">
        <v>-64</v>
      </c>
      <c r="L3899">
        <v>1200</v>
      </c>
      <c r="M3899" t="str">
        <f t="shared" si="414"/>
        <v xml:space="preserve">N35DC   </v>
      </c>
      <c r="N3899">
        <v>1</v>
      </c>
      <c r="O3899">
        <v>1725</v>
      </c>
    </row>
    <row r="3900" spans="1:15" x14ac:dyDescent="0.25">
      <c r="A3900" t="str">
        <f>"10/21/2020 18:41:43.546"</f>
        <v>10/21/2020 18:41:43.546</v>
      </c>
      <c r="B3900" t="str">
        <f>"18:41:51.477"</f>
        <v>18:41:51.477</v>
      </c>
      <c r="C3900" t="str">
        <f>"18:41:51.277"</f>
        <v>18:41:51.277</v>
      </c>
      <c r="D3900" t="s">
        <v>1543</v>
      </c>
      <c r="E3900">
        <v>30.996616</v>
      </c>
      <c r="F3900" t="s">
        <v>1544</v>
      </c>
      <c r="G3900">
        <v>-89.860867999999996</v>
      </c>
      <c r="H3900">
        <v>1700</v>
      </c>
      <c r="I3900">
        <v>116</v>
      </c>
      <c r="J3900">
        <v>94</v>
      </c>
      <c r="K3900">
        <v>-64</v>
      </c>
      <c r="L3900">
        <v>1200</v>
      </c>
      <c r="M3900" t="str">
        <f t="shared" si="414"/>
        <v xml:space="preserve">N35DC   </v>
      </c>
      <c r="N3900">
        <v>1</v>
      </c>
      <c r="O3900">
        <v>1725</v>
      </c>
    </row>
    <row r="3901" spans="1:15" x14ac:dyDescent="0.25">
      <c r="A3901" t="str">
        <f>"10/21/2020 18:41:43.546"</f>
        <v>10/21/2020 18:41:43.546</v>
      </c>
      <c r="B3901" t="str">
        <f>"18:41:51.477"</f>
        <v>18:41:51.477</v>
      </c>
      <c r="C3901" t="str">
        <f>"18:41:51.277"</f>
        <v>18:41:51.277</v>
      </c>
      <c r="D3901" t="s">
        <v>1543</v>
      </c>
      <c r="E3901">
        <v>30.996616</v>
      </c>
      <c r="F3901" t="s">
        <v>1544</v>
      </c>
      <c r="G3901">
        <v>-89.860867999999996</v>
      </c>
      <c r="H3901">
        <v>1700</v>
      </c>
      <c r="I3901">
        <v>116</v>
      </c>
      <c r="J3901">
        <v>94</v>
      </c>
      <c r="K3901">
        <v>-64</v>
      </c>
      <c r="L3901">
        <v>1200</v>
      </c>
      <c r="M3901" t="str">
        <f t="shared" si="414"/>
        <v xml:space="preserve">N35DC   </v>
      </c>
      <c r="N3901">
        <v>1</v>
      </c>
      <c r="O3901">
        <v>1725</v>
      </c>
    </row>
    <row r="3902" spans="1:15" x14ac:dyDescent="0.25">
      <c r="A3902" t="str">
        <f>"10/21/2020 18:41:43.546"</f>
        <v>10/21/2020 18:41:43.546</v>
      </c>
      <c r="B3902" t="str">
        <f>"18:41:51.477"</f>
        <v>18:41:51.477</v>
      </c>
      <c r="C3902" t="str">
        <f>"18:41:51.277"</f>
        <v>18:41:51.277</v>
      </c>
      <c r="D3902" t="s">
        <v>1543</v>
      </c>
      <c r="E3902">
        <v>30.996616</v>
      </c>
      <c r="F3902" t="s">
        <v>1544</v>
      </c>
      <c r="G3902">
        <v>-89.860867999999996</v>
      </c>
      <c r="H3902">
        <v>1700</v>
      </c>
      <c r="I3902">
        <v>116</v>
      </c>
      <c r="J3902">
        <v>94</v>
      </c>
      <c r="K3902">
        <v>-64</v>
      </c>
      <c r="L3902">
        <v>1200</v>
      </c>
      <c r="M3902" t="str">
        <f t="shared" si="414"/>
        <v xml:space="preserve">N35DC   </v>
      </c>
      <c r="N3902">
        <v>1</v>
      </c>
      <c r="O3902">
        <v>1725</v>
      </c>
    </row>
    <row r="3903" spans="1:15" x14ac:dyDescent="0.25">
      <c r="A3903" t="str">
        <f>"10/21/2020 18:41:44.514"</f>
        <v>10/21/2020 18:41:44.514</v>
      </c>
      <c r="B3903" t="str">
        <f>"18:41:52.445"</f>
        <v>18:41:52.445</v>
      </c>
      <c r="C3903" t="str">
        <f>"18:41:52.245"</f>
        <v>18:41:52.245</v>
      </c>
      <c r="D3903" t="s">
        <v>1545</v>
      </c>
      <c r="E3903">
        <v>30.997045</v>
      </c>
      <c r="F3903" t="s">
        <v>1546</v>
      </c>
      <c r="G3903">
        <v>-89.860246000000004</v>
      </c>
      <c r="H3903">
        <v>1700</v>
      </c>
      <c r="I3903">
        <v>117</v>
      </c>
      <c r="J3903">
        <v>93</v>
      </c>
      <c r="K3903">
        <v>-64</v>
      </c>
      <c r="L3903">
        <v>1200</v>
      </c>
      <c r="M3903" t="str">
        <f t="shared" si="414"/>
        <v xml:space="preserve">N35DC   </v>
      </c>
      <c r="N3903">
        <v>1</v>
      </c>
      <c r="O3903">
        <v>1725</v>
      </c>
    </row>
    <row r="3904" spans="1:15" x14ac:dyDescent="0.25">
      <c r="A3904" t="str">
        <f>"10/21/2020 18:41:44.514"</f>
        <v>10/21/2020 18:41:44.514</v>
      </c>
      <c r="B3904" t="str">
        <f>"18:41:52.445"</f>
        <v>18:41:52.445</v>
      </c>
      <c r="C3904" t="str">
        <f>"18:41:52.245"</f>
        <v>18:41:52.245</v>
      </c>
      <c r="D3904" t="s">
        <v>1545</v>
      </c>
      <c r="E3904">
        <v>30.997045</v>
      </c>
      <c r="F3904" t="s">
        <v>1546</v>
      </c>
      <c r="G3904">
        <v>-89.860246000000004</v>
      </c>
      <c r="H3904">
        <v>1700</v>
      </c>
      <c r="I3904">
        <v>117</v>
      </c>
      <c r="J3904">
        <v>93</v>
      </c>
      <c r="K3904">
        <v>-64</v>
      </c>
      <c r="L3904">
        <v>1200</v>
      </c>
      <c r="M3904" t="str">
        <f t="shared" si="414"/>
        <v xml:space="preserve">N35DC   </v>
      </c>
      <c r="N3904">
        <v>1</v>
      </c>
      <c r="O3904">
        <v>1725</v>
      </c>
    </row>
    <row r="3905" spans="1:15" x14ac:dyDescent="0.25">
      <c r="A3905" t="str">
        <f>"10/21/2020 18:41:44.514"</f>
        <v>10/21/2020 18:41:44.514</v>
      </c>
      <c r="B3905" t="str">
        <f>"18:41:52.445"</f>
        <v>18:41:52.445</v>
      </c>
      <c r="C3905" t="str">
        <f>"18:41:52.245"</f>
        <v>18:41:52.245</v>
      </c>
      <c r="D3905" t="s">
        <v>1545</v>
      </c>
      <c r="E3905">
        <v>30.997045</v>
      </c>
      <c r="F3905" t="s">
        <v>1546</v>
      </c>
      <c r="G3905">
        <v>-89.860246000000004</v>
      </c>
      <c r="H3905">
        <v>1700</v>
      </c>
      <c r="I3905">
        <v>117</v>
      </c>
      <c r="J3905">
        <v>93</v>
      </c>
      <c r="K3905">
        <v>-64</v>
      </c>
      <c r="L3905">
        <v>1200</v>
      </c>
      <c r="M3905" t="str">
        <f t="shared" si="414"/>
        <v xml:space="preserve">N35DC   </v>
      </c>
      <c r="N3905">
        <v>1</v>
      </c>
      <c r="O3905">
        <v>1725</v>
      </c>
    </row>
    <row r="3906" spans="1:15" x14ac:dyDescent="0.25">
      <c r="A3906" t="str">
        <f>"10/21/2020 18:41:44.514"</f>
        <v>10/21/2020 18:41:44.514</v>
      </c>
      <c r="B3906" t="str">
        <f>"18:41:52.445"</f>
        <v>18:41:52.445</v>
      </c>
      <c r="C3906" t="str">
        <f>"18:41:52.245"</f>
        <v>18:41:52.245</v>
      </c>
      <c r="D3906" t="s">
        <v>1545</v>
      </c>
      <c r="E3906">
        <v>30.997045</v>
      </c>
      <c r="F3906" t="s">
        <v>1546</v>
      </c>
      <c r="G3906">
        <v>-89.860246000000004</v>
      </c>
      <c r="H3906">
        <v>1700</v>
      </c>
      <c r="I3906">
        <v>117</v>
      </c>
      <c r="J3906">
        <v>93</v>
      </c>
      <c r="K3906">
        <v>-64</v>
      </c>
      <c r="L3906">
        <v>1200</v>
      </c>
      <c r="M3906" t="str">
        <f t="shared" si="414"/>
        <v xml:space="preserve">N35DC   </v>
      </c>
      <c r="N3906">
        <v>1</v>
      </c>
      <c r="O3906">
        <v>1725</v>
      </c>
    </row>
    <row r="3907" spans="1:15" x14ac:dyDescent="0.25">
      <c r="A3907" t="str">
        <f>"10/21/2020 18:41:46.639"</f>
        <v>10/21/2020 18:41:46.639</v>
      </c>
      <c r="B3907" t="str">
        <f>"18:41:54.531"</f>
        <v>18:41:54.531</v>
      </c>
      <c r="C3907" t="str">
        <f>"18:41:54.231"</f>
        <v>18:41:54.231</v>
      </c>
      <c r="D3907" t="s">
        <v>1547</v>
      </c>
      <c r="E3907">
        <v>30.997968</v>
      </c>
      <c r="F3907" t="s">
        <v>1548</v>
      </c>
      <c r="G3907">
        <v>-89.858894000000006</v>
      </c>
      <c r="H3907">
        <v>1700</v>
      </c>
      <c r="I3907">
        <v>117</v>
      </c>
      <c r="J3907">
        <v>92</v>
      </c>
      <c r="K3907">
        <v>0</v>
      </c>
      <c r="L3907">
        <v>1200</v>
      </c>
      <c r="M3907" t="str">
        <f t="shared" si="414"/>
        <v xml:space="preserve">N35DC   </v>
      </c>
      <c r="N3907">
        <v>1</v>
      </c>
      <c r="O3907">
        <v>1725</v>
      </c>
    </row>
    <row r="3908" spans="1:15" x14ac:dyDescent="0.25">
      <c r="A3908" t="str">
        <f>"10/21/2020 18:41:46.639"</f>
        <v>10/21/2020 18:41:46.639</v>
      </c>
      <c r="B3908" t="str">
        <f>"18:41:54.531"</f>
        <v>18:41:54.531</v>
      </c>
      <c r="C3908" t="str">
        <f>"18:41:54.231"</f>
        <v>18:41:54.231</v>
      </c>
      <c r="D3908" t="s">
        <v>1547</v>
      </c>
      <c r="E3908">
        <v>30.997968</v>
      </c>
      <c r="F3908" t="s">
        <v>1548</v>
      </c>
      <c r="G3908">
        <v>-89.858894000000006</v>
      </c>
      <c r="H3908">
        <v>1700</v>
      </c>
      <c r="I3908">
        <v>117</v>
      </c>
      <c r="J3908">
        <v>92</v>
      </c>
      <c r="K3908">
        <v>0</v>
      </c>
      <c r="L3908">
        <v>1200</v>
      </c>
      <c r="M3908" t="str">
        <f t="shared" si="414"/>
        <v xml:space="preserve">N35DC   </v>
      </c>
      <c r="N3908">
        <v>1</v>
      </c>
      <c r="O3908">
        <v>1725</v>
      </c>
    </row>
    <row r="3909" spans="1:15" x14ac:dyDescent="0.25">
      <c r="A3909" t="str">
        <f>"10/21/2020 18:41:46.639"</f>
        <v>10/21/2020 18:41:46.639</v>
      </c>
      <c r="B3909" t="str">
        <f>"18:41:54.531"</f>
        <v>18:41:54.531</v>
      </c>
      <c r="C3909" t="str">
        <f>"18:41:54.231"</f>
        <v>18:41:54.231</v>
      </c>
      <c r="D3909" t="s">
        <v>1547</v>
      </c>
      <c r="E3909">
        <v>30.997968</v>
      </c>
      <c r="F3909" t="s">
        <v>1548</v>
      </c>
      <c r="G3909">
        <v>-89.858894000000006</v>
      </c>
      <c r="H3909">
        <v>1700</v>
      </c>
      <c r="I3909">
        <v>117</v>
      </c>
      <c r="J3909">
        <v>92</v>
      </c>
      <c r="K3909">
        <v>0</v>
      </c>
      <c r="L3909">
        <v>1200</v>
      </c>
      <c r="M3909" t="str">
        <f t="shared" si="414"/>
        <v xml:space="preserve">N35DC   </v>
      </c>
      <c r="N3909">
        <v>1</v>
      </c>
      <c r="O3909">
        <v>1725</v>
      </c>
    </row>
    <row r="3910" spans="1:15" x14ac:dyDescent="0.25">
      <c r="A3910" t="str">
        <f>"10/21/2020 18:41:46.639"</f>
        <v>10/21/2020 18:41:46.639</v>
      </c>
      <c r="B3910" t="str">
        <f>"18:41:54.531"</f>
        <v>18:41:54.531</v>
      </c>
      <c r="C3910" t="str">
        <f>"18:41:54.231"</f>
        <v>18:41:54.231</v>
      </c>
      <c r="D3910" t="s">
        <v>1547</v>
      </c>
      <c r="E3910">
        <v>30.997968</v>
      </c>
      <c r="F3910" t="s">
        <v>1548</v>
      </c>
      <c r="G3910">
        <v>-89.858894000000006</v>
      </c>
      <c r="H3910">
        <v>1700</v>
      </c>
      <c r="I3910">
        <v>117</v>
      </c>
      <c r="J3910">
        <v>92</v>
      </c>
      <c r="K3910">
        <v>0</v>
      </c>
      <c r="L3910">
        <v>1200</v>
      </c>
      <c r="M3910" t="str">
        <f t="shared" si="414"/>
        <v xml:space="preserve">N35DC   </v>
      </c>
      <c r="N3910">
        <v>1</v>
      </c>
      <c r="O3910">
        <v>1725</v>
      </c>
    </row>
    <row r="3911" spans="1:15" x14ac:dyDescent="0.25">
      <c r="A3911" t="str">
        <f>"10/21/2020 18:41:46.639"</f>
        <v>10/21/2020 18:41:46.639</v>
      </c>
      <c r="B3911" t="str">
        <f>"18:41:54.531"</f>
        <v>18:41:54.531</v>
      </c>
      <c r="C3911" t="str">
        <f>"18:41:54.231"</f>
        <v>18:41:54.231</v>
      </c>
      <c r="D3911" t="s">
        <v>1547</v>
      </c>
      <c r="E3911">
        <v>30.997968</v>
      </c>
      <c r="F3911" t="s">
        <v>1548</v>
      </c>
      <c r="G3911">
        <v>-89.858894000000006</v>
      </c>
      <c r="H3911">
        <v>1700</v>
      </c>
      <c r="I3911">
        <v>117</v>
      </c>
      <c r="J3911">
        <v>92</v>
      </c>
      <c r="K3911">
        <v>0</v>
      </c>
      <c r="L3911">
        <v>1200</v>
      </c>
      <c r="M3911" t="str">
        <f t="shared" ref="M3911:M3974" si="416">"N35DC   "</f>
        <v xml:space="preserve">N35DC   </v>
      </c>
      <c r="N3911">
        <v>1</v>
      </c>
      <c r="O3911">
        <v>1725</v>
      </c>
    </row>
    <row r="3912" spans="1:15" x14ac:dyDescent="0.25">
      <c r="A3912" t="str">
        <f>"10/21/2020 18:41:47.673"</f>
        <v>10/21/2020 18:41:47.673</v>
      </c>
      <c r="B3912" t="str">
        <f>"18:41:55.586"</f>
        <v>18:41:55.586</v>
      </c>
      <c r="C3912" t="str">
        <f>"18:41:55.386"</f>
        <v>18:41:55.386</v>
      </c>
      <c r="D3912" t="s">
        <v>1549</v>
      </c>
      <c r="E3912">
        <v>30.998374999999999</v>
      </c>
      <c r="F3912" t="s">
        <v>1550</v>
      </c>
      <c r="G3912">
        <v>-89.858250999999996</v>
      </c>
      <c r="H3912">
        <v>1700</v>
      </c>
      <c r="I3912">
        <v>118</v>
      </c>
      <c r="J3912">
        <v>91</v>
      </c>
      <c r="K3912">
        <v>64</v>
      </c>
      <c r="L3912">
        <v>1200</v>
      </c>
      <c r="M3912" t="str">
        <f t="shared" si="416"/>
        <v xml:space="preserve">N35DC   </v>
      </c>
      <c r="N3912">
        <v>1</v>
      </c>
      <c r="O3912">
        <v>1625</v>
      </c>
    </row>
    <row r="3913" spans="1:15" x14ac:dyDescent="0.25">
      <c r="A3913" t="str">
        <f>"10/21/2020 18:41:47.673"</f>
        <v>10/21/2020 18:41:47.673</v>
      </c>
      <c r="B3913" t="str">
        <f>"18:41:55.586"</f>
        <v>18:41:55.586</v>
      </c>
      <c r="C3913" t="str">
        <f>"18:41:55.386"</f>
        <v>18:41:55.386</v>
      </c>
      <c r="D3913" t="s">
        <v>1549</v>
      </c>
      <c r="E3913">
        <v>30.998374999999999</v>
      </c>
      <c r="F3913" t="s">
        <v>1550</v>
      </c>
      <c r="G3913">
        <v>-89.858250999999996</v>
      </c>
      <c r="H3913">
        <v>1700</v>
      </c>
      <c r="I3913">
        <v>118</v>
      </c>
      <c r="J3913">
        <v>91</v>
      </c>
      <c r="K3913">
        <v>64</v>
      </c>
      <c r="L3913">
        <v>1200</v>
      </c>
      <c r="M3913" t="str">
        <f t="shared" si="416"/>
        <v xml:space="preserve">N35DC   </v>
      </c>
      <c r="N3913">
        <v>1</v>
      </c>
      <c r="O3913">
        <v>1625</v>
      </c>
    </row>
    <row r="3914" spans="1:15" x14ac:dyDescent="0.25">
      <c r="A3914" t="str">
        <f>"10/21/2020 18:41:47.673"</f>
        <v>10/21/2020 18:41:47.673</v>
      </c>
      <c r="B3914" t="str">
        <f>"18:41:55.586"</f>
        <v>18:41:55.586</v>
      </c>
      <c r="C3914" t="str">
        <f>"18:41:55.386"</f>
        <v>18:41:55.386</v>
      </c>
      <c r="D3914" t="s">
        <v>1549</v>
      </c>
      <c r="E3914">
        <v>30.998374999999999</v>
      </c>
      <c r="F3914" t="s">
        <v>1550</v>
      </c>
      <c r="G3914">
        <v>-89.858250999999996</v>
      </c>
      <c r="H3914">
        <v>1700</v>
      </c>
      <c r="I3914">
        <v>118</v>
      </c>
      <c r="J3914">
        <v>91</v>
      </c>
      <c r="K3914">
        <v>64</v>
      </c>
      <c r="L3914">
        <v>1200</v>
      </c>
      <c r="M3914" t="str">
        <f t="shared" si="416"/>
        <v xml:space="preserve">N35DC   </v>
      </c>
      <c r="N3914">
        <v>1</v>
      </c>
      <c r="O3914">
        <v>1625</v>
      </c>
    </row>
    <row r="3915" spans="1:15" x14ac:dyDescent="0.25">
      <c r="A3915" t="str">
        <f>"10/21/2020 18:41:47.673"</f>
        <v>10/21/2020 18:41:47.673</v>
      </c>
      <c r="B3915" t="str">
        <f>"18:41:55.586"</f>
        <v>18:41:55.586</v>
      </c>
      <c r="C3915" t="str">
        <f>"18:41:54.786"</f>
        <v>18:41:54.786</v>
      </c>
      <c r="D3915" t="s">
        <v>1549</v>
      </c>
      <c r="E3915">
        <v>30.998374999999999</v>
      </c>
      <c r="F3915" t="s">
        <v>1550</v>
      </c>
      <c r="G3915">
        <v>-89.858250999999996</v>
      </c>
      <c r="H3915">
        <v>1700</v>
      </c>
      <c r="I3915">
        <v>117</v>
      </c>
      <c r="J3915">
        <v>92</v>
      </c>
      <c r="K3915">
        <v>128</v>
      </c>
      <c r="L3915">
        <v>1200</v>
      </c>
      <c r="M3915" t="str">
        <f t="shared" si="416"/>
        <v xml:space="preserve">N35DC   </v>
      </c>
      <c r="N3915">
        <v>1</v>
      </c>
      <c r="O3915">
        <v>1825</v>
      </c>
    </row>
    <row r="3916" spans="1:15" x14ac:dyDescent="0.25">
      <c r="A3916" t="str">
        <f>"10/21/2020 18:41:47.673"</f>
        <v>10/21/2020 18:41:47.673</v>
      </c>
      <c r="B3916" t="str">
        <f>"18:41:55.586"</f>
        <v>18:41:55.586</v>
      </c>
      <c r="C3916" t="str">
        <f>"18:41:55.386"</f>
        <v>18:41:55.386</v>
      </c>
      <c r="D3916" t="s">
        <v>1549</v>
      </c>
      <c r="E3916">
        <v>30.998374999999999</v>
      </c>
      <c r="F3916" t="s">
        <v>1550</v>
      </c>
      <c r="G3916">
        <v>-89.858250999999996</v>
      </c>
      <c r="H3916">
        <v>1700</v>
      </c>
      <c r="I3916">
        <v>118</v>
      </c>
      <c r="J3916">
        <v>91</v>
      </c>
      <c r="K3916">
        <v>64</v>
      </c>
      <c r="L3916">
        <v>1200</v>
      </c>
      <c r="M3916" t="str">
        <f t="shared" si="416"/>
        <v xml:space="preserve">N35DC   </v>
      </c>
      <c r="N3916">
        <v>1</v>
      </c>
      <c r="O3916">
        <v>1625</v>
      </c>
    </row>
    <row r="3917" spans="1:15" x14ac:dyDescent="0.25">
      <c r="A3917" t="str">
        <f>"10/21/2020 18:41:48.605"</f>
        <v>10/21/2020 18:41:48.605</v>
      </c>
      <c r="B3917" t="str">
        <f>"18:41:56.516"</f>
        <v>18:41:56.516</v>
      </c>
      <c r="C3917" t="str">
        <f>"18:41:56.316"</f>
        <v>18:41:56.316</v>
      </c>
      <c r="D3917" t="s">
        <v>1551</v>
      </c>
      <c r="E3917">
        <v>30.998805000000001</v>
      </c>
      <c r="F3917" t="s">
        <v>1552</v>
      </c>
      <c r="G3917">
        <v>-89.857670999999996</v>
      </c>
      <c r="H3917">
        <v>1700</v>
      </c>
      <c r="I3917">
        <v>118</v>
      </c>
      <c r="J3917">
        <v>91</v>
      </c>
      <c r="K3917">
        <v>192</v>
      </c>
      <c r="L3917">
        <v>1200</v>
      </c>
      <c r="M3917" t="str">
        <f t="shared" si="416"/>
        <v xml:space="preserve">N35DC   </v>
      </c>
      <c r="N3917">
        <v>1</v>
      </c>
      <c r="O3917">
        <v>1725</v>
      </c>
    </row>
    <row r="3918" spans="1:15" x14ac:dyDescent="0.25">
      <c r="A3918" t="str">
        <f>"10/21/2020 18:41:48.605"</f>
        <v>10/21/2020 18:41:48.605</v>
      </c>
      <c r="B3918" t="str">
        <f>"18:41:56.516"</f>
        <v>18:41:56.516</v>
      </c>
      <c r="C3918" t="str">
        <f>"18:41:56.316"</f>
        <v>18:41:56.316</v>
      </c>
      <c r="D3918" t="s">
        <v>1551</v>
      </c>
      <c r="E3918">
        <v>30.998805000000001</v>
      </c>
      <c r="F3918" t="s">
        <v>1552</v>
      </c>
      <c r="G3918">
        <v>-89.857670999999996</v>
      </c>
      <c r="H3918">
        <v>1700</v>
      </c>
      <c r="I3918">
        <v>118</v>
      </c>
      <c r="J3918">
        <v>91</v>
      </c>
      <c r="K3918">
        <v>192</v>
      </c>
      <c r="L3918">
        <v>1200</v>
      </c>
      <c r="M3918" t="str">
        <f t="shared" si="416"/>
        <v xml:space="preserve">N35DC   </v>
      </c>
      <c r="N3918">
        <v>1</v>
      </c>
      <c r="O3918">
        <v>1725</v>
      </c>
    </row>
    <row r="3919" spans="1:15" x14ac:dyDescent="0.25">
      <c r="A3919" t="str">
        <f>"10/21/2020 18:41:48.605"</f>
        <v>10/21/2020 18:41:48.605</v>
      </c>
      <c r="B3919" t="str">
        <f>"18:41:56.516"</f>
        <v>18:41:56.516</v>
      </c>
      <c r="C3919" t="str">
        <f>"18:41:56.316"</f>
        <v>18:41:56.316</v>
      </c>
      <c r="D3919" t="s">
        <v>1551</v>
      </c>
      <c r="E3919">
        <v>30.998805000000001</v>
      </c>
      <c r="F3919" t="s">
        <v>1552</v>
      </c>
      <c r="G3919">
        <v>-89.857670999999996</v>
      </c>
      <c r="H3919">
        <v>1700</v>
      </c>
      <c r="I3919">
        <v>118</v>
      </c>
      <c r="J3919">
        <v>91</v>
      </c>
      <c r="K3919">
        <v>192</v>
      </c>
      <c r="L3919">
        <v>1200</v>
      </c>
      <c r="M3919" t="str">
        <f t="shared" si="416"/>
        <v xml:space="preserve">N35DC   </v>
      </c>
      <c r="N3919">
        <v>1</v>
      </c>
      <c r="O3919">
        <v>1725</v>
      </c>
    </row>
    <row r="3920" spans="1:15" x14ac:dyDescent="0.25">
      <c r="A3920" t="str">
        <f>"10/21/2020 18:41:48.605"</f>
        <v>10/21/2020 18:41:48.605</v>
      </c>
      <c r="B3920" t="str">
        <f>"18:41:56.516"</f>
        <v>18:41:56.516</v>
      </c>
      <c r="C3920" t="str">
        <f>"18:41:56.316"</f>
        <v>18:41:56.316</v>
      </c>
      <c r="D3920" t="s">
        <v>1551</v>
      </c>
      <c r="E3920">
        <v>30.998805000000001</v>
      </c>
      <c r="F3920" t="s">
        <v>1552</v>
      </c>
      <c r="G3920">
        <v>-89.857670999999996</v>
      </c>
      <c r="H3920">
        <v>1700</v>
      </c>
      <c r="I3920">
        <v>118</v>
      </c>
      <c r="J3920">
        <v>91</v>
      </c>
      <c r="K3920">
        <v>192</v>
      </c>
      <c r="L3920">
        <v>1200</v>
      </c>
      <c r="M3920" t="str">
        <f t="shared" si="416"/>
        <v xml:space="preserve">N35DC   </v>
      </c>
      <c r="N3920">
        <v>1</v>
      </c>
      <c r="O3920">
        <v>1725</v>
      </c>
    </row>
    <row r="3921" spans="1:15" x14ac:dyDescent="0.25">
      <c r="A3921" t="str">
        <f>"10/21/2020 18:41:48.605"</f>
        <v>10/21/2020 18:41:48.605</v>
      </c>
      <c r="B3921" t="str">
        <f>"18:41:56.516"</f>
        <v>18:41:56.516</v>
      </c>
      <c r="C3921" t="str">
        <f>"18:41:56.316"</f>
        <v>18:41:56.316</v>
      </c>
      <c r="D3921" t="s">
        <v>1551</v>
      </c>
      <c r="E3921">
        <v>30.998805000000001</v>
      </c>
      <c r="F3921" t="s">
        <v>1552</v>
      </c>
      <c r="G3921">
        <v>-89.857670999999996</v>
      </c>
      <c r="H3921">
        <v>1700</v>
      </c>
      <c r="I3921">
        <v>118</v>
      </c>
      <c r="J3921">
        <v>91</v>
      </c>
      <c r="K3921">
        <v>192</v>
      </c>
      <c r="L3921">
        <v>1200</v>
      </c>
      <c r="M3921" t="str">
        <f t="shared" si="416"/>
        <v xml:space="preserve">N35DC   </v>
      </c>
      <c r="N3921">
        <v>1</v>
      </c>
      <c r="O3921">
        <v>1725</v>
      </c>
    </row>
    <row r="3922" spans="1:15" x14ac:dyDescent="0.25">
      <c r="A3922" t="str">
        <f>"10/21/2020 18:41:52.108"</f>
        <v>10/21/2020 18:41:52.108</v>
      </c>
      <c r="B3922" t="str">
        <f>"18:42:00.055"</f>
        <v>18:42:00.055</v>
      </c>
      <c r="C3922" t="str">
        <f>"18:41:59.755"</f>
        <v>18:41:59.755</v>
      </c>
      <c r="D3922" t="s">
        <v>1553</v>
      </c>
      <c r="E3922">
        <v>31.000264000000001</v>
      </c>
      <c r="F3922" t="s">
        <v>1554</v>
      </c>
      <c r="G3922">
        <v>-89.855354000000005</v>
      </c>
      <c r="H3922">
        <v>1700</v>
      </c>
      <c r="I3922">
        <v>120</v>
      </c>
      <c r="J3922">
        <v>89</v>
      </c>
      <c r="K3922">
        <v>64</v>
      </c>
      <c r="L3922">
        <v>1200</v>
      </c>
      <c r="M3922" t="str">
        <f t="shared" si="416"/>
        <v xml:space="preserve">N35DC   </v>
      </c>
      <c r="N3922">
        <v>1</v>
      </c>
      <c r="O3922">
        <v>1725</v>
      </c>
    </row>
    <row r="3923" spans="1:15" x14ac:dyDescent="0.25">
      <c r="A3923" t="str">
        <f>"10/21/2020 18:41:52.108"</f>
        <v>10/21/2020 18:41:52.108</v>
      </c>
      <c r="B3923" t="str">
        <f>"18:42:00.055"</f>
        <v>18:42:00.055</v>
      </c>
      <c r="C3923" t="str">
        <f>"18:41:59.755"</f>
        <v>18:41:59.755</v>
      </c>
      <c r="D3923" t="s">
        <v>1553</v>
      </c>
      <c r="E3923">
        <v>31.000264000000001</v>
      </c>
      <c r="F3923" t="s">
        <v>1554</v>
      </c>
      <c r="G3923">
        <v>-89.855354000000005</v>
      </c>
      <c r="H3923">
        <v>1700</v>
      </c>
      <c r="I3923">
        <v>120</v>
      </c>
      <c r="J3923">
        <v>89</v>
      </c>
      <c r="K3923">
        <v>64</v>
      </c>
      <c r="L3923">
        <v>1200</v>
      </c>
      <c r="M3923" t="str">
        <f t="shared" si="416"/>
        <v xml:space="preserve">N35DC   </v>
      </c>
      <c r="N3923">
        <v>1</v>
      </c>
      <c r="O3923">
        <v>1725</v>
      </c>
    </row>
    <row r="3924" spans="1:15" x14ac:dyDescent="0.25">
      <c r="A3924" t="str">
        <f>"10/21/2020 18:41:52.108"</f>
        <v>10/21/2020 18:41:52.108</v>
      </c>
      <c r="B3924" t="str">
        <f>"18:42:00.055"</f>
        <v>18:42:00.055</v>
      </c>
      <c r="C3924" t="str">
        <f>"18:41:59.755"</f>
        <v>18:41:59.755</v>
      </c>
      <c r="D3924" t="s">
        <v>1553</v>
      </c>
      <c r="E3924">
        <v>31.000264000000001</v>
      </c>
      <c r="F3924" t="s">
        <v>1554</v>
      </c>
      <c r="G3924">
        <v>-89.855354000000005</v>
      </c>
      <c r="H3924">
        <v>1700</v>
      </c>
      <c r="I3924">
        <v>120</v>
      </c>
      <c r="J3924">
        <v>89</v>
      </c>
      <c r="K3924">
        <v>64</v>
      </c>
      <c r="L3924">
        <v>1200</v>
      </c>
      <c r="M3924" t="str">
        <f t="shared" si="416"/>
        <v xml:space="preserve">N35DC   </v>
      </c>
      <c r="N3924">
        <v>1</v>
      </c>
      <c r="O3924">
        <v>1725</v>
      </c>
    </row>
    <row r="3925" spans="1:15" x14ac:dyDescent="0.25">
      <c r="A3925" t="str">
        <f>"10/21/2020 18:41:52.108"</f>
        <v>10/21/2020 18:41:52.108</v>
      </c>
      <c r="B3925" t="str">
        <f>"18:42:00.055"</f>
        <v>18:42:00.055</v>
      </c>
      <c r="C3925" t="str">
        <f>"18:41:59.755"</f>
        <v>18:41:59.755</v>
      </c>
      <c r="D3925" t="s">
        <v>1553</v>
      </c>
      <c r="E3925">
        <v>31.000264000000001</v>
      </c>
      <c r="F3925" t="s">
        <v>1554</v>
      </c>
      <c r="G3925">
        <v>-89.855354000000005</v>
      </c>
      <c r="H3925">
        <v>1700</v>
      </c>
      <c r="I3925">
        <v>120</v>
      </c>
      <c r="J3925">
        <v>89</v>
      </c>
      <c r="K3925">
        <v>64</v>
      </c>
      <c r="L3925">
        <v>1200</v>
      </c>
      <c r="M3925" t="str">
        <f t="shared" si="416"/>
        <v xml:space="preserve">N35DC   </v>
      </c>
      <c r="N3925">
        <v>1</v>
      </c>
      <c r="O3925">
        <v>1725</v>
      </c>
    </row>
    <row r="3926" spans="1:15" x14ac:dyDescent="0.25">
      <c r="A3926" t="str">
        <f>"10/21/2020 18:41:52.108"</f>
        <v>10/21/2020 18:41:52.108</v>
      </c>
      <c r="B3926" t="str">
        <f>"18:42:00.055"</f>
        <v>18:42:00.055</v>
      </c>
      <c r="C3926" t="str">
        <f>"18:41:59.755"</f>
        <v>18:41:59.755</v>
      </c>
      <c r="D3926" t="s">
        <v>1553</v>
      </c>
      <c r="E3926">
        <v>31.000264000000001</v>
      </c>
      <c r="F3926" t="s">
        <v>1554</v>
      </c>
      <c r="G3926">
        <v>-89.855354000000005</v>
      </c>
      <c r="H3926">
        <v>1700</v>
      </c>
      <c r="I3926">
        <v>120</v>
      </c>
      <c r="J3926">
        <v>89</v>
      </c>
      <c r="K3926">
        <v>64</v>
      </c>
      <c r="L3926">
        <v>1200</v>
      </c>
      <c r="M3926" t="str">
        <f t="shared" si="416"/>
        <v xml:space="preserve">N35DC   </v>
      </c>
      <c r="N3926">
        <v>1</v>
      </c>
      <c r="O3926">
        <v>1725</v>
      </c>
    </row>
    <row r="3927" spans="1:15" x14ac:dyDescent="0.25">
      <c r="A3927" t="str">
        <f>"10/21/2020 18:41:54.632"</f>
        <v>10/21/2020 18:41:54.632</v>
      </c>
      <c r="B3927" t="str">
        <f>"18:42:02.539"</f>
        <v>18:42:02.539</v>
      </c>
      <c r="C3927" t="str">
        <f>"18:42:02.139"</f>
        <v>18:42:02.139</v>
      </c>
      <c r="D3927" t="s">
        <v>1555</v>
      </c>
      <c r="E3927">
        <v>31.001315000000002</v>
      </c>
      <c r="F3927" t="s">
        <v>1556</v>
      </c>
      <c r="G3927">
        <v>-89.853723000000002</v>
      </c>
      <c r="H3927">
        <v>1700</v>
      </c>
      <c r="I3927">
        <v>121</v>
      </c>
      <c r="J3927">
        <v>89</v>
      </c>
      <c r="K3927">
        <v>0</v>
      </c>
      <c r="L3927">
        <v>1200</v>
      </c>
      <c r="M3927" t="str">
        <f t="shared" si="416"/>
        <v xml:space="preserve">N35DC   </v>
      </c>
      <c r="N3927">
        <v>1</v>
      </c>
      <c r="O3927">
        <v>1725</v>
      </c>
    </row>
    <row r="3928" spans="1:15" x14ac:dyDescent="0.25">
      <c r="A3928" t="str">
        <f>"10/21/2020 18:41:55.035"</f>
        <v>10/21/2020 18:41:55.035</v>
      </c>
      <c r="B3928" t="str">
        <f>"18:42:02.961"</f>
        <v>18:42:02.961</v>
      </c>
      <c r="C3928" t="str">
        <f>"18:42:02.561"</f>
        <v>18:42:02.561</v>
      </c>
      <c r="D3928" t="s">
        <v>1557</v>
      </c>
      <c r="E3928">
        <v>31.001443999999999</v>
      </c>
      <c r="F3928" t="s">
        <v>1558</v>
      </c>
      <c r="G3928">
        <v>-89.853465999999997</v>
      </c>
      <c r="H3928">
        <v>1700</v>
      </c>
      <c r="I3928">
        <v>121</v>
      </c>
      <c r="J3928">
        <v>90</v>
      </c>
      <c r="K3928">
        <v>0</v>
      </c>
      <c r="L3928">
        <v>1200</v>
      </c>
      <c r="M3928" t="str">
        <f t="shared" si="416"/>
        <v xml:space="preserve">N35DC   </v>
      </c>
      <c r="N3928">
        <v>1</v>
      </c>
      <c r="O3928">
        <v>1725</v>
      </c>
    </row>
    <row r="3929" spans="1:15" x14ac:dyDescent="0.25">
      <c r="A3929" t="str">
        <f>"10/21/2020 18:41:55.035"</f>
        <v>10/21/2020 18:41:55.035</v>
      </c>
      <c r="B3929" t="str">
        <f>"18:42:02.961"</f>
        <v>18:42:02.961</v>
      </c>
      <c r="C3929" t="str">
        <f>"18:42:02.561"</f>
        <v>18:42:02.561</v>
      </c>
      <c r="D3929" t="s">
        <v>1557</v>
      </c>
      <c r="E3929">
        <v>31.001443999999999</v>
      </c>
      <c r="F3929" t="s">
        <v>1558</v>
      </c>
      <c r="G3929">
        <v>-89.853465999999997</v>
      </c>
      <c r="H3929">
        <v>1700</v>
      </c>
      <c r="I3929">
        <v>121</v>
      </c>
      <c r="J3929">
        <v>90</v>
      </c>
      <c r="K3929">
        <v>0</v>
      </c>
      <c r="L3929">
        <v>1200</v>
      </c>
      <c r="M3929" t="str">
        <f t="shared" si="416"/>
        <v xml:space="preserve">N35DC   </v>
      </c>
      <c r="N3929">
        <v>1</v>
      </c>
      <c r="O3929">
        <v>1725</v>
      </c>
    </row>
    <row r="3930" spans="1:15" x14ac:dyDescent="0.25">
      <c r="A3930" t="str">
        <f>"10/21/2020 18:41:55.035"</f>
        <v>10/21/2020 18:41:55.035</v>
      </c>
      <c r="B3930" t="str">
        <f>"18:42:02.961"</f>
        <v>18:42:02.961</v>
      </c>
      <c r="C3930" t="str">
        <f>"18:42:02.561"</f>
        <v>18:42:02.561</v>
      </c>
      <c r="D3930" t="s">
        <v>1557</v>
      </c>
      <c r="E3930">
        <v>31.001443999999999</v>
      </c>
      <c r="F3930" t="s">
        <v>1558</v>
      </c>
      <c r="G3930">
        <v>-89.853465999999997</v>
      </c>
      <c r="H3930">
        <v>1700</v>
      </c>
      <c r="I3930">
        <v>121</v>
      </c>
      <c r="J3930">
        <v>90</v>
      </c>
      <c r="K3930">
        <v>0</v>
      </c>
      <c r="L3930">
        <v>1200</v>
      </c>
      <c r="M3930" t="str">
        <f t="shared" si="416"/>
        <v xml:space="preserve">N35DC   </v>
      </c>
      <c r="N3930">
        <v>1</v>
      </c>
      <c r="O3930">
        <v>1725</v>
      </c>
    </row>
    <row r="3931" spans="1:15" x14ac:dyDescent="0.25">
      <c r="A3931" t="str">
        <f>"10/21/2020 18:41:55.035"</f>
        <v>10/21/2020 18:41:55.035</v>
      </c>
      <c r="B3931" t="str">
        <f>"18:42:02.961"</f>
        <v>18:42:02.961</v>
      </c>
      <c r="C3931" t="str">
        <f>"18:42:02.561"</f>
        <v>18:42:02.561</v>
      </c>
      <c r="D3931" t="s">
        <v>1557</v>
      </c>
      <c r="E3931">
        <v>31.001443999999999</v>
      </c>
      <c r="F3931" t="s">
        <v>1558</v>
      </c>
      <c r="G3931">
        <v>-89.853465999999997</v>
      </c>
      <c r="H3931">
        <v>1700</v>
      </c>
      <c r="I3931">
        <v>121</v>
      </c>
      <c r="J3931">
        <v>90</v>
      </c>
      <c r="K3931">
        <v>0</v>
      </c>
      <c r="L3931">
        <v>1200</v>
      </c>
      <c r="M3931" t="str">
        <f t="shared" si="416"/>
        <v xml:space="preserve">N35DC   </v>
      </c>
      <c r="N3931">
        <v>1</v>
      </c>
      <c r="O3931">
        <v>1725</v>
      </c>
    </row>
    <row r="3932" spans="1:15" x14ac:dyDescent="0.25">
      <c r="A3932" t="str">
        <f>"10/21/2020 18:41:55.637"</f>
        <v>10/21/2020 18:41:55.637</v>
      </c>
      <c r="B3932" t="str">
        <f>"18:42:03.516"</f>
        <v>18:42:03.516</v>
      </c>
      <c r="C3932" t="str">
        <f>"18:42:03.116"</f>
        <v>18:42:03.116</v>
      </c>
      <c r="D3932" t="s">
        <v>1559</v>
      </c>
      <c r="E3932">
        <v>31.001701000000001</v>
      </c>
      <c r="F3932" t="s">
        <v>1560</v>
      </c>
      <c r="G3932">
        <v>-89.853121999999999</v>
      </c>
      <c r="H3932">
        <v>1700</v>
      </c>
      <c r="I3932">
        <v>121</v>
      </c>
      <c r="J3932">
        <v>90</v>
      </c>
      <c r="K3932">
        <v>-64</v>
      </c>
      <c r="L3932">
        <v>1200</v>
      </c>
      <c r="M3932" t="str">
        <f t="shared" si="416"/>
        <v xml:space="preserve">N35DC   </v>
      </c>
      <c r="N3932">
        <v>1</v>
      </c>
      <c r="O3932">
        <v>1725</v>
      </c>
    </row>
    <row r="3933" spans="1:15" x14ac:dyDescent="0.25">
      <c r="A3933" t="str">
        <f>"10/21/2020 18:41:56.150"</f>
        <v>10/21/2020 18:41:56.150</v>
      </c>
      <c r="B3933" t="str">
        <f>"18:42:04.055"</f>
        <v>18:42:04.055</v>
      </c>
      <c r="C3933" t="str">
        <f>"18:42:03.655"</f>
        <v>18:42:03.655</v>
      </c>
      <c r="D3933" t="s">
        <v>1561</v>
      </c>
      <c r="E3933">
        <v>31.001916000000001</v>
      </c>
      <c r="F3933" t="s">
        <v>1562</v>
      </c>
      <c r="G3933">
        <v>-89.852756999999997</v>
      </c>
      <c r="H3933">
        <v>1700</v>
      </c>
      <c r="I3933">
        <v>122</v>
      </c>
      <c r="J3933">
        <v>90</v>
      </c>
      <c r="K3933">
        <v>-128</v>
      </c>
      <c r="L3933">
        <v>1200</v>
      </c>
      <c r="M3933" t="str">
        <f t="shared" si="416"/>
        <v xml:space="preserve">N35DC   </v>
      </c>
      <c r="N3933">
        <v>1</v>
      </c>
      <c r="O3933">
        <v>1725</v>
      </c>
    </row>
    <row r="3934" spans="1:15" x14ac:dyDescent="0.25">
      <c r="A3934" t="str">
        <f>"10/21/2020 18:41:56.150"</f>
        <v>10/21/2020 18:41:56.150</v>
      </c>
      <c r="B3934" t="str">
        <f>"18:42:04.055"</f>
        <v>18:42:04.055</v>
      </c>
      <c r="C3934" t="str">
        <f>"18:42:03.655"</f>
        <v>18:42:03.655</v>
      </c>
      <c r="D3934" t="s">
        <v>1561</v>
      </c>
      <c r="E3934">
        <v>31.001916000000001</v>
      </c>
      <c r="F3934" t="s">
        <v>1562</v>
      </c>
      <c r="G3934">
        <v>-89.852756999999997</v>
      </c>
      <c r="H3934">
        <v>1700</v>
      </c>
      <c r="I3934">
        <v>122</v>
      </c>
      <c r="J3934">
        <v>90</v>
      </c>
      <c r="K3934">
        <v>-128</v>
      </c>
      <c r="L3934">
        <v>1200</v>
      </c>
      <c r="M3934" t="str">
        <f t="shared" si="416"/>
        <v xml:space="preserve">N35DC   </v>
      </c>
      <c r="N3934">
        <v>1</v>
      </c>
      <c r="O3934">
        <v>1725</v>
      </c>
    </row>
    <row r="3935" spans="1:15" x14ac:dyDescent="0.25">
      <c r="A3935" t="str">
        <f>"10/21/2020 18:41:56.150"</f>
        <v>10/21/2020 18:41:56.150</v>
      </c>
      <c r="B3935" t="str">
        <f>"18:42:04.055"</f>
        <v>18:42:04.055</v>
      </c>
      <c r="C3935" t="str">
        <f>"18:42:03.655"</f>
        <v>18:42:03.655</v>
      </c>
      <c r="D3935" t="s">
        <v>1561</v>
      </c>
      <c r="E3935">
        <v>31.001916000000001</v>
      </c>
      <c r="F3935" t="s">
        <v>1562</v>
      </c>
      <c r="G3935">
        <v>-89.852756999999997</v>
      </c>
      <c r="H3935">
        <v>1700</v>
      </c>
      <c r="I3935">
        <v>122</v>
      </c>
      <c r="J3935">
        <v>90</v>
      </c>
      <c r="K3935">
        <v>-128</v>
      </c>
      <c r="L3935">
        <v>1200</v>
      </c>
      <c r="M3935" t="str">
        <f t="shared" si="416"/>
        <v xml:space="preserve">N35DC   </v>
      </c>
      <c r="N3935">
        <v>1</v>
      </c>
      <c r="O3935">
        <v>1725</v>
      </c>
    </row>
    <row r="3936" spans="1:15" x14ac:dyDescent="0.25">
      <c r="A3936" t="str">
        <f>"10/21/2020 18:41:59.260"</f>
        <v>10/21/2020 18:41:59.260</v>
      </c>
      <c r="B3936" t="str">
        <f t="shared" ref="B3936:C3939" si="417">"18:42:07.195"</f>
        <v>18:42:07.195</v>
      </c>
      <c r="C3936" t="str">
        <f t="shared" si="417"/>
        <v>18:42:07.195</v>
      </c>
      <c r="D3936" t="s">
        <v>1563</v>
      </c>
      <c r="E3936">
        <v>31.003225</v>
      </c>
      <c r="F3936" t="s">
        <v>1564</v>
      </c>
      <c r="G3936">
        <v>-89.850718999999998</v>
      </c>
      <c r="H3936">
        <v>1700</v>
      </c>
      <c r="I3936">
        <v>121</v>
      </c>
      <c r="J3936">
        <v>92</v>
      </c>
      <c r="K3936">
        <v>256</v>
      </c>
      <c r="L3936">
        <v>1200</v>
      </c>
      <c r="M3936" t="str">
        <f t="shared" si="416"/>
        <v xml:space="preserve">N35DC   </v>
      </c>
      <c r="N3936">
        <v>1</v>
      </c>
      <c r="O3936">
        <v>1725</v>
      </c>
    </row>
    <row r="3937" spans="1:15" x14ac:dyDescent="0.25">
      <c r="A3937" t="str">
        <f>"10/21/2020 18:41:59.260"</f>
        <v>10/21/2020 18:41:59.260</v>
      </c>
      <c r="B3937" t="str">
        <f t="shared" si="417"/>
        <v>18:42:07.195</v>
      </c>
      <c r="C3937" t="str">
        <f t="shared" si="417"/>
        <v>18:42:07.195</v>
      </c>
      <c r="D3937" t="s">
        <v>1563</v>
      </c>
      <c r="E3937">
        <v>31.003225</v>
      </c>
      <c r="F3937" t="s">
        <v>1564</v>
      </c>
      <c r="G3937">
        <v>-89.850718999999998</v>
      </c>
      <c r="H3937">
        <v>1700</v>
      </c>
      <c r="I3937">
        <v>121</v>
      </c>
      <c r="J3937">
        <v>92</v>
      </c>
      <c r="K3937">
        <v>256</v>
      </c>
      <c r="L3937">
        <v>1200</v>
      </c>
      <c r="M3937" t="str">
        <f t="shared" si="416"/>
        <v xml:space="preserve">N35DC   </v>
      </c>
      <c r="N3937">
        <v>1</v>
      </c>
      <c r="O3937">
        <v>1725</v>
      </c>
    </row>
    <row r="3938" spans="1:15" x14ac:dyDescent="0.25">
      <c r="A3938" t="str">
        <f>"10/21/2020 18:41:59.260"</f>
        <v>10/21/2020 18:41:59.260</v>
      </c>
      <c r="B3938" t="str">
        <f t="shared" si="417"/>
        <v>18:42:07.195</v>
      </c>
      <c r="C3938" t="str">
        <f t="shared" si="417"/>
        <v>18:42:07.195</v>
      </c>
      <c r="D3938" t="s">
        <v>1563</v>
      </c>
      <c r="E3938">
        <v>31.003225</v>
      </c>
      <c r="F3938" t="s">
        <v>1564</v>
      </c>
      <c r="G3938">
        <v>-89.850718999999998</v>
      </c>
      <c r="H3938">
        <v>1700</v>
      </c>
      <c r="I3938">
        <v>121</v>
      </c>
      <c r="J3938">
        <v>92</v>
      </c>
      <c r="K3938">
        <v>256</v>
      </c>
      <c r="L3938">
        <v>1200</v>
      </c>
      <c r="M3938" t="str">
        <f t="shared" si="416"/>
        <v xml:space="preserve">N35DC   </v>
      </c>
      <c r="N3938">
        <v>1</v>
      </c>
      <c r="O3938">
        <v>1725</v>
      </c>
    </row>
    <row r="3939" spans="1:15" x14ac:dyDescent="0.25">
      <c r="A3939" t="str">
        <f>"10/21/2020 18:41:59.260"</f>
        <v>10/21/2020 18:41:59.260</v>
      </c>
      <c r="B3939" t="str">
        <f t="shared" si="417"/>
        <v>18:42:07.195</v>
      </c>
      <c r="C3939" t="str">
        <f t="shared" si="417"/>
        <v>18:42:07.195</v>
      </c>
      <c r="D3939" t="s">
        <v>1563</v>
      </c>
      <c r="E3939">
        <v>31.003225</v>
      </c>
      <c r="F3939" t="s">
        <v>1564</v>
      </c>
      <c r="G3939">
        <v>-89.850718999999998</v>
      </c>
      <c r="H3939">
        <v>1700</v>
      </c>
      <c r="I3939">
        <v>121</v>
      </c>
      <c r="J3939">
        <v>92</v>
      </c>
      <c r="K3939">
        <v>256</v>
      </c>
      <c r="L3939">
        <v>1200</v>
      </c>
      <c r="M3939" t="str">
        <f t="shared" si="416"/>
        <v xml:space="preserve">N35DC   </v>
      </c>
      <c r="N3939">
        <v>1</v>
      </c>
      <c r="O3939">
        <v>1725</v>
      </c>
    </row>
    <row r="3940" spans="1:15" x14ac:dyDescent="0.25">
      <c r="A3940" t="str">
        <f>"10/21/2020 18:41:59.260"</f>
        <v>10/21/2020 18:41:59.260</v>
      </c>
      <c r="B3940" t="str">
        <f>"18:42:07.195"</f>
        <v>18:42:07.195</v>
      </c>
      <c r="C3940" t="str">
        <f>"18:42:06.795"</f>
        <v>18:42:06.795</v>
      </c>
      <c r="D3940" t="s">
        <v>1563</v>
      </c>
      <c r="E3940">
        <v>31.003225</v>
      </c>
      <c r="F3940" t="s">
        <v>1564</v>
      </c>
      <c r="G3940">
        <v>-89.850718999999998</v>
      </c>
      <c r="H3940">
        <v>1700</v>
      </c>
      <c r="I3940">
        <v>121</v>
      </c>
      <c r="J3940">
        <v>92</v>
      </c>
      <c r="K3940">
        <v>320</v>
      </c>
      <c r="L3940">
        <v>1200</v>
      </c>
      <c r="M3940" t="str">
        <f t="shared" si="416"/>
        <v xml:space="preserve">N35DC   </v>
      </c>
      <c r="N3940">
        <v>1</v>
      </c>
      <c r="O3940">
        <v>1725</v>
      </c>
    </row>
    <row r="3941" spans="1:15" x14ac:dyDescent="0.25">
      <c r="A3941" t="str">
        <f>"10/21/2020 18:42:00.237"</f>
        <v>10/21/2020 18:42:00.237</v>
      </c>
      <c r="B3941" t="str">
        <f>"18:42:08.180"</f>
        <v>18:42:08.180</v>
      </c>
      <c r="C3941" t="str">
        <f>"18:42:07.780"</f>
        <v>18:42:07.780</v>
      </c>
      <c r="D3941" t="s">
        <v>1565</v>
      </c>
      <c r="E3941">
        <v>31.003654000000001</v>
      </c>
      <c r="F3941" t="s">
        <v>1566</v>
      </c>
      <c r="G3941">
        <v>-89.850097000000005</v>
      </c>
      <c r="H3941">
        <v>1700</v>
      </c>
      <c r="I3941">
        <v>120</v>
      </c>
      <c r="J3941">
        <v>93</v>
      </c>
      <c r="K3941">
        <v>384</v>
      </c>
      <c r="L3941">
        <v>1200</v>
      </c>
      <c r="M3941" t="str">
        <f t="shared" si="416"/>
        <v xml:space="preserve">N35DC   </v>
      </c>
      <c r="N3941">
        <v>1</v>
      </c>
      <c r="O3941">
        <v>1750</v>
      </c>
    </row>
    <row r="3942" spans="1:15" x14ac:dyDescent="0.25">
      <c r="A3942" t="str">
        <f>"10/21/2020 18:42:00.237"</f>
        <v>10/21/2020 18:42:00.237</v>
      </c>
      <c r="B3942" t="str">
        <f>"18:42:08.180"</f>
        <v>18:42:08.180</v>
      </c>
      <c r="C3942" t="str">
        <f>"18:42:07.780"</f>
        <v>18:42:07.780</v>
      </c>
      <c r="D3942" t="s">
        <v>1565</v>
      </c>
      <c r="E3942">
        <v>31.003654000000001</v>
      </c>
      <c r="F3942" t="s">
        <v>1566</v>
      </c>
      <c r="G3942">
        <v>-89.850097000000005</v>
      </c>
      <c r="H3942">
        <v>1700</v>
      </c>
      <c r="I3942">
        <v>120</v>
      </c>
      <c r="J3942">
        <v>93</v>
      </c>
      <c r="K3942">
        <v>384</v>
      </c>
      <c r="L3942">
        <v>1200</v>
      </c>
      <c r="M3942" t="str">
        <f t="shared" si="416"/>
        <v xml:space="preserve">N35DC   </v>
      </c>
      <c r="N3942">
        <v>1</v>
      </c>
      <c r="O3942">
        <v>1750</v>
      </c>
    </row>
    <row r="3943" spans="1:15" x14ac:dyDescent="0.25">
      <c r="A3943" t="str">
        <f>"10/21/2020 18:42:00.237"</f>
        <v>10/21/2020 18:42:00.237</v>
      </c>
      <c r="B3943" t="str">
        <f>"18:42:08.180"</f>
        <v>18:42:08.180</v>
      </c>
      <c r="C3943" t="str">
        <f>"18:42:07.780"</f>
        <v>18:42:07.780</v>
      </c>
      <c r="D3943" t="s">
        <v>1565</v>
      </c>
      <c r="E3943">
        <v>31.003654000000001</v>
      </c>
      <c r="F3943" t="s">
        <v>1566</v>
      </c>
      <c r="G3943">
        <v>-89.850097000000005</v>
      </c>
      <c r="H3943">
        <v>1700</v>
      </c>
      <c r="I3943">
        <v>120</v>
      </c>
      <c r="J3943">
        <v>93</v>
      </c>
      <c r="K3943">
        <v>384</v>
      </c>
      <c r="L3943">
        <v>1200</v>
      </c>
      <c r="M3943" t="str">
        <f t="shared" si="416"/>
        <v xml:space="preserve">N35DC   </v>
      </c>
      <c r="N3943">
        <v>1</v>
      </c>
      <c r="O3943">
        <v>1750</v>
      </c>
    </row>
    <row r="3944" spans="1:15" x14ac:dyDescent="0.25">
      <c r="A3944" t="str">
        <f>"10/21/2020 18:42:00.237"</f>
        <v>10/21/2020 18:42:00.237</v>
      </c>
      <c r="B3944" t="str">
        <f>"18:42:08.180"</f>
        <v>18:42:08.180</v>
      </c>
      <c r="C3944" t="str">
        <f>"18:42:07.780"</f>
        <v>18:42:07.780</v>
      </c>
      <c r="D3944" t="s">
        <v>1565</v>
      </c>
      <c r="E3944">
        <v>31.003654000000001</v>
      </c>
      <c r="F3944" t="s">
        <v>1566</v>
      </c>
      <c r="G3944">
        <v>-89.850097000000005</v>
      </c>
      <c r="H3944">
        <v>1700</v>
      </c>
      <c r="I3944">
        <v>120</v>
      </c>
      <c r="J3944">
        <v>93</v>
      </c>
      <c r="K3944">
        <v>384</v>
      </c>
      <c r="L3944">
        <v>1200</v>
      </c>
      <c r="M3944" t="str">
        <f t="shared" si="416"/>
        <v xml:space="preserve">N35DC   </v>
      </c>
      <c r="N3944">
        <v>1</v>
      </c>
      <c r="O3944">
        <v>1750</v>
      </c>
    </row>
    <row r="3945" spans="1:15" x14ac:dyDescent="0.25">
      <c r="A3945" t="str">
        <f>"10/21/2020 18:42:02.115"</f>
        <v>10/21/2020 18:42:02.115</v>
      </c>
      <c r="B3945" t="str">
        <f>"18:42:10.055"</f>
        <v>18:42:10.055</v>
      </c>
      <c r="C3945" t="str">
        <f>"18:42:09.855"</f>
        <v>18:42:09.855</v>
      </c>
      <c r="D3945" t="s">
        <v>1567</v>
      </c>
      <c r="E3945">
        <v>31.004511999999998</v>
      </c>
      <c r="F3945" t="s">
        <v>670</v>
      </c>
      <c r="G3945">
        <v>-89.848873999999995</v>
      </c>
      <c r="H3945">
        <v>1700</v>
      </c>
      <c r="I3945">
        <v>116</v>
      </c>
      <c r="J3945">
        <v>98</v>
      </c>
      <c r="K3945">
        <v>0</v>
      </c>
      <c r="L3945">
        <v>1200</v>
      </c>
      <c r="M3945" t="str">
        <f t="shared" si="416"/>
        <v xml:space="preserve">N35DC   </v>
      </c>
      <c r="N3945">
        <v>1</v>
      </c>
      <c r="O3945">
        <v>1750</v>
      </c>
    </row>
    <row r="3946" spans="1:15" x14ac:dyDescent="0.25">
      <c r="A3946" t="str">
        <f>"10/21/2020 18:42:02.115"</f>
        <v>10/21/2020 18:42:02.115</v>
      </c>
      <c r="B3946" t="str">
        <f>"18:42:10.055"</f>
        <v>18:42:10.055</v>
      </c>
      <c r="C3946" t="str">
        <f>"18:42:09.255"</f>
        <v>18:42:09.255</v>
      </c>
      <c r="D3946" t="s">
        <v>1567</v>
      </c>
      <c r="E3946">
        <v>31.004511999999998</v>
      </c>
      <c r="F3946" t="s">
        <v>670</v>
      </c>
      <c r="G3946">
        <v>-89.848873999999995</v>
      </c>
      <c r="H3946">
        <v>1700</v>
      </c>
      <c r="I3946">
        <v>117</v>
      </c>
      <c r="J3946">
        <v>96</v>
      </c>
      <c r="K3946">
        <v>192</v>
      </c>
      <c r="L3946">
        <v>1200</v>
      </c>
      <c r="M3946" t="str">
        <f t="shared" si="416"/>
        <v xml:space="preserve">N35DC   </v>
      </c>
      <c r="N3946">
        <v>1</v>
      </c>
      <c r="O3946">
        <v>1750</v>
      </c>
    </row>
    <row r="3947" spans="1:15" x14ac:dyDescent="0.25">
      <c r="A3947" t="str">
        <f>"10/21/2020 18:42:02.115"</f>
        <v>10/21/2020 18:42:02.115</v>
      </c>
      <c r="B3947" t="str">
        <f>"18:42:10.055"</f>
        <v>18:42:10.055</v>
      </c>
      <c r="C3947" t="str">
        <f>"18:42:09.855"</f>
        <v>18:42:09.855</v>
      </c>
      <c r="D3947" t="s">
        <v>1567</v>
      </c>
      <c r="E3947">
        <v>31.004511999999998</v>
      </c>
      <c r="F3947" t="s">
        <v>670</v>
      </c>
      <c r="G3947">
        <v>-89.848873999999995</v>
      </c>
      <c r="H3947">
        <v>1700</v>
      </c>
      <c r="I3947">
        <v>116</v>
      </c>
      <c r="J3947">
        <v>98</v>
      </c>
      <c r="K3947">
        <v>0</v>
      </c>
      <c r="L3947">
        <v>1200</v>
      </c>
      <c r="M3947" t="str">
        <f t="shared" si="416"/>
        <v xml:space="preserve">N35DC   </v>
      </c>
      <c r="N3947">
        <v>1</v>
      </c>
      <c r="O3947">
        <v>1750</v>
      </c>
    </row>
    <row r="3948" spans="1:15" x14ac:dyDescent="0.25">
      <c r="A3948" t="str">
        <f>"10/21/2020 18:42:02.115"</f>
        <v>10/21/2020 18:42:02.115</v>
      </c>
      <c r="B3948" t="str">
        <f>"18:42:10.055"</f>
        <v>18:42:10.055</v>
      </c>
      <c r="C3948" t="str">
        <f>"18:42:09.855"</f>
        <v>18:42:09.855</v>
      </c>
      <c r="D3948" t="s">
        <v>1567</v>
      </c>
      <c r="E3948">
        <v>31.004511999999998</v>
      </c>
      <c r="F3948" t="s">
        <v>670</v>
      </c>
      <c r="G3948">
        <v>-89.848873999999995</v>
      </c>
      <c r="H3948">
        <v>1700</v>
      </c>
      <c r="I3948">
        <v>116</v>
      </c>
      <c r="J3948">
        <v>98</v>
      </c>
      <c r="K3948">
        <v>0</v>
      </c>
      <c r="L3948">
        <v>1200</v>
      </c>
      <c r="M3948" t="str">
        <f t="shared" si="416"/>
        <v xml:space="preserve">N35DC   </v>
      </c>
      <c r="N3948">
        <v>1</v>
      </c>
      <c r="O3948">
        <v>1750</v>
      </c>
    </row>
    <row r="3949" spans="1:15" x14ac:dyDescent="0.25">
      <c r="A3949" t="str">
        <f>"10/21/2020 18:42:02.115"</f>
        <v>10/21/2020 18:42:02.115</v>
      </c>
      <c r="B3949" t="str">
        <f>"18:42:10.055"</f>
        <v>18:42:10.055</v>
      </c>
      <c r="C3949" t="str">
        <f>"18:42:09.855"</f>
        <v>18:42:09.855</v>
      </c>
      <c r="D3949" t="s">
        <v>1567</v>
      </c>
      <c r="E3949">
        <v>31.004511999999998</v>
      </c>
      <c r="F3949" t="s">
        <v>670</v>
      </c>
      <c r="G3949">
        <v>-89.848873999999995</v>
      </c>
      <c r="H3949">
        <v>1700</v>
      </c>
      <c r="I3949">
        <v>116</v>
      </c>
      <c r="J3949">
        <v>98</v>
      </c>
      <c r="K3949">
        <v>0</v>
      </c>
      <c r="L3949">
        <v>1200</v>
      </c>
      <c r="M3949" t="str">
        <f t="shared" si="416"/>
        <v xml:space="preserve">N35DC   </v>
      </c>
      <c r="N3949">
        <v>1</v>
      </c>
      <c r="O3949">
        <v>1750</v>
      </c>
    </row>
    <row r="3950" spans="1:15" x14ac:dyDescent="0.25">
      <c r="A3950" t="str">
        <f>"10/21/2020 18:42:03.075"</f>
        <v>10/21/2020 18:42:03.075</v>
      </c>
      <c r="B3950" t="str">
        <f>"18:42:11.000"</f>
        <v>18:42:11.000</v>
      </c>
      <c r="C3950" t="str">
        <f>"18:42:10.800"</f>
        <v>18:42:10.800</v>
      </c>
      <c r="D3950" t="s">
        <v>1568</v>
      </c>
      <c r="E3950">
        <v>31.004963</v>
      </c>
      <c r="F3950" t="s">
        <v>1569</v>
      </c>
      <c r="G3950">
        <v>-89.848337000000001</v>
      </c>
      <c r="H3950">
        <v>1700</v>
      </c>
      <c r="I3950">
        <v>114</v>
      </c>
      <c r="J3950">
        <v>99</v>
      </c>
      <c r="K3950">
        <v>-128</v>
      </c>
      <c r="L3950">
        <v>1200</v>
      </c>
      <c r="M3950" t="str">
        <f t="shared" si="416"/>
        <v xml:space="preserve">N35DC   </v>
      </c>
      <c r="N3950">
        <v>1</v>
      </c>
      <c r="O3950">
        <v>1750</v>
      </c>
    </row>
    <row r="3951" spans="1:15" x14ac:dyDescent="0.25">
      <c r="A3951" t="str">
        <f>"10/21/2020 18:42:03.075"</f>
        <v>10/21/2020 18:42:03.075</v>
      </c>
      <c r="B3951" t="str">
        <f>"18:42:11.000"</f>
        <v>18:42:11.000</v>
      </c>
      <c r="C3951" t="str">
        <f>"18:42:10.800"</f>
        <v>18:42:10.800</v>
      </c>
      <c r="D3951" t="s">
        <v>1568</v>
      </c>
      <c r="E3951">
        <v>31.004963</v>
      </c>
      <c r="F3951" t="s">
        <v>1569</v>
      </c>
      <c r="G3951">
        <v>-89.848337000000001</v>
      </c>
      <c r="H3951">
        <v>1700</v>
      </c>
      <c r="I3951">
        <v>114</v>
      </c>
      <c r="J3951">
        <v>99</v>
      </c>
      <c r="K3951">
        <v>-128</v>
      </c>
      <c r="L3951">
        <v>1200</v>
      </c>
      <c r="M3951" t="str">
        <f t="shared" si="416"/>
        <v xml:space="preserve">N35DC   </v>
      </c>
      <c r="N3951">
        <v>1</v>
      </c>
      <c r="O3951">
        <v>1750</v>
      </c>
    </row>
    <row r="3952" spans="1:15" x14ac:dyDescent="0.25">
      <c r="A3952" t="str">
        <f>"10/21/2020 18:42:03.075"</f>
        <v>10/21/2020 18:42:03.075</v>
      </c>
      <c r="B3952" t="str">
        <f>"18:42:11.000"</f>
        <v>18:42:11.000</v>
      </c>
      <c r="C3952" t="str">
        <f>"18:42:10.800"</f>
        <v>18:42:10.800</v>
      </c>
      <c r="D3952" t="s">
        <v>1568</v>
      </c>
      <c r="E3952">
        <v>31.004963</v>
      </c>
      <c r="F3952" t="s">
        <v>1569</v>
      </c>
      <c r="G3952">
        <v>-89.848337000000001</v>
      </c>
      <c r="H3952">
        <v>1700</v>
      </c>
      <c r="I3952">
        <v>114</v>
      </c>
      <c r="J3952">
        <v>99</v>
      </c>
      <c r="K3952">
        <v>-128</v>
      </c>
      <c r="L3952">
        <v>1200</v>
      </c>
      <c r="M3952" t="str">
        <f t="shared" si="416"/>
        <v xml:space="preserve">N35DC   </v>
      </c>
      <c r="N3952">
        <v>1</v>
      </c>
      <c r="O3952">
        <v>1750</v>
      </c>
    </row>
    <row r="3953" spans="1:15" x14ac:dyDescent="0.25">
      <c r="A3953" t="str">
        <f>"10/21/2020 18:42:03.075"</f>
        <v>10/21/2020 18:42:03.075</v>
      </c>
      <c r="B3953" t="str">
        <f>"18:42:11.000"</f>
        <v>18:42:11.000</v>
      </c>
      <c r="C3953" t="str">
        <f>"18:42:10.800"</f>
        <v>18:42:10.800</v>
      </c>
      <c r="D3953" t="s">
        <v>1568</v>
      </c>
      <c r="E3953">
        <v>31.004963</v>
      </c>
      <c r="F3953" t="s">
        <v>1569</v>
      </c>
      <c r="G3953">
        <v>-89.848337000000001</v>
      </c>
      <c r="H3953">
        <v>1700</v>
      </c>
      <c r="I3953">
        <v>114</v>
      </c>
      <c r="J3953">
        <v>99</v>
      </c>
      <c r="K3953">
        <v>-128</v>
      </c>
      <c r="L3953">
        <v>1200</v>
      </c>
      <c r="M3953" t="str">
        <f t="shared" si="416"/>
        <v xml:space="preserve">N35DC   </v>
      </c>
      <c r="N3953">
        <v>1</v>
      </c>
      <c r="O3953">
        <v>1750</v>
      </c>
    </row>
    <row r="3954" spans="1:15" x14ac:dyDescent="0.25">
      <c r="A3954" t="str">
        <f>"10/21/2020 18:42:06.156"</f>
        <v>10/21/2020 18:42:06.156</v>
      </c>
      <c r="B3954" t="str">
        <f>"18:42:14.109"</f>
        <v>18:42:14.109</v>
      </c>
      <c r="C3954" t="str">
        <f>"18:42:13.909"</f>
        <v>18:42:13.909</v>
      </c>
      <c r="D3954" t="s">
        <v>1570</v>
      </c>
      <c r="E3954">
        <v>31.006485999999999</v>
      </c>
      <c r="F3954" t="s">
        <v>1571</v>
      </c>
      <c r="G3954">
        <v>-89.846513000000002</v>
      </c>
      <c r="H3954">
        <v>1700</v>
      </c>
      <c r="I3954">
        <v>105</v>
      </c>
      <c r="J3954">
        <v>109</v>
      </c>
      <c r="K3954">
        <v>-192</v>
      </c>
      <c r="L3954">
        <v>1200</v>
      </c>
      <c r="M3954" t="str">
        <f t="shared" si="416"/>
        <v xml:space="preserve">N35DC   </v>
      </c>
      <c r="N3954">
        <v>1</v>
      </c>
      <c r="O3954">
        <v>1750</v>
      </c>
    </row>
    <row r="3955" spans="1:15" x14ac:dyDescent="0.25">
      <c r="A3955" t="str">
        <f>"10/21/2020 18:42:06.156"</f>
        <v>10/21/2020 18:42:06.156</v>
      </c>
      <c r="B3955" t="str">
        <f>"18:42:14.109"</f>
        <v>18:42:14.109</v>
      </c>
      <c r="C3955" t="str">
        <f>"18:42:13.909"</f>
        <v>18:42:13.909</v>
      </c>
      <c r="D3955" t="s">
        <v>1570</v>
      </c>
      <c r="E3955">
        <v>31.006485999999999</v>
      </c>
      <c r="F3955" t="s">
        <v>1571</v>
      </c>
      <c r="G3955">
        <v>-89.846513000000002</v>
      </c>
      <c r="H3955">
        <v>1700</v>
      </c>
      <c r="I3955">
        <v>105</v>
      </c>
      <c r="J3955">
        <v>109</v>
      </c>
      <c r="K3955">
        <v>-192</v>
      </c>
      <c r="L3955">
        <v>1200</v>
      </c>
      <c r="M3955" t="str">
        <f t="shared" si="416"/>
        <v xml:space="preserve">N35DC   </v>
      </c>
      <c r="N3955">
        <v>1</v>
      </c>
      <c r="O3955">
        <v>1750</v>
      </c>
    </row>
    <row r="3956" spans="1:15" x14ac:dyDescent="0.25">
      <c r="A3956" t="str">
        <f>"10/21/2020 18:42:06.156"</f>
        <v>10/21/2020 18:42:06.156</v>
      </c>
      <c r="B3956" t="str">
        <f>"18:42:14.109"</f>
        <v>18:42:14.109</v>
      </c>
      <c r="C3956" t="str">
        <f>"18:42:13.909"</f>
        <v>18:42:13.909</v>
      </c>
      <c r="D3956" t="s">
        <v>1570</v>
      </c>
      <c r="E3956">
        <v>31.006485999999999</v>
      </c>
      <c r="F3956" t="s">
        <v>1571</v>
      </c>
      <c r="G3956">
        <v>-89.846513000000002</v>
      </c>
      <c r="H3956">
        <v>1700</v>
      </c>
      <c r="I3956">
        <v>105</v>
      </c>
      <c r="J3956">
        <v>109</v>
      </c>
      <c r="K3956">
        <v>-192</v>
      </c>
      <c r="L3956">
        <v>1200</v>
      </c>
      <c r="M3956" t="str">
        <f t="shared" si="416"/>
        <v xml:space="preserve">N35DC   </v>
      </c>
      <c r="N3956">
        <v>1</v>
      </c>
      <c r="O3956">
        <v>1750</v>
      </c>
    </row>
    <row r="3957" spans="1:15" x14ac:dyDescent="0.25">
      <c r="A3957" t="str">
        <f>"10/21/2020 18:42:06.156"</f>
        <v>10/21/2020 18:42:06.156</v>
      </c>
      <c r="B3957" t="str">
        <f>"18:42:14.109"</f>
        <v>18:42:14.109</v>
      </c>
      <c r="C3957" t="str">
        <f>"18:42:13.909"</f>
        <v>18:42:13.909</v>
      </c>
      <c r="D3957" t="s">
        <v>1570</v>
      </c>
      <c r="E3957">
        <v>31.006485999999999</v>
      </c>
      <c r="F3957" t="s">
        <v>1571</v>
      </c>
      <c r="G3957">
        <v>-89.846513000000002</v>
      </c>
      <c r="H3957">
        <v>1700</v>
      </c>
      <c r="I3957">
        <v>105</v>
      </c>
      <c r="J3957">
        <v>109</v>
      </c>
      <c r="K3957">
        <v>-192</v>
      </c>
      <c r="L3957">
        <v>1200</v>
      </c>
      <c r="M3957" t="str">
        <f t="shared" si="416"/>
        <v xml:space="preserve">N35DC   </v>
      </c>
      <c r="N3957">
        <v>1</v>
      </c>
      <c r="O3957">
        <v>1750</v>
      </c>
    </row>
    <row r="3958" spans="1:15" x14ac:dyDescent="0.25">
      <c r="A3958" t="str">
        <f>"10/21/2020 18:42:06.156"</f>
        <v>10/21/2020 18:42:06.156</v>
      </c>
      <c r="B3958" t="str">
        <f>"18:42:14.109"</f>
        <v>18:42:14.109</v>
      </c>
      <c r="C3958" t="str">
        <f>"18:42:13.909"</f>
        <v>18:42:13.909</v>
      </c>
      <c r="D3958" t="s">
        <v>1570</v>
      </c>
      <c r="E3958">
        <v>31.006485999999999</v>
      </c>
      <c r="F3958" t="s">
        <v>1571</v>
      </c>
      <c r="G3958">
        <v>-89.846513000000002</v>
      </c>
      <c r="H3958">
        <v>1700</v>
      </c>
      <c r="I3958">
        <v>105</v>
      </c>
      <c r="J3958">
        <v>109</v>
      </c>
      <c r="K3958">
        <v>-192</v>
      </c>
      <c r="L3958">
        <v>1200</v>
      </c>
      <c r="M3958" t="str">
        <f t="shared" si="416"/>
        <v xml:space="preserve">N35DC   </v>
      </c>
      <c r="N3958">
        <v>1</v>
      </c>
      <c r="O3958">
        <v>1750</v>
      </c>
    </row>
    <row r="3959" spans="1:15" x14ac:dyDescent="0.25">
      <c r="A3959" t="str">
        <f>"10/21/2020 18:42:09.036"</f>
        <v>10/21/2020 18:42:09.036</v>
      </c>
      <c r="B3959" t="str">
        <f>"18:42:16.656"</f>
        <v>18:42:16.656</v>
      </c>
      <c r="D3959" t="s">
        <v>1572</v>
      </c>
      <c r="E3959">
        <v>31.007838</v>
      </c>
      <c r="F3959" t="s">
        <v>1573</v>
      </c>
      <c r="G3959">
        <v>-89.845203999999995</v>
      </c>
      <c r="H3959">
        <v>1700</v>
      </c>
      <c r="K3959">
        <v>64</v>
      </c>
      <c r="L3959">
        <v>1200</v>
      </c>
      <c r="M3959" t="str">
        <f t="shared" si="416"/>
        <v xml:space="preserve">N35DC   </v>
      </c>
      <c r="N3959">
        <v>1</v>
      </c>
    </row>
    <row r="3960" spans="1:15" x14ac:dyDescent="0.25">
      <c r="A3960" t="str">
        <f>"10/21/2020 18:42:09.720"</f>
        <v>10/21/2020 18:42:09.720</v>
      </c>
      <c r="B3960" t="str">
        <f>"18:42:17.617"</f>
        <v>18:42:17.617</v>
      </c>
      <c r="C3960" t="str">
        <f>"18:42:16.817"</f>
        <v>18:42:16.817</v>
      </c>
      <c r="D3960" t="s">
        <v>1574</v>
      </c>
      <c r="E3960">
        <v>31.008353</v>
      </c>
      <c r="F3960" t="s">
        <v>1575</v>
      </c>
      <c r="G3960">
        <v>-89.844689000000002</v>
      </c>
      <c r="H3960">
        <v>1600</v>
      </c>
      <c r="I3960">
        <v>94</v>
      </c>
      <c r="J3960">
        <v>120</v>
      </c>
      <c r="K3960">
        <v>-384</v>
      </c>
      <c r="L3960">
        <v>1200</v>
      </c>
      <c r="M3960" t="str">
        <f t="shared" si="416"/>
        <v xml:space="preserve">N35DC   </v>
      </c>
      <c r="N3960">
        <v>1</v>
      </c>
      <c r="O3960">
        <v>1825</v>
      </c>
    </row>
    <row r="3961" spans="1:15" x14ac:dyDescent="0.25">
      <c r="A3961" t="str">
        <f>"10/21/2020 18:42:10.198"</f>
        <v>10/21/2020 18:42:10.198</v>
      </c>
      <c r="B3961" t="str">
        <f>"18:42:18.109"</f>
        <v>18:42:18.109</v>
      </c>
      <c r="C3961" t="str">
        <f>"18:42:17.909"</f>
        <v>18:42:17.909</v>
      </c>
      <c r="D3961" t="s">
        <v>1576</v>
      </c>
      <c r="E3961">
        <v>31.008675</v>
      </c>
      <c r="F3961" t="s">
        <v>1577</v>
      </c>
      <c r="G3961">
        <v>-89.844409999999996</v>
      </c>
      <c r="H3961">
        <v>1600</v>
      </c>
      <c r="I3961">
        <v>90</v>
      </c>
      <c r="J3961">
        <v>124</v>
      </c>
      <c r="K3961">
        <v>-448</v>
      </c>
      <c r="L3961">
        <v>1200</v>
      </c>
      <c r="M3961" t="str">
        <f t="shared" si="416"/>
        <v xml:space="preserve">N35DC   </v>
      </c>
      <c r="N3961">
        <v>1</v>
      </c>
      <c r="O3961">
        <v>1725</v>
      </c>
    </row>
    <row r="3962" spans="1:15" x14ac:dyDescent="0.25">
      <c r="A3962" t="str">
        <f>"10/21/2020 18:42:10.198"</f>
        <v>10/21/2020 18:42:10.198</v>
      </c>
      <c r="B3962" t="str">
        <f>"18:42:18.109"</f>
        <v>18:42:18.109</v>
      </c>
      <c r="C3962" t="str">
        <f>"18:42:17.909"</f>
        <v>18:42:17.909</v>
      </c>
      <c r="D3962" t="s">
        <v>1576</v>
      </c>
      <c r="E3962">
        <v>31.008675</v>
      </c>
      <c r="F3962" t="s">
        <v>1577</v>
      </c>
      <c r="G3962">
        <v>-89.844409999999996</v>
      </c>
      <c r="H3962">
        <v>1600</v>
      </c>
      <c r="I3962">
        <v>90</v>
      </c>
      <c r="J3962">
        <v>124</v>
      </c>
      <c r="K3962">
        <v>-448</v>
      </c>
      <c r="L3962">
        <v>1200</v>
      </c>
      <c r="M3962" t="str">
        <f t="shared" si="416"/>
        <v xml:space="preserve">N35DC   </v>
      </c>
      <c r="N3962">
        <v>1</v>
      </c>
      <c r="O3962">
        <v>1725</v>
      </c>
    </row>
    <row r="3963" spans="1:15" x14ac:dyDescent="0.25">
      <c r="A3963" t="str">
        <f>"10/21/2020 18:42:10.198"</f>
        <v>10/21/2020 18:42:10.198</v>
      </c>
      <c r="B3963" t="str">
        <f>"18:42:18.109"</f>
        <v>18:42:18.109</v>
      </c>
      <c r="C3963" t="str">
        <f>"18:42:17.909"</f>
        <v>18:42:17.909</v>
      </c>
      <c r="D3963" t="s">
        <v>1576</v>
      </c>
      <c r="E3963">
        <v>31.008675</v>
      </c>
      <c r="F3963" t="s">
        <v>1577</v>
      </c>
      <c r="G3963">
        <v>-89.844409999999996</v>
      </c>
      <c r="H3963">
        <v>1600</v>
      </c>
      <c r="I3963">
        <v>90</v>
      </c>
      <c r="J3963">
        <v>124</v>
      </c>
      <c r="K3963">
        <v>-448</v>
      </c>
      <c r="L3963">
        <v>1200</v>
      </c>
      <c r="M3963" t="str">
        <f t="shared" si="416"/>
        <v xml:space="preserve">N35DC   </v>
      </c>
      <c r="N3963">
        <v>1</v>
      </c>
      <c r="O3963">
        <v>1725</v>
      </c>
    </row>
    <row r="3964" spans="1:15" x14ac:dyDescent="0.25">
      <c r="A3964" t="str">
        <f>"10/21/2020 18:42:10.198"</f>
        <v>10/21/2020 18:42:10.198</v>
      </c>
      <c r="B3964" t="str">
        <f>"18:42:18.109"</f>
        <v>18:42:18.109</v>
      </c>
      <c r="C3964" t="str">
        <f>"18:42:17.909"</f>
        <v>18:42:17.909</v>
      </c>
      <c r="D3964" t="s">
        <v>1576</v>
      </c>
      <c r="E3964">
        <v>31.008675</v>
      </c>
      <c r="F3964" t="s">
        <v>1577</v>
      </c>
      <c r="G3964">
        <v>-89.844409999999996</v>
      </c>
      <c r="H3964">
        <v>1600</v>
      </c>
      <c r="I3964">
        <v>90</v>
      </c>
      <c r="J3964">
        <v>124</v>
      </c>
      <c r="K3964">
        <v>-448</v>
      </c>
      <c r="L3964">
        <v>1200</v>
      </c>
      <c r="M3964" t="str">
        <f t="shared" si="416"/>
        <v xml:space="preserve">N35DC   </v>
      </c>
      <c r="N3964">
        <v>1</v>
      </c>
      <c r="O3964">
        <v>1725</v>
      </c>
    </row>
    <row r="3965" spans="1:15" x14ac:dyDescent="0.25">
      <c r="A3965" t="str">
        <f>"10/21/2020 18:42:12.269"</f>
        <v>10/21/2020 18:42:12.269</v>
      </c>
      <c r="B3965" t="str">
        <f>"18:42:20.180"</f>
        <v>18:42:20.180</v>
      </c>
      <c r="C3965" t="str">
        <f>"18:42:19.780"</f>
        <v>18:42:19.780</v>
      </c>
      <c r="D3965" t="s">
        <v>1578</v>
      </c>
      <c r="E3965">
        <v>31.009898</v>
      </c>
      <c r="F3965" t="s">
        <v>570</v>
      </c>
      <c r="G3965">
        <v>-89.843552000000003</v>
      </c>
      <c r="H3965">
        <v>1600</v>
      </c>
      <c r="I3965">
        <v>79</v>
      </c>
      <c r="J3965">
        <v>132</v>
      </c>
      <c r="K3965">
        <v>-384</v>
      </c>
      <c r="L3965">
        <v>1200</v>
      </c>
      <c r="M3965" t="str">
        <f t="shared" si="416"/>
        <v xml:space="preserve">N35DC   </v>
      </c>
      <c r="N3965">
        <v>1</v>
      </c>
      <c r="O3965">
        <v>1700</v>
      </c>
    </row>
    <row r="3966" spans="1:15" x14ac:dyDescent="0.25">
      <c r="A3966" t="str">
        <f>"10/21/2020 18:42:12.269"</f>
        <v>10/21/2020 18:42:12.269</v>
      </c>
      <c r="B3966" t="str">
        <f>"18:42:20.180"</f>
        <v>18:42:20.180</v>
      </c>
      <c r="C3966" t="str">
        <f>"18:42:19.780"</f>
        <v>18:42:19.780</v>
      </c>
      <c r="D3966" t="s">
        <v>1578</v>
      </c>
      <c r="E3966">
        <v>31.009898</v>
      </c>
      <c r="F3966" t="s">
        <v>570</v>
      </c>
      <c r="G3966">
        <v>-89.843552000000003</v>
      </c>
      <c r="H3966">
        <v>1600</v>
      </c>
      <c r="I3966">
        <v>79</v>
      </c>
      <c r="J3966">
        <v>132</v>
      </c>
      <c r="K3966">
        <v>-384</v>
      </c>
      <c r="L3966">
        <v>1200</v>
      </c>
      <c r="M3966" t="str">
        <f t="shared" si="416"/>
        <v xml:space="preserve">N35DC   </v>
      </c>
      <c r="N3966">
        <v>1</v>
      </c>
      <c r="O3966">
        <v>1700</v>
      </c>
    </row>
    <row r="3967" spans="1:15" x14ac:dyDescent="0.25">
      <c r="A3967" t="str">
        <f>"10/21/2020 18:42:12.269"</f>
        <v>10/21/2020 18:42:12.269</v>
      </c>
      <c r="B3967" t="str">
        <f>"18:42:20.180"</f>
        <v>18:42:20.180</v>
      </c>
      <c r="C3967" t="str">
        <f>"18:42:19.780"</f>
        <v>18:42:19.780</v>
      </c>
      <c r="D3967" t="s">
        <v>1578</v>
      </c>
      <c r="E3967">
        <v>31.009898</v>
      </c>
      <c r="F3967" t="s">
        <v>570</v>
      </c>
      <c r="G3967">
        <v>-89.843552000000003</v>
      </c>
      <c r="H3967">
        <v>1600</v>
      </c>
      <c r="I3967">
        <v>79</v>
      </c>
      <c r="J3967">
        <v>132</v>
      </c>
      <c r="K3967">
        <v>-384</v>
      </c>
      <c r="L3967">
        <v>1200</v>
      </c>
      <c r="M3967" t="str">
        <f t="shared" si="416"/>
        <v xml:space="preserve">N35DC   </v>
      </c>
      <c r="N3967">
        <v>1</v>
      </c>
      <c r="O3967">
        <v>1700</v>
      </c>
    </row>
    <row r="3968" spans="1:15" x14ac:dyDescent="0.25">
      <c r="A3968" t="str">
        <f>"10/21/2020 18:42:12.269"</f>
        <v>10/21/2020 18:42:12.269</v>
      </c>
      <c r="B3968" t="str">
        <f>"18:42:20.180"</f>
        <v>18:42:20.180</v>
      </c>
      <c r="C3968" t="str">
        <f>"18:42:19.780"</f>
        <v>18:42:19.780</v>
      </c>
      <c r="D3968" t="s">
        <v>1578</v>
      </c>
      <c r="E3968">
        <v>31.009898</v>
      </c>
      <c r="F3968" t="s">
        <v>570</v>
      </c>
      <c r="G3968">
        <v>-89.843552000000003</v>
      </c>
      <c r="H3968">
        <v>1600</v>
      </c>
      <c r="I3968">
        <v>79</v>
      </c>
      <c r="J3968">
        <v>132</v>
      </c>
      <c r="K3968">
        <v>-384</v>
      </c>
      <c r="L3968">
        <v>1200</v>
      </c>
      <c r="M3968" t="str">
        <f t="shared" si="416"/>
        <v xml:space="preserve">N35DC   </v>
      </c>
      <c r="N3968">
        <v>1</v>
      </c>
      <c r="O3968">
        <v>1700</v>
      </c>
    </row>
    <row r="3969" spans="1:15" x14ac:dyDescent="0.25">
      <c r="A3969" t="str">
        <f>"10/21/2020 18:42:12.882"</f>
        <v>10/21/2020 18:42:12.882</v>
      </c>
      <c r="B3969" t="str">
        <f>"18:42:20.766"</f>
        <v>18:42:20.766</v>
      </c>
      <c r="C3969" t="str">
        <f>"18:42:20.366"</f>
        <v>18:42:20.366</v>
      </c>
      <c r="D3969" t="s">
        <v>1579</v>
      </c>
      <c r="E3969">
        <v>31.010262999999998</v>
      </c>
      <c r="F3969" t="s">
        <v>557</v>
      </c>
      <c r="G3969">
        <v>-89.843272999999996</v>
      </c>
      <c r="H3969">
        <v>1600</v>
      </c>
      <c r="I3969">
        <v>77</v>
      </c>
      <c r="J3969">
        <v>134</v>
      </c>
      <c r="K3969">
        <v>-448</v>
      </c>
      <c r="L3969">
        <v>1200</v>
      </c>
      <c r="M3969" t="str">
        <f t="shared" si="416"/>
        <v xml:space="preserve">N35DC   </v>
      </c>
      <c r="N3969">
        <v>1</v>
      </c>
      <c r="O3969">
        <v>1700</v>
      </c>
    </row>
    <row r="3970" spans="1:15" x14ac:dyDescent="0.25">
      <c r="A3970" t="str">
        <f>"10/21/2020 18:42:13.382"</f>
        <v>10/21/2020 18:42:13.382</v>
      </c>
      <c r="B3970" t="str">
        <f>"18:42:21.336"</f>
        <v>18:42:21.336</v>
      </c>
      <c r="C3970" t="str">
        <f>"18:42:20.336"</f>
        <v>18:42:20.336</v>
      </c>
      <c r="D3970" t="s">
        <v>1580</v>
      </c>
      <c r="E3970">
        <v>31.010649000000001</v>
      </c>
      <c r="F3970" t="s">
        <v>559</v>
      </c>
      <c r="G3970">
        <v>-89.843058999999997</v>
      </c>
      <c r="H3970">
        <v>1600</v>
      </c>
      <c r="I3970">
        <v>77</v>
      </c>
      <c r="J3970">
        <v>134</v>
      </c>
      <c r="K3970">
        <v>-448</v>
      </c>
      <c r="L3970">
        <v>1200</v>
      </c>
      <c r="M3970" t="str">
        <f t="shared" si="416"/>
        <v xml:space="preserve">N35DC   </v>
      </c>
      <c r="N3970">
        <v>1</v>
      </c>
      <c r="O3970">
        <v>1700</v>
      </c>
    </row>
    <row r="3971" spans="1:15" x14ac:dyDescent="0.25">
      <c r="A3971" t="str">
        <f>"10/21/2020 18:42:13.382"</f>
        <v>10/21/2020 18:42:13.382</v>
      </c>
      <c r="B3971" t="str">
        <f>"18:42:21.336"</f>
        <v>18:42:21.336</v>
      </c>
      <c r="C3971" t="str">
        <f>"18:42:20.336"</f>
        <v>18:42:20.336</v>
      </c>
      <c r="D3971" t="s">
        <v>1580</v>
      </c>
      <c r="E3971">
        <v>31.010649000000001</v>
      </c>
      <c r="F3971" t="s">
        <v>559</v>
      </c>
      <c r="G3971">
        <v>-89.843058999999997</v>
      </c>
      <c r="H3971">
        <v>1600</v>
      </c>
      <c r="I3971">
        <v>77</v>
      </c>
      <c r="J3971">
        <v>134</v>
      </c>
      <c r="K3971">
        <v>-448</v>
      </c>
      <c r="L3971">
        <v>1200</v>
      </c>
      <c r="M3971" t="str">
        <f t="shared" si="416"/>
        <v xml:space="preserve">N35DC   </v>
      </c>
      <c r="N3971">
        <v>1</v>
      </c>
      <c r="O3971">
        <v>1700</v>
      </c>
    </row>
    <row r="3972" spans="1:15" x14ac:dyDescent="0.25">
      <c r="A3972" t="str">
        <f>"10/21/2020 18:42:13.382"</f>
        <v>10/21/2020 18:42:13.382</v>
      </c>
      <c r="B3972" t="str">
        <f>"18:42:21.336"</f>
        <v>18:42:21.336</v>
      </c>
      <c r="C3972" t="str">
        <f>"18:42:20.336"</f>
        <v>18:42:20.336</v>
      </c>
      <c r="D3972" t="s">
        <v>1580</v>
      </c>
      <c r="E3972">
        <v>31.010649000000001</v>
      </c>
      <c r="F3972" t="s">
        <v>559</v>
      </c>
      <c r="G3972">
        <v>-89.843058999999997</v>
      </c>
      <c r="H3972">
        <v>1600</v>
      </c>
      <c r="I3972">
        <v>77</v>
      </c>
      <c r="J3972">
        <v>134</v>
      </c>
      <c r="K3972">
        <v>-448</v>
      </c>
      <c r="L3972">
        <v>1200</v>
      </c>
      <c r="M3972" t="str">
        <f t="shared" si="416"/>
        <v xml:space="preserve">N35DC   </v>
      </c>
      <c r="N3972">
        <v>1</v>
      </c>
      <c r="O3972">
        <v>1700</v>
      </c>
    </row>
    <row r="3973" spans="1:15" x14ac:dyDescent="0.25">
      <c r="A3973" t="str">
        <f>"10/21/2020 18:42:13.382"</f>
        <v>10/21/2020 18:42:13.382</v>
      </c>
      <c r="B3973" t="str">
        <f>"18:42:21.336"</f>
        <v>18:42:21.336</v>
      </c>
      <c r="C3973" t="str">
        <f>"18:42:20.336"</f>
        <v>18:42:20.336</v>
      </c>
      <c r="D3973" t="s">
        <v>1580</v>
      </c>
      <c r="E3973">
        <v>31.010649000000001</v>
      </c>
      <c r="F3973" t="s">
        <v>559</v>
      </c>
      <c r="G3973">
        <v>-89.843058999999997</v>
      </c>
      <c r="H3973">
        <v>1600</v>
      </c>
      <c r="I3973">
        <v>77</v>
      </c>
      <c r="J3973">
        <v>134</v>
      </c>
      <c r="K3973">
        <v>-448</v>
      </c>
      <c r="L3973">
        <v>1200</v>
      </c>
      <c r="M3973" t="str">
        <f t="shared" si="416"/>
        <v xml:space="preserve">N35DC   </v>
      </c>
      <c r="N3973">
        <v>1</v>
      </c>
      <c r="O3973">
        <v>1700</v>
      </c>
    </row>
    <row r="3974" spans="1:15" x14ac:dyDescent="0.25">
      <c r="A3974" t="str">
        <f>"10/21/2020 18:42:15.770"</f>
        <v>10/21/2020 18:42:15.770</v>
      </c>
      <c r="B3974" t="str">
        <f>"18:42:23.672"</f>
        <v>18:42:23.672</v>
      </c>
      <c r="C3974" t="str">
        <f>"18:42:23.372"</f>
        <v>18:42:23.372</v>
      </c>
      <c r="D3974" t="s">
        <v>1581</v>
      </c>
      <c r="E3974">
        <v>31.012215999999999</v>
      </c>
      <c r="F3974" t="s">
        <v>1582</v>
      </c>
      <c r="G3974">
        <v>-89.842308000000003</v>
      </c>
      <c r="H3974">
        <v>1600</v>
      </c>
      <c r="I3974">
        <v>57</v>
      </c>
      <c r="J3974">
        <v>145</v>
      </c>
      <c r="K3974">
        <v>-192</v>
      </c>
      <c r="L3974">
        <v>1200</v>
      </c>
      <c r="M3974" t="str">
        <f t="shared" si="416"/>
        <v xml:space="preserve">N35DC   </v>
      </c>
      <c r="N3974">
        <v>1</v>
      </c>
      <c r="O3974">
        <v>1675</v>
      </c>
    </row>
    <row r="3975" spans="1:15" x14ac:dyDescent="0.25">
      <c r="A3975" t="str">
        <f>"10/21/2020 18:42:15.770"</f>
        <v>10/21/2020 18:42:15.770</v>
      </c>
      <c r="B3975" t="str">
        <f>"18:42:23.672"</f>
        <v>18:42:23.672</v>
      </c>
      <c r="C3975" t="str">
        <f>"18:42:23.372"</f>
        <v>18:42:23.372</v>
      </c>
      <c r="D3975" t="s">
        <v>1581</v>
      </c>
      <c r="E3975">
        <v>31.012215999999999</v>
      </c>
      <c r="F3975" t="s">
        <v>1582</v>
      </c>
      <c r="G3975">
        <v>-89.842308000000003</v>
      </c>
      <c r="H3975">
        <v>1600</v>
      </c>
      <c r="I3975">
        <v>57</v>
      </c>
      <c r="J3975">
        <v>145</v>
      </c>
      <c r="K3975">
        <v>-192</v>
      </c>
      <c r="L3975">
        <v>1200</v>
      </c>
      <c r="M3975" t="str">
        <f t="shared" ref="M3975:M4038" si="418">"N35DC   "</f>
        <v xml:space="preserve">N35DC   </v>
      </c>
      <c r="N3975">
        <v>1</v>
      </c>
      <c r="O3975">
        <v>1675</v>
      </c>
    </row>
    <row r="3976" spans="1:15" x14ac:dyDescent="0.25">
      <c r="A3976" t="str">
        <f>"10/21/2020 18:42:15.770"</f>
        <v>10/21/2020 18:42:15.770</v>
      </c>
      <c r="B3976" t="str">
        <f>"18:42:23.672"</f>
        <v>18:42:23.672</v>
      </c>
      <c r="C3976" t="str">
        <f>"18:42:23.372"</f>
        <v>18:42:23.372</v>
      </c>
      <c r="D3976" t="s">
        <v>1581</v>
      </c>
      <c r="E3976">
        <v>31.012215999999999</v>
      </c>
      <c r="F3976" t="s">
        <v>1582</v>
      </c>
      <c r="G3976">
        <v>-89.842308000000003</v>
      </c>
      <c r="H3976">
        <v>1600</v>
      </c>
      <c r="I3976">
        <v>57</v>
      </c>
      <c r="J3976">
        <v>145</v>
      </c>
      <c r="K3976">
        <v>-192</v>
      </c>
      <c r="L3976">
        <v>1200</v>
      </c>
      <c r="M3976" t="str">
        <f t="shared" si="418"/>
        <v xml:space="preserve">N35DC   </v>
      </c>
      <c r="N3976">
        <v>1</v>
      </c>
      <c r="O3976">
        <v>1675</v>
      </c>
    </row>
    <row r="3977" spans="1:15" x14ac:dyDescent="0.25">
      <c r="A3977" t="str">
        <f>"10/21/2020 18:42:16.813"</f>
        <v>10/21/2020 18:42:16.813</v>
      </c>
      <c r="B3977" t="str">
        <f>"18:42:24.742"</f>
        <v>18:42:24.742</v>
      </c>
      <c r="C3977" t="str">
        <f>"18:42:24.342"</f>
        <v>18:42:24.342</v>
      </c>
      <c r="D3977" t="s">
        <v>1583</v>
      </c>
      <c r="E3977">
        <v>31.012924000000002</v>
      </c>
      <c r="F3977" t="s">
        <v>1584</v>
      </c>
      <c r="G3977">
        <v>-89.842006999999995</v>
      </c>
      <c r="H3977">
        <v>1600</v>
      </c>
      <c r="I3977">
        <v>49</v>
      </c>
      <c r="J3977">
        <v>148</v>
      </c>
      <c r="K3977">
        <v>-64</v>
      </c>
      <c r="L3977">
        <v>1200</v>
      </c>
      <c r="M3977" t="str">
        <f t="shared" si="418"/>
        <v xml:space="preserve">N35DC   </v>
      </c>
      <c r="N3977">
        <v>1</v>
      </c>
      <c r="O3977">
        <v>1675</v>
      </c>
    </row>
    <row r="3978" spans="1:15" x14ac:dyDescent="0.25">
      <c r="A3978" t="str">
        <f>"10/21/2020 18:42:16.813"</f>
        <v>10/21/2020 18:42:16.813</v>
      </c>
      <c r="B3978" t="str">
        <f>"18:42:24.742"</f>
        <v>18:42:24.742</v>
      </c>
      <c r="C3978" t="str">
        <f>"18:42:24.742"</f>
        <v>18:42:24.742</v>
      </c>
      <c r="D3978" t="s">
        <v>1583</v>
      </c>
      <c r="E3978">
        <v>31.012924000000002</v>
      </c>
      <c r="F3978" t="s">
        <v>1584</v>
      </c>
      <c r="G3978">
        <v>-89.842006999999995</v>
      </c>
      <c r="H3978">
        <v>1600</v>
      </c>
      <c r="I3978">
        <v>46</v>
      </c>
      <c r="J3978">
        <v>149</v>
      </c>
      <c r="K3978">
        <v>0</v>
      </c>
      <c r="L3978">
        <v>1200</v>
      </c>
      <c r="M3978" t="str">
        <f t="shared" si="418"/>
        <v xml:space="preserve">N35DC   </v>
      </c>
      <c r="N3978">
        <v>1</v>
      </c>
      <c r="O3978">
        <v>1675</v>
      </c>
    </row>
    <row r="3979" spans="1:15" x14ac:dyDescent="0.25">
      <c r="A3979" t="str">
        <f>"10/21/2020 18:42:16.813"</f>
        <v>10/21/2020 18:42:16.813</v>
      </c>
      <c r="B3979" t="str">
        <f>"18:42:24.742"</f>
        <v>18:42:24.742</v>
      </c>
      <c r="C3979" t="str">
        <f>"18:42:24.742"</f>
        <v>18:42:24.742</v>
      </c>
      <c r="D3979" t="s">
        <v>1583</v>
      </c>
      <c r="E3979">
        <v>31.012924000000002</v>
      </c>
      <c r="F3979" t="s">
        <v>1584</v>
      </c>
      <c r="G3979">
        <v>-89.842006999999995</v>
      </c>
      <c r="H3979">
        <v>1600</v>
      </c>
      <c r="I3979">
        <v>46</v>
      </c>
      <c r="J3979">
        <v>149</v>
      </c>
      <c r="K3979">
        <v>0</v>
      </c>
      <c r="L3979">
        <v>1200</v>
      </c>
      <c r="M3979" t="str">
        <f t="shared" si="418"/>
        <v xml:space="preserve">N35DC   </v>
      </c>
      <c r="N3979">
        <v>1</v>
      </c>
      <c r="O3979">
        <v>1675</v>
      </c>
    </row>
    <row r="3980" spans="1:15" x14ac:dyDescent="0.25">
      <c r="A3980" t="str">
        <f>"10/21/2020 18:42:16.813"</f>
        <v>10/21/2020 18:42:16.813</v>
      </c>
      <c r="B3980" t="str">
        <f>"18:42:24.742"</f>
        <v>18:42:24.742</v>
      </c>
      <c r="C3980" t="str">
        <f>"18:42:24.742"</f>
        <v>18:42:24.742</v>
      </c>
      <c r="D3980" t="s">
        <v>1583</v>
      </c>
      <c r="E3980">
        <v>31.012924000000002</v>
      </c>
      <c r="F3980" t="s">
        <v>1584</v>
      </c>
      <c r="G3980">
        <v>-89.842006999999995</v>
      </c>
      <c r="H3980">
        <v>1600</v>
      </c>
      <c r="I3980">
        <v>46</v>
      </c>
      <c r="J3980">
        <v>149</v>
      </c>
      <c r="K3980">
        <v>0</v>
      </c>
      <c r="L3980">
        <v>1200</v>
      </c>
      <c r="M3980" t="str">
        <f t="shared" si="418"/>
        <v xml:space="preserve">N35DC   </v>
      </c>
      <c r="N3980">
        <v>1</v>
      </c>
      <c r="O3980">
        <v>1675</v>
      </c>
    </row>
    <row r="3981" spans="1:15" x14ac:dyDescent="0.25">
      <c r="A3981" t="str">
        <f>"10/21/2020 18:42:16.813"</f>
        <v>10/21/2020 18:42:16.813</v>
      </c>
      <c r="B3981" t="str">
        <f>"18:42:24.742"</f>
        <v>18:42:24.742</v>
      </c>
      <c r="C3981" t="str">
        <f>"18:42:24.742"</f>
        <v>18:42:24.742</v>
      </c>
      <c r="D3981" t="s">
        <v>1583</v>
      </c>
      <c r="E3981">
        <v>31.012924000000002</v>
      </c>
      <c r="F3981" t="s">
        <v>1584</v>
      </c>
      <c r="G3981">
        <v>-89.842006999999995</v>
      </c>
      <c r="H3981">
        <v>1600</v>
      </c>
      <c r="I3981">
        <v>46</v>
      </c>
      <c r="J3981">
        <v>149</v>
      </c>
      <c r="K3981">
        <v>0</v>
      </c>
      <c r="L3981">
        <v>1200</v>
      </c>
      <c r="M3981" t="str">
        <f t="shared" si="418"/>
        <v xml:space="preserve">N35DC   </v>
      </c>
      <c r="N3981">
        <v>1</v>
      </c>
      <c r="O3981">
        <v>1675</v>
      </c>
    </row>
    <row r="3982" spans="1:15" x14ac:dyDescent="0.25">
      <c r="A3982" t="str">
        <f>"10/21/2020 18:42:19.829"</f>
        <v>10/21/2020 18:42:19.829</v>
      </c>
      <c r="B3982" t="str">
        <f>"18:42:27.773"</f>
        <v>18:42:27.773</v>
      </c>
      <c r="C3982" t="str">
        <f>"18:42:27.373"</f>
        <v>18:42:27.373</v>
      </c>
      <c r="D3982" t="s">
        <v>1585</v>
      </c>
      <c r="E3982">
        <v>31.015091000000002</v>
      </c>
      <c r="F3982" t="s">
        <v>1586</v>
      </c>
      <c r="G3982">
        <v>-89.841514000000004</v>
      </c>
      <c r="H3982">
        <v>1600</v>
      </c>
      <c r="I3982">
        <v>26</v>
      </c>
      <c r="J3982">
        <v>154</v>
      </c>
      <c r="K3982">
        <v>64</v>
      </c>
      <c r="L3982">
        <v>1200</v>
      </c>
      <c r="M3982" t="str">
        <f t="shared" si="418"/>
        <v xml:space="preserve">N35DC   </v>
      </c>
      <c r="N3982">
        <v>1</v>
      </c>
      <c r="O3982">
        <v>1675</v>
      </c>
    </row>
    <row r="3983" spans="1:15" x14ac:dyDescent="0.25">
      <c r="A3983" t="str">
        <f>"10/21/2020 18:42:19.829"</f>
        <v>10/21/2020 18:42:19.829</v>
      </c>
      <c r="B3983" t="str">
        <f>"18:42:27.773"</f>
        <v>18:42:27.773</v>
      </c>
      <c r="C3983" t="str">
        <f>"18:42:27.373"</f>
        <v>18:42:27.373</v>
      </c>
      <c r="D3983" t="s">
        <v>1585</v>
      </c>
      <c r="E3983">
        <v>31.015091000000002</v>
      </c>
      <c r="F3983" t="s">
        <v>1586</v>
      </c>
      <c r="G3983">
        <v>-89.841514000000004</v>
      </c>
      <c r="H3983">
        <v>1600</v>
      </c>
      <c r="I3983">
        <v>26</v>
      </c>
      <c r="J3983">
        <v>154</v>
      </c>
      <c r="K3983">
        <v>64</v>
      </c>
      <c r="L3983">
        <v>1200</v>
      </c>
      <c r="M3983" t="str">
        <f t="shared" si="418"/>
        <v xml:space="preserve">N35DC   </v>
      </c>
      <c r="N3983">
        <v>1</v>
      </c>
      <c r="O3983">
        <v>1675</v>
      </c>
    </row>
    <row r="3984" spans="1:15" x14ac:dyDescent="0.25">
      <c r="A3984" t="str">
        <f>"10/21/2020 18:42:19.829"</f>
        <v>10/21/2020 18:42:19.829</v>
      </c>
      <c r="B3984" t="str">
        <f>"18:42:27.773"</f>
        <v>18:42:27.773</v>
      </c>
      <c r="C3984" t="str">
        <f>"18:42:27.373"</f>
        <v>18:42:27.373</v>
      </c>
      <c r="D3984" t="s">
        <v>1585</v>
      </c>
      <c r="E3984">
        <v>31.015091000000002</v>
      </c>
      <c r="F3984" t="s">
        <v>1586</v>
      </c>
      <c r="G3984">
        <v>-89.841514000000004</v>
      </c>
      <c r="H3984">
        <v>1600</v>
      </c>
      <c r="I3984">
        <v>26</v>
      </c>
      <c r="J3984">
        <v>154</v>
      </c>
      <c r="K3984">
        <v>64</v>
      </c>
      <c r="L3984">
        <v>1200</v>
      </c>
      <c r="M3984" t="str">
        <f t="shared" si="418"/>
        <v xml:space="preserve">N35DC   </v>
      </c>
      <c r="N3984">
        <v>1</v>
      </c>
      <c r="O3984">
        <v>1675</v>
      </c>
    </row>
    <row r="3985" spans="1:15" x14ac:dyDescent="0.25">
      <c r="A3985" t="str">
        <f>"10/21/2020 18:42:19.829"</f>
        <v>10/21/2020 18:42:19.829</v>
      </c>
      <c r="B3985" t="str">
        <f>"18:42:27.773"</f>
        <v>18:42:27.773</v>
      </c>
      <c r="C3985" t="str">
        <f>"18:42:27.373"</f>
        <v>18:42:27.373</v>
      </c>
      <c r="D3985" t="s">
        <v>1585</v>
      </c>
      <c r="E3985">
        <v>31.015091000000002</v>
      </c>
      <c r="F3985" t="s">
        <v>1586</v>
      </c>
      <c r="G3985">
        <v>-89.841514000000004</v>
      </c>
      <c r="H3985">
        <v>1600</v>
      </c>
      <c r="I3985">
        <v>26</v>
      </c>
      <c r="J3985">
        <v>154</v>
      </c>
      <c r="K3985">
        <v>64</v>
      </c>
      <c r="L3985">
        <v>1200</v>
      </c>
      <c r="M3985" t="str">
        <f t="shared" si="418"/>
        <v xml:space="preserve">N35DC   </v>
      </c>
      <c r="N3985">
        <v>1</v>
      </c>
      <c r="O3985">
        <v>1675</v>
      </c>
    </row>
    <row r="3986" spans="1:15" x14ac:dyDescent="0.25">
      <c r="A3986" t="str">
        <f>"10/21/2020 18:42:26.741"</f>
        <v>10/21/2020 18:42:26.741</v>
      </c>
      <c r="B3986" t="str">
        <f>"18:42:34.672"</f>
        <v>18:42:34.672</v>
      </c>
      <c r="C3986" t="str">
        <f>"18:42:34.372"</f>
        <v>18:42:34.372</v>
      </c>
      <c r="D3986" t="s">
        <v>1587</v>
      </c>
      <c r="E3986">
        <v>31.020047999999999</v>
      </c>
      <c r="F3986" t="s">
        <v>1588</v>
      </c>
      <c r="G3986">
        <v>-89.841750000000005</v>
      </c>
      <c r="H3986">
        <v>1600</v>
      </c>
      <c r="I3986">
        <v>-25</v>
      </c>
      <c r="J3986">
        <v>153</v>
      </c>
      <c r="K3986">
        <v>384</v>
      </c>
      <c r="L3986">
        <v>1200</v>
      </c>
      <c r="M3986" t="str">
        <f t="shared" si="418"/>
        <v xml:space="preserve">N35DC   </v>
      </c>
      <c r="N3986">
        <v>1</v>
      </c>
      <c r="O3986">
        <v>1700</v>
      </c>
    </row>
    <row r="3987" spans="1:15" x14ac:dyDescent="0.25">
      <c r="A3987" t="str">
        <f>"10/21/2020 18:42:26.741"</f>
        <v>10/21/2020 18:42:26.741</v>
      </c>
      <c r="B3987" t="str">
        <f>"18:42:34.672"</f>
        <v>18:42:34.672</v>
      </c>
      <c r="C3987" t="str">
        <f>"18:42:34.372"</f>
        <v>18:42:34.372</v>
      </c>
      <c r="D3987" t="s">
        <v>1587</v>
      </c>
      <c r="E3987">
        <v>31.020047999999999</v>
      </c>
      <c r="F3987" t="s">
        <v>1588</v>
      </c>
      <c r="G3987">
        <v>-89.841750000000005</v>
      </c>
      <c r="H3987">
        <v>1600</v>
      </c>
      <c r="I3987">
        <v>-25</v>
      </c>
      <c r="J3987">
        <v>153</v>
      </c>
      <c r="K3987">
        <v>384</v>
      </c>
      <c r="L3987">
        <v>1200</v>
      </c>
      <c r="M3987" t="str">
        <f t="shared" si="418"/>
        <v xml:space="preserve">N35DC   </v>
      </c>
      <c r="N3987">
        <v>1</v>
      </c>
      <c r="O3987">
        <v>1700</v>
      </c>
    </row>
    <row r="3988" spans="1:15" x14ac:dyDescent="0.25">
      <c r="A3988" t="str">
        <f>"10/21/2020 18:42:26.741"</f>
        <v>10/21/2020 18:42:26.741</v>
      </c>
      <c r="B3988" t="str">
        <f>"18:42:34.672"</f>
        <v>18:42:34.672</v>
      </c>
      <c r="C3988" t="str">
        <f>"18:42:34.372"</f>
        <v>18:42:34.372</v>
      </c>
      <c r="D3988" t="s">
        <v>1587</v>
      </c>
      <c r="E3988">
        <v>31.020047999999999</v>
      </c>
      <c r="F3988" t="s">
        <v>1588</v>
      </c>
      <c r="G3988">
        <v>-89.841750000000005</v>
      </c>
      <c r="H3988">
        <v>1600</v>
      </c>
      <c r="I3988">
        <v>-25</v>
      </c>
      <c r="J3988">
        <v>153</v>
      </c>
      <c r="K3988">
        <v>384</v>
      </c>
      <c r="L3988">
        <v>1200</v>
      </c>
      <c r="M3988" t="str">
        <f t="shared" si="418"/>
        <v xml:space="preserve">N35DC   </v>
      </c>
      <c r="N3988">
        <v>1</v>
      </c>
      <c r="O3988">
        <v>1700</v>
      </c>
    </row>
    <row r="3989" spans="1:15" x14ac:dyDescent="0.25">
      <c r="A3989" t="str">
        <f>"10/21/2020 18:42:26.741"</f>
        <v>10/21/2020 18:42:26.741</v>
      </c>
      <c r="B3989" t="str">
        <f>"18:42:34.672"</f>
        <v>18:42:34.672</v>
      </c>
      <c r="C3989" t="str">
        <f>"18:42:34.372"</f>
        <v>18:42:34.372</v>
      </c>
      <c r="D3989" t="s">
        <v>1587</v>
      </c>
      <c r="E3989">
        <v>31.020047999999999</v>
      </c>
      <c r="F3989" t="s">
        <v>1588</v>
      </c>
      <c r="G3989">
        <v>-89.841750000000005</v>
      </c>
      <c r="H3989">
        <v>1600</v>
      </c>
      <c r="I3989">
        <v>-25</v>
      </c>
      <c r="J3989">
        <v>153</v>
      </c>
      <c r="K3989">
        <v>384</v>
      </c>
      <c r="L3989">
        <v>1200</v>
      </c>
      <c r="M3989" t="str">
        <f t="shared" si="418"/>
        <v xml:space="preserve">N35DC   </v>
      </c>
      <c r="N3989">
        <v>1</v>
      </c>
      <c r="O3989">
        <v>1700</v>
      </c>
    </row>
    <row r="3990" spans="1:15" x14ac:dyDescent="0.25">
      <c r="A3990" t="str">
        <f>"10/21/2020 18:42:26.741"</f>
        <v>10/21/2020 18:42:26.741</v>
      </c>
      <c r="B3990" t="str">
        <f>"18:42:34.672"</f>
        <v>18:42:34.672</v>
      </c>
      <c r="C3990" t="str">
        <f>"18:42:34.372"</f>
        <v>18:42:34.372</v>
      </c>
      <c r="D3990" t="s">
        <v>1587</v>
      </c>
      <c r="E3990">
        <v>31.020047999999999</v>
      </c>
      <c r="F3990" t="s">
        <v>1588</v>
      </c>
      <c r="G3990">
        <v>-89.841750000000005</v>
      </c>
      <c r="H3990">
        <v>1600</v>
      </c>
      <c r="I3990">
        <v>-25</v>
      </c>
      <c r="J3990">
        <v>153</v>
      </c>
      <c r="K3990">
        <v>384</v>
      </c>
      <c r="L3990">
        <v>1200</v>
      </c>
      <c r="M3990" t="str">
        <f t="shared" si="418"/>
        <v xml:space="preserve">N35DC   </v>
      </c>
      <c r="N3990">
        <v>1</v>
      </c>
      <c r="O3990">
        <v>1700</v>
      </c>
    </row>
    <row r="3991" spans="1:15" x14ac:dyDescent="0.25">
      <c r="A3991" t="str">
        <f>"10/21/2020 18:42:28.841"</f>
        <v>10/21/2020 18:42:28.841</v>
      </c>
      <c r="B3991" t="str">
        <f t="shared" ref="B3991:C3995" si="419">"18:42:36.758"</f>
        <v>18:42:36.758</v>
      </c>
      <c r="C3991" t="str">
        <f t="shared" si="419"/>
        <v>18:42:36.758</v>
      </c>
      <c r="D3991" t="s">
        <v>1589</v>
      </c>
      <c r="E3991">
        <v>31.021484999999998</v>
      </c>
      <c r="F3991" t="s">
        <v>1590</v>
      </c>
      <c r="G3991">
        <v>-89.842072000000002</v>
      </c>
      <c r="H3991">
        <v>1600</v>
      </c>
      <c r="I3991">
        <v>-37</v>
      </c>
      <c r="J3991">
        <v>150</v>
      </c>
      <c r="K3991">
        <v>448</v>
      </c>
      <c r="L3991">
        <v>1200</v>
      </c>
      <c r="M3991" t="str">
        <f t="shared" si="418"/>
        <v xml:space="preserve">N35DC   </v>
      </c>
      <c r="N3991">
        <v>1</v>
      </c>
      <c r="O3991">
        <v>1725</v>
      </c>
    </row>
    <row r="3992" spans="1:15" x14ac:dyDescent="0.25">
      <c r="A3992" t="str">
        <f>"10/21/2020 18:42:28.841"</f>
        <v>10/21/2020 18:42:28.841</v>
      </c>
      <c r="B3992" t="str">
        <f t="shared" si="419"/>
        <v>18:42:36.758</v>
      </c>
      <c r="C3992" t="str">
        <f t="shared" si="419"/>
        <v>18:42:36.758</v>
      </c>
      <c r="D3992" t="s">
        <v>1589</v>
      </c>
      <c r="E3992">
        <v>31.021484999999998</v>
      </c>
      <c r="F3992" t="s">
        <v>1590</v>
      </c>
      <c r="G3992">
        <v>-89.842072000000002</v>
      </c>
      <c r="H3992">
        <v>1600</v>
      </c>
      <c r="I3992">
        <v>-37</v>
      </c>
      <c r="J3992">
        <v>150</v>
      </c>
      <c r="K3992">
        <v>448</v>
      </c>
      <c r="L3992">
        <v>1200</v>
      </c>
      <c r="M3992" t="str">
        <f t="shared" si="418"/>
        <v xml:space="preserve">N35DC   </v>
      </c>
      <c r="N3992">
        <v>1</v>
      </c>
      <c r="O3992">
        <v>1725</v>
      </c>
    </row>
    <row r="3993" spans="1:15" x14ac:dyDescent="0.25">
      <c r="A3993" t="str">
        <f>"10/21/2020 18:42:28.841"</f>
        <v>10/21/2020 18:42:28.841</v>
      </c>
      <c r="B3993" t="str">
        <f t="shared" si="419"/>
        <v>18:42:36.758</v>
      </c>
      <c r="C3993" t="str">
        <f t="shared" si="419"/>
        <v>18:42:36.758</v>
      </c>
      <c r="D3993" t="s">
        <v>1589</v>
      </c>
      <c r="E3993">
        <v>31.021484999999998</v>
      </c>
      <c r="F3993" t="s">
        <v>1590</v>
      </c>
      <c r="G3993">
        <v>-89.842072000000002</v>
      </c>
      <c r="H3993">
        <v>1600</v>
      </c>
      <c r="I3993">
        <v>-37</v>
      </c>
      <c r="J3993">
        <v>150</v>
      </c>
      <c r="K3993">
        <v>448</v>
      </c>
      <c r="L3993">
        <v>1200</v>
      </c>
      <c r="M3993" t="str">
        <f t="shared" si="418"/>
        <v xml:space="preserve">N35DC   </v>
      </c>
      <c r="N3993">
        <v>1</v>
      </c>
      <c r="O3993">
        <v>1725</v>
      </c>
    </row>
    <row r="3994" spans="1:15" x14ac:dyDescent="0.25">
      <c r="A3994" t="str">
        <f>"10/21/2020 18:42:28.841"</f>
        <v>10/21/2020 18:42:28.841</v>
      </c>
      <c r="B3994" t="str">
        <f t="shared" si="419"/>
        <v>18:42:36.758</v>
      </c>
      <c r="C3994" t="str">
        <f t="shared" si="419"/>
        <v>18:42:36.758</v>
      </c>
      <c r="D3994" t="s">
        <v>1589</v>
      </c>
      <c r="E3994">
        <v>31.021484999999998</v>
      </c>
      <c r="F3994" t="s">
        <v>1590</v>
      </c>
      <c r="G3994">
        <v>-89.842072000000002</v>
      </c>
      <c r="H3994">
        <v>1600</v>
      </c>
      <c r="I3994">
        <v>-37</v>
      </c>
      <c r="J3994">
        <v>150</v>
      </c>
      <c r="K3994">
        <v>448</v>
      </c>
      <c r="L3994">
        <v>1200</v>
      </c>
      <c r="M3994" t="str">
        <f t="shared" si="418"/>
        <v xml:space="preserve">N35DC   </v>
      </c>
      <c r="N3994">
        <v>1</v>
      </c>
      <c r="O3994">
        <v>1725</v>
      </c>
    </row>
    <row r="3995" spans="1:15" x14ac:dyDescent="0.25">
      <c r="A3995" t="str">
        <f>"10/21/2020 18:42:28.841"</f>
        <v>10/21/2020 18:42:28.841</v>
      </c>
      <c r="B3995" t="str">
        <f t="shared" si="419"/>
        <v>18:42:36.758</v>
      </c>
      <c r="C3995" t="str">
        <f t="shared" si="419"/>
        <v>18:42:36.758</v>
      </c>
      <c r="D3995" t="s">
        <v>1589</v>
      </c>
      <c r="E3995">
        <v>31.021484999999998</v>
      </c>
      <c r="F3995" t="s">
        <v>1590</v>
      </c>
      <c r="G3995">
        <v>-89.842072000000002</v>
      </c>
      <c r="H3995">
        <v>1600</v>
      </c>
      <c r="I3995">
        <v>-37</v>
      </c>
      <c r="J3995">
        <v>150</v>
      </c>
      <c r="K3995">
        <v>448</v>
      </c>
      <c r="L3995">
        <v>1200</v>
      </c>
      <c r="M3995" t="str">
        <f t="shared" si="418"/>
        <v xml:space="preserve">N35DC   </v>
      </c>
      <c r="N3995">
        <v>1</v>
      </c>
      <c r="O3995">
        <v>1725</v>
      </c>
    </row>
    <row r="3996" spans="1:15" x14ac:dyDescent="0.25">
      <c r="A3996" t="str">
        <f>"10/21/2020 18:42:29.776"</f>
        <v>10/21/2020 18:42:29.776</v>
      </c>
      <c r="B3996" t="str">
        <f>"18:42:37.688"</f>
        <v>18:42:37.688</v>
      </c>
      <c r="C3996" t="str">
        <f>"18:42:37.288"</f>
        <v>18:42:37.288</v>
      </c>
      <c r="D3996" t="s">
        <v>1591</v>
      </c>
      <c r="E3996">
        <v>31.022151000000001</v>
      </c>
      <c r="F3996" t="s">
        <v>1582</v>
      </c>
      <c r="G3996">
        <v>-89.842308000000003</v>
      </c>
      <c r="H3996">
        <v>1600</v>
      </c>
      <c r="I3996">
        <v>-40</v>
      </c>
      <c r="J3996">
        <v>149</v>
      </c>
      <c r="K3996">
        <v>512</v>
      </c>
      <c r="L3996">
        <v>1200</v>
      </c>
      <c r="M3996" t="str">
        <f t="shared" si="418"/>
        <v xml:space="preserve">N35DC   </v>
      </c>
      <c r="N3996">
        <v>1</v>
      </c>
      <c r="O3996">
        <v>1725</v>
      </c>
    </row>
    <row r="3997" spans="1:15" x14ac:dyDescent="0.25">
      <c r="A3997" t="str">
        <f>"10/21/2020 18:42:29.776"</f>
        <v>10/21/2020 18:42:29.776</v>
      </c>
      <c r="B3997" t="str">
        <f>"18:42:37.688"</f>
        <v>18:42:37.688</v>
      </c>
      <c r="C3997" t="str">
        <f>"18:42:37.288"</f>
        <v>18:42:37.288</v>
      </c>
      <c r="D3997" t="s">
        <v>1591</v>
      </c>
      <c r="E3997">
        <v>31.022151000000001</v>
      </c>
      <c r="F3997" t="s">
        <v>1582</v>
      </c>
      <c r="G3997">
        <v>-89.842308000000003</v>
      </c>
      <c r="H3997">
        <v>1600</v>
      </c>
      <c r="I3997">
        <v>-40</v>
      </c>
      <c r="J3997">
        <v>149</v>
      </c>
      <c r="K3997">
        <v>512</v>
      </c>
      <c r="L3997">
        <v>1200</v>
      </c>
      <c r="M3997" t="str">
        <f t="shared" si="418"/>
        <v xml:space="preserve">N35DC   </v>
      </c>
      <c r="N3997">
        <v>1</v>
      </c>
      <c r="O3997">
        <v>1725</v>
      </c>
    </row>
    <row r="3998" spans="1:15" x14ac:dyDescent="0.25">
      <c r="A3998" t="str">
        <f>"10/21/2020 18:42:29.776"</f>
        <v>10/21/2020 18:42:29.776</v>
      </c>
      <c r="B3998" t="str">
        <f>"18:42:37.688"</f>
        <v>18:42:37.688</v>
      </c>
      <c r="C3998" t="str">
        <f>"18:42:37.288"</f>
        <v>18:42:37.288</v>
      </c>
      <c r="D3998" t="s">
        <v>1591</v>
      </c>
      <c r="E3998">
        <v>31.022151000000001</v>
      </c>
      <c r="F3998" t="s">
        <v>1582</v>
      </c>
      <c r="G3998">
        <v>-89.842308000000003</v>
      </c>
      <c r="H3998">
        <v>1600</v>
      </c>
      <c r="I3998">
        <v>-40</v>
      </c>
      <c r="J3998">
        <v>149</v>
      </c>
      <c r="K3998">
        <v>512</v>
      </c>
      <c r="L3998">
        <v>1200</v>
      </c>
      <c r="M3998" t="str">
        <f t="shared" si="418"/>
        <v xml:space="preserve">N35DC   </v>
      </c>
      <c r="N3998">
        <v>1</v>
      </c>
      <c r="O3998">
        <v>1725</v>
      </c>
    </row>
    <row r="3999" spans="1:15" x14ac:dyDescent="0.25">
      <c r="A3999" t="str">
        <f>"10/21/2020 18:42:29.776"</f>
        <v>10/21/2020 18:42:29.776</v>
      </c>
      <c r="B3999" t="str">
        <f>"18:42:37.688"</f>
        <v>18:42:37.688</v>
      </c>
      <c r="C3999" t="str">
        <f>"18:42:37.288"</f>
        <v>18:42:37.288</v>
      </c>
      <c r="D3999" t="s">
        <v>1591</v>
      </c>
      <c r="E3999">
        <v>31.022151000000001</v>
      </c>
      <c r="F3999" t="s">
        <v>1582</v>
      </c>
      <c r="G3999">
        <v>-89.842308000000003</v>
      </c>
      <c r="H3999">
        <v>1600</v>
      </c>
      <c r="I3999">
        <v>-40</v>
      </c>
      <c r="J3999">
        <v>149</v>
      </c>
      <c r="K3999">
        <v>512</v>
      </c>
      <c r="L3999">
        <v>1200</v>
      </c>
      <c r="M3999" t="str">
        <f t="shared" si="418"/>
        <v xml:space="preserve">N35DC   </v>
      </c>
      <c r="N3999">
        <v>1</v>
      </c>
      <c r="O3999">
        <v>1725</v>
      </c>
    </row>
    <row r="4000" spans="1:15" x14ac:dyDescent="0.25">
      <c r="A4000" t="str">
        <f>"10/21/2020 18:42:29.776"</f>
        <v>10/21/2020 18:42:29.776</v>
      </c>
      <c r="B4000" t="str">
        <f>"18:42:37.688"</f>
        <v>18:42:37.688</v>
      </c>
      <c r="C4000" t="str">
        <f>"18:42:37.288"</f>
        <v>18:42:37.288</v>
      </c>
      <c r="D4000" t="s">
        <v>1591</v>
      </c>
      <c r="E4000">
        <v>31.022151000000001</v>
      </c>
      <c r="F4000" t="s">
        <v>1582</v>
      </c>
      <c r="G4000">
        <v>-89.842308000000003</v>
      </c>
      <c r="H4000">
        <v>1600</v>
      </c>
      <c r="I4000">
        <v>-40</v>
      </c>
      <c r="J4000">
        <v>149</v>
      </c>
      <c r="K4000">
        <v>512</v>
      </c>
      <c r="L4000">
        <v>1200</v>
      </c>
      <c r="M4000" t="str">
        <f t="shared" si="418"/>
        <v xml:space="preserve">N35DC   </v>
      </c>
      <c r="N4000">
        <v>1</v>
      </c>
      <c r="O4000">
        <v>1725</v>
      </c>
    </row>
    <row r="4001" spans="1:15" x14ac:dyDescent="0.25">
      <c r="A4001" t="str">
        <f>"10/21/2020 18:42:30.709"</f>
        <v>10/21/2020 18:42:30.709</v>
      </c>
      <c r="B4001" t="str">
        <f>"18:42:38.641"</f>
        <v>18:42:38.641</v>
      </c>
      <c r="C4001" t="str">
        <f>"18:42:38.441"</f>
        <v>18:42:38.441</v>
      </c>
      <c r="D4001" t="s">
        <v>1592</v>
      </c>
      <c r="E4001">
        <v>31.022794000000001</v>
      </c>
      <c r="F4001" t="s">
        <v>1593</v>
      </c>
      <c r="G4001">
        <v>-89.842564999999993</v>
      </c>
      <c r="H4001">
        <v>1700</v>
      </c>
      <c r="I4001">
        <v>-44</v>
      </c>
      <c r="J4001">
        <v>147</v>
      </c>
      <c r="K4001">
        <v>576</v>
      </c>
      <c r="L4001">
        <v>1200</v>
      </c>
      <c r="M4001" t="str">
        <f t="shared" si="418"/>
        <v xml:space="preserve">N35DC   </v>
      </c>
      <c r="N4001">
        <v>1</v>
      </c>
      <c r="O4001">
        <v>1725</v>
      </c>
    </row>
    <row r="4002" spans="1:15" x14ac:dyDescent="0.25">
      <c r="A4002" t="str">
        <f>"10/21/2020 18:42:30.709"</f>
        <v>10/21/2020 18:42:30.709</v>
      </c>
      <c r="B4002" t="str">
        <f>"18:42:38.641"</f>
        <v>18:42:38.641</v>
      </c>
      <c r="C4002" t="str">
        <f>"18:42:38.441"</f>
        <v>18:42:38.441</v>
      </c>
      <c r="D4002" t="s">
        <v>1592</v>
      </c>
      <c r="E4002">
        <v>31.022794000000001</v>
      </c>
      <c r="F4002" t="s">
        <v>1593</v>
      </c>
      <c r="G4002">
        <v>-89.842564999999993</v>
      </c>
      <c r="H4002">
        <v>1700</v>
      </c>
      <c r="I4002">
        <v>-44</v>
      </c>
      <c r="J4002">
        <v>147</v>
      </c>
      <c r="K4002">
        <v>576</v>
      </c>
      <c r="L4002">
        <v>1200</v>
      </c>
      <c r="M4002" t="str">
        <f t="shared" si="418"/>
        <v xml:space="preserve">N35DC   </v>
      </c>
      <c r="N4002">
        <v>1</v>
      </c>
      <c r="O4002">
        <v>1725</v>
      </c>
    </row>
    <row r="4003" spans="1:15" x14ac:dyDescent="0.25">
      <c r="A4003" t="str">
        <f>"10/21/2020 18:42:30.709"</f>
        <v>10/21/2020 18:42:30.709</v>
      </c>
      <c r="B4003" t="str">
        <f>"18:42:38.641"</f>
        <v>18:42:38.641</v>
      </c>
      <c r="C4003" t="str">
        <f>"18:42:38.441"</f>
        <v>18:42:38.441</v>
      </c>
      <c r="D4003" t="s">
        <v>1592</v>
      </c>
      <c r="E4003">
        <v>31.022794000000001</v>
      </c>
      <c r="F4003" t="s">
        <v>1593</v>
      </c>
      <c r="G4003">
        <v>-89.842564999999993</v>
      </c>
      <c r="H4003">
        <v>1700</v>
      </c>
      <c r="I4003">
        <v>-44</v>
      </c>
      <c r="J4003">
        <v>147</v>
      </c>
      <c r="K4003">
        <v>576</v>
      </c>
      <c r="L4003">
        <v>1200</v>
      </c>
      <c r="M4003" t="str">
        <f t="shared" si="418"/>
        <v xml:space="preserve">N35DC   </v>
      </c>
      <c r="N4003">
        <v>1</v>
      </c>
      <c r="O4003">
        <v>1725</v>
      </c>
    </row>
    <row r="4004" spans="1:15" x14ac:dyDescent="0.25">
      <c r="A4004" t="str">
        <f>"10/21/2020 18:42:30.709"</f>
        <v>10/21/2020 18:42:30.709</v>
      </c>
      <c r="B4004" t="str">
        <f>"18:42:38.641"</f>
        <v>18:42:38.641</v>
      </c>
      <c r="C4004" t="str">
        <f>"18:42:38.441"</f>
        <v>18:42:38.441</v>
      </c>
      <c r="D4004" t="s">
        <v>1592</v>
      </c>
      <c r="E4004">
        <v>31.022794000000001</v>
      </c>
      <c r="F4004" t="s">
        <v>1593</v>
      </c>
      <c r="G4004">
        <v>-89.842564999999993</v>
      </c>
      <c r="H4004">
        <v>1700</v>
      </c>
      <c r="I4004">
        <v>-44</v>
      </c>
      <c r="J4004">
        <v>147</v>
      </c>
      <c r="K4004">
        <v>576</v>
      </c>
      <c r="L4004">
        <v>1200</v>
      </c>
      <c r="M4004" t="str">
        <f t="shared" si="418"/>
        <v xml:space="preserve">N35DC   </v>
      </c>
      <c r="N4004">
        <v>1</v>
      </c>
      <c r="O4004">
        <v>1725</v>
      </c>
    </row>
    <row r="4005" spans="1:15" x14ac:dyDescent="0.25">
      <c r="A4005" t="str">
        <f>"10/21/2020 18:42:30.709"</f>
        <v>10/21/2020 18:42:30.709</v>
      </c>
      <c r="B4005" t="str">
        <f>"18:42:38.641"</f>
        <v>18:42:38.641</v>
      </c>
      <c r="C4005" t="str">
        <f>"18:42:38.441"</f>
        <v>18:42:38.441</v>
      </c>
      <c r="D4005" t="s">
        <v>1592</v>
      </c>
      <c r="E4005">
        <v>31.022794000000001</v>
      </c>
      <c r="F4005" t="s">
        <v>1593</v>
      </c>
      <c r="G4005">
        <v>-89.842564999999993</v>
      </c>
      <c r="H4005">
        <v>1700</v>
      </c>
      <c r="I4005">
        <v>-44</v>
      </c>
      <c r="J4005">
        <v>147</v>
      </c>
      <c r="K4005">
        <v>576</v>
      </c>
      <c r="L4005">
        <v>1200</v>
      </c>
      <c r="M4005" t="str">
        <f t="shared" si="418"/>
        <v xml:space="preserve">N35DC   </v>
      </c>
      <c r="N4005">
        <v>1</v>
      </c>
      <c r="O4005">
        <v>1725</v>
      </c>
    </row>
    <row r="4006" spans="1:15" x14ac:dyDescent="0.25">
      <c r="A4006" t="str">
        <f>"10/21/2020 18:42:33.821"</f>
        <v>10/21/2020 18:42:33.821</v>
      </c>
      <c r="B4006" t="str">
        <f>"18:42:41.703"</f>
        <v>18:42:41.703</v>
      </c>
      <c r="C4006" t="str">
        <f>"18:42:40.903"</f>
        <v>18:42:40.903</v>
      </c>
      <c r="D4006" t="s">
        <v>1594</v>
      </c>
      <c r="E4006">
        <v>31.024833000000001</v>
      </c>
      <c r="F4006" t="s">
        <v>568</v>
      </c>
      <c r="G4006">
        <v>-89.843379999999996</v>
      </c>
      <c r="H4006">
        <v>1700</v>
      </c>
      <c r="I4006">
        <v>-50</v>
      </c>
      <c r="J4006">
        <v>144</v>
      </c>
      <c r="K4006">
        <v>448</v>
      </c>
      <c r="L4006">
        <v>1200</v>
      </c>
      <c r="M4006" t="str">
        <f t="shared" si="418"/>
        <v xml:space="preserve">N35DC   </v>
      </c>
      <c r="N4006">
        <v>1</v>
      </c>
      <c r="O4006">
        <v>1750</v>
      </c>
    </row>
    <row r="4007" spans="1:15" x14ac:dyDescent="0.25">
      <c r="A4007" t="str">
        <f>"10/21/2020 18:42:33.821"</f>
        <v>10/21/2020 18:42:33.821</v>
      </c>
      <c r="B4007" t="str">
        <f>"18:42:41.703"</f>
        <v>18:42:41.703</v>
      </c>
      <c r="C4007" t="str">
        <f>"18:42:41.403"</f>
        <v>18:42:41.403</v>
      </c>
      <c r="D4007" t="s">
        <v>1594</v>
      </c>
      <c r="E4007">
        <v>31.024833000000001</v>
      </c>
      <c r="F4007" t="s">
        <v>568</v>
      </c>
      <c r="G4007">
        <v>-89.843379999999996</v>
      </c>
      <c r="H4007">
        <v>1700</v>
      </c>
      <c r="I4007">
        <v>-52</v>
      </c>
      <c r="J4007">
        <v>143</v>
      </c>
      <c r="K4007">
        <v>512</v>
      </c>
      <c r="L4007">
        <v>1200</v>
      </c>
      <c r="M4007" t="str">
        <f t="shared" si="418"/>
        <v xml:space="preserve">N35DC   </v>
      </c>
      <c r="N4007">
        <v>1</v>
      </c>
      <c r="O4007">
        <v>1750</v>
      </c>
    </row>
    <row r="4008" spans="1:15" x14ac:dyDescent="0.25">
      <c r="A4008" t="str">
        <f>"10/21/2020 18:42:33.821"</f>
        <v>10/21/2020 18:42:33.821</v>
      </c>
      <c r="B4008" t="str">
        <f>"18:42:41.703"</f>
        <v>18:42:41.703</v>
      </c>
      <c r="C4008" t="str">
        <f>"18:42:41.403"</f>
        <v>18:42:41.403</v>
      </c>
      <c r="D4008" t="s">
        <v>1594</v>
      </c>
      <c r="E4008">
        <v>31.024833000000001</v>
      </c>
      <c r="F4008" t="s">
        <v>568</v>
      </c>
      <c r="G4008">
        <v>-89.843379999999996</v>
      </c>
      <c r="H4008">
        <v>1700</v>
      </c>
      <c r="I4008">
        <v>-52</v>
      </c>
      <c r="J4008">
        <v>143</v>
      </c>
      <c r="K4008">
        <v>512</v>
      </c>
      <c r="L4008">
        <v>1200</v>
      </c>
      <c r="M4008" t="str">
        <f t="shared" si="418"/>
        <v xml:space="preserve">N35DC   </v>
      </c>
      <c r="N4008">
        <v>1</v>
      </c>
      <c r="O4008">
        <v>1750</v>
      </c>
    </row>
    <row r="4009" spans="1:15" x14ac:dyDescent="0.25">
      <c r="A4009" t="str">
        <f>"10/21/2020 18:42:33.821"</f>
        <v>10/21/2020 18:42:33.821</v>
      </c>
      <c r="B4009" t="str">
        <f>"18:42:41.703"</f>
        <v>18:42:41.703</v>
      </c>
      <c r="C4009" t="str">
        <f>"18:42:41.403"</f>
        <v>18:42:41.403</v>
      </c>
      <c r="D4009" t="s">
        <v>1594</v>
      </c>
      <c r="E4009">
        <v>31.024833000000001</v>
      </c>
      <c r="F4009" t="s">
        <v>568</v>
      </c>
      <c r="G4009">
        <v>-89.843379999999996</v>
      </c>
      <c r="H4009">
        <v>1700</v>
      </c>
      <c r="I4009">
        <v>-52</v>
      </c>
      <c r="J4009">
        <v>143</v>
      </c>
      <c r="K4009">
        <v>512</v>
      </c>
      <c r="L4009">
        <v>1200</v>
      </c>
      <c r="M4009" t="str">
        <f t="shared" si="418"/>
        <v xml:space="preserve">N35DC   </v>
      </c>
      <c r="N4009">
        <v>1</v>
      </c>
      <c r="O4009">
        <v>1750</v>
      </c>
    </row>
    <row r="4010" spans="1:15" x14ac:dyDescent="0.25">
      <c r="A4010" t="str">
        <f>"10/21/2020 18:42:33.821"</f>
        <v>10/21/2020 18:42:33.821</v>
      </c>
      <c r="B4010" t="str">
        <f>"18:42:41.703"</f>
        <v>18:42:41.703</v>
      </c>
      <c r="C4010" t="str">
        <f>"18:42:41.403"</f>
        <v>18:42:41.403</v>
      </c>
      <c r="D4010" t="s">
        <v>1594</v>
      </c>
      <c r="E4010">
        <v>31.024833000000001</v>
      </c>
      <c r="F4010" t="s">
        <v>568</v>
      </c>
      <c r="G4010">
        <v>-89.843379999999996</v>
      </c>
      <c r="H4010">
        <v>1700</v>
      </c>
      <c r="I4010">
        <v>-52</v>
      </c>
      <c r="J4010">
        <v>143</v>
      </c>
      <c r="K4010">
        <v>512</v>
      </c>
      <c r="L4010">
        <v>1200</v>
      </c>
      <c r="M4010" t="str">
        <f t="shared" si="418"/>
        <v xml:space="preserve">N35DC   </v>
      </c>
      <c r="N4010">
        <v>1</v>
      </c>
      <c r="O4010">
        <v>1750</v>
      </c>
    </row>
    <row r="4011" spans="1:15" x14ac:dyDescent="0.25">
      <c r="A4011" t="str">
        <f>"10/21/2020 18:42:34.783"</f>
        <v>10/21/2020 18:42:34.783</v>
      </c>
      <c r="B4011" t="str">
        <f>"18:42:42.742"</f>
        <v>18:42:42.742</v>
      </c>
      <c r="C4011" t="str">
        <f>"18:42:42.342"</f>
        <v>18:42:42.342</v>
      </c>
      <c r="D4011" t="s">
        <v>1595</v>
      </c>
      <c r="E4011">
        <v>31.025541</v>
      </c>
      <c r="F4011" t="s">
        <v>1596</v>
      </c>
      <c r="G4011">
        <v>-89.843659000000002</v>
      </c>
      <c r="H4011">
        <v>1700</v>
      </c>
      <c r="I4011">
        <v>-53</v>
      </c>
      <c r="J4011">
        <v>143</v>
      </c>
      <c r="K4011">
        <v>384</v>
      </c>
      <c r="L4011">
        <v>1200</v>
      </c>
      <c r="M4011" t="str">
        <f t="shared" si="418"/>
        <v xml:space="preserve">N35DC   </v>
      </c>
      <c r="N4011">
        <v>1</v>
      </c>
      <c r="O4011">
        <v>1775</v>
      </c>
    </row>
    <row r="4012" spans="1:15" x14ac:dyDescent="0.25">
      <c r="A4012" t="str">
        <f>"10/21/2020 18:42:34.783"</f>
        <v>10/21/2020 18:42:34.783</v>
      </c>
      <c r="B4012" t="str">
        <f>"18:42:42.742"</f>
        <v>18:42:42.742</v>
      </c>
      <c r="C4012" t="str">
        <f>"18:42:41.442"</f>
        <v>18:42:41.442</v>
      </c>
      <c r="D4012" t="s">
        <v>1595</v>
      </c>
      <c r="E4012">
        <v>31.025541</v>
      </c>
      <c r="F4012" t="s">
        <v>1596</v>
      </c>
      <c r="G4012">
        <v>-89.843659000000002</v>
      </c>
      <c r="H4012">
        <v>1700</v>
      </c>
      <c r="I4012">
        <v>-52</v>
      </c>
      <c r="J4012">
        <v>143</v>
      </c>
      <c r="K4012">
        <v>512</v>
      </c>
      <c r="L4012">
        <v>1200</v>
      </c>
      <c r="M4012" t="str">
        <f t="shared" si="418"/>
        <v xml:space="preserve">N35DC   </v>
      </c>
      <c r="N4012">
        <v>1</v>
      </c>
      <c r="O4012">
        <v>1750</v>
      </c>
    </row>
    <row r="4013" spans="1:15" x14ac:dyDescent="0.25">
      <c r="A4013" t="str">
        <f>"10/21/2020 18:42:34.783"</f>
        <v>10/21/2020 18:42:34.783</v>
      </c>
      <c r="B4013" t="str">
        <f>"18:42:42.742"</f>
        <v>18:42:42.742</v>
      </c>
      <c r="C4013" t="str">
        <f>"18:42:42.342"</f>
        <v>18:42:42.342</v>
      </c>
      <c r="D4013" t="s">
        <v>1595</v>
      </c>
      <c r="E4013">
        <v>31.025541</v>
      </c>
      <c r="F4013" t="s">
        <v>1596</v>
      </c>
      <c r="G4013">
        <v>-89.843659000000002</v>
      </c>
      <c r="H4013">
        <v>1700</v>
      </c>
      <c r="I4013">
        <v>-53</v>
      </c>
      <c r="J4013">
        <v>143</v>
      </c>
      <c r="K4013">
        <v>384</v>
      </c>
      <c r="L4013">
        <v>1200</v>
      </c>
      <c r="M4013" t="str">
        <f t="shared" si="418"/>
        <v xml:space="preserve">N35DC   </v>
      </c>
      <c r="N4013">
        <v>1</v>
      </c>
      <c r="O4013">
        <v>1775</v>
      </c>
    </row>
    <row r="4014" spans="1:15" x14ac:dyDescent="0.25">
      <c r="A4014" t="str">
        <f>"10/21/2020 18:42:34.783"</f>
        <v>10/21/2020 18:42:34.783</v>
      </c>
      <c r="B4014" t="str">
        <f>"18:42:42.742"</f>
        <v>18:42:42.742</v>
      </c>
      <c r="C4014" t="str">
        <f>"18:42:42.342"</f>
        <v>18:42:42.342</v>
      </c>
      <c r="D4014" t="s">
        <v>1595</v>
      </c>
      <c r="E4014">
        <v>31.025541</v>
      </c>
      <c r="F4014" t="s">
        <v>1596</v>
      </c>
      <c r="G4014">
        <v>-89.843659000000002</v>
      </c>
      <c r="H4014">
        <v>1700</v>
      </c>
      <c r="I4014">
        <v>-53</v>
      </c>
      <c r="J4014">
        <v>143</v>
      </c>
      <c r="K4014">
        <v>384</v>
      </c>
      <c r="L4014">
        <v>1200</v>
      </c>
      <c r="M4014" t="str">
        <f t="shared" si="418"/>
        <v xml:space="preserve">N35DC   </v>
      </c>
      <c r="N4014">
        <v>1</v>
      </c>
      <c r="O4014">
        <v>1775</v>
      </c>
    </row>
    <row r="4015" spans="1:15" x14ac:dyDescent="0.25">
      <c r="A4015" t="str">
        <f>"10/21/2020 18:42:34.783"</f>
        <v>10/21/2020 18:42:34.783</v>
      </c>
      <c r="B4015" t="str">
        <f>"18:42:42.742"</f>
        <v>18:42:42.742</v>
      </c>
      <c r="C4015" t="str">
        <f>"18:42:42.342"</f>
        <v>18:42:42.342</v>
      </c>
      <c r="D4015" t="s">
        <v>1595</v>
      </c>
      <c r="E4015">
        <v>31.025541</v>
      </c>
      <c r="F4015" t="s">
        <v>1596</v>
      </c>
      <c r="G4015">
        <v>-89.843659000000002</v>
      </c>
      <c r="H4015">
        <v>1700</v>
      </c>
      <c r="I4015">
        <v>-53</v>
      </c>
      <c r="J4015">
        <v>143</v>
      </c>
      <c r="K4015">
        <v>384</v>
      </c>
      <c r="L4015">
        <v>1200</v>
      </c>
      <c r="M4015" t="str">
        <f t="shared" si="418"/>
        <v xml:space="preserve">N35DC   </v>
      </c>
      <c r="N4015">
        <v>1</v>
      </c>
      <c r="O4015">
        <v>1775</v>
      </c>
    </row>
    <row r="4016" spans="1:15" x14ac:dyDescent="0.25">
      <c r="A4016" t="str">
        <f>"10/21/2020 18:42:37.343"</f>
        <v>10/21/2020 18:42:37.343</v>
      </c>
      <c r="B4016" t="str">
        <f>"18:42:45.289"</f>
        <v>18:42:45.289</v>
      </c>
      <c r="C4016" t="str">
        <f>"18:42:45.189"</f>
        <v>18:42:45.189</v>
      </c>
      <c r="D4016" t="s">
        <v>1597</v>
      </c>
      <c r="E4016">
        <v>31.027215000000002</v>
      </c>
      <c r="F4016" t="s">
        <v>1577</v>
      </c>
      <c r="G4016">
        <v>-89.844409999999996</v>
      </c>
      <c r="H4016">
        <v>1700</v>
      </c>
      <c r="I4016">
        <v>-55</v>
      </c>
      <c r="J4016">
        <v>142</v>
      </c>
      <c r="K4016">
        <v>64</v>
      </c>
      <c r="L4016">
        <v>1200</v>
      </c>
      <c r="M4016" t="str">
        <f t="shared" si="418"/>
        <v xml:space="preserve">N35DC   </v>
      </c>
      <c r="N4016">
        <v>1</v>
      </c>
      <c r="O4016">
        <v>1775</v>
      </c>
    </row>
    <row r="4017" spans="1:15" x14ac:dyDescent="0.25">
      <c r="A4017" t="str">
        <f>"10/21/2020 18:42:37.881"</f>
        <v>10/21/2020 18:42:37.881</v>
      </c>
      <c r="B4017" t="str">
        <f>"18:42:45.828"</f>
        <v>18:42:45.828</v>
      </c>
      <c r="C4017" t="str">
        <f>"18:42:45.728"</f>
        <v>18:42:45.728</v>
      </c>
      <c r="D4017" t="s">
        <v>1598</v>
      </c>
      <c r="E4017">
        <v>31.027578999999999</v>
      </c>
      <c r="F4017" t="s">
        <v>1599</v>
      </c>
      <c r="G4017">
        <v>-89.844538999999997</v>
      </c>
      <c r="H4017">
        <v>1700</v>
      </c>
      <c r="I4017">
        <v>-55</v>
      </c>
      <c r="J4017">
        <v>143</v>
      </c>
      <c r="K4017">
        <v>128</v>
      </c>
      <c r="L4017">
        <v>1200</v>
      </c>
      <c r="M4017" t="str">
        <f t="shared" si="418"/>
        <v xml:space="preserve">N35DC   </v>
      </c>
      <c r="N4017">
        <v>1</v>
      </c>
      <c r="O4017">
        <v>1775</v>
      </c>
    </row>
    <row r="4018" spans="1:15" x14ac:dyDescent="0.25">
      <c r="A4018" t="str">
        <f>"10/21/2020 18:42:37.881"</f>
        <v>10/21/2020 18:42:37.881</v>
      </c>
      <c r="B4018" t="str">
        <f>"18:42:45.828"</f>
        <v>18:42:45.828</v>
      </c>
      <c r="C4018" t="str">
        <f>"18:42:45.728"</f>
        <v>18:42:45.728</v>
      </c>
      <c r="D4018" t="s">
        <v>1598</v>
      </c>
      <c r="E4018">
        <v>31.027578999999999</v>
      </c>
      <c r="F4018" t="s">
        <v>1599</v>
      </c>
      <c r="G4018">
        <v>-89.844538999999997</v>
      </c>
      <c r="H4018">
        <v>1700</v>
      </c>
      <c r="I4018">
        <v>-55</v>
      </c>
      <c r="J4018">
        <v>143</v>
      </c>
      <c r="K4018">
        <v>128</v>
      </c>
      <c r="L4018">
        <v>1200</v>
      </c>
      <c r="M4018" t="str">
        <f t="shared" si="418"/>
        <v xml:space="preserve">N35DC   </v>
      </c>
      <c r="N4018">
        <v>1</v>
      </c>
      <c r="O4018">
        <v>1775</v>
      </c>
    </row>
    <row r="4019" spans="1:15" x14ac:dyDescent="0.25">
      <c r="A4019" t="str">
        <f>"10/21/2020 18:42:37.881"</f>
        <v>10/21/2020 18:42:37.881</v>
      </c>
      <c r="B4019" t="str">
        <f>"18:42:45.828"</f>
        <v>18:42:45.828</v>
      </c>
      <c r="C4019" t="str">
        <f>"18:42:45.728"</f>
        <v>18:42:45.728</v>
      </c>
      <c r="D4019" t="s">
        <v>1598</v>
      </c>
      <c r="E4019">
        <v>31.027578999999999</v>
      </c>
      <c r="F4019" t="s">
        <v>1599</v>
      </c>
      <c r="G4019">
        <v>-89.844538999999997</v>
      </c>
      <c r="H4019">
        <v>1700</v>
      </c>
      <c r="I4019">
        <v>-55</v>
      </c>
      <c r="J4019">
        <v>143</v>
      </c>
      <c r="K4019">
        <v>128</v>
      </c>
      <c r="L4019">
        <v>1200</v>
      </c>
      <c r="M4019" t="str">
        <f t="shared" si="418"/>
        <v xml:space="preserve">N35DC   </v>
      </c>
      <c r="N4019">
        <v>1</v>
      </c>
      <c r="O4019">
        <v>1775</v>
      </c>
    </row>
    <row r="4020" spans="1:15" x14ac:dyDescent="0.25">
      <c r="A4020" t="str">
        <f>"10/21/2020 18:42:37.881"</f>
        <v>10/21/2020 18:42:37.881</v>
      </c>
      <c r="B4020" t="str">
        <f>"18:42:45.828"</f>
        <v>18:42:45.828</v>
      </c>
      <c r="C4020" t="str">
        <f>"18:42:45.728"</f>
        <v>18:42:45.728</v>
      </c>
      <c r="D4020" t="s">
        <v>1598</v>
      </c>
      <c r="E4020">
        <v>31.027578999999999</v>
      </c>
      <c r="F4020" t="s">
        <v>1599</v>
      </c>
      <c r="G4020">
        <v>-89.844538999999997</v>
      </c>
      <c r="H4020">
        <v>1700</v>
      </c>
      <c r="I4020">
        <v>-55</v>
      </c>
      <c r="J4020">
        <v>143</v>
      </c>
      <c r="K4020">
        <v>128</v>
      </c>
      <c r="L4020">
        <v>1200</v>
      </c>
      <c r="M4020" t="str">
        <f t="shared" si="418"/>
        <v xml:space="preserve">N35DC   </v>
      </c>
      <c r="N4020">
        <v>1</v>
      </c>
      <c r="O4020">
        <v>1775</v>
      </c>
    </row>
    <row r="4021" spans="1:15" x14ac:dyDescent="0.25">
      <c r="A4021" t="str">
        <f>"10/21/2020 18:42:38.888"</f>
        <v>10/21/2020 18:42:38.888</v>
      </c>
      <c r="B4021" t="str">
        <f>"18:42:46.820"</f>
        <v>18:42:46.820</v>
      </c>
      <c r="C4021" t="str">
        <f>"18:42:46.320"</f>
        <v>18:42:46.320</v>
      </c>
      <c r="D4021" t="s">
        <v>1600</v>
      </c>
      <c r="E4021">
        <v>31.028223000000001</v>
      </c>
      <c r="F4021" t="s">
        <v>1601</v>
      </c>
      <c r="G4021">
        <v>-89.844840000000005</v>
      </c>
      <c r="H4021">
        <v>1700</v>
      </c>
      <c r="I4021">
        <v>-55</v>
      </c>
      <c r="J4021">
        <v>143</v>
      </c>
      <c r="K4021">
        <v>-64</v>
      </c>
      <c r="L4021">
        <v>1200</v>
      </c>
      <c r="M4021" t="str">
        <f t="shared" si="418"/>
        <v xml:space="preserve">N35DC   </v>
      </c>
      <c r="N4021">
        <v>1</v>
      </c>
      <c r="O4021">
        <v>1775</v>
      </c>
    </row>
    <row r="4022" spans="1:15" x14ac:dyDescent="0.25">
      <c r="A4022" t="str">
        <f>"10/21/2020 18:42:38.888"</f>
        <v>10/21/2020 18:42:38.888</v>
      </c>
      <c r="B4022" t="str">
        <f>"18:42:46.820"</f>
        <v>18:42:46.820</v>
      </c>
      <c r="C4022" t="str">
        <f>"18:42:46.320"</f>
        <v>18:42:46.320</v>
      </c>
      <c r="D4022" t="s">
        <v>1600</v>
      </c>
      <c r="E4022">
        <v>31.028223000000001</v>
      </c>
      <c r="F4022" t="s">
        <v>1601</v>
      </c>
      <c r="G4022">
        <v>-89.844840000000005</v>
      </c>
      <c r="H4022">
        <v>1700</v>
      </c>
      <c r="I4022">
        <v>-55</v>
      </c>
      <c r="J4022">
        <v>143</v>
      </c>
      <c r="K4022">
        <v>-64</v>
      </c>
      <c r="L4022">
        <v>1200</v>
      </c>
      <c r="M4022" t="str">
        <f t="shared" si="418"/>
        <v xml:space="preserve">N35DC   </v>
      </c>
      <c r="N4022">
        <v>1</v>
      </c>
      <c r="O4022">
        <v>1775</v>
      </c>
    </row>
    <row r="4023" spans="1:15" x14ac:dyDescent="0.25">
      <c r="A4023" t="str">
        <f>"10/21/2020 18:42:38.888"</f>
        <v>10/21/2020 18:42:38.888</v>
      </c>
      <c r="B4023" t="str">
        <f>"18:42:46.820"</f>
        <v>18:42:46.820</v>
      </c>
      <c r="C4023" t="str">
        <f>"18:42:46.320"</f>
        <v>18:42:46.320</v>
      </c>
      <c r="D4023" t="s">
        <v>1600</v>
      </c>
      <c r="E4023">
        <v>31.028223000000001</v>
      </c>
      <c r="F4023" t="s">
        <v>1601</v>
      </c>
      <c r="G4023">
        <v>-89.844840000000005</v>
      </c>
      <c r="H4023">
        <v>1700</v>
      </c>
      <c r="I4023">
        <v>-55</v>
      </c>
      <c r="J4023">
        <v>143</v>
      </c>
      <c r="K4023">
        <v>-64</v>
      </c>
      <c r="L4023">
        <v>1200</v>
      </c>
      <c r="M4023" t="str">
        <f t="shared" si="418"/>
        <v xml:space="preserve">N35DC   </v>
      </c>
      <c r="N4023">
        <v>1</v>
      </c>
      <c r="O4023">
        <v>1775</v>
      </c>
    </row>
    <row r="4024" spans="1:15" x14ac:dyDescent="0.25">
      <c r="A4024" t="str">
        <f>"10/21/2020 18:42:38.888"</f>
        <v>10/21/2020 18:42:38.888</v>
      </c>
      <c r="B4024" t="str">
        <f>"18:42:46.820"</f>
        <v>18:42:46.820</v>
      </c>
      <c r="C4024" t="str">
        <f>"18:42:46.320"</f>
        <v>18:42:46.320</v>
      </c>
      <c r="D4024" t="s">
        <v>1600</v>
      </c>
      <c r="E4024">
        <v>31.028223000000001</v>
      </c>
      <c r="F4024" t="s">
        <v>1601</v>
      </c>
      <c r="G4024">
        <v>-89.844840000000005</v>
      </c>
      <c r="H4024">
        <v>1700</v>
      </c>
      <c r="I4024">
        <v>-55</v>
      </c>
      <c r="J4024">
        <v>143</v>
      </c>
      <c r="K4024">
        <v>-64</v>
      </c>
      <c r="L4024">
        <v>1200</v>
      </c>
      <c r="M4024" t="str">
        <f t="shared" si="418"/>
        <v xml:space="preserve">N35DC   </v>
      </c>
      <c r="N4024">
        <v>1</v>
      </c>
      <c r="O4024">
        <v>1775</v>
      </c>
    </row>
    <row r="4025" spans="1:15" x14ac:dyDescent="0.25">
      <c r="A4025" t="str">
        <f>"10/21/2020 18:42:38.888"</f>
        <v>10/21/2020 18:42:38.888</v>
      </c>
      <c r="B4025" t="str">
        <f>"18:42:46.820"</f>
        <v>18:42:46.820</v>
      </c>
      <c r="C4025" t="str">
        <f>"18:42:46.320"</f>
        <v>18:42:46.320</v>
      </c>
      <c r="D4025" t="s">
        <v>1600</v>
      </c>
      <c r="E4025">
        <v>31.028223000000001</v>
      </c>
      <c r="F4025" t="s">
        <v>1601</v>
      </c>
      <c r="G4025">
        <v>-89.844840000000005</v>
      </c>
      <c r="H4025">
        <v>1700</v>
      </c>
      <c r="I4025">
        <v>-55</v>
      </c>
      <c r="J4025">
        <v>143</v>
      </c>
      <c r="K4025">
        <v>-64</v>
      </c>
      <c r="L4025">
        <v>1200</v>
      </c>
      <c r="M4025" t="str">
        <f t="shared" si="418"/>
        <v xml:space="preserve">N35DC   </v>
      </c>
      <c r="N4025">
        <v>1</v>
      </c>
      <c r="O4025">
        <v>1775</v>
      </c>
    </row>
    <row r="4026" spans="1:15" x14ac:dyDescent="0.25">
      <c r="A4026" t="str">
        <f>"10/21/2020 18:42:40.949"</f>
        <v>10/21/2020 18:42:40.949</v>
      </c>
      <c r="B4026" t="str">
        <f>"18:42:48.891"</f>
        <v>18:42:48.891</v>
      </c>
      <c r="C4026" t="str">
        <f>"18:42:48.491"</f>
        <v>18:42:48.491</v>
      </c>
      <c r="D4026" t="s">
        <v>1602</v>
      </c>
      <c r="E4026">
        <v>31.029596000000002</v>
      </c>
      <c r="F4026" t="s">
        <v>1603</v>
      </c>
      <c r="G4026">
        <v>-89.845439999999996</v>
      </c>
      <c r="H4026">
        <v>1700</v>
      </c>
      <c r="I4026">
        <v>-56</v>
      </c>
      <c r="J4026">
        <v>144</v>
      </c>
      <c r="K4026">
        <v>-256</v>
      </c>
      <c r="L4026">
        <v>1200</v>
      </c>
      <c r="M4026" t="str">
        <f t="shared" si="418"/>
        <v xml:space="preserve">N35DC   </v>
      </c>
      <c r="N4026">
        <v>1</v>
      </c>
      <c r="O4026">
        <v>1775</v>
      </c>
    </row>
    <row r="4027" spans="1:15" x14ac:dyDescent="0.25">
      <c r="A4027" t="str">
        <f>"10/21/2020 18:42:40.949"</f>
        <v>10/21/2020 18:42:40.949</v>
      </c>
      <c r="B4027" t="str">
        <f>"18:42:48.891"</f>
        <v>18:42:48.891</v>
      </c>
      <c r="C4027" t="str">
        <f>"18:42:48.491"</f>
        <v>18:42:48.491</v>
      </c>
      <c r="D4027" t="s">
        <v>1602</v>
      </c>
      <c r="E4027">
        <v>31.029596000000002</v>
      </c>
      <c r="F4027" t="s">
        <v>1603</v>
      </c>
      <c r="G4027">
        <v>-89.845439999999996</v>
      </c>
      <c r="H4027">
        <v>1700</v>
      </c>
      <c r="I4027">
        <v>-56</v>
      </c>
      <c r="J4027">
        <v>144</v>
      </c>
      <c r="K4027">
        <v>-256</v>
      </c>
      <c r="L4027">
        <v>1200</v>
      </c>
      <c r="M4027" t="str">
        <f t="shared" si="418"/>
        <v xml:space="preserve">N35DC   </v>
      </c>
      <c r="N4027">
        <v>1</v>
      </c>
      <c r="O4027">
        <v>1775</v>
      </c>
    </row>
    <row r="4028" spans="1:15" x14ac:dyDescent="0.25">
      <c r="A4028" t="str">
        <f>"10/21/2020 18:42:40.949"</f>
        <v>10/21/2020 18:42:40.949</v>
      </c>
      <c r="B4028" t="str">
        <f>"18:42:48.891"</f>
        <v>18:42:48.891</v>
      </c>
      <c r="C4028" t="str">
        <f>"18:42:48.491"</f>
        <v>18:42:48.491</v>
      </c>
      <c r="D4028" t="s">
        <v>1602</v>
      </c>
      <c r="E4028">
        <v>31.029596000000002</v>
      </c>
      <c r="F4028" t="s">
        <v>1603</v>
      </c>
      <c r="G4028">
        <v>-89.845439999999996</v>
      </c>
      <c r="H4028">
        <v>1700</v>
      </c>
      <c r="I4028">
        <v>-56</v>
      </c>
      <c r="J4028">
        <v>144</v>
      </c>
      <c r="K4028">
        <v>-256</v>
      </c>
      <c r="L4028">
        <v>1200</v>
      </c>
      <c r="M4028" t="str">
        <f t="shared" si="418"/>
        <v xml:space="preserve">N35DC   </v>
      </c>
      <c r="N4028">
        <v>1</v>
      </c>
      <c r="O4028">
        <v>1775</v>
      </c>
    </row>
    <row r="4029" spans="1:15" x14ac:dyDescent="0.25">
      <c r="A4029" t="str">
        <f>"10/21/2020 18:42:40.949"</f>
        <v>10/21/2020 18:42:40.949</v>
      </c>
      <c r="B4029" t="str">
        <f>"18:42:48.891"</f>
        <v>18:42:48.891</v>
      </c>
      <c r="C4029" t="str">
        <f>"18:42:48.491"</f>
        <v>18:42:48.491</v>
      </c>
      <c r="D4029" t="s">
        <v>1602</v>
      </c>
      <c r="E4029">
        <v>31.029596000000002</v>
      </c>
      <c r="F4029" t="s">
        <v>1603</v>
      </c>
      <c r="G4029">
        <v>-89.845439999999996</v>
      </c>
      <c r="H4029">
        <v>1700</v>
      </c>
      <c r="I4029">
        <v>-56</v>
      </c>
      <c r="J4029">
        <v>144</v>
      </c>
      <c r="K4029">
        <v>-256</v>
      </c>
      <c r="L4029">
        <v>1200</v>
      </c>
      <c r="M4029" t="str">
        <f t="shared" si="418"/>
        <v xml:space="preserve">N35DC   </v>
      </c>
      <c r="N4029">
        <v>1</v>
      </c>
      <c r="O4029">
        <v>1775</v>
      </c>
    </row>
    <row r="4030" spans="1:15" x14ac:dyDescent="0.25">
      <c r="A4030" t="str">
        <f>"10/21/2020 18:42:40.949"</f>
        <v>10/21/2020 18:42:40.949</v>
      </c>
      <c r="B4030" t="str">
        <f>"18:42:48.891"</f>
        <v>18:42:48.891</v>
      </c>
      <c r="C4030" t="str">
        <f>"18:42:48.491"</f>
        <v>18:42:48.491</v>
      </c>
      <c r="D4030" t="s">
        <v>1602</v>
      </c>
      <c r="E4030">
        <v>31.029596000000002</v>
      </c>
      <c r="F4030" t="s">
        <v>1603</v>
      </c>
      <c r="G4030">
        <v>-89.845439999999996</v>
      </c>
      <c r="H4030">
        <v>1700</v>
      </c>
      <c r="I4030">
        <v>-56</v>
      </c>
      <c r="J4030">
        <v>144</v>
      </c>
      <c r="K4030">
        <v>-256</v>
      </c>
      <c r="L4030">
        <v>1200</v>
      </c>
      <c r="M4030" t="str">
        <f t="shared" si="418"/>
        <v xml:space="preserve">N35DC   </v>
      </c>
      <c r="N4030">
        <v>1</v>
      </c>
      <c r="O4030">
        <v>1775</v>
      </c>
    </row>
    <row r="4031" spans="1:15" x14ac:dyDescent="0.25">
      <c r="A4031" t="str">
        <f>"10/21/2020 18:42:41.786"</f>
        <v>10/21/2020 18:42:41.786</v>
      </c>
      <c r="B4031" t="str">
        <f>"18:42:49.727"</f>
        <v>18:42:49.727</v>
      </c>
      <c r="C4031" t="str">
        <f>"18:42:49.427"</f>
        <v>18:42:49.427</v>
      </c>
      <c r="D4031" t="s">
        <v>1604</v>
      </c>
      <c r="E4031">
        <v>31.030154</v>
      </c>
      <c r="F4031" t="s">
        <v>1605</v>
      </c>
      <c r="G4031">
        <v>-89.845697999999999</v>
      </c>
      <c r="H4031">
        <v>1700</v>
      </c>
      <c r="I4031">
        <v>-56</v>
      </c>
      <c r="J4031">
        <v>145</v>
      </c>
      <c r="K4031">
        <v>-384</v>
      </c>
      <c r="L4031">
        <v>1200</v>
      </c>
      <c r="M4031" t="str">
        <f t="shared" si="418"/>
        <v xml:space="preserve">N35DC   </v>
      </c>
      <c r="N4031">
        <v>1</v>
      </c>
      <c r="O4031">
        <v>1775</v>
      </c>
    </row>
    <row r="4032" spans="1:15" x14ac:dyDescent="0.25">
      <c r="A4032" t="str">
        <f>"10/21/2020 18:42:41.786"</f>
        <v>10/21/2020 18:42:41.786</v>
      </c>
      <c r="B4032" t="str">
        <f>"18:42:49.727"</f>
        <v>18:42:49.727</v>
      </c>
      <c r="C4032" t="str">
        <f>"18:42:49.427"</f>
        <v>18:42:49.427</v>
      </c>
      <c r="D4032" t="s">
        <v>1604</v>
      </c>
      <c r="E4032">
        <v>31.030154</v>
      </c>
      <c r="F4032" t="s">
        <v>1605</v>
      </c>
      <c r="G4032">
        <v>-89.845697999999999</v>
      </c>
      <c r="H4032">
        <v>1700</v>
      </c>
      <c r="I4032">
        <v>-56</v>
      </c>
      <c r="J4032">
        <v>145</v>
      </c>
      <c r="K4032">
        <v>-384</v>
      </c>
      <c r="L4032">
        <v>1200</v>
      </c>
      <c r="M4032" t="str">
        <f t="shared" si="418"/>
        <v xml:space="preserve">N35DC   </v>
      </c>
      <c r="N4032">
        <v>1</v>
      </c>
      <c r="O4032">
        <v>1775</v>
      </c>
    </row>
    <row r="4033" spans="1:15" x14ac:dyDescent="0.25">
      <c r="A4033" t="str">
        <f>"10/21/2020 18:42:41.786"</f>
        <v>10/21/2020 18:42:41.786</v>
      </c>
      <c r="B4033" t="str">
        <f>"18:42:49.727"</f>
        <v>18:42:49.727</v>
      </c>
      <c r="C4033" t="str">
        <f>"18:42:49.427"</f>
        <v>18:42:49.427</v>
      </c>
      <c r="D4033" t="s">
        <v>1604</v>
      </c>
      <c r="E4033">
        <v>31.030154</v>
      </c>
      <c r="F4033" t="s">
        <v>1605</v>
      </c>
      <c r="G4033">
        <v>-89.845697999999999</v>
      </c>
      <c r="H4033">
        <v>1700</v>
      </c>
      <c r="I4033">
        <v>-56</v>
      </c>
      <c r="J4033">
        <v>145</v>
      </c>
      <c r="K4033">
        <v>-384</v>
      </c>
      <c r="L4033">
        <v>1200</v>
      </c>
      <c r="M4033" t="str">
        <f t="shared" si="418"/>
        <v xml:space="preserve">N35DC   </v>
      </c>
      <c r="N4033">
        <v>1</v>
      </c>
      <c r="O4033">
        <v>1775</v>
      </c>
    </row>
    <row r="4034" spans="1:15" x14ac:dyDescent="0.25">
      <c r="A4034" t="str">
        <f>"10/21/2020 18:42:41.786"</f>
        <v>10/21/2020 18:42:41.786</v>
      </c>
      <c r="B4034" t="str">
        <f>"18:42:49.727"</f>
        <v>18:42:49.727</v>
      </c>
      <c r="C4034" t="str">
        <f>"18:42:49.427"</f>
        <v>18:42:49.427</v>
      </c>
      <c r="D4034" t="s">
        <v>1604</v>
      </c>
      <c r="E4034">
        <v>31.030154</v>
      </c>
      <c r="F4034" t="s">
        <v>1605</v>
      </c>
      <c r="G4034">
        <v>-89.845697999999999</v>
      </c>
      <c r="H4034">
        <v>1700</v>
      </c>
      <c r="I4034">
        <v>-56</v>
      </c>
      <c r="J4034">
        <v>145</v>
      </c>
      <c r="K4034">
        <v>-384</v>
      </c>
      <c r="L4034">
        <v>1200</v>
      </c>
      <c r="M4034" t="str">
        <f t="shared" si="418"/>
        <v xml:space="preserve">N35DC   </v>
      </c>
      <c r="N4034">
        <v>1</v>
      </c>
      <c r="O4034">
        <v>1775</v>
      </c>
    </row>
    <row r="4035" spans="1:15" x14ac:dyDescent="0.25">
      <c r="A4035" t="str">
        <f>"10/21/2020 18:42:42.277"</f>
        <v>10/21/2020 18:42:42.277</v>
      </c>
      <c r="B4035" t="str">
        <f>"18:42:50.148"</f>
        <v>18:42:50.148</v>
      </c>
      <c r="C4035" t="str">
        <f>"18:42:50.048"</f>
        <v>18:42:50.048</v>
      </c>
      <c r="D4035" t="s">
        <v>1606</v>
      </c>
      <c r="E4035">
        <v>31.030476</v>
      </c>
      <c r="F4035" t="s">
        <v>603</v>
      </c>
      <c r="G4035">
        <v>-89.845870000000005</v>
      </c>
      <c r="H4035">
        <v>1700</v>
      </c>
      <c r="I4035">
        <v>-56</v>
      </c>
      <c r="J4035">
        <v>145</v>
      </c>
      <c r="K4035">
        <v>-448</v>
      </c>
      <c r="L4035">
        <v>1200</v>
      </c>
      <c r="M4035" t="str">
        <f t="shared" si="418"/>
        <v xml:space="preserve">N35DC   </v>
      </c>
      <c r="N4035">
        <v>1</v>
      </c>
      <c r="O4035">
        <v>1750</v>
      </c>
    </row>
    <row r="4036" spans="1:15" x14ac:dyDescent="0.25">
      <c r="A4036" t="str">
        <f>"10/21/2020 18:42:44.391"</f>
        <v>10/21/2020 18:42:44.391</v>
      </c>
      <c r="B4036" t="str">
        <f>"18:42:52.281"</f>
        <v>18:42:52.281</v>
      </c>
      <c r="C4036" t="str">
        <f>"18:42:51.481"</f>
        <v>18:42:51.481</v>
      </c>
      <c r="D4036" t="s">
        <v>1607</v>
      </c>
      <c r="E4036">
        <v>31.031914</v>
      </c>
      <c r="F4036" t="s">
        <v>609</v>
      </c>
      <c r="G4036">
        <v>-89.846469999999997</v>
      </c>
      <c r="H4036">
        <v>1700</v>
      </c>
      <c r="I4036">
        <v>-55</v>
      </c>
      <c r="J4036">
        <v>147</v>
      </c>
      <c r="K4036">
        <v>-576</v>
      </c>
      <c r="L4036">
        <v>1200</v>
      </c>
      <c r="M4036" t="str">
        <f t="shared" si="418"/>
        <v xml:space="preserve">N35DC   </v>
      </c>
      <c r="N4036">
        <v>1</v>
      </c>
      <c r="O4036">
        <v>1750</v>
      </c>
    </row>
    <row r="4037" spans="1:15" x14ac:dyDescent="0.25">
      <c r="A4037" t="str">
        <f>"10/21/2020 18:42:44.818"</f>
        <v>10/21/2020 18:42:44.818</v>
      </c>
      <c r="B4037" t="str">
        <f>"18:42:52.742"</f>
        <v>18:42:52.742</v>
      </c>
      <c r="C4037" t="str">
        <f>"18:42:52.542"</f>
        <v>18:42:52.542</v>
      </c>
      <c r="D4037" t="s">
        <v>1608</v>
      </c>
      <c r="E4037">
        <v>31.032236000000001</v>
      </c>
      <c r="F4037" t="s">
        <v>1609</v>
      </c>
      <c r="G4037">
        <v>-89.846620999999999</v>
      </c>
      <c r="H4037">
        <v>1600</v>
      </c>
      <c r="I4037">
        <v>-53</v>
      </c>
      <c r="J4037">
        <v>148</v>
      </c>
      <c r="K4037">
        <v>-576</v>
      </c>
      <c r="L4037">
        <v>1200</v>
      </c>
      <c r="M4037" t="str">
        <f t="shared" si="418"/>
        <v xml:space="preserve">N35DC   </v>
      </c>
      <c r="N4037">
        <v>1</v>
      </c>
      <c r="O4037">
        <v>1750</v>
      </c>
    </row>
    <row r="4038" spans="1:15" x14ac:dyDescent="0.25">
      <c r="A4038" t="str">
        <f>"10/21/2020 18:42:44.818"</f>
        <v>10/21/2020 18:42:44.818</v>
      </c>
      <c r="B4038" t="str">
        <f>"18:42:52.742"</f>
        <v>18:42:52.742</v>
      </c>
      <c r="C4038" t="str">
        <f>"18:42:52.542"</f>
        <v>18:42:52.542</v>
      </c>
      <c r="D4038" t="s">
        <v>1608</v>
      </c>
      <c r="E4038">
        <v>31.032236000000001</v>
      </c>
      <c r="F4038" t="s">
        <v>1609</v>
      </c>
      <c r="G4038">
        <v>-89.846620999999999</v>
      </c>
      <c r="H4038">
        <v>1600</v>
      </c>
      <c r="I4038">
        <v>-53</v>
      </c>
      <c r="J4038">
        <v>148</v>
      </c>
      <c r="K4038">
        <v>-576</v>
      </c>
      <c r="L4038">
        <v>1200</v>
      </c>
      <c r="M4038" t="str">
        <f t="shared" si="418"/>
        <v xml:space="preserve">N35DC   </v>
      </c>
      <c r="N4038">
        <v>1</v>
      </c>
      <c r="O4038">
        <v>1750</v>
      </c>
    </row>
    <row r="4039" spans="1:15" x14ac:dyDescent="0.25">
      <c r="A4039" t="str">
        <f>"10/21/2020 18:42:44.818"</f>
        <v>10/21/2020 18:42:44.818</v>
      </c>
      <c r="B4039" t="str">
        <f>"18:42:52.742"</f>
        <v>18:42:52.742</v>
      </c>
      <c r="C4039" t="str">
        <f>"18:42:52.542"</f>
        <v>18:42:52.542</v>
      </c>
      <c r="D4039" t="s">
        <v>1608</v>
      </c>
      <c r="E4039">
        <v>31.032236000000001</v>
      </c>
      <c r="F4039" t="s">
        <v>1609</v>
      </c>
      <c r="G4039">
        <v>-89.846620999999999</v>
      </c>
      <c r="H4039">
        <v>1600</v>
      </c>
      <c r="I4039">
        <v>-53</v>
      </c>
      <c r="J4039">
        <v>148</v>
      </c>
      <c r="K4039">
        <v>-576</v>
      </c>
      <c r="L4039">
        <v>1200</v>
      </c>
      <c r="M4039" t="str">
        <f t="shared" ref="M4039:M4102" si="420">"N35DC   "</f>
        <v xml:space="preserve">N35DC   </v>
      </c>
      <c r="N4039">
        <v>1</v>
      </c>
      <c r="O4039">
        <v>1750</v>
      </c>
    </row>
    <row r="4040" spans="1:15" x14ac:dyDescent="0.25">
      <c r="A4040" t="str">
        <f>"10/21/2020 18:42:44.818"</f>
        <v>10/21/2020 18:42:44.818</v>
      </c>
      <c r="B4040" t="str">
        <f>"18:42:52.742"</f>
        <v>18:42:52.742</v>
      </c>
      <c r="C4040" t="str">
        <f>"18:42:52.542"</f>
        <v>18:42:52.542</v>
      </c>
      <c r="D4040" t="s">
        <v>1608</v>
      </c>
      <c r="E4040">
        <v>31.032236000000001</v>
      </c>
      <c r="F4040" t="s">
        <v>1609</v>
      </c>
      <c r="G4040">
        <v>-89.846620999999999</v>
      </c>
      <c r="H4040">
        <v>1600</v>
      </c>
      <c r="I4040">
        <v>-53</v>
      </c>
      <c r="J4040">
        <v>148</v>
      </c>
      <c r="K4040">
        <v>-576</v>
      </c>
      <c r="L4040">
        <v>1200</v>
      </c>
      <c r="M4040" t="str">
        <f t="shared" si="420"/>
        <v xml:space="preserve">N35DC   </v>
      </c>
      <c r="N4040">
        <v>1</v>
      </c>
      <c r="O4040">
        <v>1750</v>
      </c>
    </row>
    <row r="4041" spans="1:15" x14ac:dyDescent="0.25">
      <c r="A4041" t="str">
        <f>"10/21/2020 18:42:45.415"</f>
        <v>10/21/2020 18:42:45.415</v>
      </c>
      <c r="B4041" t="str">
        <f>"18:42:53.297"</f>
        <v>18:42:53.297</v>
      </c>
      <c r="C4041" t="str">
        <f>"18:42:53.097"</f>
        <v>18:42:53.097</v>
      </c>
      <c r="D4041" t="s">
        <v>1610</v>
      </c>
      <c r="E4041">
        <v>31.032578999999998</v>
      </c>
      <c r="F4041" t="s">
        <v>613</v>
      </c>
      <c r="G4041">
        <v>-89.846791999999994</v>
      </c>
      <c r="H4041">
        <v>1600</v>
      </c>
      <c r="I4041">
        <v>-53</v>
      </c>
      <c r="J4041">
        <v>148</v>
      </c>
      <c r="K4041">
        <v>-512</v>
      </c>
      <c r="L4041">
        <v>1200</v>
      </c>
      <c r="M4041" t="str">
        <f t="shared" si="420"/>
        <v xml:space="preserve">N35DC   </v>
      </c>
      <c r="N4041">
        <v>1</v>
      </c>
      <c r="O4041">
        <v>1725</v>
      </c>
    </row>
    <row r="4042" spans="1:15" x14ac:dyDescent="0.25">
      <c r="A4042" t="str">
        <f>"10/21/2020 18:42:45.852"</f>
        <v>10/21/2020 18:42:45.852</v>
      </c>
      <c r="B4042" t="str">
        <f>"18:42:53.789"</f>
        <v>18:42:53.789</v>
      </c>
      <c r="C4042" t="str">
        <f>"18:42:53.489"</f>
        <v>18:42:53.489</v>
      </c>
      <c r="D4042" t="s">
        <v>1611</v>
      </c>
      <c r="E4042">
        <v>31.032986999999999</v>
      </c>
      <c r="F4042" t="s">
        <v>1612</v>
      </c>
      <c r="G4042">
        <v>-89.846900000000005</v>
      </c>
      <c r="H4042">
        <v>1600</v>
      </c>
      <c r="I4042">
        <v>-52</v>
      </c>
      <c r="J4042">
        <v>149</v>
      </c>
      <c r="K4042">
        <v>-448</v>
      </c>
      <c r="L4042">
        <v>1200</v>
      </c>
      <c r="M4042" t="str">
        <f t="shared" si="420"/>
        <v xml:space="preserve">N35DC   </v>
      </c>
      <c r="N4042">
        <v>1</v>
      </c>
      <c r="O4042">
        <v>1725</v>
      </c>
    </row>
    <row r="4043" spans="1:15" x14ac:dyDescent="0.25">
      <c r="A4043" t="str">
        <f>"10/21/2020 18:42:45.852"</f>
        <v>10/21/2020 18:42:45.852</v>
      </c>
      <c r="B4043" t="str">
        <f>"18:42:53.789"</f>
        <v>18:42:53.789</v>
      </c>
      <c r="C4043" t="str">
        <f>"18:42:53.089"</f>
        <v>18:42:53.089</v>
      </c>
      <c r="D4043" t="s">
        <v>1611</v>
      </c>
      <c r="E4043">
        <v>31.032986999999999</v>
      </c>
      <c r="F4043" t="s">
        <v>1612</v>
      </c>
      <c r="G4043">
        <v>-89.846900000000005</v>
      </c>
      <c r="H4043">
        <v>1600</v>
      </c>
      <c r="I4043">
        <v>-53</v>
      </c>
      <c r="J4043">
        <v>148</v>
      </c>
      <c r="K4043">
        <v>-512</v>
      </c>
      <c r="L4043">
        <v>1200</v>
      </c>
      <c r="M4043" t="str">
        <f t="shared" si="420"/>
        <v xml:space="preserve">N35DC   </v>
      </c>
      <c r="N4043">
        <v>1</v>
      </c>
      <c r="O4043">
        <v>1725</v>
      </c>
    </row>
    <row r="4044" spans="1:15" x14ac:dyDescent="0.25">
      <c r="A4044" t="str">
        <f>"10/21/2020 18:42:45.852"</f>
        <v>10/21/2020 18:42:45.852</v>
      </c>
      <c r="B4044" t="str">
        <f>"18:42:53.789"</f>
        <v>18:42:53.789</v>
      </c>
      <c r="C4044" t="str">
        <f>"18:42:53.489"</f>
        <v>18:42:53.489</v>
      </c>
      <c r="D4044" t="s">
        <v>1611</v>
      </c>
      <c r="E4044">
        <v>31.032986999999999</v>
      </c>
      <c r="F4044" t="s">
        <v>1612</v>
      </c>
      <c r="G4044">
        <v>-89.846900000000005</v>
      </c>
      <c r="H4044">
        <v>1600</v>
      </c>
      <c r="I4044">
        <v>-52</v>
      </c>
      <c r="J4044">
        <v>149</v>
      </c>
      <c r="K4044">
        <v>-448</v>
      </c>
      <c r="L4044">
        <v>1200</v>
      </c>
      <c r="M4044" t="str">
        <f t="shared" si="420"/>
        <v xml:space="preserve">N35DC   </v>
      </c>
      <c r="N4044">
        <v>1</v>
      </c>
      <c r="O4044">
        <v>1725</v>
      </c>
    </row>
    <row r="4045" spans="1:15" x14ac:dyDescent="0.25">
      <c r="A4045" t="str">
        <f>"10/21/2020 18:42:45.852"</f>
        <v>10/21/2020 18:42:45.852</v>
      </c>
      <c r="B4045" t="str">
        <f>"18:42:53.789"</f>
        <v>18:42:53.789</v>
      </c>
      <c r="C4045" t="str">
        <f>"18:42:53.489"</f>
        <v>18:42:53.489</v>
      </c>
      <c r="D4045" t="s">
        <v>1611</v>
      </c>
      <c r="E4045">
        <v>31.032986999999999</v>
      </c>
      <c r="F4045" t="s">
        <v>1612</v>
      </c>
      <c r="G4045">
        <v>-89.846900000000005</v>
      </c>
      <c r="H4045">
        <v>1600</v>
      </c>
      <c r="I4045">
        <v>-52</v>
      </c>
      <c r="J4045">
        <v>149</v>
      </c>
      <c r="K4045">
        <v>-448</v>
      </c>
      <c r="L4045">
        <v>1200</v>
      </c>
      <c r="M4045" t="str">
        <f t="shared" si="420"/>
        <v xml:space="preserve">N35DC   </v>
      </c>
      <c r="N4045">
        <v>1</v>
      </c>
      <c r="O4045">
        <v>1725</v>
      </c>
    </row>
    <row r="4046" spans="1:15" x14ac:dyDescent="0.25">
      <c r="A4046" t="str">
        <f>"10/21/2020 18:42:46.940"</f>
        <v>10/21/2020 18:42:46.940</v>
      </c>
      <c r="B4046" t="str">
        <f>"18:42:54.844"</f>
        <v>18:42:54.844</v>
      </c>
      <c r="C4046" t="str">
        <f>"18:42:54.444"</f>
        <v>18:42:54.444</v>
      </c>
      <c r="D4046" t="s">
        <v>1613</v>
      </c>
      <c r="E4046">
        <v>31.033673</v>
      </c>
      <c r="F4046" t="s">
        <v>430</v>
      </c>
      <c r="G4046">
        <v>-89.847221000000005</v>
      </c>
      <c r="H4046">
        <v>1600</v>
      </c>
      <c r="I4046">
        <v>-51</v>
      </c>
      <c r="J4046">
        <v>149</v>
      </c>
      <c r="K4046">
        <v>-192</v>
      </c>
      <c r="L4046">
        <v>1200</v>
      </c>
      <c r="M4046" t="str">
        <f t="shared" si="420"/>
        <v xml:space="preserve">N35DC   </v>
      </c>
      <c r="N4046">
        <v>1</v>
      </c>
      <c r="O4046">
        <v>1725</v>
      </c>
    </row>
    <row r="4047" spans="1:15" x14ac:dyDescent="0.25">
      <c r="A4047" t="str">
        <f>"10/21/2020 18:42:46.940"</f>
        <v>10/21/2020 18:42:46.940</v>
      </c>
      <c r="B4047" t="str">
        <f>"18:42:54.844"</f>
        <v>18:42:54.844</v>
      </c>
      <c r="C4047" t="str">
        <f>"18:42:54.444"</f>
        <v>18:42:54.444</v>
      </c>
      <c r="D4047" t="s">
        <v>1613</v>
      </c>
      <c r="E4047">
        <v>31.033673</v>
      </c>
      <c r="F4047" t="s">
        <v>430</v>
      </c>
      <c r="G4047">
        <v>-89.847221000000005</v>
      </c>
      <c r="H4047">
        <v>1600</v>
      </c>
      <c r="I4047">
        <v>-51</v>
      </c>
      <c r="J4047">
        <v>149</v>
      </c>
      <c r="K4047">
        <v>-192</v>
      </c>
      <c r="L4047">
        <v>1200</v>
      </c>
      <c r="M4047" t="str">
        <f t="shared" si="420"/>
        <v xml:space="preserve">N35DC   </v>
      </c>
      <c r="N4047">
        <v>1</v>
      </c>
      <c r="O4047">
        <v>1725</v>
      </c>
    </row>
    <row r="4048" spans="1:15" x14ac:dyDescent="0.25">
      <c r="A4048" t="str">
        <f>"10/21/2020 18:42:46.940"</f>
        <v>10/21/2020 18:42:46.940</v>
      </c>
      <c r="B4048" t="str">
        <f>"18:42:54.844"</f>
        <v>18:42:54.844</v>
      </c>
      <c r="C4048" t="str">
        <f>"18:42:54.444"</f>
        <v>18:42:54.444</v>
      </c>
      <c r="D4048" t="s">
        <v>1613</v>
      </c>
      <c r="E4048">
        <v>31.033673</v>
      </c>
      <c r="F4048" t="s">
        <v>430</v>
      </c>
      <c r="G4048">
        <v>-89.847221000000005</v>
      </c>
      <c r="H4048">
        <v>1600</v>
      </c>
      <c r="I4048">
        <v>-51</v>
      </c>
      <c r="J4048">
        <v>149</v>
      </c>
      <c r="K4048">
        <v>-192</v>
      </c>
      <c r="L4048">
        <v>1200</v>
      </c>
      <c r="M4048" t="str">
        <f t="shared" si="420"/>
        <v xml:space="preserve">N35DC   </v>
      </c>
      <c r="N4048">
        <v>1</v>
      </c>
      <c r="O4048">
        <v>1725</v>
      </c>
    </row>
    <row r="4049" spans="1:15" x14ac:dyDescent="0.25">
      <c r="A4049" t="str">
        <f>"10/21/2020 18:42:46.940"</f>
        <v>10/21/2020 18:42:46.940</v>
      </c>
      <c r="B4049" t="str">
        <f>"18:42:54.844"</f>
        <v>18:42:54.844</v>
      </c>
      <c r="C4049" t="str">
        <f>"18:42:54.444"</f>
        <v>18:42:54.444</v>
      </c>
      <c r="D4049" t="s">
        <v>1613</v>
      </c>
      <c r="E4049">
        <v>31.033673</v>
      </c>
      <c r="F4049" t="s">
        <v>430</v>
      </c>
      <c r="G4049">
        <v>-89.847221000000005</v>
      </c>
      <c r="H4049">
        <v>1600</v>
      </c>
      <c r="I4049">
        <v>-51</v>
      </c>
      <c r="J4049">
        <v>149</v>
      </c>
      <c r="K4049">
        <v>-192</v>
      </c>
      <c r="L4049">
        <v>1200</v>
      </c>
      <c r="M4049" t="str">
        <f t="shared" si="420"/>
        <v xml:space="preserve">N35DC   </v>
      </c>
      <c r="N4049">
        <v>1</v>
      </c>
      <c r="O4049">
        <v>1725</v>
      </c>
    </row>
    <row r="4050" spans="1:15" x14ac:dyDescent="0.25">
      <c r="A4050" t="str">
        <f>"10/21/2020 18:42:46.940"</f>
        <v>10/21/2020 18:42:46.940</v>
      </c>
      <c r="B4050" t="str">
        <f>"18:42:54.844"</f>
        <v>18:42:54.844</v>
      </c>
      <c r="C4050" t="str">
        <f>"18:42:54.444"</f>
        <v>18:42:54.444</v>
      </c>
      <c r="D4050" t="s">
        <v>1613</v>
      </c>
      <c r="E4050">
        <v>31.033673</v>
      </c>
      <c r="F4050" t="s">
        <v>430</v>
      </c>
      <c r="G4050">
        <v>-89.847221000000005</v>
      </c>
      <c r="H4050">
        <v>1600</v>
      </c>
      <c r="I4050">
        <v>-51</v>
      </c>
      <c r="J4050">
        <v>149</v>
      </c>
      <c r="K4050">
        <v>-192</v>
      </c>
      <c r="L4050">
        <v>1200</v>
      </c>
      <c r="M4050" t="str">
        <f t="shared" si="420"/>
        <v xml:space="preserve">N35DC   </v>
      </c>
      <c r="N4050">
        <v>1</v>
      </c>
      <c r="O4050">
        <v>1725</v>
      </c>
    </row>
    <row r="4051" spans="1:15" x14ac:dyDescent="0.25">
      <c r="A4051" t="str">
        <f>"10/21/2020 18:42:49.274"</f>
        <v>10/21/2020 18:42:49.274</v>
      </c>
      <c r="B4051" t="str">
        <f>"18:42:57.180"</f>
        <v>18:42:57.180</v>
      </c>
      <c r="C4051" t="str">
        <f>"18:42:56.980"</f>
        <v>18:42:56.980</v>
      </c>
      <c r="D4051" t="s">
        <v>1614</v>
      </c>
      <c r="E4051">
        <v>31.035283</v>
      </c>
      <c r="F4051" t="s">
        <v>432</v>
      </c>
      <c r="G4051">
        <v>-89.847864999999999</v>
      </c>
      <c r="H4051">
        <v>1600</v>
      </c>
      <c r="I4051">
        <v>-49</v>
      </c>
      <c r="J4051">
        <v>150</v>
      </c>
      <c r="K4051">
        <v>128</v>
      </c>
      <c r="L4051">
        <v>1200</v>
      </c>
      <c r="M4051" t="str">
        <f t="shared" si="420"/>
        <v xml:space="preserve">N35DC   </v>
      </c>
      <c r="N4051">
        <v>1</v>
      </c>
      <c r="O4051">
        <v>1725</v>
      </c>
    </row>
    <row r="4052" spans="1:15" x14ac:dyDescent="0.25">
      <c r="A4052" t="str">
        <f>"10/21/2020 18:42:49.813"</f>
        <v>10/21/2020 18:42:49.813</v>
      </c>
      <c r="B4052" t="str">
        <f>"18:42:57.750"</f>
        <v>18:42:57.750</v>
      </c>
      <c r="C4052" t="str">
        <f>"18:42:56.450"</f>
        <v>18:42:56.450</v>
      </c>
      <c r="D4052" t="s">
        <v>1615</v>
      </c>
      <c r="E4052">
        <v>31.035689999999999</v>
      </c>
      <c r="F4052" t="s">
        <v>1616</v>
      </c>
      <c r="G4052">
        <v>-89.847971999999999</v>
      </c>
      <c r="H4052">
        <v>1700</v>
      </c>
      <c r="I4052">
        <v>-50</v>
      </c>
      <c r="J4052">
        <v>150</v>
      </c>
      <c r="K4052">
        <v>64</v>
      </c>
      <c r="L4052">
        <v>1200</v>
      </c>
      <c r="M4052" t="str">
        <f t="shared" si="420"/>
        <v xml:space="preserve">N35DC   </v>
      </c>
      <c r="N4052">
        <v>1</v>
      </c>
      <c r="O4052">
        <v>1725</v>
      </c>
    </row>
    <row r="4053" spans="1:15" x14ac:dyDescent="0.25">
      <c r="A4053" t="str">
        <f>"10/21/2020 18:42:49.813"</f>
        <v>10/21/2020 18:42:49.813</v>
      </c>
      <c r="B4053" t="str">
        <f>"18:42:57.750"</f>
        <v>18:42:57.750</v>
      </c>
      <c r="C4053" t="str">
        <f>"18:42:56.450"</f>
        <v>18:42:56.450</v>
      </c>
      <c r="D4053" t="s">
        <v>1615</v>
      </c>
      <c r="E4053">
        <v>31.035689999999999</v>
      </c>
      <c r="F4053" t="s">
        <v>1616</v>
      </c>
      <c r="G4053">
        <v>-89.847971999999999</v>
      </c>
      <c r="H4053">
        <v>1700</v>
      </c>
      <c r="I4053">
        <v>-50</v>
      </c>
      <c r="J4053">
        <v>150</v>
      </c>
      <c r="K4053">
        <v>64</v>
      </c>
      <c r="L4053">
        <v>1200</v>
      </c>
      <c r="M4053" t="str">
        <f t="shared" si="420"/>
        <v xml:space="preserve">N35DC   </v>
      </c>
      <c r="N4053">
        <v>1</v>
      </c>
      <c r="O4053">
        <v>1725</v>
      </c>
    </row>
    <row r="4054" spans="1:15" x14ac:dyDescent="0.25">
      <c r="A4054" t="str">
        <f>"10/21/2020 18:42:49.813"</f>
        <v>10/21/2020 18:42:49.813</v>
      </c>
      <c r="B4054" t="str">
        <f>"18:42:57.750"</f>
        <v>18:42:57.750</v>
      </c>
      <c r="C4054" t="str">
        <f>"18:42:56.450"</f>
        <v>18:42:56.450</v>
      </c>
      <c r="D4054" t="s">
        <v>1615</v>
      </c>
      <c r="E4054">
        <v>31.035689999999999</v>
      </c>
      <c r="F4054" t="s">
        <v>1616</v>
      </c>
      <c r="G4054">
        <v>-89.847971999999999</v>
      </c>
      <c r="H4054">
        <v>1700</v>
      </c>
      <c r="I4054">
        <v>-50</v>
      </c>
      <c r="J4054">
        <v>150</v>
      </c>
      <c r="K4054">
        <v>64</v>
      </c>
      <c r="L4054">
        <v>1200</v>
      </c>
      <c r="M4054" t="str">
        <f t="shared" si="420"/>
        <v xml:space="preserve">N35DC   </v>
      </c>
      <c r="N4054">
        <v>1</v>
      </c>
      <c r="O4054">
        <v>1725</v>
      </c>
    </row>
    <row r="4055" spans="1:15" x14ac:dyDescent="0.25">
      <c r="A4055" t="str">
        <f>"10/21/2020 18:42:49.813"</f>
        <v>10/21/2020 18:42:49.813</v>
      </c>
      <c r="B4055" t="str">
        <f>"18:42:57.750"</f>
        <v>18:42:57.750</v>
      </c>
      <c r="C4055" t="str">
        <f>"18:42:56.450"</f>
        <v>18:42:56.450</v>
      </c>
      <c r="D4055" t="s">
        <v>1615</v>
      </c>
      <c r="E4055">
        <v>31.035689999999999</v>
      </c>
      <c r="F4055" t="s">
        <v>1616</v>
      </c>
      <c r="G4055">
        <v>-89.847971999999999</v>
      </c>
      <c r="H4055">
        <v>1700</v>
      </c>
      <c r="I4055">
        <v>-50</v>
      </c>
      <c r="J4055">
        <v>150</v>
      </c>
      <c r="K4055">
        <v>64</v>
      </c>
      <c r="L4055">
        <v>1200</v>
      </c>
      <c r="M4055" t="str">
        <f t="shared" si="420"/>
        <v xml:space="preserve">N35DC   </v>
      </c>
      <c r="N4055">
        <v>1</v>
      </c>
      <c r="O4055">
        <v>1725</v>
      </c>
    </row>
    <row r="4056" spans="1:15" x14ac:dyDescent="0.25">
      <c r="A4056" t="str">
        <f>"10/21/2020 18:42:50.429"</f>
        <v>10/21/2020 18:42:50.429</v>
      </c>
      <c r="B4056" t="str">
        <f>"18:42:58.352"</f>
        <v>18:42:58.352</v>
      </c>
      <c r="C4056" t="str">
        <f>"18:42:58.052"</f>
        <v>18:42:58.052</v>
      </c>
      <c r="D4056" t="s">
        <v>1617</v>
      </c>
      <c r="E4056">
        <v>31.036097999999999</v>
      </c>
      <c r="F4056" t="s">
        <v>1618</v>
      </c>
      <c r="G4056">
        <v>-89.848123000000001</v>
      </c>
      <c r="H4056">
        <v>1700</v>
      </c>
      <c r="I4056">
        <v>-47</v>
      </c>
      <c r="J4056">
        <v>150</v>
      </c>
      <c r="K4056">
        <v>256</v>
      </c>
      <c r="L4056">
        <v>1200</v>
      </c>
      <c r="M4056" t="str">
        <f t="shared" si="420"/>
        <v xml:space="preserve">N35DC   </v>
      </c>
      <c r="N4056">
        <v>1</v>
      </c>
      <c r="O4056">
        <v>1625</v>
      </c>
    </row>
    <row r="4057" spans="1:15" x14ac:dyDescent="0.25">
      <c r="A4057" t="str">
        <f>"10/21/2020 18:42:50.908"</f>
        <v>10/21/2020 18:42:50.908</v>
      </c>
      <c r="B4057" t="str">
        <f>"18:42:58.859"</f>
        <v>18:42:58.859</v>
      </c>
      <c r="C4057" t="str">
        <f>"18:42:58.659"</f>
        <v>18:42:58.659</v>
      </c>
      <c r="D4057" t="s">
        <v>1619</v>
      </c>
      <c r="E4057">
        <v>31.036463000000001</v>
      </c>
      <c r="F4057" t="s">
        <v>663</v>
      </c>
      <c r="G4057">
        <v>-89.848230000000001</v>
      </c>
      <c r="H4057">
        <v>1700</v>
      </c>
      <c r="I4057">
        <v>-46</v>
      </c>
      <c r="J4057">
        <v>150</v>
      </c>
      <c r="K4057">
        <v>256</v>
      </c>
      <c r="L4057">
        <v>1200</v>
      </c>
      <c r="M4057" t="str">
        <f t="shared" si="420"/>
        <v xml:space="preserve">N35DC   </v>
      </c>
      <c r="N4057">
        <v>1</v>
      </c>
      <c r="O4057">
        <v>1725</v>
      </c>
    </row>
    <row r="4058" spans="1:15" x14ac:dyDescent="0.25">
      <c r="A4058" t="str">
        <f>"10/21/2020 18:42:50.908"</f>
        <v>10/21/2020 18:42:50.908</v>
      </c>
      <c r="B4058" t="str">
        <f>"18:42:58.859"</f>
        <v>18:42:58.859</v>
      </c>
      <c r="C4058" t="str">
        <f>"18:42:58.659"</f>
        <v>18:42:58.659</v>
      </c>
      <c r="D4058" t="s">
        <v>1619</v>
      </c>
      <c r="E4058">
        <v>31.036463000000001</v>
      </c>
      <c r="F4058" t="s">
        <v>663</v>
      </c>
      <c r="G4058">
        <v>-89.848230000000001</v>
      </c>
      <c r="H4058">
        <v>1700</v>
      </c>
      <c r="I4058">
        <v>-46</v>
      </c>
      <c r="J4058">
        <v>150</v>
      </c>
      <c r="K4058">
        <v>256</v>
      </c>
      <c r="L4058">
        <v>1200</v>
      </c>
      <c r="M4058" t="str">
        <f t="shared" si="420"/>
        <v xml:space="preserve">N35DC   </v>
      </c>
      <c r="N4058">
        <v>1</v>
      </c>
      <c r="O4058">
        <v>1725</v>
      </c>
    </row>
    <row r="4059" spans="1:15" x14ac:dyDescent="0.25">
      <c r="A4059" t="str">
        <f>"10/21/2020 18:42:50.908"</f>
        <v>10/21/2020 18:42:50.908</v>
      </c>
      <c r="B4059" t="str">
        <f>"18:42:58.859"</f>
        <v>18:42:58.859</v>
      </c>
      <c r="C4059" t="str">
        <f>"18:42:58.659"</f>
        <v>18:42:58.659</v>
      </c>
      <c r="D4059" t="s">
        <v>1619</v>
      </c>
      <c r="E4059">
        <v>31.036463000000001</v>
      </c>
      <c r="F4059" t="s">
        <v>663</v>
      </c>
      <c r="G4059">
        <v>-89.848230000000001</v>
      </c>
      <c r="H4059">
        <v>1700</v>
      </c>
      <c r="I4059">
        <v>-46</v>
      </c>
      <c r="J4059">
        <v>150</v>
      </c>
      <c r="K4059">
        <v>256</v>
      </c>
      <c r="L4059">
        <v>1200</v>
      </c>
      <c r="M4059" t="str">
        <f t="shared" si="420"/>
        <v xml:space="preserve">N35DC   </v>
      </c>
      <c r="N4059">
        <v>1</v>
      </c>
      <c r="O4059">
        <v>1725</v>
      </c>
    </row>
    <row r="4060" spans="1:15" x14ac:dyDescent="0.25">
      <c r="A4060" t="str">
        <f>"10/21/2020 18:42:50.908"</f>
        <v>10/21/2020 18:42:50.908</v>
      </c>
      <c r="B4060" t="str">
        <f>"18:42:58.859"</f>
        <v>18:42:58.859</v>
      </c>
      <c r="C4060" t="str">
        <f>"18:42:58.659"</f>
        <v>18:42:58.659</v>
      </c>
      <c r="D4060" t="s">
        <v>1619</v>
      </c>
      <c r="E4060">
        <v>31.036463000000001</v>
      </c>
      <c r="F4060" t="s">
        <v>663</v>
      </c>
      <c r="G4060">
        <v>-89.848230000000001</v>
      </c>
      <c r="H4060">
        <v>1700</v>
      </c>
      <c r="I4060">
        <v>-46</v>
      </c>
      <c r="J4060">
        <v>150</v>
      </c>
      <c r="K4060">
        <v>256</v>
      </c>
      <c r="L4060">
        <v>1200</v>
      </c>
      <c r="M4060" t="str">
        <f t="shared" si="420"/>
        <v xml:space="preserve">N35DC   </v>
      </c>
      <c r="N4060">
        <v>1</v>
      </c>
      <c r="O4060">
        <v>1725</v>
      </c>
    </row>
    <row r="4061" spans="1:15" x14ac:dyDescent="0.25">
      <c r="A4061" t="str">
        <f>"10/21/2020 18:42:51.535"</f>
        <v>10/21/2020 18:42:51.535</v>
      </c>
      <c r="B4061" t="str">
        <f>"18:42:59.445"</f>
        <v>18:42:59.445</v>
      </c>
      <c r="C4061" t="str">
        <f>"18:42:59.445"</f>
        <v>18:42:59.445</v>
      </c>
      <c r="D4061" t="s">
        <v>1620</v>
      </c>
      <c r="E4061">
        <v>31.036892000000002</v>
      </c>
      <c r="F4061" t="s">
        <v>1621</v>
      </c>
      <c r="G4061">
        <v>-89.848380000000006</v>
      </c>
      <c r="H4061">
        <v>1700</v>
      </c>
      <c r="I4061">
        <v>-44</v>
      </c>
      <c r="J4061">
        <v>150</v>
      </c>
      <c r="K4061">
        <v>384</v>
      </c>
      <c r="L4061">
        <v>1200</v>
      </c>
      <c r="M4061" t="str">
        <f t="shared" si="420"/>
        <v xml:space="preserve">N35DC   </v>
      </c>
      <c r="N4061">
        <v>1</v>
      </c>
      <c r="O4061">
        <v>1750</v>
      </c>
    </row>
    <row r="4062" spans="1:15" x14ac:dyDescent="0.25">
      <c r="A4062" t="str">
        <f>"10/21/2020 18:42:53.598"</f>
        <v>10/21/2020 18:42:53.598</v>
      </c>
      <c r="B4062" t="str">
        <f>"18:43:01.500"</f>
        <v>18:43:01.500</v>
      </c>
      <c r="C4062" t="str">
        <f>"18:43:01.500"</f>
        <v>18:43:01.500</v>
      </c>
      <c r="D4062" t="s">
        <v>1622</v>
      </c>
      <c r="E4062">
        <v>31.038329999999998</v>
      </c>
      <c r="F4062" t="s">
        <v>1623</v>
      </c>
      <c r="G4062">
        <v>-89.848831000000004</v>
      </c>
      <c r="H4062">
        <v>1700</v>
      </c>
      <c r="I4062">
        <v>-40</v>
      </c>
      <c r="J4062">
        <v>151</v>
      </c>
      <c r="K4062">
        <v>256</v>
      </c>
      <c r="L4062">
        <v>1200</v>
      </c>
      <c r="M4062" t="str">
        <f t="shared" si="420"/>
        <v xml:space="preserve">N35DC   </v>
      </c>
      <c r="N4062">
        <v>1</v>
      </c>
      <c r="O4062">
        <v>1750</v>
      </c>
    </row>
    <row r="4063" spans="1:15" x14ac:dyDescent="0.25">
      <c r="A4063" t="str">
        <f>"10/21/2020 18:42:53.992"</f>
        <v>10/21/2020 18:42:53.992</v>
      </c>
      <c r="B4063" t="str">
        <f t="shared" ref="B4063:C4066" si="421">"18:43:01.953"</f>
        <v>18:43:01.953</v>
      </c>
      <c r="C4063" t="str">
        <f t="shared" si="421"/>
        <v>18:43:01.953</v>
      </c>
      <c r="D4063" t="s">
        <v>1624</v>
      </c>
      <c r="E4063">
        <v>31.038651000000002</v>
      </c>
      <c r="F4063" t="s">
        <v>1625</v>
      </c>
      <c r="G4063">
        <v>-89.848938000000004</v>
      </c>
      <c r="H4063">
        <v>1700</v>
      </c>
      <c r="I4063">
        <v>-39</v>
      </c>
      <c r="J4063">
        <v>151</v>
      </c>
      <c r="K4063">
        <v>256</v>
      </c>
      <c r="L4063">
        <v>1200</v>
      </c>
      <c r="M4063" t="str">
        <f t="shared" si="420"/>
        <v xml:space="preserve">N35DC   </v>
      </c>
      <c r="N4063">
        <v>1</v>
      </c>
      <c r="O4063">
        <v>1750</v>
      </c>
    </row>
    <row r="4064" spans="1:15" x14ac:dyDescent="0.25">
      <c r="A4064" t="str">
        <f>"10/21/2020 18:42:53.992"</f>
        <v>10/21/2020 18:42:53.992</v>
      </c>
      <c r="B4064" t="str">
        <f t="shared" si="421"/>
        <v>18:43:01.953</v>
      </c>
      <c r="C4064" t="str">
        <f t="shared" si="421"/>
        <v>18:43:01.953</v>
      </c>
      <c r="D4064" t="s">
        <v>1624</v>
      </c>
      <c r="E4064">
        <v>31.038651000000002</v>
      </c>
      <c r="F4064" t="s">
        <v>1625</v>
      </c>
      <c r="G4064">
        <v>-89.848938000000004</v>
      </c>
      <c r="H4064">
        <v>1700</v>
      </c>
      <c r="I4064">
        <v>-39</v>
      </c>
      <c r="J4064">
        <v>151</v>
      </c>
      <c r="K4064">
        <v>256</v>
      </c>
      <c r="L4064">
        <v>1200</v>
      </c>
      <c r="M4064" t="str">
        <f t="shared" si="420"/>
        <v xml:space="preserve">N35DC   </v>
      </c>
      <c r="N4064">
        <v>1</v>
      </c>
      <c r="O4064">
        <v>1750</v>
      </c>
    </row>
    <row r="4065" spans="1:15" x14ac:dyDescent="0.25">
      <c r="A4065" t="str">
        <f>"10/21/2020 18:42:53.992"</f>
        <v>10/21/2020 18:42:53.992</v>
      </c>
      <c r="B4065" t="str">
        <f t="shared" si="421"/>
        <v>18:43:01.953</v>
      </c>
      <c r="C4065" t="str">
        <f t="shared" si="421"/>
        <v>18:43:01.953</v>
      </c>
      <c r="D4065" t="s">
        <v>1624</v>
      </c>
      <c r="E4065">
        <v>31.038651000000002</v>
      </c>
      <c r="F4065" t="s">
        <v>1625</v>
      </c>
      <c r="G4065">
        <v>-89.848938000000004</v>
      </c>
      <c r="H4065">
        <v>1700</v>
      </c>
      <c r="I4065">
        <v>-39</v>
      </c>
      <c r="J4065">
        <v>151</v>
      </c>
      <c r="K4065">
        <v>256</v>
      </c>
      <c r="L4065">
        <v>1200</v>
      </c>
      <c r="M4065" t="str">
        <f t="shared" si="420"/>
        <v xml:space="preserve">N35DC   </v>
      </c>
      <c r="N4065">
        <v>1</v>
      </c>
      <c r="O4065">
        <v>1750</v>
      </c>
    </row>
    <row r="4066" spans="1:15" x14ac:dyDescent="0.25">
      <c r="A4066" t="str">
        <f>"10/21/2020 18:42:53.992"</f>
        <v>10/21/2020 18:42:53.992</v>
      </c>
      <c r="B4066" t="str">
        <f t="shared" si="421"/>
        <v>18:43:01.953</v>
      </c>
      <c r="C4066" t="str">
        <f t="shared" si="421"/>
        <v>18:43:01.953</v>
      </c>
      <c r="D4066" t="s">
        <v>1624</v>
      </c>
      <c r="E4066">
        <v>31.038651000000002</v>
      </c>
      <c r="F4066" t="s">
        <v>1625</v>
      </c>
      <c r="G4066">
        <v>-89.848938000000004</v>
      </c>
      <c r="H4066">
        <v>1700</v>
      </c>
      <c r="I4066">
        <v>-39</v>
      </c>
      <c r="J4066">
        <v>151</v>
      </c>
      <c r="K4066">
        <v>256</v>
      </c>
      <c r="L4066">
        <v>1200</v>
      </c>
      <c r="M4066" t="str">
        <f t="shared" si="420"/>
        <v xml:space="preserve">N35DC   </v>
      </c>
      <c r="N4066">
        <v>1</v>
      </c>
      <c r="O4066">
        <v>1750</v>
      </c>
    </row>
    <row r="4067" spans="1:15" x14ac:dyDescent="0.25">
      <c r="A4067" t="str">
        <f>"10/21/2020 18:42:54.503"</f>
        <v>10/21/2020 18:42:54.503</v>
      </c>
      <c r="B4067" t="str">
        <f>"18:43:02.383"</f>
        <v>18:43:02.383</v>
      </c>
      <c r="C4067" t="str">
        <f>"18:43:01.983"</f>
        <v>18:43:01.983</v>
      </c>
      <c r="D4067" t="s">
        <v>1626</v>
      </c>
      <c r="E4067">
        <v>31.038930000000001</v>
      </c>
      <c r="F4067" t="s">
        <v>1627</v>
      </c>
      <c r="G4067">
        <v>-89.849045000000004</v>
      </c>
      <c r="H4067">
        <v>1700</v>
      </c>
      <c r="I4067">
        <v>-39</v>
      </c>
      <c r="J4067">
        <v>151</v>
      </c>
      <c r="K4067">
        <v>256</v>
      </c>
      <c r="L4067">
        <v>1200</v>
      </c>
      <c r="M4067" t="str">
        <f t="shared" si="420"/>
        <v xml:space="preserve">N35DC   </v>
      </c>
      <c r="N4067">
        <v>1</v>
      </c>
      <c r="O4067">
        <v>1750</v>
      </c>
    </row>
    <row r="4068" spans="1:15" x14ac:dyDescent="0.25">
      <c r="A4068" t="str">
        <f>"10/21/2020 18:42:55.003"</f>
        <v>10/21/2020 18:42:55.003</v>
      </c>
      <c r="B4068" t="str">
        <f t="shared" ref="B4068:C4071" si="422">"18:43:02.945"</f>
        <v>18:43:02.945</v>
      </c>
      <c r="C4068" t="str">
        <f t="shared" si="422"/>
        <v>18:43:02.945</v>
      </c>
      <c r="D4068" t="s">
        <v>1628</v>
      </c>
      <c r="E4068">
        <v>31.039317</v>
      </c>
      <c r="F4068" t="s">
        <v>672</v>
      </c>
      <c r="G4068">
        <v>-89.849109999999996</v>
      </c>
      <c r="H4068">
        <v>1700</v>
      </c>
      <c r="I4068">
        <v>-36</v>
      </c>
      <c r="J4068">
        <v>151</v>
      </c>
      <c r="K4068">
        <v>128</v>
      </c>
      <c r="L4068">
        <v>1200</v>
      </c>
      <c r="M4068" t="str">
        <f t="shared" si="420"/>
        <v xml:space="preserve">N35DC   </v>
      </c>
      <c r="N4068">
        <v>1</v>
      </c>
      <c r="O4068">
        <v>1750</v>
      </c>
    </row>
    <row r="4069" spans="1:15" x14ac:dyDescent="0.25">
      <c r="A4069" t="str">
        <f>"10/21/2020 18:42:55.003"</f>
        <v>10/21/2020 18:42:55.003</v>
      </c>
      <c r="B4069" t="str">
        <f t="shared" si="422"/>
        <v>18:43:02.945</v>
      </c>
      <c r="C4069" t="str">
        <f t="shared" si="422"/>
        <v>18:43:02.945</v>
      </c>
      <c r="D4069" t="s">
        <v>1628</v>
      </c>
      <c r="E4069">
        <v>31.039317</v>
      </c>
      <c r="F4069" t="s">
        <v>672</v>
      </c>
      <c r="G4069">
        <v>-89.849109999999996</v>
      </c>
      <c r="H4069">
        <v>1700</v>
      </c>
      <c r="I4069">
        <v>-36</v>
      </c>
      <c r="J4069">
        <v>151</v>
      </c>
      <c r="K4069">
        <v>128</v>
      </c>
      <c r="L4069">
        <v>1200</v>
      </c>
      <c r="M4069" t="str">
        <f t="shared" si="420"/>
        <v xml:space="preserve">N35DC   </v>
      </c>
      <c r="N4069">
        <v>1</v>
      </c>
      <c r="O4069">
        <v>1750</v>
      </c>
    </row>
    <row r="4070" spans="1:15" x14ac:dyDescent="0.25">
      <c r="A4070" t="str">
        <f>"10/21/2020 18:42:55.003"</f>
        <v>10/21/2020 18:42:55.003</v>
      </c>
      <c r="B4070" t="str">
        <f t="shared" si="422"/>
        <v>18:43:02.945</v>
      </c>
      <c r="C4070" t="str">
        <f t="shared" si="422"/>
        <v>18:43:02.945</v>
      </c>
      <c r="D4070" t="s">
        <v>1628</v>
      </c>
      <c r="E4070">
        <v>31.039317</v>
      </c>
      <c r="F4070" t="s">
        <v>672</v>
      </c>
      <c r="G4070">
        <v>-89.849109999999996</v>
      </c>
      <c r="H4070">
        <v>1700</v>
      </c>
      <c r="I4070">
        <v>-36</v>
      </c>
      <c r="J4070">
        <v>151</v>
      </c>
      <c r="K4070">
        <v>128</v>
      </c>
      <c r="L4070">
        <v>1200</v>
      </c>
      <c r="M4070" t="str">
        <f t="shared" si="420"/>
        <v xml:space="preserve">N35DC   </v>
      </c>
      <c r="N4070">
        <v>1</v>
      </c>
      <c r="O4070">
        <v>1750</v>
      </c>
    </row>
    <row r="4071" spans="1:15" x14ac:dyDescent="0.25">
      <c r="A4071" t="str">
        <f>"10/21/2020 18:42:55.003"</f>
        <v>10/21/2020 18:42:55.003</v>
      </c>
      <c r="B4071" t="str">
        <f t="shared" si="422"/>
        <v>18:43:02.945</v>
      </c>
      <c r="C4071" t="str">
        <f t="shared" si="422"/>
        <v>18:43:02.945</v>
      </c>
      <c r="D4071" t="s">
        <v>1628</v>
      </c>
      <c r="E4071">
        <v>31.039317</v>
      </c>
      <c r="F4071" t="s">
        <v>672</v>
      </c>
      <c r="G4071">
        <v>-89.849109999999996</v>
      </c>
      <c r="H4071">
        <v>1700</v>
      </c>
      <c r="I4071">
        <v>-36</v>
      </c>
      <c r="J4071">
        <v>151</v>
      </c>
      <c r="K4071">
        <v>128</v>
      </c>
      <c r="L4071">
        <v>1200</v>
      </c>
      <c r="M4071" t="str">
        <f t="shared" si="420"/>
        <v xml:space="preserve">N35DC   </v>
      </c>
      <c r="N4071">
        <v>1</v>
      </c>
      <c r="O4071">
        <v>1750</v>
      </c>
    </row>
    <row r="4072" spans="1:15" x14ac:dyDescent="0.25">
      <c r="A4072" t="str">
        <f>"10/21/2020 18:42:57.829"</f>
        <v>10/21/2020 18:42:57.829</v>
      </c>
      <c r="B4072" t="str">
        <f>"18:43:05.734"</f>
        <v>18:43:05.734</v>
      </c>
      <c r="C4072" t="str">
        <f>"18:43:05.634"</f>
        <v>18:43:05.634</v>
      </c>
      <c r="D4072" t="s">
        <v>1629</v>
      </c>
      <c r="E4072">
        <v>31.041269</v>
      </c>
      <c r="F4072" t="s">
        <v>1630</v>
      </c>
      <c r="G4072">
        <v>-89.849581999999998</v>
      </c>
      <c r="H4072">
        <v>1700</v>
      </c>
      <c r="I4072">
        <v>-30</v>
      </c>
      <c r="J4072">
        <v>152</v>
      </c>
      <c r="K4072">
        <v>-128</v>
      </c>
      <c r="L4072">
        <v>1200</v>
      </c>
      <c r="M4072" t="str">
        <f t="shared" si="420"/>
        <v xml:space="preserve">N35DC   </v>
      </c>
      <c r="N4072">
        <v>1</v>
      </c>
      <c r="O4072">
        <v>1750</v>
      </c>
    </row>
    <row r="4073" spans="1:15" x14ac:dyDescent="0.25">
      <c r="A4073" t="str">
        <f>"10/21/2020 18:42:57.829"</f>
        <v>10/21/2020 18:42:57.829</v>
      </c>
      <c r="B4073" t="str">
        <f>"18:43:05.734"</f>
        <v>18:43:05.734</v>
      </c>
      <c r="C4073" t="str">
        <f>"18:43:05.634"</f>
        <v>18:43:05.634</v>
      </c>
      <c r="D4073" t="s">
        <v>1629</v>
      </c>
      <c r="E4073">
        <v>31.041269</v>
      </c>
      <c r="F4073" t="s">
        <v>1630</v>
      </c>
      <c r="G4073">
        <v>-89.849581999999998</v>
      </c>
      <c r="H4073">
        <v>1700</v>
      </c>
      <c r="I4073">
        <v>-30</v>
      </c>
      <c r="J4073">
        <v>152</v>
      </c>
      <c r="K4073">
        <v>-128</v>
      </c>
      <c r="L4073">
        <v>1200</v>
      </c>
      <c r="M4073" t="str">
        <f t="shared" si="420"/>
        <v xml:space="preserve">N35DC   </v>
      </c>
      <c r="N4073">
        <v>1</v>
      </c>
      <c r="O4073">
        <v>1750</v>
      </c>
    </row>
    <row r="4074" spans="1:15" x14ac:dyDescent="0.25">
      <c r="A4074" t="str">
        <f>"10/21/2020 18:42:57.829"</f>
        <v>10/21/2020 18:42:57.829</v>
      </c>
      <c r="B4074" t="str">
        <f>"18:43:05.734"</f>
        <v>18:43:05.734</v>
      </c>
      <c r="C4074" t="str">
        <f>"18:43:05.634"</f>
        <v>18:43:05.634</v>
      </c>
      <c r="D4074" t="s">
        <v>1629</v>
      </c>
      <c r="E4074">
        <v>31.041269</v>
      </c>
      <c r="F4074" t="s">
        <v>1630</v>
      </c>
      <c r="G4074">
        <v>-89.849581999999998</v>
      </c>
      <c r="H4074">
        <v>1700</v>
      </c>
      <c r="I4074">
        <v>-30</v>
      </c>
      <c r="J4074">
        <v>152</v>
      </c>
      <c r="K4074">
        <v>-128</v>
      </c>
      <c r="L4074">
        <v>1200</v>
      </c>
      <c r="M4074" t="str">
        <f t="shared" si="420"/>
        <v xml:space="preserve">N35DC   </v>
      </c>
      <c r="N4074">
        <v>1</v>
      </c>
      <c r="O4074">
        <v>1750</v>
      </c>
    </row>
    <row r="4075" spans="1:15" x14ac:dyDescent="0.25">
      <c r="A4075" t="str">
        <f>"10/21/2020 18:42:57.829"</f>
        <v>10/21/2020 18:42:57.829</v>
      </c>
      <c r="B4075" t="str">
        <f>"18:43:05.734"</f>
        <v>18:43:05.734</v>
      </c>
      <c r="C4075" t="str">
        <f>"18:43:05.634"</f>
        <v>18:43:05.634</v>
      </c>
      <c r="D4075" t="s">
        <v>1629</v>
      </c>
      <c r="E4075">
        <v>31.041269</v>
      </c>
      <c r="F4075" t="s">
        <v>1630</v>
      </c>
      <c r="G4075">
        <v>-89.849581999999998</v>
      </c>
      <c r="H4075">
        <v>1700</v>
      </c>
      <c r="I4075">
        <v>-30</v>
      </c>
      <c r="J4075">
        <v>152</v>
      </c>
      <c r="K4075">
        <v>-128</v>
      </c>
      <c r="L4075">
        <v>1200</v>
      </c>
      <c r="M4075" t="str">
        <f t="shared" si="420"/>
        <v xml:space="preserve">N35DC   </v>
      </c>
      <c r="N4075">
        <v>1</v>
      </c>
      <c r="O4075">
        <v>1750</v>
      </c>
    </row>
    <row r="4076" spans="1:15" x14ac:dyDescent="0.25">
      <c r="A4076" t="str">
        <f>"10/21/2020 18:42:58.767"</f>
        <v>10/21/2020 18:42:58.767</v>
      </c>
      <c r="B4076" t="str">
        <f>"18:43:06.703"</f>
        <v>18:43:06.703</v>
      </c>
      <c r="C4076" t="str">
        <f>"18:43:06.203"</f>
        <v>18:43:06.203</v>
      </c>
      <c r="D4076" t="s">
        <v>1631</v>
      </c>
      <c r="E4076">
        <v>31.041955999999999</v>
      </c>
      <c r="F4076" t="s">
        <v>1632</v>
      </c>
      <c r="G4076">
        <v>-89.849753000000007</v>
      </c>
      <c r="H4076">
        <v>1700</v>
      </c>
      <c r="I4076">
        <v>-29</v>
      </c>
      <c r="J4076">
        <v>152</v>
      </c>
      <c r="K4076">
        <v>-128</v>
      </c>
      <c r="L4076">
        <v>1200</v>
      </c>
      <c r="M4076" t="str">
        <f t="shared" si="420"/>
        <v xml:space="preserve">N35DC   </v>
      </c>
      <c r="N4076">
        <v>1</v>
      </c>
      <c r="O4076">
        <v>1750</v>
      </c>
    </row>
    <row r="4077" spans="1:15" x14ac:dyDescent="0.25">
      <c r="A4077" t="str">
        <f>"10/21/2020 18:42:58.767"</f>
        <v>10/21/2020 18:42:58.767</v>
      </c>
      <c r="B4077" t="str">
        <f>"18:43:06.703"</f>
        <v>18:43:06.703</v>
      </c>
      <c r="C4077" t="str">
        <f>"18:43:06.203"</f>
        <v>18:43:06.203</v>
      </c>
      <c r="D4077" t="s">
        <v>1631</v>
      </c>
      <c r="E4077">
        <v>31.041955999999999</v>
      </c>
      <c r="F4077" t="s">
        <v>1632</v>
      </c>
      <c r="G4077">
        <v>-89.849753000000007</v>
      </c>
      <c r="H4077">
        <v>1700</v>
      </c>
      <c r="I4077">
        <v>-29</v>
      </c>
      <c r="J4077">
        <v>152</v>
      </c>
      <c r="K4077">
        <v>-128</v>
      </c>
      <c r="L4077">
        <v>1200</v>
      </c>
      <c r="M4077" t="str">
        <f t="shared" si="420"/>
        <v xml:space="preserve">N35DC   </v>
      </c>
      <c r="N4077">
        <v>1</v>
      </c>
      <c r="O4077">
        <v>1750</v>
      </c>
    </row>
    <row r="4078" spans="1:15" x14ac:dyDescent="0.25">
      <c r="A4078" t="str">
        <f>"10/21/2020 18:42:58.767"</f>
        <v>10/21/2020 18:42:58.767</v>
      </c>
      <c r="B4078" t="str">
        <f>"18:43:06.703"</f>
        <v>18:43:06.703</v>
      </c>
      <c r="C4078" t="str">
        <f>"18:43:06.203"</f>
        <v>18:43:06.203</v>
      </c>
      <c r="D4078" t="s">
        <v>1631</v>
      </c>
      <c r="E4078">
        <v>31.041955999999999</v>
      </c>
      <c r="F4078" t="s">
        <v>1632</v>
      </c>
      <c r="G4078">
        <v>-89.849753000000007</v>
      </c>
      <c r="H4078">
        <v>1700</v>
      </c>
      <c r="I4078">
        <v>-29</v>
      </c>
      <c r="J4078">
        <v>152</v>
      </c>
      <c r="K4078">
        <v>-128</v>
      </c>
      <c r="L4078">
        <v>1200</v>
      </c>
      <c r="M4078" t="str">
        <f t="shared" si="420"/>
        <v xml:space="preserve">N35DC   </v>
      </c>
      <c r="N4078">
        <v>1</v>
      </c>
      <c r="O4078">
        <v>1750</v>
      </c>
    </row>
    <row r="4079" spans="1:15" x14ac:dyDescent="0.25">
      <c r="A4079" t="str">
        <f>"10/21/2020 18:43:00.938"</f>
        <v>10/21/2020 18:43:00.938</v>
      </c>
      <c r="B4079" t="str">
        <f>"18:43:08.883"</f>
        <v>18:43:08.883</v>
      </c>
      <c r="C4079" t="str">
        <f>"18:43:08.683"</f>
        <v>18:43:08.683</v>
      </c>
      <c r="D4079" t="s">
        <v>1633</v>
      </c>
      <c r="E4079">
        <v>31.043521999999999</v>
      </c>
      <c r="F4079" t="s">
        <v>1634</v>
      </c>
      <c r="G4079">
        <v>-89.850075000000004</v>
      </c>
      <c r="H4079">
        <v>1700</v>
      </c>
      <c r="I4079">
        <v>-24</v>
      </c>
      <c r="J4079">
        <v>153</v>
      </c>
      <c r="K4079">
        <v>-128</v>
      </c>
      <c r="L4079">
        <v>1200</v>
      </c>
      <c r="M4079" t="str">
        <f t="shared" si="420"/>
        <v xml:space="preserve">N35DC   </v>
      </c>
      <c r="N4079">
        <v>1</v>
      </c>
      <c r="O4079">
        <v>1750</v>
      </c>
    </row>
    <row r="4080" spans="1:15" x14ac:dyDescent="0.25">
      <c r="A4080" t="str">
        <f>"10/21/2020 18:43:00.938"</f>
        <v>10/21/2020 18:43:00.938</v>
      </c>
      <c r="B4080" t="str">
        <f>"18:43:08.883"</f>
        <v>18:43:08.883</v>
      </c>
      <c r="C4080" t="str">
        <f>"18:43:08.683"</f>
        <v>18:43:08.683</v>
      </c>
      <c r="D4080" t="s">
        <v>1633</v>
      </c>
      <c r="E4080">
        <v>31.043521999999999</v>
      </c>
      <c r="F4080" t="s">
        <v>1634</v>
      </c>
      <c r="G4080">
        <v>-89.850075000000004</v>
      </c>
      <c r="H4080">
        <v>1700</v>
      </c>
      <c r="I4080">
        <v>-24</v>
      </c>
      <c r="J4080">
        <v>153</v>
      </c>
      <c r="K4080">
        <v>-128</v>
      </c>
      <c r="L4080">
        <v>1200</v>
      </c>
      <c r="M4080" t="str">
        <f t="shared" si="420"/>
        <v xml:space="preserve">N35DC   </v>
      </c>
      <c r="N4080">
        <v>1</v>
      </c>
      <c r="O4080">
        <v>1750</v>
      </c>
    </row>
    <row r="4081" spans="1:15" x14ac:dyDescent="0.25">
      <c r="A4081" t="str">
        <f>"10/21/2020 18:43:00.938"</f>
        <v>10/21/2020 18:43:00.938</v>
      </c>
      <c r="B4081" t="str">
        <f>"18:43:08.883"</f>
        <v>18:43:08.883</v>
      </c>
      <c r="C4081" t="str">
        <f>"18:43:08.683"</f>
        <v>18:43:08.683</v>
      </c>
      <c r="D4081" t="s">
        <v>1633</v>
      </c>
      <c r="E4081">
        <v>31.043521999999999</v>
      </c>
      <c r="F4081" t="s">
        <v>1634</v>
      </c>
      <c r="G4081">
        <v>-89.850075000000004</v>
      </c>
      <c r="H4081">
        <v>1700</v>
      </c>
      <c r="I4081">
        <v>-24</v>
      </c>
      <c r="J4081">
        <v>153</v>
      </c>
      <c r="K4081">
        <v>-128</v>
      </c>
      <c r="L4081">
        <v>1200</v>
      </c>
      <c r="M4081" t="str">
        <f t="shared" si="420"/>
        <v xml:space="preserve">N35DC   </v>
      </c>
      <c r="N4081">
        <v>1</v>
      </c>
      <c r="O4081">
        <v>1750</v>
      </c>
    </row>
    <row r="4082" spans="1:15" x14ac:dyDescent="0.25">
      <c r="A4082" t="str">
        <f>"10/21/2020 18:43:02.029"</f>
        <v>10/21/2020 18:43:02.029</v>
      </c>
      <c r="B4082" t="str">
        <f>"18:43:09.961"</f>
        <v>18:43:09.961</v>
      </c>
      <c r="C4082" t="str">
        <f>"18:43:09.561"</f>
        <v>18:43:09.561</v>
      </c>
      <c r="D4082" t="s">
        <v>1635</v>
      </c>
      <c r="E4082">
        <v>31.044295000000002</v>
      </c>
      <c r="F4082" t="s">
        <v>539</v>
      </c>
      <c r="G4082">
        <v>-89.850204000000005</v>
      </c>
      <c r="H4082">
        <v>1700</v>
      </c>
      <c r="I4082">
        <v>-22</v>
      </c>
      <c r="J4082">
        <v>153</v>
      </c>
      <c r="K4082">
        <v>-128</v>
      </c>
      <c r="L4082">
        <v>1200</v>
      </c>
      <c r="M4082" t="str">
        <f t="shared" si="420"/>
        <v xml:space="preserve">N35DC   </v>
      </c>
      <c r="N4082">
        <v>1</v>
      </c>
      <c r="O4082">
        <v>1750</v>
      </c>
    </row>
    <row r="4083" spans="1:15" x14ac:dyDescent="0.25">
      <c r="A4083" t="str">
        <f>"10/21/2020 18:43:02.029"</f>
        <v>10/21/2020 18:43:02.029</v>
      </c>
      <c r="B4083" t="str">
        <f>"18:43:09.961"</f>
        <v>18:43:09.961</v>
      </c>
      <c r="C4083" t="str">
        <f>"18:43:09.561"</f>
        <v>18:43:09.561</v>
      </c>
      <c r="D4083" t="s">
        <v>1635</v>
      </c>
      <c r="E4083">
        <v>31.044295000000002</v>
      </c>
      <c r="F4083" t="s">
        <v>539</v>
      </c>
      <c r="G4083">
        <v>-89.850204000000005</v>
      </c>
      <c r="H4083">
        <v>1700</v>
      </c>
      <c r="I4083">
        <v>-22</v>
      </c>
      <c r="J4083">
        <v>153</v>
      </c>
      <c r="K4083">
        <v>-128</v>
      </c>
      <c r="L4083">
        <v>1200</v>
      </c>
      <c r="M4083" t="str">
        <f t="shared" si="420"/>
        <v xml:space="preserve">N35DC   </v>
      </c>
      <c r="N4083">
        <v>1</v>
      </c>
      <c r="O4083">
        <v>1750</v>
      </c>
    </row>
    <row r="4084" spans="1:15" x14ac:dyDescent="0.25">
      <c r="A4084" t="str">
        <f>"10/21/2020 18:43:02.029"</f>
        <v>10/21/2020 18:43:02.029</v>
      </c>
      <c r="B4084" t="str">
        <f>"18:43:09.961"</f>
        <v>18:43:09.961</v>
      </c>
      <c r="C4084" t="str">
        <f>"18:43:09.561"</f>
        <v>18:43:09.561</v>
      </c>
      <c r="D4084" t="s">
        <v>1635</v>
      </c>
      <c r="E4084">
        <v>31.044295000000002</v>
      </c>
      <c r="F4084" t="s">
        <v>539</v>
      </c>
      <c r="G4084">
        <v>-89.850204000000005</v>
      </c>
      <c r="H4084">
        <v>1700</v>
      </c>
      <c r="I4084">
        <v>-22</v>
      </c>
      <c r="J4084">
        <v>153</v>
      </c>
      <c r="K4084">
        <v>-128</v>
      </c>
      <c r="L4084">
        <v>1200</v>
      </c>
      <c r="M4084" t="str">
        <f t="shared" si="420"/>
        <v xml:space="preserve">N35DC   </v>
      </c>
      <c r="N4084">
        <v>1</v>
      </c>
      <c r="O4084">
        <v>1750</v>
      </c>
    </row>
    <row r="4085" spans="1:15" x14ac:dyDescent="0.25">
      <c r="A4085" t="str">
        <f>"10/21/2020 18:43:02.029"</f>
        <v>10/21/2020 18:43:02.029</v>
      </c>
      <c r="B4085" t="str">
        <f>"18:43:09.961"</f>
        <v>18:43:09.961</v>
      </c>
      <c r="C4085" t="str">
        <f>"18:43:09.561"</f>
        <v>18:43:09.561</v>
      </c>
      <c r="D4085" t="s">
        <v>1635</v>
      </c>
      <c r="E4085">
        <v>31.044295000000002</v>
      </c>
      <c r="F4085" t="s">
        <v>539</v>
      </c>
      <c r="G4085">
        <v>-89.850204000000005</v>
      </c>
      <c r="H4085">
        <v>1700</v>
      </c>
      <c r="I4085">
        <v>-22</v>
      </c>
      <c r="J4085">
        <v>153</v>
      </c>
      <c r="K4085">
        <v>-128</v>
      </c>
      <c r="L4085">
        <v>1200</v>
      </c>
      <c r="M4085" t="str">
        <f t="shared" si="420"/>
        <v xml:space="preserve">N35DC   </v>
      </c>
      <c r="N4085">
        <v>1</v>
      </c>
      <c r="O4085">
        <v>1750</v>
      </c>
    </row>
    <row r="4086" spans="1:15" x14ac:dyDescent="0.25">
      <c r="A4086" t="str">
        <f>"10/21/2020 18:43:04.526"</f>
        <v>10/21/2020 18:43:04.526</v>
      </c>
      <c r="B4086" t="str">
        <f>"18:43:12.422"</f>
        <v>18:43:12.422</v>
      </c>
      <c r="C4086" t="str">
        <f>"18:43:12.422"</f>
        <v>18:43:12.422</v>
      </c>
      <c r="D4086" t="s">
        <v>1636</v>
      </c>
      <c r="E4086">
        <v>31.046033000000001</v>
      </c>
      <c r="F4086" t="s">
        <v>1637</v>
      </c>
      <c r="G4086">
        <v>-89.850397000000001</v>
      </c>
      <c r="H4086">
        <v>1700</v>
      </c>
      <c r="I4086">
        <v>-14</v>
      </c>
      <c r="J4086">
        <v>154</v>
      </c>
      <c r="K4086">
        <v>-256</v>
      </c>
      <c r="L4086">
        <v>1200</v>
      </c>
      <c r="M4086" t="str">
        <f t="shared" si="420"/>
        <v xml:space="preserve">N35DC   </v>
      </c>
      <c r="N4086">
        <v>1</v>
      </c>
      <c r="O4086">
        <v>1725</v>
      </c>
    </row>
    <row r="4087" spans="1:15" x14ac:dyDescent="0.25">
      <c r="A4087" t="str">
        <f>"10/21/2020 18:43:04.960"</f>
        <v>10/21/2020 18:43:04.960</v>
      </c>
      <c r="B4087" t="str">
        <f>"18:43:12.883"</f>
        <v>18:43:12.883</v>
      </c>
      <c r="C4087" t="str">
        <f>"18:43:12.783"</f>
        <v>18:43:12.783</v>
      </c>
      <c r="D4087" t="s">
        <v>1638</v>
      </c>
      <c r="E4087">
        <v>31.046398</v>
      </c>
      <c r="F4087" t="s">
        <v>1639</v>
      </c>
      <c r="G4087">
        <v>-89.850440000000006</v>
      </c>
      <c r="H4087">
        <v>1700</v>
      </c>
      <c r="I4087">
        <v>-13</v>
      </c>
      <c r="J4087">
        <v>155</v>
      </c>
      <c r="K4087">
        <v>-192</v>
      </c>
      <c r="L4087">
        <v>1200</v>
      </c>
      <c r="M4087" t="str">
        <f t="shared" si="420"/>
        <v xml:space="preserve">N35DC   </v>
      </c>
      <c r="N4087">
        <v>1</v>
      </c>
      <c r="O4087">
        <v>1725</v>
      </c>
    </row>
    <row r="4088" spans="1:15" x14ac:dyDescent="0.25">
      <c r="A4088" t="str">
        <f>"10/21/2020 18:43:04.960"</f>
        <v>10/21/2020 18:43:04.960</v>
      </c>
      <c r="B4088" t="str">
        <f>"18:43:12.883"</f>
        <v>18:43:12.883</v>
      </c>
      <c r="C4088" t="str">
        <f>"18:43:12.783"</f>
        <v>18:43:12.783</v>
      </c>
      <c r="D4088" t="s">
        <v>1638</v>
      </c>
      <c r="E4088">
        <v>31.046398</v>
      </c>
      <c r="F4088" t="s">
        <v>1639</v>
      </c>
      <c r="G4088">
        <v>-89.850440000000006</v>
      </c>
      <c r="H4088">
        <v>1700</v>
      </c>
      <c r="I4088">
        <v>-13</v>
      </c>
      <c r="J4088">
        <v>155</v>
      </c>
      <c r="K4088">
        <v>-192</v>
      </c>
      <c r="L4088">
        <v>1200</v>
      </c>
      <c r="M4088" t="str">
        <f t="shared" si="420"/>
        <v xml:space="preserve">N35DC   </v>
      </c>
      <c r="N4088">
        <v>1</v>
      </c>
      <c r="O4088">
        <v>1725</v>
      </c>
    </row>
    <row r="4089" spans="1:15" x14ac:dyDescent="0.25">
      <c r="A4089" t="str">
        <f>"10/21/2020 18:43:04.960"</f>
        <v>10/21/2020 18:43:04.960</v>
      </c>
      <c r="B4089" t="str">
        <f>"18:43:12.883"</f>
        <v>18:43:12.883</v>
      </c>
      <c r="C4089" t="str">
        <f>"18:43:12.783"</f>
        <v>18:43:12.783</v>
      </c>
      <c r="D4089" t="s">
        <v>1638</v>
      </c>
      <c r="E4089">
        <v>31.046398</v>
      </c>
      <c r="F4089" t="s">
        <v>1639</v>
      </c>
      <c r="G4089">
        <v>-89.850440000000006</v>
      </c>
      <c r="H4089">
        <v>1700</v>
      </c>
      <c r="I4089">
        <v>-13</v>
      </c>
      <c r="J4089">
        <v>155</v>
      </c>
      <c r="K4089">
        <v>-192</v>
      </c>
      <c r="L4089">
        <v>1200</v>
      </c>
      <c r="M4089" t="str">
        <f t="shared" si="420"/>
        <v xml:space="preserve">N35DC   </v>
      </c>
      <c r="N4089">
        <v>1</v>
      </c>
      <c r="O4089">
        <v>1725</v>
      </c>
    </row>
    <row r="4090" spans="1:15" x14ac:dyDescent="0.25">
      <c r="A4090" t="str">
        <f>"10/21/2020 18:43:05.974"</f>
        <v>10/21/2020 18:43:05.974</v>
      </c>
      <c r="B4090" t="str">
        <f t="shared" ref="B4090:C4093" si="423">"18:43:13.922"</f>
        <v>18:43:13.922</v>
      </c>
      <c r="C4090" t="str">
        <f t="shared" si="423"/>
        <v>18:43:13.922</v>
      </c>
      <c r="D4090" t="s">
        <v>1640</v>
      </c>
      <c r="E4090">
        <v>31.047127</v>
      </c>
      <c r="F4090" t="s">
        <v>1641</v>
      </c>
      <c r="G4090">
        <v>-89.850482999999997</v>
      </c>
      <c r="H4090">
        <v>1600</v>
      </c>
      <c r="I4090">
        <v>-8</v>
      </c>
      <c r="J4090">
        <v>155</v>
      </c>
      <c r="K4090">
        <v>-320</v>
      </c>
      <c r="L4090">
        <v>1200</v>
      </c>
      <c r="M4090" t="str">
        <f t="shared" si="420"/>
        <v xml:space="preserve">N35DC   </v>
      </c>
      <c r="N4090">
        <v>1</v>
      </c>
      <c r="O4090">
        <v>1725</v>
      </c>
    </row>
    <row r="4091" spans="1:15" x14ac:dyDescent="0.25">
      <c r="A4091" t="str">
        <f>"10/21/2020 18:43:05.974"</f>
        <v>10/21/2020 18:43:05.974</v>
      </c>
      <c r="B4091" t="str">
        <f t="shared" si="423"/>
        <v>18:43:13.922</v>
      </c>
      <c r="C4091" t="str">
        <f t="shared" si="423"/>
        <v>18:43:13.922</v>
      </c>
      <c r="D4091" t="s">
        <v>1640</v>
      </c>
      <c r="E4091">
        <v>31.047127</v>
      </c>
      <c r="F4091" t="s">
        <v>1641</v>
      </c>
      <c r="G4091">
        <v>-89.850482999999997</v>
      </c>
      <c r="H4091">
        <v>1600</v>
      </c>
      <c r="I4091">
        <v>-8</v>
      </c>
      <c r="J4091">
        <v>155</v>
      </c>
      <c r="K4091">
        <v>-320</v>
      </c>
      <c r="L4091">
        <v>1200</v>
      </c>
      <c r="M4091" t="str">
        <f t="shared" si="420"/>
        <v xml:space="preserve">N35DC   </v>
      </c>
      <c r="N4091">
        <v>1</v>
      </c>
      <c r="O4091">
        <v>1725</v>
      </c>
    </row>
    <row r="4092" spans="1:15" x14ac:dyDescent="0.25">
      <c r="A4092" t="str">
        <f>"10/21/2020 18:43:05.974"</f>
        <v>10/21/2020 18:43:05.974</v>
      </c>
      <c r="B4092" t="str">
        <f t="shared" si="423"/>
        <v>18:43:13.922</v>
      </c>
      <c r="C4092" t="str">
        <f t="shared" si="423"/>
        <v>18:43:13.922</v>
      </c>
      <c r="D4092" t="s">
        <v>1640</v>
      </c>
      <c r="E4092">
        <v>31.047127</v>
      </c>
      <c r="F4092" t="s">
        <v>1641</v>
      </c>
      <c r="G4092">
        <v>-89.850482999999997</v>
      </c>
      <c r="H4092">
        <v>1600</v>
      </c>
      <c r="I4092">
        <v>-8</v>
      </c>
      <c r="J4092">
        <v>155</v>
      </c>
      <c r="K4092">
        <v>-320</v>
      </c>
      <c r="L4092">
        <v>1200</v>
      </c>
      <c r="M4092" t="str">
        <f t="shared" si="420"/>
        <v xml:space="preserve">N35DC   </v>
      </c>
      <c r="N4092">
        <v>1</v>
      </c>
      <c r="O4092">
        <v>1725</v>
      </c>
    </row>
    <row r="4093" spans="1:15" x14ac:dyDescent="0.25">
      <c r="A4093" t="str">
        <f>"10/21/2020 18:43:05.974"</f>
        <v>10/21/2020 18:43:05.974</v>
      </c>
      <c r="B4093" t="str">
        <f t="shared" si="423"/>
        <v>18:43:13.922</v>
      </c>
      <c r="C4093" t="str">
        <f t="shared" si="423"/>
        <v>18:43:13.922</v>
      </c>
      <c r="D4093" t="s">
        <v>1640</v>
      </c>
      <c r="E4093">
        <v>31.047127</v>
      </c>
      <c r="F4093" t="s">
        <v>1641</v>
      </c>
      <c r="G4093">
        <v>-89.850482999999997</v>
      </c>
      <c r="H4093">
        <v>1600</v>
      </c>
      <c r="I4093">
        <v>-8</v>
      </c>
      <c r="J4093">
        <v>155</v>
      </c>
      <c r="K4093">
        <v>-320</v>
      </c>
      <c r="L4093">
        <v>1200</v>
      </c>
      <c r="M4093" t="str">
        <f t="shared" si="420"/>
        <v xml:space="preserve">N35DC   </v>
      </c>
      <c r="N4093">
        <v>1</v>
      </c>
      <c r="O4093">
        <v>1725</v>
      </c>
    </row>
    <row r="4094" spans="1:15" x14ac:dyDescent="0.25">
      <c r="A4094" t="str">
        <f>"10/21/2020 18:43:08.558"</f>
        <v>10/21/2020 18:43:08.558</v>
      </c>
      <c r="B4094" t="str">
        <f>"18:43:16.453"</f>
        <v>18:43:16.453</v>
      </c>
      <c r="C4094" t="str">
        <f>"18:43:16.053"</f>
        <v>18:43:16.053</v>
      </c>
      <c r="D4094" t="s">
        <v>1642</v>
      </c>
      <c r="E4094">
        <v>31.048973</v>
      </c>
      <c r="F4094" t="s">
        <v>1643</v>
      </c>
      <c r="G4094">
        <v>-89.850504000000001</v>
      </c>
      <c r="H4094">
        <v>1600</v>
      </c>
      <c r="I4094">
        <v>0</v>
      </c>
      <c r="J4094">
        <v>157</v>
      </c>
      <c r="K4094">
        <v>-384</v>
      </c>
      <c r="L4094">
        <v>1200</v>
      </c>
      <c r="M4094" t="str">
        <f t="shared" si="420"/>
        <v xml:space="preserve">N35DC   </v>
      </c>
      <c r="N4094">
        <v>1</v>
      </c>
      <c r="O4094">
        <v>1725</v>
      </c>
    </row>
    <row r="4095" spans="1:15" x14ac:dyDescent="0.25">
      <c r="A4095" t="str">
        <f>"10/21/2020 18:43:08.998"</f>
        <v>10/21/2020 18:43:08.998</v>
      </c>
      <c r="B4095" t="str">
        <f>"18:43:16.938"</f>
        <v>18:43:16.938</v>
      </c>
      <c r="C4095" t="str">
        <f>"18:43:16.637"</f>
        <v>18:43:16.637</v>
      </c>
      <c r="D4095" t="s">
        <v>1644</v>
      </c>
      <c r="E4095">
        <v>31.049337000000001</v>
      </c>
      <c r="F4095" t="s">
        <v>1643</v>
      </c>
      <c r="G4095">
        <v>-89.850504000000001</v>
      </c>
      <c r="H4095">
        <v>1600</v>
      </c>
      <c r="I4095">
        <v>2</v>
      </c>
      <c r="J4095">
        <v>157</v>
      </c>
      <c r="K4095">
        <v>-320</v>
      </c>
      <c r="L4095">
        <v>1200</v>
      </c>
      <c r="M4095" t="str">
        <f t="shared" si="420"/>
        <v xml:space="preserve">N35DC   </v>
      </c>
      <c r="N4095">
        <v>1</v>
      </c>
      <c r="O4095">
        <v>1725</v>
      </c>
    </row>
    <row r="4096" spans="1:15" x14ac:dyDescent="0.25">
      <c r="A4096" t="str">
        <f>"10/21/2020 18:43:08.998"</f>
        <v>10/21/2020 18:43:08.998</v>
      </c>
      <c r="B4096" t="str">
        <f>"18:43:16.938"</f>
        <v>18:43:16.938</v>
      </c>
      <c r="C4096" t="str">
        <f>"18:43:16.637"</f>
        <v>18:43:16.637</v>
      </c>
      <c r="D4096" t="s">
        <v>1644</v>
      </c>
      <c r="E4096">
        <v>31.049337000000001</v>
      </c>
      <c r="F4096" t="s">
        <v>1643</v>
      </c>
      <c r="G4096">
        <v>-89.850504000000001</v>
      </c>
      <c r="H4096">
        <v>1600</v>
      </c>
      <c r="I4096">
        <v>2</v>
      </c>
      <c r="J4096">
        <v>157</v>
      </c>
      <c r="K4096">
        <v>-320</v>
      </c>
      <c r="L4096">
        <v>1200</v>
      </c>
      <c r="M4096" t="str">
        <f t="shared" si="420"/>
        <v xml:space="preserve">N35DC   </v>
      </c>
      <c r="N4096">
        <v>1</v>
      </c>
      <c r="O4096">
        <v>1725</v>
      </c>
    </row>
    <row r="4097" spans="1:15" x14ac:dyDescent="0.25">
      <c r="A4097" t="str">
        <f>"10/21/2020 18:43:08.998"</f>
        <v>10/21/2020 18:43:08.998</v>
      </c>
      <c r="B4097" t="str">
        <f>"18:43:16.938"</f>
        <v>18:43:16.938</v>
      </c>
      <c r="C4097" t="str">
        <f>"18:43:16.637"</f>
        <v>18:43:16.637</v>
      </c>
      <c r="D4097" t="s">
        <v>1644</v>
      </c>
      <c r="E4097">
        <v>31.049337000000001</v>
      </c>
      <c r="F4097" t="s">
        <v>1643</v>
      </c>
      <c r="G4097">
        <v>-89.850504000000001</v>
      </c>
      <c r="H4097">
        <v>1600</v>
      </c>
      <c r="I4097">
        <v>2</v>
      </c>
      <c r="J4097">
        <v>157</v>
      </c>
      <c r="K4097">
        <v>-320</v>
      </c>
      <c r="L4097">
        <v>1200</v>
      </c>
      <c r="M4097" t="str">
        <f t="shared" si="420"/>
        <v xml:space="preserve">N35DC   </v>
      </c>
      <c r="N4097">
        <v>1</v>
      </c>
      <c r="O4097">
        <v>1725</v>
      </c>
    </row>
    <row r="4098" spans="1:15" x14ac:dyDescent="0.25">
      <c r="A4098" t="str">
        <f>"10/21/2020 18:43:12.040"</f>
        <v>10/21/2020 18:43:12.040</v>
      </c>
      <c r="B4098" t="str">
        <f>"18:43:19.977"</f>
        <v>18:43:19.977</v>
      </c>
      <c r="C4098" t="str">
        <f>"18:43:19.677"</f>
        <v>18:43:19.677</v>
      </c>
      <c r="D4098" t="s">
        <v>1645</v>
      </c>
      <c r="E4098">
        <v>31.051525999999999</v>
      </c>
      <c r="F4098" t="s">
        <v>1637</v>
      </c>
      <c r="G4098">
        <v>-89.850397000000001</v>
      </c>
      <c r="H4098">
        <v>1600</v>
      </c>
      <c r="I4098">
        <v>10</v>
      </c>
      <c r="J4098">
        <v>158</v>
      </c>
      <c r="K4098">
        <v>-192</v>
      </c>
      <c r="L4098">
        <v>1200</v>
      </c>
      <c r="M4098" t="str">
        <f t="shared" si="420"/>
        <v xml:space="preserve">N35DC   </v>
      </c>
      <c r="N4098">
        <v>1</v>
      </c>
      <c r="O4098">
        <v>1700</v>
      </c>
    </row>
    <row r="4099" spans="1:15" x14ac:dyDescent="0.25">
      <c r="A4099" t="str">
        <f>"10/21/2020 18:43:12.040"</f>
        <v>10/21/2020 18:43:12.040</v>
      </c>
      <c r="B4099" t="str">
        <f>"18:43:19.977"</f>
        <v>18:43:19.977</v>
      </c>
      <c r="C4099" t="str">
        <f>"18:43:19.677"</f>
        <v>18:43:19.677</v>
      </c>
      <c r="D4099" t="s">
        <v>1645</v>
      </c>
      <c r="E4099">
        <v>31.051525999999999</v>
      </c>
      <c r="F4099" t="s">
        <v>1637</v>
      </c>
      <c r="G4099">
        <v>-89.850397000000001</v>
      </c>
      <c r="H4099">
        <v>1600</v>
      </c>
      <c r="I4099">
        <v>10</v>
      </c>
      <c r="J4099">
        <v>158</v>
      </c>
      <c r="K4099">
        <v>-192</v>
      </c>
      <c r="L4099">
        <v>1200</v>
      </c>
      <c r="M4099" t="str">
        <f t="shared" si="420"/>
        <v xml:space="preserve">N35DC   </v>
      </c>
      <c r="N4099">
        <v>1</v>
      </c>
      <c r="O4099">
        <v>1700</v>
      </c>
    </row>
    <row r="4100" spans="1:15" x14ac:dyDescent="0.25">
      <c r="A4100" t="str">
        <f>"10/21/2020 18:43:12.040"</f>
        <v>10/21/2020 18:43:12.040</v>
      </c>
      <c r="B4100" t="str">
        <f>"18:43:19.977"</f>
        <v>18:43:19.977</v>
      </c>
      <c r="C4100" t="str">
        <f>"18:43:19.677"</f>
        <v>18:43:19.677</v>
      </c>
      <c r="D4100" t="s">
        <v>1645</v>
      </c>
      <c r="E4100">
        <v>31.051525999999999</v>
      </c>
      <c r="F4100" t="s">
        <v>1637</v>
      </c>
      <c r="G4100">
        <v>-89.850397000000001</v>
      </c>
      <c r="H4100">
        <v>1600</v>
      </c>
      <c r="I4100">
        <v>10</v>
      </c>
      <c r="J4100">
        <v>158</v>
      </c>
      <c r="K4100">
        <v>-192</v>
      </c>
      <c r="L4100">
        <v>1200</v>
      </c>
      <c r="M4100" t="str">
        <f t="shared" si="420"/>
        <v xml:space="preserve">N35DC   </v>
      </c>
      <c r="N4100">
        <v>1</v>
      </c>
      <c r="O4100">
        <v>1700</v>
      </c>
    </row>
    <row r="4101" spans="1:15" x14ac:dyDescent="0.25">
      <c r="A4101" t="str">
        <f>"10/21/2020 18:43:12.040"</f>
        <v>10/21/2020 18:43:12.040</v>
      </c>
      <c r="B4101" t="str">
        <f>"18:43:19.977"</f>
        <v>18:43:19.977</v>
      </c>
      <c r="C4101" t="str">
        <f>"18:43:19.677"</f>
        <v>18:43:19.677</v>
      </c>
      <c r="D4101" t="s">
        <v>1645</v>
      </c>
      <c r="E4101">
        <v>31.051525999999999</v>
      </c>
      <c r="F4101" t="s">
        <v>1637</v>
      </c>
      <c r="G4101">
        <v>-89.850397000000001</v>
      </c>
      <c r="H4101">
        <v>1600</v>
      </c>
      <c r="I4101">
        <v>10</v>
      </c>
      <c r="J4101">
        <v>158</v>
      </c>
      <c r="K4101">
        <v>-192</v>
      </c>
      <c r="L4101">
        <v>1200</v>
      </c>
      <c r="M4101" t="str">
        <f t="shared" si="420"/>
        <v xml:space="preserve">N35DC   </v>
      </c>
      <c r="N4101">
        <v>1</v>
      </c>
      <c r="O4101">
        <v>1700</v>
      </c>
    </row>
    <row r="4102" spans="1:15" x14ac:dyDescent="0.25">
      <c r="A4102" t="str">
        <f>"10/21/2020 18:43:13.080"</f>
        <v>10/21/2020 18:43:13.080</v>
      </c>
      <c r="B4102" t="str">
        <f>"18:43:21.000"</f>
        <v>18:43:21.000</v>
      </c>
      <c r="C4102" t="str">
        <f>"18:43:20.500"</f>
        <v>18:43:20.500</v>
      </c>
      <c r="D4102" t="s">
        <v>1646</v>
      </c>
      <c r="E4102">
        <v>31.052299000000001</v>
      </c>
      <c r="F4102" t="s">
        <v>1647</v>
      </c>
      <c r="G4102">
        <v>-89.850311000000005</v>
      </c>
      <c r="H4102">
        <v>1600</v>
      </c>
      <c r="I4102">
        <v>10</v>
      </c>
      <c r="J4102">
        <v>157</v>
      </c>
      <c r="K4102">
        <v>64</v>
      </c>
      <c r="L4102">
        <v>1200</v>
      </c>
      <c r="M4102" t="str">
        <f t="shared" si="420"/>
        <v xml:space="preserve">N35DC   </v>
      </c>
      <c r="N4102">
        <v>1</v>
      </c>
      <c r="O4102">
        <v>1700</v>
      </c>
    </row>
    <row r="4103" spans="1:15" x14ac:dyDescent="0.25">
      <c r="A4103" t="str">
        <f>"10/21/2020 18:43:13.080"</f>
        <v>10/21/2020 18:43:13.080</v>
      </c>
      <c r="B4103" t="str">
        <f>"18:43:21.000"</f>
        <v>18:43:21.000</v>
      </c>
      <c r="C4103" t="str">
        <f>"18:43:20.500"</f>
        <v>18:43:20.500</v>
      </c>
      <c r="D4103" t="s">
        <v>1646</v>
      </c>
      <c r="E4103">
        <v>31.052299000000001</v>
      </c>
      <c r="F4103" t="s">
        <v>1647</v>
      </c>
      <c r="G4103">
        <v>-89.850311000000005</v>
      </c>
      <c r="H4103">
        <v>1600</v>
      </c>
      <c r="I4103">
        <v>10</v>
      </c>
      <c r="J4103">
        <v>157</v>
      </c>
      <c r="K4103">
        <v>64</v>
      </c>
      <c r="L4103">
        <v>1200</v>
      </c>
      <c r="M4103" t="str">
        <f t="shared" ref="M4103:M4166" si="424">"N35DC   "</f>
        <v xml:space="preserve">N35DC   </v>
      </c>
      <c r="N4103">
        <v>1</v>
      </c>
      <c r="O4103">
        <v>1700</v>
      </c>
    </row>
    <row r="4104" spans="1:15" x14ac:dyDescent="0.25">
      <c r="A4104" t="str">
        <f>"10/21/2020 18:43:13.080"</f>
        <v>10/21/2020 18:43:13.080</v>
      </c>
      <c r="B4104" t="str">
        <f>"18:43:21.000"</f>
        <v>18:43:21.000</v>
      </c>
      <c r="C4104" t="str">
        <f>"18:43:20.500"</f>
        <v>18:43:20.500</v>
      </c>
      <c r="D4104" t="s">
        <v>1646</v>
      </c>
      <c r="E4104">
        <v>31.052299000000001</v>
      </c>
      <c r="F4104" t="s">
        <v>1647</v>
      </c>
      <c r="G4104">
        <v>-89.850311000000005</v>
      </c>
      <c r="H4104">
        <v>1600</v>
      </c>
      <c r="I4104">
        <v>10</v>
      </c>
      <c r="J4104">
        <v>157</v>
      </c>
      <c r="K4104">
        <v>64</v>
      </c>
      <c r="L4104">
        <v>1200</v>
      </c>
      <c r="M4104" t="str">
        <f t="shared" si="424"/>
        <v xml:space="preserve">N35DC   </v>
      </c>
      <c r="N4104">
        <v>1</v>
      </c>
      <c r="O4104">
        <v>1700</v>
      </c>
    </row>
    <row r="4105" spans="1:15" x14ac:dyDescent="0.25">
      <c r="A4105" t="str">
        <f>"10/21/2020 18:43:13.080"</f>
        <v>10/21/2020 18:43:13.080</v>
      </c>
      <c r="B4105" t="str">
        <f>"18:43:21.000"</f>
        <v>18:43:21.000</v>
      </c>
      <c r="C4105" t="str">
        <f>"18:43:20.500"</f>
        <v>18:43:20.500</v>
      </c>
      <c r="D4105" t="s">
        <v>1646</v>
      </c>
      <c r="E4105">
        <v>31.052299000000001</v>
      </c>
      <c r="F4105" t="s">
        <v>1647</v>
      </c>
      <c r="G4105">
        <v>-89.850311000000005</v>
      </c>
      <c r="H4105">
        <v>1600</v>
      </c>
      <c r="I4105">
        <v>10</v>
      </c>
      <c r="J4105">
        <v>157</v>
      </c>
      <c r="K4105">
        <v>64</v>
      </c>
      <c r="L4105">
        <v>1200</v>
      </c>
      <c r="M4105" t="str">
        <f t="shared" si="424"/>
        <v xml:space="preserve">N35DC   </v>
      </c>
      <c r="N4105">
        <v>1</v>
      </c>
      <c r="O4105">
        <v>1700</v>
      </c>
    </row>
    <row r="4106" spans="1:15" x14ac:dyDescent="0.25">
      <c r="A4106" t="str">
        <f>"10/21/2020 18:43:15.025"</f>
        <v>10/21/2020 18:43:15.025</v>
      </c>
      <c r="B4106" t="str">
        <f>"18:43:22.953"</f>
        <v>18:43:22.953</v>
      </c>
      <c r="C4106" t="str">
        <f>"18:43:22.553"</f>
        <v>18:43:22.553</v>
      </c>
      <c r="D4106" t="s">
        <v>1648</v>
      </c>
      <c r="E4106">
        <v>31.053736000000001</v>
      </c>
      <c r="F4106" t="s">
        <v>1649</v>
      </c>
      <c r="G4106">
        <v>-89.850183000000001</v>
      </c>
      <c r="H4106">
        <v>1600</v>
      </c>
      <c r="I4106">
        <v>11</v>
      </c>
      <c r="J4106">
        <v>156</v>
      </c>
      <c r="K4106">
        <v>192</v>
      </c>
      <c r="L4106">
        <v>1200</v>
      </c>
      <c r="M4106" t="str">
        <f t="shared" si="424"/>
        <v xml:space="preserve">N35DC   </v>
      </c>
      <c r="N4106">
        <v>1</v>
      </c>
      <c r="O4106">
        <v>1725</v>
      </c>
    </row>
    <row r="4107" spans="1:15" x14ac:dyDescent="0.25">
      <c r="A4107" t="str">
        <f>"10/21/2020 18:43:15.025"</f>
        <v>10/21/2020 18:43:15.025</v>
      </c>
      <c r="B4107" t="str">
        <f>"18:43:22.953"</f>
        <v>18:43:22.953</v>
      </c>
      <c r="C4107" t="str">
        <f>"18:43:22.553"</f>
        <v>18:43:22.553</v>
      </c>
      <c r="D4107" t="s">
        <v>1648</v>
      </c>
      <c r="E4107">
        <v>31.053736000000001</v>
      </c>
      <c r="F4107" t="s">
        <v>1649</v>
      </c>
      <c r="G4107">
        <v>-89.850183000000001</v>
      </c>
      <c r="H4107">
        <v>1600</v>
      </c>
      <c r="I4107">
        <v>11</v>
      </c>
      <c r="J4107">
        <v>156</v>
      </c>
      <c r="K4107">
        <v>192</v>
      </c>
      <c r="L4107">
        <v>1200</v>
      </c>
      <c r="M4107" t="str">
        <f t="shared" si="424"/>
        <v xml:space="preserve">N35DC   </v>
      </c>
      <c r="N4107">
        <v>1</v>
      </c>
      <c r="O4107">
        <v>1725</v>
      </c>
    </row>
    <row r="4108" spans="1:15" x14ac:dyDescent="0.25">
      <c r="A4108" t="str">
        <f>"10/21/2020 18:43:15.025"</f>
        <v>10/21/2020 18:43:15.025</v>
      </c>
      <c r="B4108" t="str">
        <f>"18:43:22.953"</f>
        <v>18:43:22.953</v>
      </c>
      <c r="C4108" t="str">
        <f>"18:43:22.553"</f>
        <v>18:43:22.553</v>
      </c>
      <c r="D4108" t="s">
        <v>1648</v>
      </c>
      <c r="E4108">
        <v>31.053736000000001</v>
      </c>
      <c r="F4108" t="s">
        <v>1649</v>
      </c>
      <c r="G4108">
        <v>-89.850183000000001</v>
      </c>
      <c r="H4108">
        <v>1600</v>
      </c>
      <c r="I4108">
        <v>11</v>
      </c>
      <c r="J4108">
        <v>156</v>
      </c>
      <c r="K4108">
        <v>192</v>
      </c>
      <c r="L4108">
        <v>1200</v>
      </c>
      <c r="M4108" t="str">
        <f t="shared" si="424"/>
        <v xml:space="preserve">N35DC   </v>
      </c>
      <c r="N4108">
        <v>1</v>
      </c>
      <c r="O4108">
        <v>1725</v>
      </c>
    </row>
    <row r="4109" spans="1:15" x14ac:dyDescent="0.25">
      <c r="A4109" t="str">
        <f>"10/21/2020 18:43:15.025"</f>
        <v>10/21/2020 18:43:15.025</v>
      </c>
      <c r="B4109" t="str">
        <f>"18:43:22.953"</f>
        <v>18:43:22.953</v>
      </c>
      <c r="C4109" t="str">
        <f>"18:43:22.553"</f>
        <v>18:43:22.553</v>
      </c>
      <c r="D4109" t="s">
        <v>1648</v>
      </c>
      <c r="E4109">
        <v>31.053736000000001</v>
      </c>
      <c r="F4109" t="s">
        <v>1649</v>
      </c>
      <c r="G4109">
        <v>-89.850183000000001</v>
      </c>
      <c r="H4109">
        <v>1600</v>
      </c>
      <c r="I4109">
        <v>11</v>
      </c>
      <c r="J4109">
        <v>156</v>
      </c>
      <c r="K4109">
        <v>192</v>
      </c>
      <c r="L4109">
        <v>1200</v>
      </c>
      <c r="M4109" t="str">
        <f t="shared" si="424"/>
        <v xml:space="preserve">N35DC   </v>
      </c>
      <c r="N4109">
        <v>1</v>
      </c>
      <c r="O4109">
        <v>1725</v>
      </c>
    </row>
    <row r="4110" spans="1:15" x14ac:dyDescent="0.25">
      <c r="A4110" t="str">
        <f>"10/21/2020 18:43:16.001"</f>
        <v>10/21/2020 18:43:16.001</v>
      </c>
      <c r="B4110" t="str">
        <f>"18:43:23.922"</f>
        <v>18:43:23.922</v>
      </c>
      <c r="C4110" t="str">
        <f>"18:43:23.622"</f>
        <v>18:43:23.622</v>
      </c>
      <c r="D4110" t="s">
        <v>1650</v>
      </c>
      <c r="E4110">
        <v>31.054400999999999</v>
      </c>
      <c r="F4110" t="s">
        <v>1651</v>
      </c>
      <c r="G4110">
        <v>-89.850139999999996</v>
      </c>
      <c r="H4110">
        <v>1600</v>
      </c>
      <c r="I4110">
        <v>10</v>
      </c>
      <c r="J4110">
        <v>156</v>
      </c>
      <c r="K4110">
        <v>192</v>
      </c>
      <c r="L4110">
        <v>1200</v>
      </c>
      <c r="M4110" t="str">
        <f t="shared" si="424"/>
        <v xml:space="preserve">N35DC   </v>
      </c>
      <c r="N4110">
        <v>1</v>
      </c>
      <c r="O4110">
        <v>1725</v>
      </c>
    </row>
    <row r="4111" spans="1:15" x14ac:dyDescent="0.25">
      <c r="A4111" t="str">
        <f>"10/21/2020 18:43:16.001"</f>
        <v>10/21/2020 18:43:16.001</v>
      </c>
      <c r="B4111" t="str">
        <f>"18:43:23.922"</f>
        <v>18:43:23.922</v>
      </c>
      <c r="C4111" t="str">
        <f>"18:43:23.622"</f>
        <v>18:43:23.622</v>
      </c>
      <c r="D4111" t="s">
        <v>1650</v>
      </c>
      <c r="E4111">
        <v>31.054400999999999</v>
      </c>
      <c r="F4111" t="s">
        <v>1651</v>
      </c>
      <c r="G4111">
        <v>-89.850139999999996</v>
      </c>
      <c r="H4111">
        <v>1600</v>
      </c>
      <c r="I4111">
        <v>10</v>
      </c>
      <c r="J4111">
        <v>156</v>
      </c>
      <c r="K4111">
        <v>192</v>
      </c>
      <c r="L4111">
        <v>1200</v>
      </c>
      <c r="M4111" t="str">
        <f t="shared" si="424"/>
        <v xml:space="preserve">N35DC   </v>
      </c>
      <c r="N4111">
        <v>1</v>
      </c>
      <c r="O4111">
        <v>1725</v>
      </c>
    </row>
    <row r="4112" spans="1:15" x14ac:dyDescent="0.25">
      <c r="A4112" t="str">
        <f>"10/21/2020 18:43:16.001"</f>
        <v>10/21/2020 18:43:16.001</v>
      </c>
      <c r="B4112" t="str">
        <f>"18:43:23.922"</f>
        <v>18:43:23.922</v>
      </c>
      <c r="C4112" t="str">
        <f>"18:43:23.622"</f>
        <v>18:43:23.622</v>
      </c>
      <c r="D4112" t="s">
        <v>1650</v>
      </c>
      <c r="E4112">
        <v>31.054400999999999</v>
      </c>
      <c r="F4112" t="s">
        <v>1651</v>
      </c>
      <c r="G4112">
        <v>-89.850139999999996</v>
      </c>
      <c r="H4112">
        <v>1600</v>
      </c>
      <c r="I4112">
        <v>10</v>
      </c>
      <c r="J4112">
        <v>156</v>
      </c>
      <c r="K4112">
        <v>192</v>
      </c>
      <c r="L4112">
        <v>1200</v>
      </c>
      <c r="M4112" t="str">
        <f t="shared" si="424"/>
        <v xml:space="preserve">N35DC   </v>
      </c>
      <c r="N4112">
        <v>1</v>
      </c>
      <c r="O4112">
        <v>1725</v>
      </c>
    </row>
    <row r="4113" spans="1:15" x14ac:dyDescent="0.25">
      <c r="A4113" t="str">
        <f>"10/21/2020 18:43:16.001"</f>
        <v>10/21/2020 18:43:16.001</v>
      </c>
      <c r="B4113" t="str">
        <f>"18:43:23.922"</f>
        <v>18:43:23.922</v>
      </c>
      <c r="C4113" t="str">
        <f>"18:43:23.622"</f>
        <v>18:43:23.622</v>
      </c>
      <c r="D4113" t="s">
        <v>1650</v>
      </c>
      <c r="E4113">
        <v>31.054400999999999</v>
      </c>
      <c r="F4113" t="s">
        <v>1651</v>
      </c>
      <c r="G4113">
        <v>-89.850139999999996</v>
      </c>
      <c r="H4113">
        <v>1600</v>
      </c>
      <c r="I4113">
        <v>10</v>
      </c>
      <c r="J4113">
        <v>156</v>
      </c>
      <c r="K4113">
        <v>192</v>
      </c>
      <c r="L4113">
        <v>1200</v>
      </c>
      <c r="M4113" t="str">
        <f t="shared" si="424"/>
        <v xml:space="preserve">N35DC   </v>
      </c>
      <c r="N4113">
        <v>1</v>
      </c>
      <c r="O4113">
        <v>1725</v>
      </c>
    </row>
    <row r="4114" spans="1:15" x14ac:dyDescent="0.25">
      <c r="A4114" t="str">
        <f>"10/21/2020 18:43:18.969"</f>
        <v>10/21/2020 18:43:18.969</v>
      </c>
      <c r="B4114" t="str">
        <f>"18:43:26.867"</f>
        <v>18:43:26.867</v>
      </c>
      <c r="C4114" t="str">
        <f>"18:43:26.467"</f>
        <v>18:43:26.467</v>
      </c>
      <c r="D4114" t="s">
        <v>1652</v>
      </c>
      <c r="E4114">
        <v>31.056526000000002</v>
      </c>
      <c r="F4114" t="s">
        <v>1653</v>
      </c>
      <c r="G4114">
        <v>-89.850010999999995</v>
      </c>
      <c r="H4114">
        <v>1700</v>
      </c>
      <c r="I4114">
        <v>9</v>
      </c>
      <c r="J4114">
        <v>155</v>
      </c>
      <c r="K4114">
        <v>256</v>
      </c>
      <c r="L4114">
        <v>1200</v>
      </c>
      <c r="M4114" t="str">
        <f t="shared" si="424"/>
        <v xml:space="preserve">N35DC   </v>
      </c>
      <c r="N4114">
        <v>1</v>
      </c>
      <c r="O4114">
        <v>1725</v>
      </c>
    </row>
    <row r="4115" spans="1:15" x14ac:dyDescent="0.25">
      <c r="A4115" t="str">
        <f>"10/21/2020 18:43:18.969"</f>
        <v>10/21/2020 18:43:18.969</v>
      </c>
      <c r="B4115" t="str">
        <f>"18:43:26.867"</f>
        <v>18:43:26.867</v>
      </c>
      <c r="C4115" t="str">
        <f>"18:43:26.467"</f>
        <v>18:43:26.467</v>
      </c>
      <c r="D4115" t="s">
        <v>1652</v>
      </c>
      <c r="E4115">
        <v>31.056526000000002</v>
      </c>
      <c r="F4115" t="s">
        <v>1653</v>
      </c>
      <c r="G4115">
        <v>-89.850010999999995</v>
      </c>
      <c r="H4115">
        <v>1700</v>
      </c>
      <c r="I4115">
        <v>9</v>
      </c>
      <c r="J4115">
        <v>155</v>
      </c>
      <c r="K4115">
        <v>256</v>
      </c>
      <c r="L4115">
        <v>1200</v>
      </c>
      <c r="M4115" t="str">
        <f t="shared" si="424"/>
        <v xml:space="preserve">N35DC   </v>
      </c>
      <c r="N4115">
        <v>1</v>
      </c>
      <c r="O4115">
        <v>1725</v>
      </c>
    </row>
    <row r="4116" spans="1:15" x14ac:dyDescent="0.25">
      <c r="A4116" t="str">
        <f>"10/21/2020 18:43:18.969"</f>
        <v>10/21/2020 18:43:18.969</v>
      </c>
      <c r="B4116" t="str">
        <f>"18:43:26.867"</f>
        <v>18:43:26.867</v>
      </c>
      <c r="C4116" t="str">
        <f>"18:43:26.467"</f>
        <v>18:43:26.467</v>
      </c>
      <c r="D4116" t="s">
        <v>1652</v>
      </c>
      <c r="E4116">
        <v>31.056526000000002</v>
      </c>
      <c r="F4116" t="s">
        <v>1653</v>
      </c>
      <c r="G4116">
        <v>-89.850010999999995</v>
      </c>
      <c r="H4116">
        <v>1700</v>
      </c>
      <c r="I4116">
        <v>9</v>
      </c>
      <c r="J4116">
        <v>155</v>
      </c>
      <c r="K4116">
        <v>256</v>
      </c>
      <c r="L4116">
        <v>1200</v>
      </c>
      <c r="M4116" t="str">
        <f t="shared" si="424"/>
        <v xml:space="preserve">N35DC   </v>
      </c>
      <c r="N4116">
        <v>1</v>
      </c>
      <c r="O4116">
        <v>1725</v>
      </c>
    </row>
    <row r="4117" spans="1:15" x14ac:dyDescent="0.25">
      <c r="A4117" t="str">
        <f>"10/21/2020 18:43:18.969"</f>
        <v>10/21/2020 18:43:18.969</v>
      </c>
      <c r="B4117" t="str">
        <f>"18:43:26.867"</f>
        <v>18:43:26.867</v>
      </c>
      <c r="C4117" t="str">
        <f>"18:43:26.467"</f>
        <v>18:43:26.467</v>
      </c>
      <c r="D4117" t="s">
        <v>1652</v>
      </c>
      <c r="E4117">
        <v>31.056526000000002</v>
      </c>
      <c r="F4117" t="s">
        <v>1653</v>
      </c>
      <c r="G4117">
        <v>-89.850010999999995</v>
      </c>
      <c r="H4117">
        <v>1700</v>
      </c>
      <c r="I4117">
        <v>9</v>
      </c>
      <c r="J4117">
        <v>155</v>
      </c>
      <c r="K4117">
        <v>256</v>
      </c>
      <c r="L4117">
        <v>1200</v>
      </c>
      <c r="M4117" t="str">
        <f t="shared" si="424"/>
        <v xml:space="preserve">N35DC   </v>
      </c>
      <c r="N4117">
        <v>1</v>
      </c>
      <c r="O4117">
        <v>1725</v>
      </c>
    </row>
    <row r="4118" spans="1:15" x14ac:dyDescent="0.25">
      <c r="A4118" t="str">
        <f>"10/21/2020 18:43:19.924"</f>
        <v>10/21/2020 18:43:19.924</v>
      </c>
      <c r="B4118" t="str">
        <f>"18:43:27.883"</f>
        <v>18:43:27.883</v>
      </c>
      <c r="C4118" t="str">
        <f>"18:43:27.483"</f>
        <v>18:43:27.483</v>
      </c>
      <c r="D4118" t="s">
        <v>1654</v>
      </c>
      <c r="E4118">
        <v>31.057234000000001</v>
      </c>
      <c r="F4118" t="s">
        <v>1655</v>
      </c>
      <c r="G4118">
        <v>-89.849924999999999</v>
      </c>
      <c r="H4118">
        <v>1700</v>
      </c>
      <c r="I4118">
        <v>8</v>
      </c>
      <c r="J4118">
        <v>154</v>
      </c>
      <c r="K4118">
        <v>64</v>
      </c>
      <c r="L4118">
        <v>1200</v>
      </c>
      <c r="M4118" t="str">
        <f t="shared" si="424"/>
        <v xml:space="preserve">N35DC   </v>
      </c>
      <c r="N4118">
        <v>1</v>
      </c>
      <c r="O4118">
        <v>1725</v>
      </c>
    </row>
    <row r="4119" spans="1:15" x14ac:dyDescent="0.25">
      <c r="A4119" t="str">
        <f>"10/21/2020 18:43:19.924"</f>
        <v>10/21/2020 18:43:19.924</v>
      </c>
      <c r="B4119" t="str">
        <f>"18:43:27.883"</f>
        <v>18:43:27.883</v>
      </c>
      <c r="C4119" t="str">
        <f>"18:43:27.483"</f>
        <v>18:43:27.483</v>
      </c>
      <c r="D4119" t="s">
        <v>1654</v>
      </c>
      <c r="E4119">
        <v>31.057234000000001</v>
      </c>
      <c r="F4119" t="s">
        <v>1655</v>
      </c>
      <c r="G4119">
        <v>-89.849924999999999</v>
      </c>
      <c r="H4119">
        <v>1700</v>
      </c>
      <c r="I4119">
        <v>8</v>
      </c>
      <c r="J4119">
        <v>154</v>
      </c>
      <c r="K4119">
        <v>64</v>
      </c>
      <c r="L4119">
        <v>1200</v>
      </c>
      <c r="M4119" t="str">
        <f t="shared" si="424"/>
        <v xml:space="preserve">N35DC   </v>
      </c>
      <c r="N4119">
        <v>1</v>
      </c>
      <c r="O4119">
        <v>1725</v>
      </c>
    </row>
    <row r="4120" spans="1:15" x14ac:dyDescent="0.25">
      <c r="A4120" t="str">
        <f>"10/21/2020 18:43:19.924"</f>
        <v>10/21/2020 18:43:19.924</v>
      </c>
      <c r="B4120" t="str">
        <f>"18:43:27.883"</f>
        <v>18:43:27.883</v>
      </c>
      <c r="C4120" t="str">
        <f>"18:43:27.483"</f>
        <v>18:43:27.483</v>
      </c>
      <c r="D4120" t="s">
        <v>1654</v>
      </c>
      <c r="E4120">
        <v>31.057234000000001</v>
      </c>
      <c r="F4120" t="s">
        <v>1655</v>
      </c>
      <c r="G4120">
        <v>-89.849924999999999</v>
      </c>
      <c r="H4120">
        <v>1700</v>
      </c>
      <c r="I4120">
        <v>8</v>
      </c>
      <c r="J4120">
        <v>154</v>
      </c>
      <c r="K4120">
        <v>64</v>
      </c>
      <c r="L4120">
        <v>1200</v>
      </c>
      <c r="M4120" t="str">
        <f t="shared" si="424"/>
        <v xml:space="preserve">N35DC   </v>
      </c>
      <c r="N4120">
        <v>1</v>
      </c>
      <c r="O4120">
        <v>1725</v>
      </c>
    </row>
    <row r="4121" spans="1:15" x14ac:dyDescent="0.25">
      <c r="A4121" t="str">
        <f>"10/21/2020 18:43:19.924"</f>
        <v>10/21/2020 18:43:19.924</v>
      </c>
      <c r="B4121" t="str">
        <f>"18:43:27.883"</f>
        <v>18:43:27.883</v>
      </c>
      <c r="C4121" t="str">
        <f>"18:43:27.483"</f>
        <v>18:43:27.483</v>
      </c>
      <c r="D4121" t="s">
        <v>1654</v>
      </c>
      <c r="E4121">
        <v>31.057234000000001</v>
      </c>
      <c r="F4121" t="s">
        <v>1655</v>
      </c>
      <c r="G4121">
        <v>-89.849924999999999</v>
      </c>
      <c r="H4121">
        <v>1700</v>
      </c>
      <c r="I4121">
        <v>8</v>
      </c>
      <c r="J4121">
        <v>154</v>
      </c>
      <c r="K4121">
        <v>64</v>
      </c>
      <c r="L4121">
        <v>1200</v>
      </c>
      <c r="M4121" t="str">
        <f t="shared" si="424"/>
        <v xml:space="preserve">N35DC   </v>
      </c>
      <c r="N4121">
        <v>1</v>
      </c>
      <c r="O4121">
        <v>1725</v>
      </c>
    </row>
    <row r="4122" spans="1:15" x14ac:dyDescent="0.25">
      <c r="A4122" t="str">
        <f>"10/21/2020 18:43:22.609"</f>
        <v>10/21/2020 18:43:22.609</v>
      </c>
      <c r="B4122" t="str">
        <f>"18:43:30.523"</f>
        <v>18:43:30.523</v>
      </c>
      <c r="C4122" t="str">
        <f>"18:43:30.123"</f>
        <v>18:43:30.123</v>
      </c>
      <c r="D4122" t="s">
        <v>1656</v>
      </c>
      <c r="E4122">
        <v>31.059121999999999</v>
      </c>
      <c r="F4122" t="s">
        <v>1657</v>
      </c>
      <c r="G4122">
        <v>-89.849861000000004</v>
      </c>
      <c r="H4122">
        <v>1700</v>
      </c>
      <c r="I4122">
        <v>6</v>
      </c>
      <c r="J4122">
        <v>154</v>
      </c>
      <c r="K4122">
        <v>64</v>
      </c>
      <c r="L4122">
        <v>1200</v>
      </c>
      <c r="M4122" t="str">
        <f t="shared" si="424"/>
        <v xml:space="preserve">N35DC   </v>
      </c>
      <c r="N4122">
        <v>1</v>
      </c>
      <c r="O4122">
        <v>1750</v>
      </c>
    </row>
    <row r="4123" spans="1:15" x14ac:dyDescent="0.25">
      <c r="A4123" t="str">
        <f>"10/21/2020 18:43:22.609"</f>
        <v>10/21/2020 18:43:22.609</v>
      </c>
      <c r="B4123" t="str">
        <f>"18:43:30.523"</f>
        <v>18:43:30.523</v>
      </c>
      <c r="C4123" t="str">
        <f>"18:43:30.123"</f>
        <v>18:43:30.123</v>
      </c>
      <c r="D4123" t="s">
        <v>1656</v>
      </c>
      <c r="E4123">
        <v>31.059121999999999</v>
      </c>
      <c r="F4123" t="s">
        <v>1657</v>
      </c>
      <c r="G4123">
        <v>-89.849861000000004</v>
      </c>
      <c r="H4123">
        <v>1700</v>
      </c>
      <c r="I4123">
        <v>6</v>
      </c>
      <c r="J4123">
        <v>154</v>
      </c>
      <c r="K4123">
        <v>64</v>
      </c>
      <c r="L4123">
        <v>1200</v>
      </c>
      <c r="M4123" t="str">
        <f t="shared" si="424"/>
        <v xml:space="preserve">N35DC   </v>
      </c>
      <c r="N4123">
        <v>1</v>
      </c>
      <c r="O4123">
        <v>1750</v>
      </c>
    </row>
    <row r="4124" spans="1:15" x14ac:dyDescent="0.25">
      <c r="A4124" t="str">
        <f>"10/21/2020 18:43:22.609"</f>
        <v>10/21/2020 18:43:22.609</v>
      </c>
      <c r="B4124" t="str">
        <f>"18:43:30.523"</f>
        <v>18:43:30.523</v>
      </c>
      <c r="C4124" t="str">
        <f>"18:43:30.123"</f>
        <v>18:43:30.123</v>
      </c>
      <c r="D4124" t="s">
        <v>1656</v>
      </c>
      <c r="E4124">
        <v>31.059121999999999</v>
      </c>
      <c r="F4124" t="s">
        <v>1657</v>
      </c>
      <c r="G4124">
        <v>-89.849861000000004</v>
      </c>
      <c r="H4124">
        <v>1700</v>
      </c>
      <c r="I4124">
        <v>6</v>
      </c>
      <c r="J4124">
        <v>154</v>
      </c>
      <c r="K4124">
        <v>64</v>
      </c>
      <c r="L4124">
        <v>1200</v>
      </c>
      <c r="M4124" t="str">
        <f t="shared" si="424"/>
        <v xml:space="preserve">N35DC   </v>
      </c>
      <c r="N4124">
        <v>1</v>
      </c>
      <c r="O4124">
        <v>1750</v>
      </c>
    </row>
    <row r="4125" spans="1:15" x14ac:dyDescent="0.25">
      <c r="A4125" t="str">
        <f>"10/21/2020 18:43:22.609"</f>
        <v>10/21/2020 18:43:22.609</v>
      </c>
      <c r="B4125" t="str">
        <f>"18:43:30.523"</f>
        <v>18:43:30.523</v>
      </c>
      <c r="C4125" t="str">
        <f>"18:43:30.123"</f>
        <v>18:43:30.123</v>
      </c>
      <c r="D4125" t="s">
        <v>1656</v>
      </c>
      <c r="E4125">
        <v>31.059121999999999</v>
      </c>
      <c r="F4125" t="s">
        <v>1657</v>
      </c>
      <c r="G4125">
        <v>-89.849861000000004</v>
      </c>
      <c r="H4125">
        <v>1700</v>
      </c>
      <c r="I4125">
        <v>6</v>
      </c>
      <c r="J4125">
        <v>154</v>
      </c>
      <c r="K4125">
        <v>64</v>
      </c>
      <c r="L4125">
        <v>1200</v>
      </c>
      <c r="M4125" t="str">
        <f t="shared" si="424"/>
        <v xml:space="preserve">N35DC   </v>
      </c>
      <c r="N4125">
        <v>1</v>
      </c>
      <c r="O4125">
        <v>1750</v>
      </c>
    </row>
    <row r="4126" spans="1:15" x14ac:dyDescent="0.25">
      <c r="A4126" t="str">
        <f>"10/21/2020 18:43:23.622"</f>
        <v>10/21/2020 18:43:23.622</v>
      </c>
      <c r="B4126" t="str">
        <f>"18:43:31.531"</f>
        <v>18:43:31.531</v>
      </c>
      <c r="C4126" t="str">
        <f>"18:43:31.131"</f>
        <v>18:43:31.131</v>
      </c>
      <c r="D4126" t="s">
        <v>1658</v>
      </c>
      <c r="E4126">
        <v>31.059830000000002</v>
      </c>
      <c r="F4126" t="s">
        <v>674</v>
      </c>
      <c r="G4126">
        <v>-89.849881999999994</v>
      </c>
      <c r="H4126">
        <v>1700</v>
      </c>
      <c r="I4126">
        <v>4</v>
      </c>
      <c r="J4126">
        <v>154</v>
      </c>
      <c r="K4126">
        <v>64</v>
      </c>
      <c r="L4126">
        <v>1200</v>
      </c>
      <c r="M4126" t="str">
        <f t="shared" si="424"/>
        <v xml:space="preserve">N35DC   </v>
      </c>
      <c r="N4126">
        <v>1</v>
      </c>
      <c r="O4126">
        <v>1750</v>
      </c>
    </row>
    <row r="4127" spans="1:15" x14ac:dyDescent="0.25">
      <c r="A4127" t="str">
        <f>"10/21/2020 18:43:23.622"</f>
        <v>10/21/2020 18:43:23.622</v>
      </c>
      <c r="B4127" t="str">
        <f>"18:43:31.531"</f>
        <v>18:43:31.531</v>
      </c>
      <c r="C4127" t="str">
        <f>"18:43:31.131"</f>
        <v>18:43:31.131</v>
      </c>
      <c r="D4127" t="s">
        <v>1658</v>
      </c>
      <c r="E4127">
        <v>31.059830000000002</v>
      </c>
      <c r="F4127" t="s">
        <v>674</v>
      </c>
      <c r="G4127">
        <v>-89.849881999999994</v>
      </c>
      <c r="H4127">
        <v>1700</v>
      </c>
      <c r="I4127">
        <v>4</v>
      </c>
      <c r="J4127">
        <v>154</v>
      </c>
      <c r="K4127">
        <v>64</v>
      </c>
      <c r="L4127">
        <v>1200</v>
      </c>
      <c r="M4127" t="str">
        <f t="shared" si="424"/>
        <v xml:space="preserve">N35DC   </v>
      </c>
      <c r="N4127">
        <v>1</v>
      </c>
      <c r="O4127">
        <v>1750</v>
      </c>
    </row>
    <row r="4128" spans="1:15" x14ac:dyDescent="0.25">
      <c r="A4128" t="str">
        <f>"10/21/2020 18:43:23.622"</f>
        <v>10/21/2020 18:43:23.622</v>
      </c>
      <c r="B4128" t="str">
        <f>"18:43:31.531"</f>
        <v>18:43:31.531</v>
      </c>
      <c r="C4128" t="str">
        <f>"18:43:31.131"</f>
        <v>18:43:31.131</v>
      </c>
      <c r="D4128" t="s">
        <v>1658</v>
      </c>
      <c r="E4128">
        <v>31.059830000000002</v>
      </c>
      <c r="F4128" t="s">
        <v>674</v>
      </c>
      <c r="G4128">
        <v>-89.849881999999994</v>
      </c>
      <c r="H4128">
        <v>1700</v>
      </c>
      <c r="I4128">
        <v>4</v>
      </c>
      <c r="J4128">
        <v>154</v>
      </c>
      <c r="K4128">
        <v>64</v>
      </c>
      <c r="L4128">
        <v>1200</v>
      </c>
      <c r="M4128" t="str">
        <f t="shared" si="424"/>
        <v xml:space="preserve">N35DC   </v>
      </c>
      <c r="N4128">
        <v>1</v>
      </c>
      <c r="O4128">
        <v>1750</v>
      </c>
    </row>
    <row r="4129" spans="1:15" x14ac:dyDescent="0.25">
      <c r="A4129" t="str">
        <f>"10/21/2020 18:43:23.622"</f>
        <v>10/21/2020 18:43:23.622</v>
      </c>
      <c r="B4129" t="str">
        <f>"18:43:31.531"</f>
        <v>18:43:31.531</v>
      </c>
      <c r="C4129" t="str">
        <f>"18:43:31.131"</f>
        <v>18:43:31.131</v>
      </c>
      <c r="D4129" t="s">
        <v>1658</v>
      </c>
      <c r="E4129">
        <v>31.059830000000002</v>
      </c>
      <c r="F4129" t="s">
        <v>674</v>
      </c>
      <c r="G4129">
        <v>-89.849881999999994</v>
      </c>
      <c r="H4129">
        <v>1700</v>
      </c>
      <c r="I4129">
        <v>4</v>
      </c>
      <c r="J4129">
        <v>154</v>
      </c>
      <c r="K4129">
        <v>64</v>
      </c>
      <c r="L4129">
        <v>1200</v>
      </c>
      <c r="M4129" t="str">
        <f t="shared" si="424"/>
        <v xml:space="preserve">N35DC   </v>
      </c>
      <c r="N4129">
        <v>1</v>
      </c>
      <c r="O4129">
        <v>1750</v>
      </c>
    </row>
    <row r="4130" spans="1:15" x14ac:dyDescent="0.25">
      <c r="A4130" t="str">
        <f>"10/21/2020 18:43:25.976"</f>
        <v>10/21/2020 18:43:25.976</v>
      </c>
      <c r="B4130" t="str">
        <f>"18:43:33.914"</f>
        <v>18:43:33.914</v>
      </c>
      <c r="C4130" t="str">
        <f>"18:43:33.214"</f>
        <v>18:43:33.214</v>
      </c>
      <c r="D4130" t="s">
        <v>1659</v>
      </c>
      <c r="E4130">
        <v>31.061568000000001</v>
      </c>
      <c r="F4130" t="s">
        <v>1660</v>
      </c>
      <c r="G4130">
        <v>-89.849817999999999</v>
      </c>
      <c r="H4130">
        <v>1700</v>
      </c>
      <c r="I4130">
        <v>2</v>
      </c>
      <c r="J4130">
        <v>154</v>
      </c>
      <c r="K4130">
        <v>64</v>
      </c>
      <c r="L4130">
        <v>1200</v>
      </c>
      <c r="M4130" t="str">
        <f t="shared" si="424"/>
        <v xml:space="preserve">N35DC   </v>
      </c>
      <c r="N4130">
        <v>1</v>
      </c>
      <c r="O4130">
        <v>1750</v>
      </c>
    </row>
    <row r="4131" spans="1:15" x14ac:dyDescent="0.25">
      <c r="A4131" t="str">
        <f>"10/21/2020 18:43:25.976"</f>
        <v>10/21/2020 18:43:25.976</v>
      </c>
      <c r="B4131" t="str">
        <f>"18:43:33.914"</f>
        <v>18:43:33.914</v>
      </c>
      <c r="C4131" t="str">
        <f>"18:43:33.214"</f>
        <v>18:43:33.214</v>
      </c>
      <c r="D4131" t="s">
        <v>1659</v>
      </c>
      <c r="E4131">
        <v>31.061568000000001</v>
      </c>
      <c r="F4131" t="s">
        <v>1660</v>
      </c>
      <c r="G4131">
        <v>-89.849817999999999</v>
      </c>
      <c r="H4131">
        <v>1700</v>
      </c>
      <c r="I4131">
        <v>2</v>
      </c>
      <c r="J4131">
        <v>154</v>
      </c>
      <c r="K4131">
        <v>64</v>
      </c>
      <c r="L4131">
        <v>1200</v>
      </c>
      <c r="M4131" t="str">
        <f t="shared" si="424"/>
        <v xml:space="preserve">N35DC   </v>
      </c>
      <c r="N4131">
        <v>1</v>
      </c>
      <c r="O4131">
        <v>1750</v>
      </c>
    </row>
    <row r="4132" spans="1:15" x14ac:dyDescent="0.25">
      <c r="A4132" t="str">
        <f>"10/21/2020 18:43:25.976"</f>
        <v>10/21/2020 18:43:25.976</v>
      </c>
      <c r="B4132" t="str">
        <f>"18:43:33.914"</f>
        <v>18:43:33.914</v>
      </c>
      <c r="C4132" t="str">
        <f>"18:43:33.214"</f>
        <v>18:43:33.214</v>
      </c>
      <c r="D4132" t="s">
        <v>1659</v>
      </c>
      <c r="E4132">
        <v>31.061568000000001</v>
      </c>
      <c r="F4132" t="s">
        <v>1660</v>
      </c>
      <c r="G4132">
        <v>-89.849817999999999</v>
      </c>
      <c r="H4132">
        <v>1700</v>
      </c>
      <c r="I4132">
        <v>2</v>
      </c>
      <c r="J4132">
        <v>154</v>
      </c>
      <c r="K4132">
        <v>64</v>
      </c>
      <c r="L4132">
        <v>1200</v>
      </c>
      <c r="M4132" t="str">
        <f t="shared" si="424"/>
        <v xml:space="preserve">N35DC   </v>
      </c>
      <c r="N4132">
        <v>1</v>
      </c>
      <c r="O4132">
        <v>1750</v>
      </c>
    </row>
    <row r="4133" spans="1:15" x14ac:dyDescent="0.25">
      <c r="A4133" t="str">
        <f>"10/21/2020 18:43:25.976"</f>
        <v>10/21/2020 18:43:25.976</v>
      </c>
      <c r="B4133" t="str">
        <f>"18:43:33.914"</f>
        <v>18:43:33.914</v>
      </c>
      <c r="C4133" t="str">
        <f>"18:43:33.214"</f>
        <v>18:43:33.214</v>
      </c>
      <c r="D4133" t="s">
        <v>1659</v>
      </c>
      <c r="E4133">
        <v>31.061568000000001</v>
      </c>
      <c r="F4133" t="s">
        <v>1660</v>
      </c>
      <c r="G4133">
        <v>-89.849817999999999</v>
      </c>
      <c r="H4133">
        <v>1700</v>
      </c>
      <c r="I4133">
        <v>2</v>
      </c>
      <c r="J4133">
        <v>154</v>
      </c>
      <c r="K4133">
        <v>64</v>
      </c>
      <c r="L4133">
        <v>1200</v>
      </c>
      <c r="M4133" t="str">
        <f t="shared" si="424"/>
        <v xml:space="preserve">N35DC   </v>
      </c>
      <c r="N4133">
        <v>1</v>
      </c>
      <c r="O4133">
        <v>1750</v>
      </c>
    </row>
    <row r="4134" spans="1:15" x14ac:dyDescent="0.25">
      <c r="A4134" t="str">
        <f>"10/21/2020 18:43:26.957"</f>
        <v>10/21/2020 18:43:26.957</v>
      </c>
      <c r="B4134" t="str">
        <f>"18:43:34.859"</f>
        <v>18:43:34.859</v>
      </c>
      <c r="C4134" t="str">
        <f>"18:43:34.659"</f>
        <v>18:43:34.659</v>
      </c>
      <c r="D4134" t="s">
        <v>1661</v>
      </c>
      <c r="E4134">
        <v>31.062232999999999</v>
      </c>
      <c r="F4134" t="s">
        <v>1662</v>
      </c>
      <c r="G4134">
        <v>-89.849795999999998</v>
      </c>
      <c r="H4134">
        <v>1700</v>
      </c>
      <c r="I4134">
        <v>1</v>
      </c>
      <c r="J4134">
        <v>154</v>
      </c>
      <c r="K4134">
        <v>-64</v>
      </c>
      <c r="L4134">
        <v>1200</v>
      </c>
      <c r="M4134" t="str">
        <f t="shared" si="424"/>
        <v xml:space="preserve">N35DC   </v>
      </c>
      <c r="N4134">
        <v>1</v>
      </c>
      <c r="O4134">
        <v>1750</v>
      </c>
    </row>
    <row r="4135" spans="1:15" x14ac:dyDescent="0.25">
      <c r="A4135" t="str">
        <f>"10/21/2020 18:43:26.957"</f>
        <v>10/21/2020 18:43:26.957</v>
      </c>
      <c r="B4135" t="str">
        <f>"18:43:34.859"</f>
        <v>18:43:34.859</v>
      </c>
      <c r="C4135" t="str">
        <f>"18:43:34.659"</f>
        <v>18:43:34.659</v>
      </c>
      <c r="D4135" t="s">
        <v>1661</v>
      </c>
      <c r="E4135">
        <v>31.062232999999999</v>
      </c>
      <c r="F4135" t="s">
        <v>1662</v>
      </c>
      <c r="G4135">
        <v>-89.849795999999998</v>
      </c>
      <c r="H4135">
        <v>1700</v>
      </c>
      <c r="I4135">
        <v>1</v>
      </c>
      <c r="J4135">
        <v>154</v>
      </c>
      <c r="K4135">
        <v>-64</v>
      </c>
      <c r="L4135">
        <v>1200</v>
      </c>
      <c r="M4135" t="str">
        <f t="shared" si="424"/>
        <v xml:space="preserve">N35DC   </v>
      </c>
      <c r="N4135">
        <v>1</v>
      </c>
      <c r="O4135">
        <v>1750</v>
      </c>
    </row>
    <row r="4136" spans="1:15" x14ac:dyDescent="0.25">
      <c r="A4136" t="str">
        <f>"10/21/2020 18:43:26.957"</f>
        <v>10/21/2020 18:43:26.957</v>
      </c>
      <c r="B4136" t="str">
        <f>"18:43:34.859"</f>
        <v>18:43:34.859</v>
      </c>
      <c r="C4136" t="str">
        <f>"18:43:34.659"</f>
        <v>18:43:34.659</v>
      </c>
      <c r="D4136" t="s">
        <v>1661</v>
      </c>
      <c r="E4136">
        <v>31.062232999999999</v>
      </c>
      <c r="F4136" t="s">
        <v>1662</v>
      </c>
      <c r="G4136">
        <v>-89.849795999999998</v>
      </c>
      <c r="H4136">
        <v>1700</v>
      </c>
      <c r="I4136">
        <v>1</v>
      </c>
      <c r="J4136">
        <v>154</v>
      </c>
      <c r="K4136">
        <v>-64</v>
      </c>
      <c r="L4136">
        <v>1200</v>
      </c>
      <c r="M4136" t="str">
        <f t="shared" si="424"/>
        <v xml:space="preserve">N35DC   </v>
      </c>
      <c r="N4136">
        <v>1</v>
      </c>
      <c r="O4136">
        <v>1750</v>
      </c>
    </row>
    <row r="4137" spans="1:15" x14ac:dyDescent="0.25">
      <c r="A4137" t="str">
        <f>"10/21/2020 18:43:26.957"</f>
        <v>10/21/2020 18:43:26.957</v>
      </c>
      <c r="B4137" t="str">
        <f>"18:43:34.859"</f>
        <v>18:43:34.859</v>
      </c>
      <c r="C4137" t="str">
        <f>"18:43:34.659"</f>
        <v>18:43:34.659</v>
      </c>
      <c r="D4137" t="s">
        <v>1661</v>
      </c>
      <c r="E4137">
        <v>31.062232999999999</v>
      </c>
      <c r="F4137" t="s">
        <v>1662</v>
      </c>
      <c r="G4137">
        <v>-89.849795999999998</v>
      </c>
      <c r="H4137">
        <v>1700</v>
      </c>
      <c r="I4137">
        <v>1</v>
      </c>
      <c r="J4137">
        <v>154</v>
      </c>
      <c r="K4137">
        <v>-64</v>
      </c>
      <c r="L4137">
        <v>1200</v>
      </c>
      <c r="M4137" t="str">
        <f t="shared" si="424"/>
        <v xml:space="preserve">N35DC   </v>
      </c>
      <c r="N4137">
        <v>1</v>
      </c>
      <c r="O4137">
        <v>1750</v>
      </c>
    </row>
    <row r="4138" spans="1:15" x14ac:dyDescent="0.25">
      <c r="A4138" t="str">
        <f>"10/21/2020 18:43:30.694"</f>
        <v>10/21/2020 18:43:30.694</v>
      </c>
      <c r="B4138" t="str">
        <f>"18:43:38.594"</f>
        <v>18:43:38.594</v>
      </c>
      <c r="C4138" t="str">
        <f>"18:43:38.294"</f>
        <v>18:43:38.294</v>
      </c>
      <c r="D4138" t="s">
        <v>1663</v>
      </c>
      <c r="E4138">
        <v>31.064916</v>
      </c>
      <c r="F4138" t="s">
        <v>1632</v>
      </c>
      <c r="G4138">
        <v>-89.849753000000007</v>
      </c>
      <c r="H4138">
        <v>1700</v>
      </c>
      <c r="I4138">
        <v>0</v>
      </c>
      <c r="J4138">
        <v>154</v>
      </c>
      <c r="K4138">
        <v>-128</v>
      </c>
      <c r="L4138">
        <v>1200</v>
      </c>
      <c r="M4138" t="str">
        <f t="shared" si="424"/>
        <v xml:space="preserve">N35DC   </v>
      </c>
      <c r="N4138">
        <v>1</v>
      </c>
      <c r="O4138">
        <v>1750</v>
      </c>
    </row>
    <row r="4139" spans="1:15" x14ac:dyDescent="0.25">
      <c r="A4139" t="str">
        <f>"10/21/2020 18:43:30.694"</f>
        <v>10/21/2020 18:43:30.694</v>
      </c>
      <c r="B4139" t="str">
        <f>"18:43:38.594"</f>
        <v>18:43:38.594</v>
      </c>
      <c r="C4139" t="str">
        <f>"18:43:38.294"</f>
        <v>18:43:38.294</v>
      </c>
      <c r="D4139" t="s">
        <v>1663</v>
      </c>
      <c r="E4139">
        <v>31.064916</v>
      </c>
      <c r="F4139" t="s">
        <v>1632</v>
      </c>
      <c r="G4139">
        <v>-89.849753000000007</v>
      </c>
      <c r="H4139">
        <v>1700</v>
      </c>
      <c r="I4139">
        <v>0</v>
      </c>
      <c r="J4139">
        <v>154</v>
      </c>
      <c r="K4139">
        <v>-128</v>
      </c>
      <c r="L4139">
        <v>1200</v>
      </c>
      <c r="M4139" t="str">
        <f t="shared" si="424"/>
        <v xml:space="preserve">N35DC   </v>
      </c>
      <c r="N4139">
        <v>1</v>
      </c>
      <c r="O4139">
        <v>1750</v>
      </c>
    </row>
    <row r="4140" spans="1:15" x14ac:dyDescent="0.25">
      <c r="A4140" t="str">
        <f>"10/21/2020 18:43:30.694"</f>
        <v>10/21/2020 18:43:30.694</v>
      </c>
      <c r="B4140" t="str">
        <f>"18:43:38.594"</f>
        <v>18:43:38.594</v>
      </c>
      <c r="C4140" t="str">
        <f>"18:43:38.294"</f>
        <v>18:43:38.294</v>
      </c>
      <c r="D4140" t="s">
        <v>1663</v>
      </c>
      <c r="E4140">
        <v>31.064916</v>
      </c>
      <c r="F4140" t="s">
        <v>1632</v>
      </c>
      <c r="G4140">
        <v>-89.849753000000007</v>
      </c>
      <c r="H4140">
        <v>1700</v>
      </c>
      <c r="I4140">
        <v>0</v>
      </c>
      <c r="J4140">
        <v>154</v>
      </c>
      <c r="K4140">
        <v>-128</v>
      </c>
      <c r="L4140">
        <v>1200</v>
      </c>
      <c r="M4140" t="str">
        <f t="shared" si="424"/>
        <v xml:space="preserve">N35DC   </v>
      </c>
      <c r="N4140">
        <v>1</v>
      </c>
      <c r="O4140">
        <v>1750</v>
      </c>
    </row>
    <row r="4141" spans="1:15" x14ac:dyDescent="0.25">
      <c r="A4141" t="str">
        <f>"10/21/2020 18:43:30.694"</f>
        <v>10/21/2020 18:43:30.694</v>
      </c>
      <c r="B4141" t="str">
        <f>"18:43:38.594"</f>
        <v>18:43:38.594</v>
      </c>
      <c r="C4141" t="str">
        <f>"18:43:38.294"</f>
        <v>18:43:38.294</v>
      </c>
      <c r="D4141" t="s">
        <v>1663</v>
      </c>
      <c r="E4141">
        <v>31.064916</v>
      </c>
      <c r="F4141" t="s">
        <v>1632</v>
      </c>
      <c r="G4141">
        <v>-89.849753000000007</v>
      </c>
      <c r="H4141">
        <v>1700</v>
      </c>
      <c r="I4141">
        <v>0</v>
      </c>
      <c r="J4141">
        <v>154</v>
      </c>
      <c r="K4141">
        <v>-128</v>
      </c>
      <c r="L4141">
        <v>1200</v>
      </c>
      <c r="M4141" t="str">
        <f t="shared" si="424"/>
        <v xml:space="preserve">N35DC   </v>
      </c>
      <c r="N4141">
        <v>1</v>
      </c>
      <c r="O4141">
        <v>1750</v>
      </c>
    </row>
    <row r="4142" spans="1:15" x14ac:dyDescent="0.25">
      <c r="A4142" t="str">
        <f>"10/21/2020 18:43:31.588"</f>
        <v>10/21/2020 18:43:31.588</v>
      </c>
      <c r="B4142" t="str">
        <f>"18:43:39.492"</f>
        <v>18:43:39.492</v>
      </c>
      <c r="C4142" t="str">
        <f>"18:43:38.792"</f>
        <v>18:43:38.792</v>
      </c>
      <c r="D4142" t="s">
        <v>1664</v>
      </c>
      <c r="E4142">
        <v>31.065515999999999</v>
      </c>
      <c r="F4142" t="s">
        <v>1632</v>
      </c>
      <c r="G4142">
        <v>-89.849753000000007</v>
      </c>
      <c r="H4142">
        <v>1700</v>
      </c>
      <c r="I4142">
        <v>0</v>
      </c>
      <c r="J4142">
        <v>154</v>
      </c>
      <c r="K4142">
        <v>-64</v>
      </c>
      <c r="L4142">
        <v>1200</v>
      </c>
      <c r="M4142" t="str">
        <f t="shared" si="424"/>
        <v xml:space="preserve">N35DC   </v>
      </c>
      <c r="N4142">
        <v>1</v>
      </c>
      <c r="O4142">
        <v>1725</v>
      </c>
    </row>
    <row r="4143" spans="1:15" x14ac:dyDescent="0.25">
      <c r="A4143" t="str">
        <f>"10/21/2020 18:43:31.588"</f>
        <v>10/21/2020 18:43:31.588</v>
      </c>
      <c r="B4143" t="str">
        <f>"18:43:39.492"</f>
        <v>18:43:39.492</v>
      </c>
      <c r="C4143" t="str">
        <f>"18:43:38.792"</f>
        <v>18:43:38.792</v>
      </c>
      <c r="D4143" t="s">
        <v>1664</v>
      </c>
      <c r="E4143">
        <v>31.065515999999999</v>
      </c>
      <c r="F4143" t="s">
        <v>1632</v>
      </c>
      <c r="G4143">
        <v>-89.849753000000007</v>
      </c>
      <c r="H4143">
        <v>1700</v>
      </c>
      <c r="I4143">
        <v>0</v>
      </c>
      <c r="J4143">
        <v>154</v>
      </c>
      <c r="K4143">
        <v>-64</v>
      </c>
      <c r="L4143">
        <v>1200</v>
      </c>
      <c r="M4143" t="str">
        <f t="shared" si="424"/>
        <v xml:space="preserve">N35DC   </v>
      </c>
      <c r="N4143">
        <v>1</v>
      </c>
      <c r="O4143">
        <v>1725</v>
      </c>
    </row>
    <row r="4144" spans="1:15" x14ac:dyDescent="0.25">
      <c r="A4144" t="str">
        <f>"10/21/2020 18:43:31.588"</f>
        <v>10/21/2020 18:43:31.588</v>
      </c>
      <c r="B4144" t="str">
        <f>"18:43:39.492"</f>
        <v>18:43:39.492</v>
      </c>
      <c r="C4144" t="str">
        <f>"18:43:38.792"</f>
        <v>18:43:38.792</v>
      </c>
      <c r="D4144" t="s">
        <v>1664</v>
      </c>
      <c r="E4144">
        <v>31.065515999999999</v>
      </c>
      <c r="F4144" t="s">
        <v>1632</v>
      </c>
      <c r="G4144">
        <v>-89.849753000000007</v>
      </c>
      <c r="H4144">
        <v>1700</v>
      </c>
      <c r="I4144">
        <v>0</v>
      </c>
      <c r="J4144">
        <v>154</v>
      </c>
      <c r="K4144">
        <v>-64</v>
      </c>
      <c r="L4144">
        <v>1200</v>
      </c>
      <c r="M4144" t="str">
        <f t="shared" si="424"/>
        <v xml:space="preserve">N35DC   </v>
      </c>
      <c r="N4144">
        <v>1</v>
      </c>
      <c r="O4144">
        <v>1725</v>
      </c>
    </row>
    <row r="4145" spans="1:15" x14ac:dyDescent="0.25">
      <c r="A4145" t="str">
        <f>"10/21/2020 18:43:31.588"</f>
        <v>10/21/2020 18:43:31.588</v>
      </c>
      <c r="B4145" t="str">
        <f>"18:43:39.492"</f>
        <v>18:43:39.492</v>
      </c>
      <c r="C4145" t="str">
        <f>"18:43:38.792"</f>
        <v>18:43:38.792</v>
      </c>
      <c r="D4145" t="s">
        <v>1664</v>
      </c>
      <c r="E4145">
        <v>31.065515999999999</v>
      </c>
      <c r="F4145" t="s">
        <v>1632</v>
      </c>
      <c r="G4145">
        <v>-89.849753000000007</v>
      </c>
      <c r="H4145">
        <v>1700</v>
      </c>
      <c r="I4145">
        <v>0</v>
      </c>
      <c r="J4145">
        <v>154</v>
      </c>
      <c r="K4145">
        <v>-64</v>
      </c>
      <c r="L4145">
        <v>1200</v>
      </c>
      <c r="M4145" t="str">
        <f t="shared" si="424"/>
        <v xml:space="preserve">N35DC   </v>
      </c>
      <c r="N4145">
        <v>1</v>
      </c>
      <c r="O4145">
        <v>1725</v>
      </c>
    </row>
    <row r="4146" spans="1:15" x14ac:dyDescent="0.25">
      <c r="A4146" t="str">
        <f>"10/21/2020 18:43:33.590"</f>
        <v>10/21/2020 18:43:33.590</v>
      </c>
      <c r="B4146" t="str">
        <f>"18:43:41.516"</f>
        <v>18:43:41.516</v>
      </c>
      <c r="C4146" t="str">
        <f>"18:43:41.316"</f>
        <v>18:43:41.316</v>
      </c>
      <c r="D4146" t="s">
        <v>1665</v>
      </c>
      <c r="E4146">
        <v>31.066953999999999</v>
      </c>
      <c r="F4146" t="s">
        <v>1660</v>
      </c>
      <c r="G4146">
        <v>-89.849817999999999</v>
      </c>
      <c r="H4146">
        <v>1700</v>
      </c>
      <c r="I4146">
        <v>-2</v>
      </c>
      <c r="J4146">
        <v>154</v>
      </c>
      <c r="K4146">
        <v>0</v>
      </c>
      <c r="L4146">
        <v>1200</v>
      </c>
      <c r="M4146" t="str">
        <f t="shared" si="424"/>
        <v xml:space="preserve">N35DC   </v>
      </c>
      <c r="N4146">
        <v>1</v>
      </c>
      <c r="O4146">
        <v>1725</v>
      </c>
    </row>
    <row r="4147" spans="1:15" x14ac:dyDescent="0.25">
      <c r="A4147" t="str">
        <f>"10/21/2020 18:43:33.590"</f>
        <v>10/21/2020 18:43:33.590</v>
      </c>
      <c r="B4147" t="str">
        <f>"18:43:41.516"</f>
        <v>18:43:41.516</v>
      </c>
      <c r="C4147" t="str">
        <f>"18:43:41.316"</f>
        <v>18:43:41.316</v>
      </c>
      <c r="D4147" t="s">
        <v>1665</v>
      </c>
      <c r="E4147">
        <v>31.066953999999999</v>
      </c>
      <c r="F4147" t="s">
        <v>1660</v>
      </c>
      <c r="G4147">
        <v>-89.849817999999999</v>
      </c>
      <c r="H4147">
        <v>1700</v>
      </c>
      <c r="I4147">
        <v>-2</v>
      </c>
      <c r="J4147">
        <v>154</v>
      </c>
      <c r="K4147">
        <v>0</v>
      </c>
      <c r="L4147">
        <v>1200</v>
      </c>
      <c r="M4147" t="str">
        <f t="shared" si="424"/>
        <v xml:space="preserve">N35DC   </v>
      </c>
      <c r="N4147">
        <v>1</v>
      </c>
      <c r="O4147">
        <v>1725</v>
      </c>
    </row>
    <row r="4148" spans="1:15" x14ac:dyDescent="0.25">
      <c r="A4148" t="str">
        <f>"10/21/2020 18:43:33.590"</f>
        <v>10/21/2020 18:43:33.590</v>
      </c>
      <c r="B4148" t="str">
        <f>"18:43:41.516"</f>
        <v>18:43:41.516</v>
      </c>
      <c r="C4148" t="str">
        <f>"18:43:41.316"</f>
        <v>18:43:41.316</v>
      </c>
      <c r="D4148" t="s">
        <v>1665</v>
      </c>
      <c r="E4148">
        <v>31.066953999999999</v>
      </c>
      <c r="F4148" t="s">
        <v>1660</v>
      </c>
      <c r="G4148">
        <v>-89.849817999999999</v>
      </c>
      <c r="H4148">
        <v>1700</v>
      </c>
      <c r="I4148">
        <v>-2</v>
      </c>
      <c r="J4148">
        <v>154</v>
      </c>
      <c r="K4148">
        <v>0</v>
      </c>
      <c r="L4148">
        <v>1200</v>
      </c>
      <c r="M4148" t="str">
        <f t="shared" si="424"/>
        <v xml:space="preserve">N35DC   </v>
      </c>
      <c r="N4148">
        <v>1</v>
      </c>
      <c r="O4148">
        <v>1725</v>
      </c>
    </row>
    <row r="4149" spans="1:15" x14ac:dyDescent="0.25">
      <c r="A4149" t="str">
        <f>"10/21/2020 18:43:34.209"</f>
        <v>10/21/2020 18:43:34.209</v>
      </c>
      <c r="B4149" t="str">
        <f>"18:43:42.117"</f>
        <v>18:43:42.117</v>
      </c>
      <c r="C4149" t="str">
        <f>"18:43:41.917"</f>
        <v>18:43:41.917</v>
      </c>
      <c r="D4149" t="s">
        <v>1666</v>
      </c>
      <c r="E4149">
        <v>31.067405000000001</v>
      </c>
      <c r="F4149" t="s">
        <v>1662</v>
      </c>
      <c r="G4149">
        <v>-89.849795999999998</v>
      </c>
      <c r="H4149">
        <v>1700</v>
      </c>
      <c r="I4149">
        <v>-3</v>
      </c>
      <c r="J4149">
        <v>154</v>
      </c>
      <c r="K4149">
        <v>-64</v>
      </c>
      <c r="L4149">
        <v>1200</v>
      </c>
      <c r="M4149" t="str">
        <f t="shared" si="424"/>
        <v xml:space="preserve">N35DC   </v>
      </c>
      <c r="N4149">
        <v>1</v>
      </c>
      <c r="O4149">
        <v>1725</v>
      </c>
    </row>
    <row r="4150" spans="1:15" x14ac:dyDescent="0.25">
      <c r="A4150" t="str">
        <f>"10/21/2020 18:43:34.688"</f>
        <v>10/21/2020 18:43:34.688</v>
      </c>
      <c r="B4150" t="str">
        <f>"18:43:42.609"</f>
        <v>18:43:42.609</v>
      </c>
      <c r="C4150" t="str">
        <f>"18:43:42.309"</f>
        <v>18:43:42.309</v>
      </c>
      <c r="D4150" t="s">
        <v>1667</v>
      </c>
      <c r="E4150">
        <v>31.067748000000002</v>
      </c>
      <c r="F4150" t="s">
        <v>674</v>
      </c>
      <c r="G4150">
        <v>-89.849881999999994</v>
      </c>
      <c r="H4150">
        <v>1700</v>
      </c>
      <c r="I4150">
        <v>-3</v>
      </c>
      <c r="J4150">
        <v>154</v>
      </c>
      <c r="K4150">
        <v>-64</v>
      </c>
      <c r="L4150">
        <v>1200</v>
      </c>
      <c r="M4150" t="str">
        <f t="shared" si="424"/>
        <v xml:space="preserve">N35DC   </v>
      </c>
      <c r="N4150">
        <v>1</v>
      </c>
      <c r="O4150">
        <v>1725</v>
      </c>
    </row>
    <row r="4151" spans="1:15" x14ac:dyDescent="0.25">
      <c r="A4151" t="str">
        <f>"10/21/2020 18:43:34.688"</f>
        <v>10/21/2020 18:43:34.688</v>
      </c>
      <c r="B4151" t="str">
        <f>"18:43:42.609"</f>
        <v>18:43:42.609</v>
      </c>
      <c r="C4151" t="str">
        <f>"18:43:42.309"</f>
        <v>18:43:42.309</v>
      </c>
      <c r="D4151" t="s">
        <v>1667</v>
      </c>
      <c r="E4151">
        <v>31.067748000000002</v>
      </c>
      <c r="F4151" t="s">
        <v>674</v>
      </c>
      <c r="G4151">
        <v>-89.849881999999994</v>
      </c>
      <c r="H4151">
        <v>1700</v>
      </c>
      <c r="I4151">
        <v>-3</v>
      </c>
      <c r="J4151">
        <v>154</v>
      </c>
      <c r="K4151">
        <v>-64</v>
      </c>
      <c r="L4151">
        <v>1200</v>
      </c>
      <c r="M4151" t="str">
        <f t="shared" si="424"/>
        <v xml:space="preserve">N35DC   </v>
      </c>
      <c r="N4151">
        <v>1</v>
      </c>
      <c r="O4151">
        <v>1725</v>
      </c>
    </row>
    <row r="4152" spans="1:15" x14ac:dyDescent="0.25">
      <c r="A4152" t="str">
        <f>"10/21/2020 18:43:34.688"</f>
        <v>10/21/2020 18:43:34.688</v>
      </c>
      <c r="B4152" t="str">
        <f>"18:43:42.609"</f>
        <v>18:43:42.609</v>
      </c>
      <c r="C4152" t="str">
        <f>"18:43:42.309"</f>
        <v>18:43:42.309</v>
      </c>
      <c r="D4152" t="s">
        <v>1667</v>
      </c>
      <c r="E4152">
        <v>31.067748000000002</v>
      </c>
      <c r="F4152" t="s">
        <v>674</v>
      </c>
      <c r="G4152">
        <v>-89.849881999999994</v>
      </c>
      <c r="H4152">
        <v>1700</v>
      </c>
      <c r="I4152">
        <v>-3</v>
      </c>
      <c r="J4152">
        <v>154</v>
      </c>
      <c r="K4152">
        <v>-64</v>
      </c>
      <c r="L4152">
        <v>1200</v>
      </c>
      <c r="M4152" t="str">
        <f t="shared" si="424"/>
        <v xml:space="preserve">N35DC   </v>
      </c>
      <c r="N4152">
        <v>1</v>
      </c>
      <c r="O4152">
        <v>1725</v>
      </c>
    </row>
    <row r="4153" spans="1:15" x14ac:dyDescent="0.25">
      <c r="A4153" t="str">
        <f>"10/21/2020 18:43:36.662"</f>
        <v>10/21/2020 18:43:36.662</v>
      </c>
      <c r="B4153" t="str">
        <f>"18:43:44.594"</f>
        <v>18:43:44.594</v>
      </c>
      <c r="C4153" t="str">
        <f>"18:43:44.194"</f>
        <v>18:43:44.194</v>
      </c>
      <c r="D4153" t="s">
        <v>1668</v>
      </c>
      <c r="E4153">
        <v>31.069185999999998</v>
      </c>
      <c r="F4153" t="s">
        <v>1655</v>
      </c>
      <c r="G4153">
        <v>-89.849924999999999</v>
      </c>
      <c r="H4153">
        <v>1600</v>
      </c>
      <c r="I4153">
        <v>-7</v>
      </c>
      <c r="J4153">
        <v>154</v>
      </c>
      <c r="K4153">
        <v>-64</v>
      </c>
      <c r="L4153">
        <v>1200</v>
      </c>
      <c r="M4153" t="str">
        <f t="shared" si="424"/>
        <v xml:space="preserve">N35DC   </v>
      </c>
      <c r="N4153">
        <v>1</v>
      </c>
      <c r="O4153">
        <v>1725</v>
      </c>
    </row>
    <row r="4154" spans="1:15" x14ac:dyDescent="0.25">
      <c r="A4154" t="str">
        <f>"10/21/2020 18:43:36.662"</f>
        <v>10/21/2020 18:43:36.662</v>
      </c>
      <c r="B4154" t="str">
        <f>"18:43:44.594"</f>
        <v>18:43:44.594</v>
      </c>
      <c r="C4154" t="str">
        <f>"18:43:44.194"</f>
        <v>18:43:44.194</v>
      </c>
      <c r="D4154" t="s">
        <v>1668</v>
      </c>
      <c r="E4154">
        <v>31.069185999999998</v>
      </c>
      <c r="F4154" t="s">
        <v>1655</v>
      </c>
      <c r="G4154">
        <v>-89.849924999999999</v>
      </c>
      <c r="H4154">
        <v>1600</v>
      </c>
      <c r="I4154">
        <v>-7</v>
      </c>
      <c r="J4154">
        <v>154</v>
      </c>
      <c r="K4154">
        <v>-64</v>
      </c>
      <c r="L4154">
        <v>1200</v>
      </c>
      <c r="M4154" t="str">
        <f t="shared" si="424"/>
        <v xml:space="preserve">N35DC   </v>
      </c>
      <c r="N4154">
        <v>1</v>
      </c>
      <c r="O4154">
        <v>1725</v>
      </c>
    </row>
    <row r="4155" spans="1:15" x14ac:dyDescent="0.25">
      <c r="A4155" t="str">
        <f>"10/21/2020 18:43:36.662"</f>
        <v>10/21/2020 18:43:36.662</v>
      </c>
      <c r="B4155" t="str">
        <f>"18:43:44.594"</f>
        <v>18:43:44.594</v>
      </c>
      <c r="C4155" t="str">
        <f>"18:43:44.194"</f>
        <v>18:43:44.194</v>
      </c>
      <c r="D4155" t="s">
        <v>1668</v>
      </c>
      <c r="E4155">
        <v>31.069185999999998</v>
      </c>
      <c r="F4155" t="s">
        <v>1655</v>
      </c>
      <c r="G4155">
        <v>-89.849924999999999</v>
      </c>
      <c r="H4155">
        <v>1600</v>
      </c>
      <c r="I4155">
        <v>-7</v>
      </c>
      <c r="J4155">
        <v>154</v>
      </c>
      <c r="K4155">
        <v>-64</v>
      </c>
      <c r="L4155">
        <v>1200</v>
      </c>
      <c r="M4155" t="str">
        <f t="shared" si="424"/>
        <v xml:space="preserve">N35DC   </v>
      </c>
      <c r="N4155">
        <v>1</v>
      </c>
      <c r="O4155">
        <v>1725</v>
      </c>
    </row>
    <row r="4156" spans="1:15" x14ac:dyDescent="0.25">
      <c r="A4156" t="str">
        <f>"10/21/2020 18:43:36.662"</f>
        <v>10/21/2020 18:43:36.662</v>
      </c>
      <c r="B4156" t="str">
        <f>"18:43:44.594"</f>
        <v>18:43:44.594</v>
      </c>
      <c r="C4156" t="str">
        <f>"18:43:44.194"</f>
        <v>18:43:44.194</v>
      </c>
      <c r="D4156" t="s">
        <v>1668</v>
      </c>
      <c r="E4156">
        <v>31.069185999999998</v>
      </c>
      <c r="F4156" t="s">
        <v>1655</v>
      </c>
      <c r="G4156">
        <v>-89.849924999999999</v>
      </c>
      <c r="H4156">
        <v>1600</v>
      </c>
      <c r="I4156">
        <v>-7</v>
      </c>
      <c r="J4156">
        <v>154</v>
      </c>
      <c r="K4156">
        <v>-64</v>
      </c>
      <c r="L4156">
        <v>1200</v>
      </c>
      <c r="M4156" t="str">
        <f t="shared" si="424"/>
        <v xml:space="preserve">N35DC   </v>
      </c>
      <c r="N4156">
        <v>1</v>
      </c>
      <c r="O4156">
        <v>1725</v>
      </c>
    </row>
    <row r="4157" spans="1:15" x14ac:dyDescent="0.25">
      <c r="A4157" t="str">
        <f>"10/21/2020 18:43:39.963"</f>
        <v>10/21/2020 18:43:39.963</v>
      </c>
      <c r="B4157" t="str">
        <f>"18:43:47.891"</f>
        <v>18:43:47.891</v>
      </c>
      <c r="C4157" t="str">
        <f>"18:43:47.691"</f>
        <v>18:43:47.691</v>
      </c>
      <c r="D4157" t="s">
        <v>1669</v>
      </c>
      <c r="E4157">
        <v>31.071525000000001</v>
      </c>
      <c r="F4157" t="s">
        <v>539</v>
      </c>
      <c r="G4157">
        <v>-89.850204000000005</v>
      </c>
      <c r="H4157">
        <v>1600</v>
      </c>
      <c r="I4157">
        <v>-20</v>
      </c>
      <c r="J4157">
        <v>154</v>
      </c>
      <c r="K4157">
        <v>-128</v>
      </c>
      <c r="L4157">
        <v>1200</v>
      </c>
      <c r="M4157" t="str">
        <f t="shared" si="424"/>
        <v xml:space="preserve">N35DC   </v>
      </c>
      <c r="N4157">
        <v>1</v>
      </c>
      <c r="O4157">
        <v>1725</v>
      </c>
    </row>
    <row r="4158" spans="1:15" x14ac:dyDescent="0.25">
      <c r="A4158" t="str">
        <f>"10/21/2020 18:43:39.963"</f>
        <v>10/21/2020 18:43:39.963</v>
      </c>
      <c r="B4158" t="str">
        <f>"18:43:47.891"</f>
        <v>18:43:47.891</v>
      </c>
      <c r="C4158" t="str">
        <f>"18:43:47.691"</f>
        <v>18:43:47.691</v>
      </c>
      <c r="D4158" t="s">
        <v>1669</v>
      </c>
      <c r="E4158">
        <v>31.071525000000001</v>
      </c>
      <c r="F4158" t="s">
        <v>539</v>
      </c>
      <c r="G4158">
        <v>-89.850204000000005</v>
      </c>
      <c r="H4158">
        <v>1600</v>
      </c>
      <c r="I4158">
        <v>-20</v>
      </c>
      <c r="J4158">
        <v>154</v>
      </c>
      <c r="K4158">
        <v>-128</v>
      </c>
      <c r="L4158">
        <v>1200</v>
      </c>
      <c r="M4158" t="str">
        <f t="shared" si="424"/>
        <v xml:space="preserve">N35DC   </v>
      </c>
      <c r="N4158">
        <v>1</v>
      </c>
      <c r="O4158">
        <v>1725</v>
      </c>
    </row>
    <row r="4159" spans="1:15" x14ac:dyDescent="0.25">
      <c r="A4159" t="str">
        <f>"10/21/2020 18:43:39.963"</f>
        <v>10/21/2020 18:43:39.963</v>
      </c>
      <c r="B4159" t="str">
        <f>"18:43:47.891"</f>
        <v>18:43:47.891</v>
      </c>
      <c r="C4159" t="str">
        <f>"18:43:47.691"</f>
        <v>18:43:47.691</v>
      </c>
      <c r="D4159" t="s">
        <v>1669</v>
      </c>
      <c r="E4159">
        <v>31.071525000000001</v>
      </c>
      <c r="F4159" t="s">
        <v>539</v>
      </c>
      <c r="G4159">
        <v>-89.850204000000005</v>
      </c>
      <c r="H4159">
        <v>1600</v>
      </c>
      <c r="I4159">
        <v>-20</v>
      </c>
      <c r="J4159">
        <v>154</v>
      </c>
      <c r="K4159">
        <v>-128</v>
      </c>
      <c r="L4159">
        <v>1200</v>
      </c>
      <c r="M4159" t="str">
        <f t="shared" si="424"/>
        <v xml:space="preserve">N35DC   </v>
      </c>
      <c r="N4159">
        <v>1</v>
      </c>
      <c r="O4159">
        <v>1725</v>
      </c>
    </row>
    <row r="4160" spans="1:15" x14ac:dyDescent="0.25">
      <c r="A4160" t="str">
        <f>"10/21/2020 18:43:40.504"</f>
        <v>10/21/2020 18:43:40.504</v>
      </c>
      <c r="B4160" t="str">
        <f>"18:43:48.414"</f>
        <v>18:43:48.414</v>
      </c>
      <c r="C4160" t="str">
        <f>"18:43:48.314"</f>
        <v>18:43:48.314</v>
      </c>
      <c r="D4160" t="s">
        <v>1670</v>
      </c>
      <c r="E4160">
        <v>31.071954000000002</v>
      </c>
      <c r="F4160" t="s">
        <v>1671</v>
      </c>
      <c r="G4160">
        <v>-89.850224999999995</v>
      </c>
      <c r="H4160">
        <v>1600</v>
      </c>
      <c r="I4160">
        <v>-22</v>
      </c>
      <c r="J4160">
        <v>154</v>
      </c>
      <c r="K4160">
        <v>-192</v>
      </c>
      <c r="L4160">
        <v>1200</v>
      </c>
      <c r="M4160" t="str">
        <f t="shared" si="424"/>
        <v xml:space="preserve">N35DC   </v>
      </c>
      <c r="N4160">
        <v>1</v>
      </c>
      <c r="O4160">
        <v>1725</v>
      </c>
    </row>
    <row r="4161" spans="1:15" x14ac:dyDescent="0.25">
      <c r="A4161" t="str">
        <f>"10/21/2020 18:43:40.904"</f>
        <v>10/21/2020 18:43:40.904</v>
      </c>
      <c r="B4161" t="str">
        <f>"18:43:48.820"</f>
        <v>18:43:48.820</v>
      </c>
      <c r="C4161" t="str">
        <f>"18:43:48.720"</f>
        <v>18:43:48.720</v>
      </c>
      <c r="D4161" t="s">
        <v>1672</v>
      </c>
      <c r="E4161">
        <v>31.072210999999999</v>
      </c>
      <c r="F4161" t="s">
        <v>1673</v>
      </c>
      <c r="G4161">
        <v>-89.850290000000001</v>
      </c>
      <c r="H4161">
        <v>1600</v>
      </c>
      <c r="I4161">
        <v>-24</v>
      </c>
      <c r="J4161">
        <v>154</v>
      </c>
      <c r="K4161">
        <v>-192</v>
      </c>
      <c r="L4161">
        <v>1200</v>
      </c>
      <c r="M4161" t="str">
        <f t="shared" si="424"/>
        <v xml:space="preserve">N35DC   </v>
      </c>
      <c r="N4161">
        <v>1</v>
      </c>
      <c r="O4161">
        <v>1725</v>
      </c>
    </row>
    <row r="4162" spans="1:15" x14ac:dyDescent="0.25">
      <c r="A4162" t="str">
        <f>"10/21/2020 18:43:40.904"</f>
        <v>10/21/2020 18:43:40.904</v>
      </c>
      <c r="B4162" t="str">
        <f>"18:43:48.820"</f>
        <v>18:43:48.820</v>
      </c>
      <c r="C4162" t="str">
        <f>"18:43:48.720"</f>
        <v>18:43:48.720</v>
      </c>
      <c r="D4162" t="s">
        <v>1672</v>
      </c>
      <c r="E4162">
        <v>31.072210999999999</v>
      </c>
      <c r="F4162" t="s">
        <v>1673</v>
      </c>
      <c r="G4162">
        <v>-89.850290000000001</v>
      </c>
      <c r="H4162">
        <v>1600</v>
      </c>
      <c r="I4162">
        <v>-24</v>
      </c>
      <c r="J4162">
        <v>154</v>
      </c>
      <c r="K4162">
        <v>-192</v>
      </c>
      <c r="L4162">
        <v>1200</v>
      </c>
      <c r="M4162" t="str">
        <f t="shared" si="424"/>
        <v xml:space="preserve">N35DC   </v>
      </c>
      <c r="N4162">
        <v>1</v>
      </c>
      <c r="O4162">
        <v>1725</v>
      </c>
    </row>
    <row r="4163" spans="1:15" x14ac:dyDescent="0.25">
      <c r="A4163" t="str">
        <f>"10/21/2020 18:43:40.904"</f>
        <v>10/21/2020 18:43:40.904</v>
      </c>
      <c r="B4163" t="str">
        <f>"18:43:48.820"</f>
        <v>18:43:48.820</v>
      </c>
      <c r="C4163" t="str">
        <f>"18:43:48.720"</f>
        <v>18:43:48.720</v>
      </c>
      <c r="D4163" t="s">
        <v>1672</v>
      </c>
      <c r="E4163">
        <v>31.072210999999999</v>
      </c>
      <c r="F4163" t="s">
        <v>1673</v>
      </c>
      <c r="G4163">
        <v>-89.850290000000001</v>
      </c>
      <c r="H4163">
        <v>1600</v>
      </c>
      <c r="I4163">
        <v>-24</v>
      </c>
      <c r="J4163">
        <v>154</v>
      </c>
      <c r="K4163">
        <v>-192</v>
      </c>
      <c r="L4163">
        <v>1200</v>
      </c>
      <c r="M4163" t="str">
        <f t="shared" si="424"/>
        <v xml:space="preserve">N35DC   </v>
      </c>
      <c r="N4163">
        <v>1</v>
      </c>
      <c r="O4163">
        <v>1725</v>
      </c>
    </row>
    <row r="4164" spans="1:15" x14ac:dyDescent="0.25">
      <c r="A4164" t="str">
        <f>"10/21/2020 18:43:43.688"</f>
        <v>10/21/2020 18:43:43.688</v>
      </c>
      <c r="B4164" t="str">
        <f>"18:43:51.625"</f>
        <v>18:43:51.625</v>
      </c>
      <c r="C4164" t="str">
        <f>"18:43:50.625"</f>
        <v>18:43:50.625</v>
      </c>
      <c r="D4164" t="s">
        <v>1674</v>
      </c>
      <c r="E4164">
        <v>31.074185</v>
      </c>
      <c r="F4164" t="s">
        <v>1675</v>
      </c>
      <c r="G4164">
        <v>-89.850869000000003</v>
      </c>
      <c r="H4164">
        <v>1600</v>
      </c>
      <c r="I4164">
        <v>-36</v>
      </c>
      <c r="J4164">
        <v>152</v>
      </c>
      <c r="K4164">
        <v>-64</v>
      </c>
      <c r="L4164">
        <v>1200</v>
      </c>
      <c r="M4164" t="str">
        <f t="shared" si="424"/>
        <v xml:space="preserve">N35DC   </v>
      </c>
      <c r="N4164">
        <v>1</v>
      </c>
      <c r="O4164">
        <v>1725</v>
      </c>
    </row>
    <row r="4165" spans="1:15" x14ac:dyDescent="0.25">
      <c r="A4165" t="str">
        <f>"10/21/2020 18:43:43.688"</f>
        <v>10/21/2020 18:43:43.688</v>
      </c>
      <c r="B4165" t="str">
        <f>"18:43:51.625"</f>
        <v>18:43:51.625</v>
      </c>
      <c r="C4165" t="str">
        <f>"18:43:50.625"</f>
        <v>18:43:50.625</v>
      </c>
      <c r="D4165" t="s">
        <v>1674</v>
      </c>
      <c r="E4165">
        <v>31.074185</v>
      </c>
      <c r="F4165" t="s">
        <v>1675</v>
      </c>
      <c r="G4165">
        <v>-89.850869000000003</v>
      </c>
      <c r="H4165">
        <v>1600</v>
      </c>
      <c r="I4165">
        <v>-36</v>
      </c>
      <c r="J4165">
        <v>152</v>
      </c>
      <c r="K4165">
        <v>-64</v>
      </c>
      <c r="L4165">
        <v>1200</v>
      </c>
      <c r="M4165" t="str">
        <f t="shared" si="424"/>
        <v xml:space="preserve">N35DC   </v>
      </c>
      <c r="N4165">
        <v>1</v>
      </c>
      <c r="O4165">
        <v>1725</v>
      </c>
    </row>
    <row r="4166" spans="1:15" x14ac:dyDescent="0.25">
      <c r="A4166" t="str">
        <f>"10/21/2020 18:43:43.688"</f>
        <v>10/21/2020 18:43:43.688</v>
      </c>
      <c r="B4166" t="str">
        <f>"18:43:51.625"</f>
        <v>18:43:51.625</v>
      </c>
      <c r="C4166" t="str">
        <f>"18:43:50.625"</f>
        <v>18:43:50.625</v>
      </c>
      <c r="D4166" t="s">
        <v>1674</v>
      </c>
      <c r="E4166">
        <v>31.074185</v>
      </c>
      <c r="F4166" t="s">
        <v>1675</v>
      </c>
      <c r="G4166">
        <v>-89.850869000000003</v>
      </c>
      <c r="H4166">
        <v>1600</v>
      </c>
      <c r="I4166">
        <v>-36</v>
      </c>
      <c r="J4166">
        <v>152</v>
      </c>
      <c r="K4166">
        <v>-64</v>
      </c>
      <c r="L4166">
        <v>1200</v>
      </c>
      <c r="M4166" t="str">
        <f t="shared" si="424"/>
        <v xml:space="preserve">N35DC   </v>
      </c>
      <c r="N4166">
        <v>1</v>
      </c>
      <c r="O4166">
        <v>1725</v>
      </c>
    </row>
    <row r="4167" spans="1:15" x14ac:dyDescent="0.25">
      <c r="A4167" t="str">
        <f>"10/21/2020 18:43:43.688"</f>
        <v>10/21/2020 18:43:43.688</v>
      </c>
      <c r="B4167" t="str">
        <f>"18:43:51.625"</f>
        <v>18:43:51.625</v>
      </c>
      <c r="C4167" t="str">
        <f>"18:43:50.625"</f>
        <v>18:43:50.625</v>
      </c>
      <c r="D4167" t="s">
        <v>1674</v>
      </c>
      <c r="E4167">
        <v>31.074185</v>
      </c>
      <c r="F4167" t="s">
        <v>1675</v>
      </c>
      <c r="G4167">
        <v>-89.850869000000003</v>
      </c>
      <c r="H4167">
        <v>1600</v>
      </c>
      <c r="I4167">
        <v>-36</v>
      </c>
      <c r="J4167">
        <v>152</v>
      </c>
      <c r="K4167">
        <v>-64</v>
      </c>
      <c r="L4167">
        <v>1200</v>
      </c>
      <c r="M4167" t="str">
        <f t="shared" ref="M4167:M4230" si="425">"N35DC   "</f>
        <v xml:space="preserve">N35DC   </v>
      </c>
      <c r="N4167">
        <v>1</v>
      </c>
      <c r="O4167">
        <v>1725</v>
      </c>
    </row>
    <row r="4168" spans="1:15" x14ac:dyDescent="0.25">
      <c r="A4168" t="str">
        <f>"10/21/2020 18:43:46.316"</f>
        <v>10/21/2020 18:43:46.316</v>
      </c>
      <c r="B4168" t="str">
        <f>"18:43:54.219"</f>
        <v>18:43:54.219</v>
      </c>
      <c r="C4168" t="str">
        <f>"18:43:53.819"</f>
        <v>18:43:53.819</v>
      </c>
      <c r="D4168" t="s">
        <v>1676</v>
      </c>
      <c r="E4168">
        <v>31.075945000000001</v>
      </c>
      <c r="F4168" t="s">
        <v>1677</v>
      </c>
      <c r="G4168">
        <v>-89.851577000000006</v>
      </c>
      <c r="H4168">
        <v>1600</v>
      </c>
      <c r="I4168">
        <v>-55</v>
      </c>
      <c r="J4168">
        <v>147</v>
      </c>
      <c r="K4168">
        <v>-192</v>
      </c>
      <c r="L4168">
        <v>1200</v>
      </c>
      <c r="M4168" t="str">
        <f t="shared" si="425"/>
        <v xml:space="preserve">N35DC   </v>
      </c>
      <c r="N4168">
        <v>1</v>
      </c>
      <c r="O4168">
        <v>1700</v>
      </c>
    </row>
    <row r="4169" spans="1:15" x14ac:dyDescent="0.25">
      <c r="A4169" t="str">
        <f>"10/21/2020 18:43:46.316"</f>
        <v>10/21/2020 18:43:46.316</v>
      </c>
      <c r="B4169" t="str">
        <f>"18:43:54.219"</f>
        <v>18:43:54.219</v>
      </c>
      <c r="C4169" t="str">
        <f>"18:43:53.819"</f>
        <v>18:43:53.819</v>
      </c>
      <c r="D4169" t="s">
        <v>1676</v>
      </c>
      <c r="E4169">
        <v>31.075945000000001</v>
      </c>
      <c r="F4169" t="s">
        <v>1677</v>
      </c>
      <c r="G4169">
        <v>-89.851577000000006</v>
      </c>
      <c r="H4169">
        <v>1600</v>
      </c>
      <c r="I4169">
        <v>-55</v>
      </c>
      <c r="J4169">
        <v>147</v>
      </c>
      <c r="K4169">
        <v>-192</v>
      </c>
      <c r="L4169">
        <v>1200</v>
      </c>
      <c r="M4169" t="str">
        <f t="shared" si="425"/>
        <v xml:space="preserve">N35DC   </v>
      </c>
      <c r="N4169">
        <v>1</v>
      </c>
      <c r="O4169">
        <v>1700</v>
      </c>
    </row>
    <row r="4170" spans="1:15" x14ac:dyDescent="0.25">
      <c r="A4170" t="str">
        <f>"10/21/2020 18:43:46.316"</f>
        <v>10/21/2020 18:43:46.316</v>
      </c>
      <c r="B4170" t="str">
        <f>"18:43:54.219"</f>
        <v>18:43:54.219</v>
      </c>
      <c r="C4170" t="str">
        <f>"18:43:53.819"</f>
        <v>18:43:53.819</v>
      </c>
      <c r="D4170" t="s">
        <v>1676</v>
      </c>
      <c r="E4170">
        <v>31.075945000000001</v>
      </c>
      <c r="F4170" t="s">
        <v>1677</v>
      </c>
      <c r="G4170">
        <v>-89.851577000000006</v>
      </c>
      <c r="H4170">
        <v>1600</v>
      </c>
      <c r="I4170">
        <v>-55</v>
      </c>
      <c r="J4170">
        <v>147</v>
      </c>
      <c r="K4170">
        <v>-192</v>
      </c>
      <c r="L4170">
        <v>1200</v>
      </c>
      <c r="M4170" t="str">
        <f t="shared" si="425"/>
        <v xml:space="preserve">N35DC   </v>
      </c>
      <c r="N4170">
        <v>1</v>
      </c>
      <c r="O4170">
        <v>1700</v>
      </c>
    </row>
    <row r="4171" spans="1:15" x14ac:dyDescent="0.25">
      <c r="A4171" t="str">
        <f>"10/21/2020 18:43:46.316"</f>
        <v>10/21/2020 18:43:46.316</v>
      </c>
      <c r="B4171" t="str">
        <f>"18:43:54.219"</f>
        <v>18:43:54.219</v>
      </c>
      <c r="C4171" t="str">
        <f>"18:43:53.819"</f>
        <v>18:43:53.819</v>
      </c>
      <c r="D4171" t="s">
        <v>1676</v>
      </c>
      <c r="E4171">
        <v>31.075945000000001</v>
      </c>
      <c r="F4171" t="s">
        <v>1677</v>
      </c>
      <c r="G4171">
        <v>-89.851577000000006</v>
      </c>
      <c r="H4171">
        <v>1600</v>
      </c>
      <c r="I4171">
        <v>-55</v>
      </c>
      <c r="J4171">
        <v>147</v>
      </c>
      <c r="K4171">
        <v>-192</v>
      </c>
      <c r="L4171">
        <v>1200</v>
      </c>
      <c r="M4171" t="str">
        <f t="shared" si="425"/>
        <v xml:space="preserve">N35DC   </v>
      </c>
      <c r="N4171">
        <v>1</v>
      </c>
      <c r="O4171">
        <v>1700</v>
      </c>
    </row>
    <row r="4172" spans="1:15" x14ac:dyDescent="0.25">
      <c r="A4172" t="str">
        <f>"10/21/2020 18:43:50.151"</f>
        <v>10/21/2020 18:43:50.151</v>
      </c>
      <c r="B4172" t="str">
        <f>"18:43:58.063"</f>
        <v>18:43:58.063</v>
      </c>
      <c r="C4172" t="str">
        <f>"18:43:54.663"</f>
        <v>18:43:54.663</v>
      </c>
      <c r="D4172" t="s">
        <v>1678</v>
      </c>
      <c r="E4172">
        <v>31.078455000000002</v>
      </c>
      <c r="F4172" t="s">
        <v>1679</v>
      </c>
      <c r="G4172">
        <v>-89.853144</v>
      </c>
      <c r="H4172">
        <v>1600</v>
      </c>
      <c r="I4172">
        <v>-62</v>
      </c>
      <c r="J4172">
        <v>144</v>
      </c>
      <c r="K4172">
        <v>-256</v>
      </c>
      <c r="L4172">
        <v>1200</v>
      </c>
      <c r="M4172" t="str">
        <f t="shared" si="425"/>
        <v xml:space="preserve">N35DC   </v>
      </c>
      <c r="N4172">
        <v>1</v>
      </c>
      <c r="O4172">
        <v>1700</v>
      </c>
    </row>
    <row r="4173" spans="1:15" x14ac:dyDescent="0.25">
      <c r="A4173" t="str">
        <f>"10/21/2020 18:43:50.151"</f>
        <v>10/21/2020 18:43:50.151</v>
      </c>
      <c r="B4173" t="str">
        <f>"18:43:58.063"</f>
        <v>18:43:58.063</v>
      </c>
      <c r="C4173" t="str">
        <f>"18:43:54.663"</f>
        <v>18:43:54.663</v>
      </c>
      <c r="D4173" t="s">
        <v>1678</v>
      </c>
      <c r="E4173">
        <v>31.078455000000002</v>
      </c>
      <c r="F4173" t="s">
        <v>1679</v>
      </c>
      <c r="G4173">
        <v>-89.853144</v>
      </c>
      <c r="H4173">
        <v>1600</v>
      </c>
      <c r="I4173">
        <v>-62</v>
      </c>
      <c r="J4173">
        <v>144</v>
      </c>
      <c r="K4173">
        <v>-256</v>
      </c>
      <c r="L4173">
        <v>1200</v>
      </c>
      <c r="M4173" t="str">
        <f t="shared" si="425"/>
        <v xml:space="preserve">N35DC   </v>
      </c>
      <c r="N4173">
        <v>1</v>
      </c>
      <c r="O4173">
        <v>1700</v>
      </c>
    </row>
    <row r="4174" spans="1:15" x14ac:dyDescent="0.25">
      <c r="A4174" t="str">
        <f>"10/21/2020 18:43:50.151"</f>
        <v>10/21/2020 18:43:50.151</v>
      </c>
      <c r="B4174" t="str">
        <f>"18:43:58.063"</f>
        <v>18:43:58.063</v>
      </c>
      <c r="C4174" t="str">
        <f>"18:43:54.663"</f>
        <v>18:43:54.663</v>
      </c>
      <c r="D4174" t="s">
        <v>1678</v>
      </c>
      <c r="E4174">
        <v>31.078455000000002</v>
      </c>
      <c r="F4174" t="s">
        <v>1679</v>
      </c>
      <c r="G4174">
        <v>-89.853144</v>
      </c>
      <c r="H4174">
        <v>1600</v>
      </c>
      <c r="I4174">
        <v>-62</v>
      </c>
      <c r="J4174">
        <v>144</v>
      </c>
      <c r="K4174">
        <v>-256</v>
      </c>
      <c r="L4174">
        <v>1200</v>
      </c>
      <c r="M4174" t="str">
        <f t="shared" si="425"/>
        <v xml:space="preserve">N35DC   </v>
      </c>
      <c r="N4174">
        <v>1</v>
      </c>
      <c r="O4174">
        <v>1700</v>
      </c>
    </row>
    <row r="4175" spans="1:15" x14ac:dyDescent="0.25">
      <c r="A4175" t="str">
        <f>"10/21/2020 18:43:50.151"</f>
        <v>10/21/2020 18:43:50.151</v>
      </c>
      <c r="B4175" t="str">
        <f>"18:43:58.063"</f>
        <v>18:43:58.063</v>
      </c>
      <c r="C4175" t="str">
        <f>"18:43:54.663"</f>
        <v>18:43:54.663</v>
      </c>
      <c r="D4175" t="s">
        <v>1678</v>
      </c>
      <c r="E4175">
        <v>31.078455000000002</v>
      </c>
      <c r="F4175" t="s">
        <v>1679</v>
      </c>
      <c r="G4175">
        <v>-89.853144</v>
      </c>
      <c r="H4175">
        <v>1600</v>
      </c>
      <c r="I4175">
        <v>-62</v>
      </c>
      <c r="J4175">
        <v>144</v>
      </c>
      <c r="K4175">
        <v>-256</v>
      </c>
      <c r="L4175">
        <v>1200</v>
      </c>
      <c r="M4175" t="str">
        <f t="shared" si="425"/>
        <v xml:space="preserve">N35DC   </v>
      </c>
      <c r="N4175">
        <v>1</v>
      </c>
      <c r="O4175">
        <v>1700</v>
      </c>
    </row>
    <row r="4176" spans="1:15" x14ac:dyDescent="0.25">
      <c r="A4176" t="str">
        <f>"10/21/2020 18:43:54.199"</f>
        <v>10/21/2020 18:43:54.199</v>
      </c>
      <c r="B4176" t="str">
        <f>"18:44:02.156"</f>
        <v>18:44:02.156</v>
      </c>
      <c r="C4176" t="str">
        <f>"18:44:01.756"</f>
        <v>18:44:01.756</v>
      </c>
      <c r="D4176" t="s">
        <v>1680</v>
      </c>
      <c r="E4176">
        <v>31.080815999999999</v>
      </c>
      <c r="F4176" t="s">
        <v>1554</v>
      </c>
      <c r="G4176">
        <v>-89.855354000000005</v>
      </c>
      <c r="H4176">
        <v>1600</v>
      </c>
      <c r="I4176">
        <v>-109</v>
      </c>
      <c r="J4176">
        <v>121</v>
      </c>
      <c r="K4176">
        <v>192</v>
      </c>
      <c r="L4176">
        <v>1200</v>
      </c>
      <c r="M4176" t="str">
        <f t="shared" si="425"/>
        <v xml:space="preserve">N35DC   </v>
      </c>
      <c r="N4176">
        <v>1</v>
      </c>
      <c r="O4176">
        <v>1675</v>
      </c>
    </row>
    <row r="4177" spans="1:15" x14ac:dyDescent="0.25">
      <c r="A4177" t="str">
        <f>"10/21/2020 18:43:54.199"</f>
        <v>10/21/2020 18:43:54.199</v>
      </c>
      <c r="B4177" t="str">
        <f>"18:44:02.156"</f>
        <v>18:44:02.156</v>
      </c>
      <c r="C4177" t="str">
        <f>"18:44:01.756"</f>
        <v>18:44:01.756</v>
      </c>
      <c r="D4177" t="s">
        <v>1680</v>
      </c>
      <c r="E4177">
        <v>31.080815999999999</v>
      </c>
      <c r="F4177" t="s">
        <v>1554</v>
      </c>
      <c r="G4177">
        <v>-89.855354000000005</v>
      </c>
      <c r="H4177">
        <v>1600</v>
      </c>
      <c r="I4177">
        <v>-109</v>
      </c>
      <c r="J4177">
        <v>121</v>
      </c>
      <c r="K4177">
        <v>192</v>
      </c>
      <c r="L4177">
        <v>1200</v>
      </c>
      <c r="M4177" t="str">
        <f t="shared" si="425"/>
        <v xml:space="preserve">N35DC   </v>
      </c>
      <c r="N4177">
        <v>1</v>
      </c>
      <c r="O4177">
        <v>1675</v>
      </c>
    </row>
    <row r="4178" spans="1:15" x14ac:dyDescent="0.25">
      <c r="A4178" t="str">
        <f>"10/21/2020 18:43:54.199"</f>
        <v>10/21/2020 18:43:54.199</v>
      </c>
      <c r="B4178" t="str">
        <f>"18:44:02.156"</f>
        <v>18:44:02.156</v>
      </c>
      <c r="C4178" t="str">
        <f>"18:44:01.756"</f>
        <v>18:44:01.756</v>
      </c>
      <c r="D4178" t="s">
        <v>1680</v>
      </c>
      <c r="E4178">
        <v>31.080815999999999</v>
      </c>
      <c r="F4178" t="s">
        <v>1554</v>
      </c>
      <c r="G4178">
        <v>-89.855354000000005</v>
      </c>
      <c r="H4178">
        <v>1600</v>
      </c>
      <c r="I4178">
        <v>-109</v>
      </c>
      <c r="J4178">
        <v>121</v>
      </c>
      <c r="K4178">
        <v>192</v>
      </c>
      <c r="L4178">
        <v>1200</v>
      </c>
      <c r="M4178" t="str">
        <f t="shared" si="425"/>
        <v xml:space="preserve">N35DC   </v>
      </c>
      <c r="N4178">
        <v>1</v>
      </c>
      <c r="O4178">
        <v>1675</v>
      </c>
    </row>
    <row r="4179" spans="1:15" x14ac:dyDescent="0.25">
      <c r="A4179" t="str">
        <f>"10/21/2020 18:43:54.199"</f>
        <v>10/21/2020 18:43:54.199</v>
      </c>
      <c r="B4179" t="str">
        <f>"18:44:02.156"</f>
        <v>18:44:02.156</v>
      </c>
      <c r="C4179" t="str">
        <f>"18:44:01.756"</f>
        <v>18:44:01.756</v>
      </c>
      <c r="D4179" t="s">
        <v>1680</v>
      </c>
      <c r="E4179">
        <v>31.080815999999999</v>
      </c>
      <c r="F4179" t="s">
        <v>1554</v>
      </c>
      <c r="G4179">
        <v>-89.855354000000005</v>
      </c>
      <c r="H4179">
        <v>1600</v>
      </c>
      <c r="I4179">
        <v>-109</v>
      </c>
      <c r="J4179">
        <v>121</v>
      </c>
      <c r="K4179">
        <v>192</v>
      </c>
      <c r="L4179">
        <v>1200</v>
      </c>
      <c r="M4179" t="str">
        <f t="shared" si="425"/>
        <v xml:space="preserve">N35DC   </v>
      </c>
      <c r="N4179">
        <v>1</v>
      </c>
      <c r="O4179">
        <v>1675</v>
      </c>
    </row>
    <row r="4180" spans="1:15" x14ac:dyDescent="0.25">
      <c r="A4180" t="str">
        <f>"10/21/2020 18:43:57.208"</f>
        <v>10/21/2020 18:43:57.208</v>
      </c>
      <c r="B4180" t="str">
        <f>"18:44:05.125"</f>
        <v>18:44:05.125</v>
      </c>
      <c r="C4180" t="str">
        <f>"18:44:04.925"</f>
        <v>18:44:04.925</v>
      </c>
      <c r="D4180" t="s">
        <v>1681</v>
      </c>
      <c r="E4180">
        <v>31.082360999999999</v>
      </c>
      <c r="F4180" t="s">
        <v>523</v>
      </c>
      <c r="G4180">
        <v>-89.857285000000005</v>
      </c>
      <c r="H4180">
        <v>1600</v>
      </c>
      <c r="I4180">
        <v>-122</v>
      </c>
      <c r="J4180">
        <v>108</v>
      </c>
      <c r="K4180">
        <v>384</v>
      </c>
      <c r="L4180">
        <v>1200</v>
      </c>
      <c r="M4180" t="str">
        <f t="shared" si="425"/>
        <v xml:space="preserve">N35DC   </v>
      </c>
      <c r="N4180">
        <v>1</v>
      </c>
      <c r="O4180">
        <v>1700</v>
      </c>
    </row>
    <row r="4181" spans="1:15" x14ac:dyDescent="0.25">
      <c r="A4181" t="str">
        <f>"10/21/2020 18:43:57.208"</f>
        <v>10/21/2020 18:43:57.208</v>
      </c>
      <c r="B4181" t="str">
        <f>"18:44:05.125"</f>
        <v>18:44:05.125</v>
      </c>
      <c r="C4181" t="str">
        <f>"18:44:04.925"</f>
        <v>18:44:04.925</v>
      </c>
      <c r="D4181" t="s">
        <v>1681</v>
      </c>
      <c r="E4181">
        <v>31.082360999999999</v>
      </c>
      <c r="F4181" t="s">
        <v>523</v>
      </c>
      <c r="G4181">
        <v>-89.857285000000005</v>
      </c>
      <c r="H4181">
        <v>1600</v>
      </c>
      <c r="I4181">
        <v>-122</v>
      </c>
      <c r="J4181">
        <v>108</v>
      </c>
      <c r="K4181">
        <v>384</v>
      </c>
      <c r="L4181">
        <v>1200</v>
      </c>
      <c r="M4181" t="str">
        <f t="shared" si="425"/>
        <v xml:space="preserve">N35DC   </v>
      </c>
      <c r="N4181">
        <v>1</v>
      </c>
      <c r="O4181">
        <v>1700</v>
      </c>
    </row>
    <row r="4182" spans="1:15" x14ac:dyDescent="0.25">
      <c r="A4182" t="str">
        <f>"10/21/2020 18:43:57.208"</f>
        <v>10/21/2020 18:43:57.208</v>
      </c>
      <c r="B4182" t="str">
        <f>"18:44:05.125"</f>
        <v>18:44:05.125</v>
      </c>
      <c r="C4182" t="str">
        <f>"18:44:04.925"</f>
        <v>18:44:04.925</v>
      </c>
      <c r="D4182" t="s">
        <v>1681</v>
      </c>
      <c r="E4182">
        <v>31.082360999999999</v>
      </c>
      <c r="F4182" t="s">
        <v>523</v>
      </c>
      <c r="G4182">
        <v>-89.857285000000005</v>
      </c>
      <c r="H4182">
        <v>1600</v>
      </c>
      <c r="I4182">
        <v>-122</v>
      </c>
      <c r="J4182">
        <v>108</v>
      </c>
      <c r="K4182">
        <v>384</v>
      </c>
      <c r="L4182">
        <v>1200</v>
      </c>
      <c r="M4182" t="str">
        <f t="shared" si="425"/>
        <v xml:space="preserve">N35DC   </v>
      </c>
      <c r="N4182">
        <v>1</v>
      </c>
      <c r="O4182">
        <v>1700</v>
      </c>
    </row>
    <row r="4183" spans="1:15" x14ac:dyDescent="0.25">
      <c r="A4183" t="str">
        <f>"10/21/2020 18:43:57.208"</f>
        <v>10/21/2020 18:43:57.208</v>
      </c>
      <c r="B4183" t="str">
        <f>"18:44:05.125"</f>
        <v>18:44:05.125</v>
      </c>
      <c r="C4183" t="str">
        <f>"18:44:04.925"</f>
        <v>18:44:04.925</v>
      </c>
      <c r="D4183" t="s">
        <v>1681</v>
      </c>
      <c r="E4183">
        <v>31.082360999999999</v>
      </c>
      <c r="F4183" t="s">
        <v>523</v>
      </c>
      <c r="G4183">
        <v>-89.857285000000005</v>
      </c>
      <c r="H4183">
        <v>1600</v>
      </c>
      <c r="I4183">
        <v>-122</v>
      </c>
      <c r="J4183">
        <v>108</v>
      </c>
      <c r="K4183">
        <v>384</v>
      </c>
      <c r="L4183">
        <v>1200</v>
      </c>
      <c r="M4183" t="str">
        <f t="shared" si="425"/>
        <v xml:space="preserve">N35DC   </v>
      </c>
      <c r="N4183">
        <v>1</v>
      </c>
      <c r="O4183">
        <v>1700</v>
      </c>
    </row>
    <row r="4184" spans="1:15" x14ac:dyDescent="0.25">
      <c r="A4184" t="str">
        <f>"10/21/2020 18:44:05.746"</f>
        <v>10/21/2020 18:44:05.746</v>
      </c>
      <c r="B4184" t="str">
        <f>"18:44:13.672"</f>
        <v>18:44:13.672</v>
      </c>
      <c r="C4184" t="str">
        <f>"18:44:13.472"</f>
        <v>18:44:13.472</v>
      </c>
      <c r="D4184" t="s">
        <v>1682</v>
      </c>
      <c r="E4184">
        <v>31.085536000000001</v>
      </c>
      <c r="F4184" t="s">
        <v>1683</v>
      </c>
      <c r="G4184">
        <v>-89.863743999999997</v>
      </c>
      <c r="H4184">
        <v>1700</v>
      </c>
      <c r="I4184">
        <v>-154</v>
      </c>
      <c r="J4184">
        <v>54</v>
      </c>
      <c r="K4184">
        <v>0</v>
      </c>
      <c r="L4184">
        <v>1200</v>
      </c>
      <c r="M4184" t="str">
        <f t="shared" si="425"/>
        <v xml:space="preserve">N35DC   </v>
      </c>
      <c r="N4184">
        <v>1</v>
      </c>
      <c r="O4184">
        <v>1725</v>
      </c>
    </row>
    <row r="4185" spans="1:15" x14ac:dyDescent="0.25">
      <c r="A4185" t="str">
        <f>"10/21/2020 18:44:05.746"</f>
        <v>10/21/2020 18:44:05.746</v>
      </c>
      <c r="B4185" t="str">
        <f>"18:44:13.672"</f>
        <v>18:44:13.672</v>
      </c>
      <c r="C4185" t="str">
        <f>"18:44:13.472"</f>
        <v>18:44:13.472</v>
      </c>
      <c r="D4185" t="s">
        <v>1682</v>
      </c>
      <c r="E4185">
        <v>31.085536000000001</v>
      </c>
      <c r="F4185" t="s">
        <v>1683</v>
      </c>
      <c r="G4185">
        <v>-89.863743999999997</v>
      </c>
      <c r="H4185">
        <v>1700</v>
      </c>
      <c r="I4185">
        <v>-154</v>
      </c>
      <c r="J4185">
        <v>54</v>
      </c>
      <c r="K4185">
        <v>0</v>
      </c>
      <c r="L4185">
        <v>1200</v>
      </c>
      <c r="M4185" t="str">
        <f t="shared" si="425"/>
        <v xml:space="preserve">N35DC   </v>
      </c>
      <c r="N4185">
        <v>1</v>
      </c>
      <c r="O4185">
        <v>1725</v>
      </c>
    </row>
    <row r="4186" spans="1:15" x14ac:dyDescent="0.25">
      <c r="A4186" t="str">
        <f>"10/21/2020 18:44:05.746"</f>
        <v>10/21/2020 18:44:05.746</v>
      </c>
      <c r="B4186" t="str">
        <f>"18:44:13.672"</f>
        <v>18:44:13.672</v>
      </c>
      <c r="C4186" t="str">
        <f>"18:44:13.472"</f>
        <v>18:44:13.472</v>
      </c>
      <c r="D4186" t="s">
        <v>1682</v>
      </c>
      <c r="E4186">
        <v>31.085536000000001</v>
      </c>
      <c r="F4186" t="s">
        <v>1683</v>
      </c>
      <c r="G4186">
        <v>-89.863743999999997</v>
      </c>
      <c r="H4186">
        <v>1700</v>
      </c>
      <c r="I4186">
        <v>-154</v>
      </c>
      <c r="J4186">
        <v>54</v>
      </c>
      <c r="K4186">
        <v>0</v>
      </c>
      <c r="L4186">
        <v>1200</v>
      </c>
      <c r="M4186" t="str">
        <f t="shared" si="425"/>
        <v xml:space="preserve">N35DC   </v>
      </c>
      <c r="N4186">
        <v>1</v>
      </c>
      <c r="O4186">
        <v>1725</v>
      </c>
    </row>
    <row r="4187" spans="1:15" x14ac:dyDescent="0.25">
      <c r="A4187" t="str">
        <f>"10/21/2020 18:44:05.746"</f>
        <v>10/21/2020 18:44:05.746</v>
      </c>
      <c r="B4187" t="str">
        <f>"18:44:13.672"</f>
        <v>18:44:13.672</v>
      </c>
      <c r="C4187" t="str">
        <f>"18:44:13.472"</f>
        <v>18:44:13.472</v>
      </c>
      <c r="D4187" t="s">
        <v>1682</v>
      </c>
      <c r="E4187">
        <v>31.085536000000001</v>
      </c>
      <c r="F4187" t="s">
        <v>1683</v>
      </c>
      <c r="G4187">
        <v>-89.863743999999997</v>
      </c>
      <c r="H4187">
        <v>1700</v>
      </c>
      <c r="I4187">
        <v>-154</v>
      </c>
      <c r="J4187">
        <v>54</v>
      </c>
      <c r="K4187">
        <v>0</v>
      </c>
      <c r="L4187">
        <v>1200</v>
      </c>
      <c r="M4187" t="str">
        <f t="shared" si="425"/>
        <v xml:space="preserve">N35DC   </v>
      </c>
      <c r="N4187">
        <v>1</v>
      </c>
      <c r="O4187">
        <v>1725</v>
      </c>
    </row>
    <row r="4188" spans="1:15" x14ac:dyDescent="0.25">
      <c r="A4188" t="str">
        <f>"10/21/2020 18:44:09.396"</f>
        <v>10/21/2020 18:44:09.396</v>
      </c>
      <c r="B4188" t="str">
        <f>"18:44:17.320"</f>
        <v>18:44:17.320</v>
      </c>
      <c r="C4188" t="str">
        <f>"18:44:16.420"</f>
        <v>18:44:16.420</v>
      </c>
      <c r="D4188" t="s">
        <v>1684</v>
      </c>
      <c r="E4188">
        <v>31.086179999999999</v>
      </c>
      <c r="F4188" t="s">
        <v>1685</v>
      </c>
      <c r="G4188">
        <v>-89.866877000000002</v>
      </c>
      <c r="H4188">
        <v>1700</v>
      </c>
      <c r="I4188">
        <v>-160</v>
      </c>
      <c r="J4188">
        <v>33</v>
      </c>
      <c r="K4188">
        <v>-128</v>
      </c>
      <c r="L4188">
        <v>1200</v>
      </c>
      <c r="M4188" t="str">
        <f t="shared" si="425"/>
        <v xml:space="preserve">N35DC   </v>
      </c>
      <c r="N4188">
        <v>1</v>
      </c>
      <c r="O4188">
        <v>1725</v>
      </c>
    </row>
    <row r="4189" spans="1:15" x14ac:dyDescent="0.25">
      <c r="A4189" t="str">
        <f>"10/21/2020 18:44:09.396"</f>
        <v>10/21/2020 18:44:09.396</v>
      </c>
      <c r="B4189" t="str">
        <f>"18:44:17.320"</f>
        <v>18:44:17.320</v>
      </c>
      <c r="C4189" t="str">
        <f>"18:44:16.420"</f>
        <v>18:44:16.420</v>
      </c>
      <c r="D4189" t="s">
        <v>1684</v>
      </c>
      <c r="E4189">
        <v>31.086179999999999</v>
      </c>
      <c r="F4189" t="s">
        <v>1685</v>
      </c>
      <c r="G4189">
        <v>-89.866877000000002</v>
      </c>
      <c r="H4189">
        <v>1700</v>
      </c>
      <c r="I4189">
        <v>-160</v>
      </c>
      <c r="J4189">
        <v>33</v>
      </c>
      <c r="K4189">
        <v>-128</v>
      </c>
      <c r="L4189">
        <v>1200</v>
      </c>
      <c r="M4189" t="str">
        <f t="shared" si="425"/>
        <v xml:space="preserve">N35DC   </v>
      </c>
      <c r="N4189">
        <v>1</v>
      </c>
      <c r="O4189">
        <v>1725</v>
      </c>
    </row>
    <row r="4190" spans="1:15" x14ac:dyDescent="0.25">
      <c r="A4190" t="str">
        <f>"10/21/2020 18:44:09.396"</f>
        <v>10/21/2020 18:44:09.396</v>
      </c>
      <c r="B4190" t="str">
        <f>"18:44:17.320"</f>
        <v>18:44:17.320</v>
      </c>
      <c r="C4190" t="str">
        <f>"18:44:16.420"</f>
        <v>18:44:16.420</v>
      </c>
      <c r="D4190" t="s">
        <v>1684</v>
      </c>
      <c r="E4190">
        <v>31.086179999999999</v>
      </c>
      <c r="F4190" t="s">
        <v>1685</v>
      </c>
      <c r="G4190">
        <v>-89.866877000000002</v>
      </c>
      <c r="H4190">
        <v>1700</v>
      </c>
      <c r="I4190">
        <v>-160</v>
      </c>
      <c r="J4190">
        <v>33</v>
      </c>
      <c r="K4190">
        <v>-128</v>
      </c>
      <c r="L4190">
        <v>1200</v>
      </c>
      <c r="M4190" t="str">
        <f t="shared" si="425"/>
        <v xml:space="preserve">N35DC   </v>
      </c>
      <c r="N4190">
        <v>1</v>
      </c>
      <c r="O4190">
        <v>1725</v>
      </c>
    </row>
    <row r="4191" spans="1:15" x14ac:dyDescent="0.25">
      <c r="A4191" t="str">
        <f>"10/21/2020 18:44:09.396"</f>
        <v>10/21/2020 18:44:09.396</v>
      </c>
      <c r="B4191" t="str">
        <f>"18:44:17.320"</f>
        <v>18:44:17.320</v>
      </c>
      <c r="C4191" t="str">
        <f>"18:44:16.420"</f>
        <v>18:44:16.420</v>
      </c>
      <c r="D4191" t="s">
        <v>1684</v>
      </c>
      <c r="E4191">
        <v>31.086179999999999</v>
      </c>
      <c r="F4191" t="s">
        <v>1685</v>
      </c>
      <c r="G4191">
        <v>-89.866877000000002</v>
      </c>
      <c r="H4191">
        <v>1700</v>
      </c>
      <c r="I4191">
        <v>-160</v>
      </c>
      <c r="J4191">
        <v>33</v>
      </c>
      <c r="K4191">
        <v>-128</v>
      </c>
      <c r="L4191">
        <v>1200</v>
      </c>
      <c r="M4191" t="str">
        <f t="shared" si="425"/>
        <v xml:space="preserve">N35DC   </v>
      </c>
      <c r="N4191">
        <v>1</v>
      </c>
      <c r="O4191">
        <v>1725</v>
      </c>
    </row>
    <row r="4192" spans="1:15" x14ac:dyDescent="0.25">
      <c r="A4192" t="str">
        <f>"10/21/2020 18:44:12.477"</f>
        <v>10/21/2020 18:44:12.477</v>
      </c>
      <c r="B4192" t="str">
        <f>"18:44:20.367"</f>
        <v>18:44:20.367</v>
      </c>
      <c r="C4192" t="str">
        <f>"18:44:19.967"</f>
        <v>18:44:19.967</v>
      </c>
      <c r="D4192" t="s">
        <v>1686</v>
      </c>
      <c r="E4192">
        <v>31.086372999999998</v>
      </c>
      <c r="F4192" t="s">
        <v>918</v>
      </c>
      <c r="G4192">
        <v>-89.869536999999994</v>
      </c>
      <c r="H4192">
        <v>1700</v>
      </c>
      <c r="I4192">
        <v>-164</v>
      </c>
      <c r="J4192">
        <v>10</v>
      </c>
      <c r="K4192">
        <v>0</v>
      </c>
      <c r="L4192">
        <v>1200</v>
      </c>
      <c r="M4192" t="str">
        <f t="shared" si="425"/>
        <v xml:space="preserve">N35DC   </v>
      </c>
      <c r="N4192">
        <v>1</v>
      </c>
      <c r="O4192">
        <v>1725</v>
      </c>
    </row>
    <row r="4193" spans="1:15" x14ac:dyDescent="0.25">
      <c r="A4193" t="str">
        <f>"10/21/2020 18:44:12.477"</f>
        <v>10/21/2020 18:44:12.477</v>
      </c>
      <c r="B4193" t="str">
        <f>"18:44:20.367"</f>
        <v>18:44:20.367</v>
      </c>
      <c r="C4193" t="str">
        <f>"18:44:19.967"</f>
        <v>18:44:19.967</v>
      </c>
      <c r="D4193" t="s">
        <v>1686</v>
      </c>
      <c r="E4193">
        <v>31.086372999999998</v>
      </c>
      <c r="F4193" t="s">
        <v>918</v>
      </c>
      <c r="G4193">
        <v>-89.869536999999994</v>
      </c>
      <c r="H4193">
        <v>1700</v>
      </c>
      <c r="I4193">
        <v>-164</v>
      </c>
      <c r="J4193">
        <v>10</v>
      </c>
      <c r="K4193">
        <v>0</v>
      </c>
      <c r="L4193">
        <v>1200</v>
      </c>
      <c r="M4193" t="str">
        <f t="shared" si="425"/>
        <v xml:space="preserve">N35DC   </v>
      </c>
      <c r="N4193">
        <v>1</v>
      </c>
      <c r="O4193">
        <v>1725</v>
      </c>
    </row>
    <row r="4194" spans="1:15" x14ac:dyDescent="0.25">
      <c r="A4194" t="str">
        <f>"10/21/2020 18:44:12.477"</f>
        <v>10/21/2020 18:44:12.477</v>
      </c>
      <c r="B4194" t="str">
        <f>"18:44:20.367"</f>
        <v>18:44:20.367</v>
      </c>
      <c r="C4194" t="str">
        <f>"18:44:19.967"</f>
        <v>18:44:19.967</v>
      </c>
      <c r="D4194" t="s">
        <v>1686</v>
      </c>
      <c r="E4194">
        <v>31.086372999999998</v>
      </c>
      <c r="F4194" t="s">
        <v>918</v>
      </c>
      <c r="G4194">
        <v>-89.869536999999994</v>
      </c>
      <c r="H4194">
        <v>1700</v>
      </c>
      <c r="I4194">
        <v>-164</v>
      </c>
      <c r="J4194">
        <v>10</v>
      </c>
      <c r="K4194">
        <v>0</v>
      </c>
      <c r="L4194">
        <v>1200</v>
      </c>
      <c r="M4194" t="str">
        <f t="shared" si="425"/>
        <v xml:space="preserve">N35DC   </v>
      </c>
      <c r="N4194">
        <v>1</v>
      </c>
      <c r="O4194">
        <v>1725</v>
      </c>
    </row>
    <row r="4195" spans="1:15" x14ac:dyDescent="0.25">
      <c r="A4195" t="str">
        <f>"10/21/2020 18:44:12.477"</f>
        <v>10/21/2020 18:44:12.477</v>
      </c>
      <c r="B4195" t="str">
        <f>"18:44:20.367"</f>
        <v>18:44:20.367</v>
      </c>
      <c r="C4195" t="str">
        <f>"18:44:19.967"</f>
        <v>18:44:19.967</v>
      </c>
      <c r="D4195" t="s">
        <v>1686</v>
      </c>
      <c r="E4195">
        <v>31.086372999999998</v>
      </c>
      <c r="F4195" t="s">
        <v>918</v>
      </c>
      <c r="G4195">
        <v>-89.869536999999994</v>
      </c>
      <c r="H4195">
        <v>1700</v>
      </c>
      <c r="I4195">
        <v>-164</v>
      </c>
      <c r="J4195">
        <v>10</v>
      </c>
      <c r="K4195">
        <v>0</v>
      </c>
      <c r="L4195">
        <v>1200</v>
      </c>
      <c r="M4195" t="str">
        <f t="shared" si="425"/>
        <v xml:space="preserve">N35DC   </v>
      </c>
      <c r="N4195">
        <v>1</v>
      </c>
      <c r="O4195">
        <v>1725</v>
      </c>
    </row>
    <row r="4196" spans="1:15" x14ac:dyDescent="0.25">
      <c r="A4196" t="str">
        <f>"10/21/2020 18:44:13.435"</f>
        <v>10/21/2020 18:44:13.435</v>
      </c>
      <c r="B4196" t="str">
        <f t="shared" ref="B4196:C4199" si="426">"18:44:21.352"</f>
        <v>18:44:21.352</v>
      </c>
      <c r="C4196" t="str">
        <f t="shared" si="426"/>
        <v>18:44:21.352</v>
      </c>
      <c r="D4196" t="s">
        <v>1687</v>
      </c>
      <c r="E4196">
        <v>31.086416</v>
      </c>
      <c r="F4196" t="s">
        <v>954</v>
      </c>
      <c r="G4196">
        <v>-89.870417000000003</v>
      </c>
      <c r="H4196">
        <v>1700</v>
      </c>
      <c r="I4196">
        <v>-165</v>
      </c>
      <c r="J4196">
        <v>0</v>
      </c>
      <c r="K4196">
        <v>-128</v>
      </c>
      <c r="L4196">
        <v>1200</v>
      </c>
      <c r="M4196" t="str">
        <f t="shared" si="425"/>
        <v xml:space="preserve">N35DC   </v>
      </c>
      <c r="N4196">
        <v>1</v>
      </c>
      <c r="O4196">
        <v>1725</v>
      </c>
    </row>
    <row r="4197" spans="1:15" x14ac:dyDescent="0.25">
      <c r="A4197" t="str">
        <f>"10/21/2020 18:44:13.435"</f>
        <v>10/21/2020 18:44:13.435</v>
      </c>
      <c r="B4197" t="str">
        <f t="shared" si="426"/>
        <v>18:44:21.352</v>
      </c>
      <c r="C4197" t="str">
        <f t="shared" si="426"/>
        <v>18:44:21.352</v>
      </c>
      <c r="D4197" t="s">
        <v>1687</v>
      </c>
      <c r="E4197">
        <v>31.086416</v>
      </c>
      <c r="F4197" t="s">
        <v>954</v>
      </c>
      <c r="G4197">
        <v>-89.870417000000003</v>
      </c>
      <c r="H4197">
        <v>1700</v>
      </c>
      <c r="I4197">
        <v>-165</v>
      </c>
      <c r="J4197">
        <v>0</v>
      </c>
      <c r="K4197">
        <v>-128</v>
      </c>
      <c r="L4197">
        <v>1200</v>
      </c>
      <c r="M4197" t="str">
        <f t="shared" si="425"/>
        <v xml:space="preserve">N35DC   </v>
      </c>
      <c r="N4197">
        <v>1</v>
      </c>
      <c r="O4197">
        <v>1725</v>
      </c>
    </row>
    <row r="4198" spans="1:15" x14ac:dyDescent="0.25">
      <c r="A4198" t="str">
        <f>"10/21/2020 18:44:13.435"</f>
        <v>10/21/2020 18:44:13.435</v>
      </c>
      <c r="B4198" t="str">
        <f t="shared" si="426"/>
        <v>18:44:21.352</v>
      </c>
      <c r="C4198" t="str">
        <f t="shared" si="426"/>
        <v>18:44:21.352</v>
      </c>
      <c r="D4198" t="s">
        <v>1687</v>
      </c>
      <c r="E4198">
        <v>31.086416</v>
      </c>
      <c r="F4198" t="s">
        <v>954</v>
      </c>
      <c r="G4198">
        <v>-89.870417000000003</v>
      </c>
      <c r="H4198">
        <v>1700</v>
      </c>
      <c r="I4198">
        <v>-165</v>
      </c>
      <c r="J4198">
        <v>0</v>
      </c>
      <c r="K4198">
        <v>-128</v>
      </c>
      <c r="L4198">
        <v>1200</v>
      </c>
      <c r="M4198" t="str">
        <f t="shared" si="425"/>
        <v xml:space="preserve">N35DC   </v>
      </c>
      <c r="N4198">
        <v>1</v>
      </c>
      <c r="O4198">
        <v>1725</v>
      </c>
    </row>
    <row r="4199" spans="1:15" x14ac:dyDescent="0.25">
      <c r="A4199" t="str">
        <f>"10/21/2020 18:44:13.435"</f>
        <v>10/21/2020 18:44:13.435</v>
      </c>
      <c r="B4199" t="str">
        <f t="shared" si="426"/>
        <v>18:44:21.352</v>
      </c>
      <c r="C4199" t="str">
        <f t="shared" si="426"/>
        <v>18:44:21.352</v>
      </c>
      <c r="D4199" t="s">
        <v>1687</v>
      </c>
      <c r="E4199">
        <v>31.086416</v>
      </c>
      <c r="F4199" t="s">
        <v>954</v>
      </c>
      <c r="G4199">
        <v>-89.870417000000003</v>
      </c>
      <c r="H4199">
        <v>1700</v>
      </c>
      <c r="I4199">
        <v>-165</v>
      </c>
      <c r="J4199">
        <v>0</v>
      </c>
      <c r="K4199">
        <v>-128</v>
      </c>
      <c r="L4199">
        <v>1200</v>
      </c>
      <c r="M4199" t="str">
        <f t="shared" si="425"/>
        <v xml:space="preserve">N35DC   </v>
      </c>
      <c r="N4199">
        <v>1</v>
      </c>
      <c r="O4199">
        <v>1725</v>
      </c>
    </row>
    <row r="4200" spans="1:15" x14ac:dyDescent="0.25">
      <c r="A4200" t="str">
        <f>"10/21/2020 18:44:16.329"</f>
        <v>10/21/2020 18:44:16.329</v>
      </c>
      <c r="B4200" t="str">
        <f>"18:44:24.234"</f>
        <v>18:44:24.234</v>
      </c>
      <c r="C4200" t="str">
        <f>"18:44:23.834"</f>
        <v>18:44:23.834</v>
      </c>
      <c r="D4200" t="s">
        <v>1688</v>
      </c>
      <c r="E4200">
        <v>31.086245000000002</v>
      </c>
      <c r="F4200" t="s">
        <v>1689</v>
      </c>
      <c r="G4200">
        <v>-89.872991999999996</v>
      </c>
      <c r="H4200">
        <v>1600</v>
      </c>
      <c r="I4200">
        <v>-164</v>
      </c>
      <c r="J4200">
        <v>-17</v>
      </c>
      <c r="K4200">
        <v>-128</v>
      </c>
      <c r="L4200">
        <v>1200</v>
      </c>
      <c r="M4200" t="str">
        <f t="shared" si="425"/>
        <v xml:space="preserve">N35DC   </v>
      </c>
      <c r="N4200">
        <v>1</v>
      </c>
      <c r="O4200">
        <v>1725</v>
      </c>
    </row>
    <row r="4201" spans="1:15" x14ac:dyDescent="0.25">
      <c r="A4201" t="str">
        <f>"10/21/2020 18:44:16.329"</f>
        <v>10/21/2020 18:44:16.329</v>
      </c>
      <c r="B4201" t="str">
        <f>"18:44:24.234"</f>
        <v>18:44:24.234</v>
      </c>
      <c r="C4201" t="str">
        <f>"18:44:23.834"</f>
        <v>18:44:23.834</v>
      </c>
      <c r="D4201" t="s">
        <v>1688</v>
      </c>
      <c r="E4201">
        <v>31.086245000000002</v>
      </c>
      <c r="F4201" t="s">
        <v>1689</v>
      </c>
      <c r="G4201">
        <v>-89.872991999999996</v>
      </c>
      <c r="H4201">
        <v>1600</v>
      </c>
      <c r="I4201">
        <v>-164</v>
      </c>
      <c r="J4201">
        <v>-17</v>
      </c>
      <c r="K4201">
        <v>-128</v>
      </c>
      <c r="L4201">
        <v>1200</v>
      </c>
      <c r="M4201" t="str">
        <f t="shared" si="425"/>
        <v xml:space="preserve">N35DC   </v>
      </c>
      <c r="N4201">
        <v>1</v>
      </c>
      <c r="O4201">
        <v>1725</v>
      </c>
    </row>
    <row r="4202" spans="1:15" x14ac:dyDescent="0.25">
      <c r="A4202" t="str">
        <f>"10/21/2020 18:44:16.329"</f>
        <v>10/21/2020 18:44:16.329</v>
      </c>
      <c r="B4202" t="str">
        <f>"18:44:24.234"</f>
        <v>18:44:24.234</v>
      </c>
      <c r="C4202" t="str">
        <f>"18:44:23.834"</f>
        <v>18:44:23.834</v>
      </c>
      <c r="D4202" t="s">
        <v>1688</v>
      </c>
      <c r="E4202">
        <v>31.086245000000002</v>
      </c>
      <c r="F4202" t="s">
        <v>1689</v>
      </c>
      <c r="G4202">
        <v>-89.872991999999996</v>
      </c>
      <c r="H4202">
        <v>1600</v>
      </c>
      <c r="I4202">
        <v>-164</v>
      </c>
      <c r="J4202">
        <v>-17</v>
      </c>
      <c r="K4202">
        <v>-128</v>
      </c>
      <c r="L4202">
        <v>1200</v>
      </c>
      <c r="M4202" t="str">
        <f t="shared" si="425"/>
        <v xml:space="preserve">N35DC   </v>
      </c>
      <c r="N4202">
        <v>1</v>
      </c>
      <c r="O4202">
        <v>1725</v>
      </c>
    </row>
    <row r="4203" spans="1:15" x14ac:dyDescent="0.25">
      <c r="A4203" t="str">
        <f>"10/21/2020 18:44:16.868"</f>
        <v>10/21/2020 18:44:16.868</v>
      </c>
      <c r="B4203" t="str">
        <f>"18:44:24.789"</f>
        <v>18:44:24.789</v>
      </c>
      <c r="C4203" t="str">
        <f>"18:44:24.289"</f>
        <v>18:44:24.289</v>
      </c>
      <c r="D4203" t="s">
        <v>1684</v>
      </c>
      <c r="E4203">
        <v>31.086179999999999</v>
      </c>
      <c r="F4203" t="s">
        <v>1525</v>
      </c>
      <c r="G4203">
        <v>-89.873486</v>
      </c>
      <c r="H4203">
        <v>1600</v>
      </c>
      <c r="I4203">
        <v>-164</v>
      </c>
      <c r="J4203">
        <v>-21</v>
      </c>
      <c r="K4203">
        <v>-128</v>
      </c>
      <c r="L4203">
        <v>1200</v>
      </c>
      <c r="M4203" t="str">
        <f t="shared" si="425"/>
        <v xml:space="preserve">N35DC   </v>
      </c>
      <c r="N4203">
        <v>1</v>
      </c>
      <c r="O4203">
        <v>1725</v>
      </c>
    </row>
    <row r="4204" spans="1:15" x14ac:dyDescent="0.25">
      <c r="A4204" t="str">
        <f>"10/21/2020 18:44:21.279"</f>
        <v>10/21/2020 18:44:21.279</v>
      </c>
      <c r="B4204" t="str">
        <f>"18:44:29.211"</f>
        <v>18:44:29.211</v>
      </c>
      <c r="C4204" t="str">
        <f>"18:44:28.911"</f>
        <v>18:44:28.911</v>
      </c>
      <c r="D4204" t="s">
        <v>1690</v>
      </c>
      <c r="E4204">
        <v>31.085322000000001</v>
      </c>
      <c r="F4204" t="s">
        <v>1691</v>
      </c>
      <c r="G4204">
        <v>-89.877325999999996</v>
      </c>
      <c r="H4204">
        <v>1600</v>
      </c>
      <c r="I4204">
        <v>-158</v>
      </c>
      <c r="J4204">
        <v>-52</v>
      </c>
      <c r="K4204">
        <v>64</v>
      </c>
      <c r="L4204">
        <v>1200</v>
      </c>
      <c r="M4204" t="str">
        <f t="shared" si="425"/>
        <v xml:space="preserve">N35DC   </v>
      </c>
      <c r="N4204">
        <v>1</v>
      </c>
      <c r="O4204">
        <v>1725</v>
      </c>
    </row>
    <row r="4205" spans="1:15" x14ac:dyDescent="0.25">
      <c r="A4205" t="str">
        <f>"10/21/2020 18:44:21.279"</f>
        <v>10/21/2020 18:44:21.279</v>
      </c>
      <c r="B4205" t="str">
        <f>"18:44:29.211"</f>
        <v>18:44:29.211</v>
      </c>
      <c r="C4205" t="str">
        <f>"18:44:28.911"</f>
        <v>18:44:28.911</v>
      </c>
      <c r="D4205" t="s">
        <v>1690</v>
      </c>
      <c r="E4205">
        <v>31.085322000000001</v>
      </c>
      <c r="F4205" t="s">
        <v>1691</v>
      </c>
      <c r="G4205">
        <v>-89.877325999999996</v>
      </c>
      <c r="H4205">
        <v>1600</v>
      </c>
      <c r="I4205">
        <v>-158</v>
      </c>
      <c r="J4205">
        <v>-52</v>
      </c>
      <c r="K4205">
        <v>64</v>
      </c>
      <c r="L4205">
        <v>1200</v>
      </c>
      <c r="M4205" t="str">
        <f t="shared" si="425"/>
        <v xml:space="preserve">N35DC   </v>
      </c>
      <c r="N4205">
        <v>1</v>
      </c>
      <c r="O4205">
        <v>1725</v>
      </c>
    </row>
    <row r="4206" spans="1:15" x14ac:dyDescent="0.25">
      <c r="A4206" t="str">
        <f>"10/21/2020 18:44:21.279"</f>
        <v>10/21/2020 18:44:21.279</v>
      </c>
      <c r="B4206" t="str">
        <f>"18:44:29.211"</f>
        <v>18:44:29.211</v>
      </c>
      <c r="C4206" t="str">
        <f>"18:44:28.911"</f>
        <v>18:44:28.911</v>
      </c>
      <c r="D4206" t="s">
        <v>1690</v>
      </c>
      <c r="E4206">
        <v>31.085322000000001</v>
      </c>
      <c r="F4206" t="s">
        <v>1691</v>
      </c>
      <c r="G4206">
        <v>-89.877325999999996</v>
      </c>
      <c r="H4206">
        <v>1600</v>
      </c>
      <c r="I4206">
        <v>-158</v>
      </c>
      <c r="J4206">
        <v>-52</v>
      </c>
      <c r="K4206">
        <v>64</v>
      </c>
      <c r="L4206">
        <v>1200</v>
      </c>
      <c r="M4206" t="str">
        <f t="shared" si="425"/>
        <v xml:space="preserve">N35DC   </v>
      </c>
      <c r="N4206">
        <v>1</v>
      </c>
      <c r="O4206">
        <v>1725</v>
      </c>
    </row>
    <row r="4207" spans="1:15" x14ac:dyDescent="0.25">
      <c r="A4207" t="str">
        <f>"10/21/2020 18:44:21.806"</f>
        <v>10/21/2020 18:44:21.806</v>
      </c>
      <c r="B4207" t="str">
        <f>"18:44:29.695"</f>
        <v>18:44:29.695</v>
      </c>
      <c r="C4207" t="str">
        <f>"18:44:29.295"</f>
        <v>18:44:29.295</v>
      </c>
      <c r="D4207" t="s">
        <v>1692</v>
      </c>
      <c r="E4207">
        <v>31.085172</v>
      </c>
      <c r="F4207" t="s">
        <v>1693</v>
      </c>
      <c r="G4207">
        <v>-89.877690999999999</v>
      </c>
      <c r="H4207">
        <v>1600</v>
      </c>
      <c r="I4207">
        <v>-157</v>
      </c>
      <c r="J4207">
        <v>-55</v>
      </c>
      <c r="K4207">
        <v>128</v>
      </c>
      <c r="L4207">
        <v>1200</v>
      </c>
      <c r="M4207" t="str">
        <f t="shared" si="425"/>
        <v xml:space="preserve">N35DC   </v>
      </c>
      <c r="N4207">
        <v>1</v>
      </c>
      <c r="O4207">
        <v>1725</v>
      </c>
    </row>
    <row r="4208" spans="1:15" x14ac:dyDescent="0.25">
      <c r="A4208" t="str">
        <f>"10/21/2020 18:44:22.391"</f>
        <v>10/21/2020 18:44:22.391</v>
      </c>
      <c r="B4208" t="str">
        <f t="shared" ref="B4208:C4210" si="427">"18:44:30.266"</f>
        <v>18:44:30.266</v>
      </c>
      <c r="C4208" t="str">
        <f t="shared" si="427"/>
        <v>18:44:30.266</v>
      </c>
      <c r="D4208" t="s">
        <v>1694</v>
      </c>
      <c r="E4208">
        <v>31.085021000000001</v>
      </c>
      <c r="F4208" t="s">
        <v>1695</v>
      </c>
      <c r="G4208">
        <v>-89.878206000000006</v>
      </c>
      <c r="H4208">
        <v>1600</v>
      </c>
      <c r="I4208">
        <v>-154</v>
      </c>
      <c r="J4208">
        <v>-61</v>
      </c>
      <c r="K4208">
        <v>128</v>
      </c>
      <c r="L4208">
        <v>1200</v>
      </c>
      <c r="M4208" t="str">
        <f t="shared" si="425"/>
        <v xml:space="preserve">N35DC   </v>
      </c>
      <c r="N4208">
        <v>1</v>
      </c>
      <c r="O4208">
        <v>1725</v>
      </c>
    </row>
    <row r="4209" spans="1:15" x14ac:dyDescent="0.25">
      <c r="A4209" t="str">
        <f>"10/21/2020 18:44:22.391"</f>
        <v>10/21/2020 18:44:22.391</v>
      </c>
      <c r="B4209" t="str">
        <f t="shared" si="427"/>
        <v>18:44:30.266</v>
      </c>
      <c r="C4209" t="str">
        <f t="shared" si="427"/>
        <v>18:44:30.266</v>
      </c>
      <c r="D4209" t="s">
        <v>1694</v>
      </c>
      <c r="E4209">
        <v>31.085021000000001</v>
      </c>
      <c r="F4209" t="s">
        <v>1695</v>
      </c>
      <c r="G4209">
        <v>-89.878206000000006</v>
      </c>
      <c r="H4209">
        <v>1600</v>
      </c>
      <c r="I4209">
        <v>-154</v>
      </c>
      <c r="J4209">
        <v>-61</v>
      </c>
      <c r="K4209">
        <v>128</v>
      </c>
      <c r="L4209">
        <v>1200</v>
      </c>
      <c r="M4209" t="str">
        <f t="shared" si="425"/>
        <v xml:space="preserve">N35DC   </v>
      </c>
      <c r="N4209">
        <v>1</v>
      </c>
      <c r="O4209">
        <v>1725</v>
      </c>
    </row>
    <row r="4210" spans="1:15" x14ac:dyDescent="0.25">
      <c r="A4210" t="str">
        <f>"10/21/2020 18:44:22.391"</f>
        <v>10/21/2020 18:44:22.391</v>
      </c>
      <c r="B4210" t="str">
        <f t="shared" si="427"/>
        <v>18:44:30.266</v>
      </c>
      <c r="C4210" t="str">
        <f t="shared" si="427"/>
        <v>18:44:30.266</v>
      </c>
      <c r="D4210" t="s">
        <v>1694</v>
      </c>
      <c r="E4210">
        <v>31.085021000000001</v>
      </c>
      <c r="F4210" t="s">
        <v>1695</v>
      </c>
      <c r="G4210">
        <v>-89.878206000000006</v>
      </c>
      <c r="H4210">
        <v>1600</v>
      </c>
      <c r="I4210">
        <v>-154</v>
      </c>
      <c r="J4210">
        <v>-61</v>
      </c>
      <c r="K4210">
        <v>128</v>
      </c>
      <c r="L4210">
        <v>1200</v>
      </c>
      <c r="M4210" t="str">
        <f t="shared" si="425"/>
        <v xml:space="preserve">N35DC   </v>
      </c>
      <c r="N4210">
        <v>1</v>
      </c>
      <c r="O4210">
        <v>1725</v>
      </c>
    </row>
    <row r="4211" spans="1:15" x14ac:dyDescent="0.25">
      <c r="A4211" t="str">
        <f>"10/21/2020 18:44:24.361"</f>
        <v>10/21/2020 18:44:24.361</v>
      </c>
      <c r="B4211" t="str">
        <f>"18:44:32.305"</f>
        <v>18:44:32.305</v>
      </c>
      <c r="C4211" t="str">
        <f>"18:44:31.905"</f>
        <v>18:44:31.905</v>
      </c>
      <c r="D4211" t="s">
        <v>1696</v>
      </c>
      <c r="E4211">
        <v>31.084378000000001</v>
      </c>
      <c r="F4211" t="s">
        <v>1697</v>
      </c>
      <c r="G4211">
        <v>-89.879857999999999</v>
      </c>
      <c r="H4211">
        <v>1700</v>
      </c>
      <c r="I4211">
        <v>-150</v>
      </c>
      <c r="J4211">
        <v>-71</v>
      </c>
      <c r="K4211">
        <v>192</v>
      </c>
      <c r="L4211">
        <v>1200</v>
      </c>
      <c r="M4211" t="str">
        <f t="shared" si="425"/>
        <v xml:space="preserve">N35DC   </v>
      </c>
      <c r="N4211">
        <v>1</v>
      </c>
      <c r="O4211">
        <v>1725</v>
      </c>
    </row>
    <row r="4212" spans="1:15" x14ac:dyDescent="0.25">
      <c r="A4212" t="str">
        <f>"10/21/2020 18:44:24.361"</f>
        <v>10/21/2020 18:44:24.361</v>
      </c>
      <c r="B4212" t="str">
        <f>"18:44:32.305"</f>
        <v>18:44:32.305</v>
      </c>
      <c r="C4212" t="str">
        <f>"18:44:31.905"</f>
        <v>18:44:31.905</v>
      </c>
      <c r="D4212" t="s">
        <v>1696</v>
      </c>
      <c r="E4212">
        <v>31.084378000000001</v>
      </c>
      <c r="F4212" t="s">
        <v>1697</v>
      </c>
      <c r="G4212">
        <v>-89.879857999999999</v>
      </c>
      <c r="H4212">
        <v>1700</v>
      </c>
      <c r="I4212">
        <v>-150</v>
      </c>
      <c r="J4212">
        <v>-71</v>
      </c>
      <c r="K4212">
        <v>192</v>
      </c>
      <c r="L4212">
        <v>1200</v>
      </c>
      <c r="M4212" t="str">
        <f t="shared" si="425"/>
        <v xml:space="preserve">N35DC   </v>
      </c>
      <c r="N4212">
        <v>1</v>
      </c>
      <c r="O4212">
        <v>1725</v>
      </c>
    </row>
    <row r="4213" spans="1:15" x14ac:dyDescent="0.25">
      <c r="A4213" t="str">
        <f>"10/21/2020 18:44:24.361"</f>
        <v>10/21/2020 18:44:24.361</v>
      </c>
      <c r="B4213" t="str">
        <f>"18:44:32.305"</f>
        <v>18:44:32.305</v>
      </c>
      <c r="C4213" t="str">
        <f>"18:44:31.905"</f>
        <v>18:44:31.905</v>
      </c>
      <c r="D4213" t="s">
        <v>1696</v>
      </c>
      <c r="E4213">
        <v>31.084378000000001</v>
      </c>
      <c r="F4213" t="s">
        <v>1697</v>
      </c>
      <c r="G4213">
        <v>-89.879857999999999</v>
      </c>
      <c r="H4213">
        <v>1700</v>
      </c>
      <c r="I4213">
        <v>-150</v>
      </c>
      <c r="J4213">
        <v>-71</v>
      </c>
      <c r="K4213">
        <v>192</v>
      </c>
      <c r="L4213">
        <v>1200</v>
      </c>
      <c r="M4213" t="str">
        <f t="shared" si="425"/>
        <v xml:space="preserve">N35DC   </v>
      </c>
      <c r="N4213">
        <v>1</v>
      </c>
      <c r="O4213">
        <v>1725</v>
      </c>
    </row>
    <row r="4214" spans="1:15" x14ac:dyDescent="0.25">
      <c r="A4214" t="str">
        <f>"10/21/2020 18:44:24.361"</f>
        <v>10/21/2020 18:44:24.361</v>
      </c>
      <c r="B4214" t="str">
        <f>"18:44:32.305"</f>
        <v>18:44:32.305</v>
      </c>
      <c r="C4214" t="str">
        <f>"18:44:31.905"</f>
        <v>18:44:31.905</v>
      </c>
      <c r="D4214" t="s">
        <v>1696</v>
      </c>
      <c r="E4214">
        <v>31.084378000000001</v>
      </c>
      <c r="F4214" t="s">
        <v>1697</v>
      </c>
      <c r="G4214">
        <v>-89.879857999999999</v>
      </c>
      <c r="H4214">
        <v>1700</v>
      </c>
      <c r="I4214">
        <v>-150</v>
      </c>
      <c r="J4214">
        <v>-71</v>
      </c>
      <c r="K4214">
        <v>192</v>
      </c>
      <c r="L4214">
        <v>1200</v>
      </c>
      <c r="M4214" t="str">
        <f t="shared" si="425"/>
        <v xml:space="preserve">N35DC   </v>
      </c>
      <c r="N4214">
        <v>1</v>
      </c>
      <c r="O4214">
        <v>1725</v>
      </c>
    </row>
    <row r="4215" spans="1:15" x14ac:dyDescent="0.25">
      <c r="A4215" t="str">
        <f>"10/21/2020 18:44:25.421"</f>
        <v>10/21/2020 18:44:25.421</v>
      </c>
      <c r="B4215" t="str">
        <f>"18:44:33.336"</f>
        <v>18:44:33.336</v>
      </c>
      <c r="C4215" t="str">
        <f>"18:44:33.036"</f>
        <v>18:44:33.036</v>
      </c>
      <c r="D4215" t="s">
        <v>1698</v>
      </c>
      <c r="E4215">
        <v>31.083991999999999</v>
      </c>
      <c r="F4215" t="s">
        <v>1699</v>
      </c>
      <c r="G4215">
        <v>-89.880651999999998</v>
      </c>
      <c r="H4215">
        <v>1600</v>
      </c>
      <c r="I4215">
        <v>-146</v>
      </c>
      <c r="J4215">
        <v>-78</v>
      </c>
      <c r="K4215">
        <v>64</v>
      </c>
      <c r="L4215">
        <v>1200</v>
      </c>
      <c r="M4215" t="str">
        <f t="shared" si="425"/>
        <v xml:space="preserve">N35DC   </v>
      </c>
      <c r="N4215">
        <v>1</v>
      </c>
      <c r="O4215">
        <v>1725</v>
      </c>
    </row>
    <row r="4216" spans="1:15" x14ac:dyDescent="0.25">
      <c r="A4216" t="str">
        <f>"10/21/2020 18:44:25.421"</f>
        <v>10/21/2020 18:44:25.421</v>
      </c>
      <c r="B4216" t="str">
        <f>"18:44:33.336"</f>
        <v>18:44:33.336</v>
      </c>
      <c r="C4216" t="str">
        <f>"18:44:33.036"</f>
        <v>18:44:33.036</v>
      </c>
      <c r="D4216" t="s">
        <v>1698</v>
      </c>
      <c r="E4216">
        <v>31.083991999999999</v>
      </c>
      <c r="F4216" t="s">
        <v>1699</v>
      </c>
      <c r="G4216">
        <v>-89.880651999999998</v>
      </c>
      <c r="H4216">
        <v>1600</v>
      </c>
      <c r="I4216">
        <v>-146</v>
      </c>
      <c r="J4216">
        <v>-78</v>
      </c>
      <c r="K4216">
        <v>64</v>
      </c>
      <c r="L4216">
        <v>1200</v>
      </c>
      <c r="M4216" t="str">
        <f t="shared" si="425"/>
        <v xml:space="preserve">N35DC   </v>
      </c>
      <c r="N4216">
        <v>1</v>
      </c>
      <c r="O4216">
        <v>1725</v>
      </c>
    </row>
    <row r="4217" spans="1:15" x14ac:dyDescent="0.25">
      <c r="A4217" t="str">
        <f>"10/21/2020 18:44:25.421"</f>
        <v>10/21/2020 18:44:25.421</v>
      </c>
      <c r="B4217" t="str">
        <f>"18:44:33.336"</f>
        <v>18:44:33.336</v>
      </c>
      <c r="C4217" t="str">
        <f>"18:44:33.036"</f>
        <v>18:44:33.036</v>
      </c>
      <c r="D4217" t="s">
        <v>1698</v>
      </c>
      <c r="E4217">
        <v>31.083991999999999</v>
      </c>
      <c r="F4217" t="s">
        <v>1699</v>
      </c>
      <c r="G4217">
        <v>-89.880651999999998</v>
      </c>
      <c r="H4217">
        <v>1600</v>
      </c>
      <c r="I4217">
        <v>-146</v>
      </c>
      <c r="J4217">
        <v>-78</v>
      </c>
      <c r="K4217">
        <v>64</v>
      </c>
      <c r="L4217">
        <v>1200</v>
      </c>
      <c r="M4217" t="str">
        <f t="shared" si="425"/>
        <v xml:space="preserve">N35DC   </v>
      </c>
      <c r="N4217">
        <v>1</v>
      </c>
      <c r="O4217">
        <v>1725</v>
      </c>
    </row>
    <row r="4218" spans="1:15" x14ac:dyDescent="0.25">
      <c r="A4218" t="str">
        <f>"10/21/2020 18:44:25.421"</f>
        <v>10/21/2020 18:44:25.421</v>
      </c>
      <c r="B4218" t="str">
        <f>"18:44:33.336"</f>
        <v>18:44:33.336</v>
      </c>
      <c r="C4218" t="str">
        <f>"18:44:33.036"</f>
        <v>18:44:33.036</v>
      </c>
      <c r="D4218" t="s">
        <v>1698</v>
      </c>
      <c r="E4218">
        <v>31.083991999999999</v>
      </c>
      <c r="F4218" t="s">
        <v>1699</v>
      </c>
      <c r="G4218">
        <v>-89.880651999999998</v>
      </c>
      <c r="H4218">
        <v>1600</v>
      </c>
      <c r="I4218">
        <v>-146</v>
      </c>
      <c r="J4218">
        <v>-78</v>
      </c>
      <c r="K4218">
        <v>64</v>
      </c>
      <c r="L4218">
        <v>1200</v>
      </c>
      <c r="M4218" t="str">
        <f t="shared" si="425"/>
        <v xml:space="preserve">N35DC   </v>
      </c>
      <c r="N4218">
        <v>1</v>
      </c>
      <c r="O4218">
        <v>1725</v>
      </c>
    </row>
    <row r="4219" spans="1:15" x14ac:dyDescent="0.25">
      <c r="A4219" t="str">
        <f>"10/21/2020 18:44:27.787"</f>
        <v>10/21/2020 18:44:27.787</v>
      </c>
      <c r="B4219" t="str">
        <f>"18:44:35.695"</f>
        <v>18:44:35.695</v>
      </c>
      <c r="C4219" t="str">
        <f>"18:44:35.395"</f>
        <v>18:44:35.395</v>
      </c>
      <c r="D4219" t="s">
        <v>1700</v>
      </c>
      <c r="E4219">
        <v>31.083026</v>
      </c>
      <c r="F4219" t="s">
        <v>1701</v>
      </c>
      <c r="G4219">
        <v>-89.882433000000006</v>
      </c>
      <c r="H4219">
        <v>1700</v>
      </c>
      <c r="I4219">
        <v>-138</v>
      </c>
      <c r="J4219">
        <v>-91</v>
      </c>
      <c r="K4219">
        <v>128</v>
      </c>
      <c r="L4219">
        <v>1200</v>
      </c>
      <c r="M4219" t="str">
        <f t="shared" si="425"/>
        <v xml:space="preserve">N35DC   </v>
      </c>
      <c r="N4219">
        <v>1</v>
      </c>
      <c r="O4219">
        <v>1725</v>
      </c>
    </row>
    <row r="4220" spans="1:15" x14ac:dyDescent="0.25">
      <c r="A4220" t="str">
        <f>"10/21/2020 18:44:28.343"</f>
        <v>10/21/2020 18:44:28.343</v>
      </c>
      <c r="B4220" t="str">
        <f>"18:44:36.250"</f>
        <v>18:44:36.250</v>
      </c>
      <c r="C4220" t="str">
        <f>"18:44:35.850"</f>
        <v>18:44:35.850</v>
      </c>
      <c r="D4220" t="s">
        <v>1702</v>
      </c>
      <c r="E4220">
        <v>31.082789999999999</v>
      </c>
      <c r="F4220" t="s">
        <v>1703</v>
      </c>
      <c r="G4220">
        <v>-89.882840999999999</v>
      </c>
      <c r="H4220">
        <v>1700</v>
      </c>
      <c r="I4220">
        <v>-136</v>
      </c>
      <c r="J4220">
        <v>-94</v>
      </c>
      <c r="K4220">
        <v>128</v>
      </c>
      <c r="L4220">
        <v>1200</v>
      </c>
      <c r="M4220" t="str">
        <f t="shared" si="425"/>
        <v xml:space="preserve">N35DC   </v>
      </c>
      <c r="N4220">
        <v>1</v>
      </c>
      <c r="O4220">
        <v>1725</v>
      </c>
    </row>
    <row r="4221" spans="1:15" x14ac:dyDescent="0.25">
      <c r="A4221" t="str">
        <f>"10/21/2020 18:44:28.343"</f>
        <v>10/21/2020 18:44:28.343</v>
      </c>
      <c r="B4221" t="str">
        <f>"18:44:36.250"</f>
        <v>18:44:36.250</v>
      </c>
      <c r="C4221" t="str">
        <f>"18:44:35.850"</f>
        <v>18:44:35.850</v>
      </c>
      <c r="D4221" t="s">
        <v>1702</v>
      </c>
      <c r="E4221">
        <v>31.082789999999999</v>
      </c>
      <c r="F4221" t="s">
        <v>1703</v>
      </c>
      <c r="G4221">
        <v>-89.882840999999999</v>
      </c>
      <c r="H4221">
        <v>1700</v>
      </c>
      <c r="I4221">
        <v>-136</v>
      </c>
      <c r="J4221">
        <v>-94</v>
      </c>
      <c r="K4221">
        <v>128</v>
      </c>
      <c r="L4221">
        <v>1200</v>
      </c>
      <c r="M4221" t="str">
        <f t="shared" si="425"/>
        <v xml:space="preserve">N35DC   </v>
      </c>
      <c r="N4221">
        <v>1</v>
      </c>
      <c r="O4221">
        <v>1725</v>
      </c>
    </row>
    <row r="4222" spans="1:15" x14ac:dyDescent="0.25">
      <c r="A4222" t="str">
        <f>"10/21/2020 18:44:28.343"</f>
        <v>10/21/2020 18:44:28.343</v>
      </c>
      <c r="B4222" t="str">
        <f>"18:44:36.250"</f>
        <v>18:44:36.250</v>
      </c>
      <c r="C4222" t="str">
        <f>"18:44:35.850"</f>
        <v>18:44:35.850</v>
      </c>
      <c r="D4222" t="s">
        <v>1702</v>
      </c>
      <c r="E4222">
        <v>31.082789999999999</v>
      </c>
      <c r="F4222" t="s">
        <v>1703</v>
      </c>
      <c r="G4222">
        <v>-89.882840999999999</v>
      </c>
      <c r="H4222">
        <v>1700</v>
      </c>
      <c r="I4222">
        <v>-136</v>
      </c>
      <c r="J4222">
        <v>-94</v>
      </c>
      <c r="K4222">
        <v>128</v>
      </c>
      <c r="L4222">
        <v>1200</v>
      </c>
      <c r="M4222" t="str">
        <f t="shared" si="425"/>
        <v xml:space="preserve">N35DC   </v>
      </c>
      <c r="N4222">
        <v>1</v>
      </c>
      <c r="O4222">
        <v>1725</v>
      </c>
    </row>
    <row r="4223" spans="1:15" x14ac:dyDescent="0.25">
      <c r="A4223" t="str">
        <f>"10/21/2020 18:44:31.314"</f>
        <v>10/21/2020 18:44:31.314</v>
      </c>
      <c r="B4223" t="str">
        <f>"18:44:39.250"</f>
        <v>18:44:39.250</v>
      </c>
      <c r="C4223" t="str">
        <f>"18:44:38.850"</f>
        <v>18:44:38.850</v>
      </c>
      <c r="D4223" t="s">
        <v>1704</v>
      </c>
      <c r="E4223">
        <v>31.081330999999999</v>
      </c>
      <c r="F4223" t="s">
        <v>1705</v>
      </c>
      <c r="G4223">
        <v>-89.884923000000001</v>
      </c>
      <c r="H4223">
        <v>1700</v>
      </c>
      <c r="I4223">
        <v>-124</v>
      </c>
      <c r="J4223">
        <v>-110</v>
      </c>
      <c r="K4223">
        <v>128</v>
      </c>
      <c r="L4223">
        <v>1200</v>
      </c>
      <c r="M4223" t="str">
        <f t="shared" si="425"/>
        <v xml:space="preserve">N35DC   </v>
      </c>
      <c r="N4223">
        <v>1</v>
      </c>
      <c r="O4223">
        <v>1750</v>
      </c>
    </row>
    <row r="4224" spans="1:15" x14ac:dyDescent="0.25">
      <c r="A4224" t="str">
        <f>"10/21/2020 18:44:31.314"</f>
        <v>10/21/2020 18:44:31.314</v>
      </c>
      <c r="B4224" t="str">
        <f>"18:44:39.250"</f>
        <v>18:44:39.250</v>
      </c>
      <c r="C4224" t="str">
        <f>"18:44:38.850"</f>
        <v>18:44:38.850</v>
      </c>
      <c r="D4224" t="s">
        <v>1704</v>
      </c>
      <c r="E4224">
        <v>31.081330999999999</v>
      </c>
      <c r="F4224" t="s">
        <v>1705</v>
      </c>
      <c r="G4224">
        <v>-89.884923000000001</v>
      </c>
      <c r="H4224">
        <v>1700</v>
      </c>
      <c r="I4224">
        <v>-124</v>
      </c>
      <c r="J4224">
        <v>-110</v>
      </c>
      <c r="K4224">
        <v>128</v>
      </c>
      <c r="L4224">
        <v>1200</v>
      </c>
      <c r="M4224" t="str">
        <f t="shared" si="425"/>
        <v xml:space="preserve">N35DC   </v>
      </c>
      <c r="N4224">
        <v>1</v>
      </c>
      <c r="O4224">
        <v>1750</v>
      </c>
    </row>
    <row r="4225" spans="1:15" x14ac:dyDescent="0.25">
      <c r="A4225" t="str">
        <f>"10/21/2020 18:44:31.314"</f>
        <v>10/21/2020 18:44:31.314</v>
      </c>
      <c r="B4225" t="str">
        <f>"18:44:39.250"</f>
        <v>18:44:39.250</v>
      </c>
      <c r="C4225" t="str">
        <f>"18:44:38.850"</f>
        <v>18:44:38.850</v>
      </c>
      <c r="D4225" t="s">
        <v>1704</v>
      </c>
      <c r="E4225">
        <v>31.081330999999999</v>
      </c>
      <c r="F4225" t="s">
        <v>1705</v>
      </c>
      <c r="G4225">
        <v>-89.884923000000001</v>
      </c>
      <c r="H4225">
        <v>1700</v>
      </c>
      <c r="I4225">
        <v>-124</v>
      </c>
      <c r="J4225">
        <v>-110</v>
      </c>
      <c r="K4225">
        <v>128</v>
      </c>
      <c r="L4225">
        <v>1200</v>
      </c>
      <c r="M4225" t="str">
        <f t="shared" si="425"/>
        <v xml:space="preserve">N35DC   </v>
      </c>
      <c r="N4225">
        <v>1</v>
      </c>
      <c r="O4225">
        <v>1750</v>
      </c>
    </row>
    <row r="4226" spans="1:15" x14ac:dyDescent="0.25">
      <c r="A4226" t="str">
        <f>"10/21/2020 18:44:32.365"</f>
        <v>10/21/2020 18:44:32.365</v>
      </c>
      <c r="B4226" t="str">
        <f>"18:44:40.281"</f>
        <v>18:44:40.281</v>
      </c>
      <c r="C4226" t="str">
        <f>"18:44:39.981"</f>
        <v>18:44:39.981</v>
      </c>
      <c r="D4226" t="s">
        <v>1706</v>
      </c>
      <c r="E4226">
        <v>31.080794000000001</v>
      </c>
      <c r="F4226" t="s">
        <v>1707</v>
      </c>
      <c r="G4226">
        <v>-89.885587999999998</v>
      </c>
      <c r="H4226">
        <v>1700</v>
      </c>
      <c r="I4226">
        <v>-119</v>
      </c>
      <c r="J4226">
        <v>-115</v>
      </c>
      <c r="K4226">
        <v>64</v>
      </c>
      <c r="L4226">
        <v>1200</v>
      </c>
      <c r="M4226" t="str">
        <f t="shared" si="425"/>
        <v xml:space="preserve">N35DC   </v>
      </c>
      <c r="N4226">
        <v>1</v>
      </c>
      <c r="O4226">
        <v>1750</v>
      </c>
    </row>
    <row r="4227" spans="1:15" x14ac:dyDescent="0.25">
      <c r="A4227" t="str">
        <f>"10/21/2020 18:44:32.365"</f>
        <v>10/21/2020 18:44:32.365</v>
      </c>
      <c r="B4227" t="str">
        <f>"18:44:40.281"</f>
        <v>18:44:40.281</v>
      </c>
      <c r="C4227" t="str">
        <f>"18:44:39.981"</f>
        <v>18:44:39.981</v>
      </c>
      <c r="D4227" t="s">
        <v>1706</v>
      </c>
      <c r="E4227">
        <v>31.080794000000001</v>
      </c>
      <c r="F4227" t="s">
        <v>1707</v>
      </c>
      <c r="G4227">
        <v>-89.885587999999998</v>
      </c>
      <c r="H4227">
        <v>1700</v>
      </c>
      <c r="I4227">
        <v>-119</v>
      </c>
      <c r="J4227">
        <v>-115</v>
      </c>
      <c r="K4227">
        <v>64</v>
      </c>
      <c r="L4227">
        <v>1200</v>
      </c>
      <c r="M4227" t="str">
        <f t="shared" si="425"/>
        <v xml:space="preserve">N35DC   </v>
      </c>
      <c r="N4227">
        <v>1</v>
      </c>
      <c r="O4227">
        <v>1750</v>
      </c>
    </row>
    <row r="4228" spans="1:15" x14ac:dyDescent="0.25">
      <c r="A4228" t="str">
        <f>"10/21/2020 18:44:32.365"</f>
        <v>10/21/2020 18:44:32.365</v>
      </c>
      <c r="B4228" t="str">
        <f>"18:44:40.281"</f>
        <v>18:44:40.281</v>
      </c>
      <c r="C4228" t="str">
        <f>"18:44:39.981"</f>
        <v>18:44:39.981</v>
      </c>
      <c r="D4228" t="s">
        <v>1706</v>
      </c>
      <c r="E4228">
        <v>31.080794000000001</v>
      </c>
      <c r="F4228" t="s">
        <v>1707</v>
      </c>
      <c r="G4228">
        <v>-89.885587999999998</v>
      </c>
      <c r="H4228">
        <v>1700</v>
      </c>
      <c r="I4228">
        <v>-119</v>
      </c>
      <c r="J4228">
        <v>-115</v>
      </c>
      <c r="K4228">
        <v>64</v>
      </c>
      <c r="L4228">
        <v>1200</v>
      </c>
      <c r="M4228" t="str">
        <f t="shared" si="425"/>
        <v xml:space="preserve">N35DC   </v>
      </c>
      <c r="N4228">
        <v>1</v>
      </c>
      <c r="O4228">
        <v>1750</v>
      </c>
    </row>
    <row r="4229" spans="1:15" x14ac:dyDescent="0.25">
      <c r="A4229" t="str">
        <f>"10/21/2020 18:44:32.365"</f>
        <v>10/21/2020 18:44:32.365</v>
      </c>
      <c r="B4229" t="str">
        <f>"18:44:40.281"</f>
        <v>18:44:40.281</v>
      </c>
      <c r="C4229" t="str">
        <f>"18:44:39.981"</f>
        <v>18:44:39.981</v>
      </c>
      <c r="D4229" t="s">
        <v>1706</v>
      </c>
      <c r="E4229">
        <v>31.080794000000001</v>
      </c>
      <c r="F4229" t="s">
        <v>1707</v>
      </c>
      <c r="G4229">
        <v>-89.885587999999998</v>
      </c>
      <c r="H4229">
        <v>1700</v>
      </c>
      <c r="I4229">
        <v>-119</v>
      </c>
      <c r="J4229">
        <v>-115</v>
      </c>
      <c r="K4229">
        <v>64</v>
      </c>
      <c r="L4229">
        <v>1200</v>
      </c>
      <c r="M4229" t="str">
        <f t="shared" si="425"/>
        <v xml:space="preserve">N35DC   </v>
      </c>
      <c r="N4229">
        <v>1</v>
      </c>
      <c r="O4229">
        <v>1750</v>
      </c>
    </row>
    <row r="4230" spans="1:15" x14ac:dyDescent="0.25">
      <c r="A4230" t="str">
        <f>"10/21/2020 18:44:34.320"</f>
        <v>10/21/2020 18:44:34.320</v>
      </c>
      <c r="B4230" t="str">
        <f>"18:44:42.273"</f>
        <v>18:44:42.273</v>
      </c>
      <c r="C4230" t="str">
        <f>"18:44:41.873"</f>
        <v>18:44:41.873</v>
      </c>
      <c r="D4230" t="s">
        <v>1708</v>
      </c>
      <c r="E4230">
        <v>31.079613999999999</v>
      </c>
      <c r="F4230" t="s">
        <v>1709</v>
      </c>
      <c r="G4230">
        <v>-89.886724999999998</v>
      </c>
      <c r="H4230">
        <v>1700</v>
      </c>
      <c r="I4230">
        <v>-109</v>
      </c>
      <c r="J4230">
        <v>-125</v>
      </c>
      <c r="K4230">
        <v>-64</v>
      </c>
      <c r="L4230">
        <v>1200</v>
      </c>
      <c r="M4230" t="str">
        <f t="shared" si="425"/>
        <v xml:space="preserve">N35DC   </v>
      </c>
      <c r="N4230">
        <v>1</v>
      </c>
      <c r="O4230">
        <v>1750</v>
      </c>
    </row>
    <row r="4231" spans="1:15" x14ac:dyDescent="0.25">
      <c r="A4231" t="str">
        <f>"10/21/2020 18:44:34.320"</f>
        <v>10/21/2020 18:44:34.320</v>
      </c>
      <c r="B4231" t="str">
        <f>"18:44:42.273"</f>
        <v>18:44:42.273</v>
      </c>
      <c r="C4231" t="str">
        <f>"18:44:41.873"</f>
        <v>18:44:41.873</v>
      </c>
      <c r="D4231" t="s">
        <v>1708</v>
      </c>
      <c r="E4231">
        <v>31.079613999999999</v>
      </c>
      <c r="F4231" t="s">
        <v>1709</v>
      </c>
      <c r="G4231">
        <v>-89.886724999999998</v>
      </c>
      <c r="H4231">
        <v>1700</v>
      </c>
      <c r="I4231">
        <v>-109</v>
      </c>
      <c r="J4231">
        <v>-125</v>
      </c>
      <c r="K4231">
        <v>-64</v>
      </c>
      <c r="L4231">
        <v>1200</v>
      </c>
      <c r="M4231" t="str">
        <f t="shared" ref="M4231:M4294" si="428">"N35DC   "</f>
        <v xml:space="preserve">N35DC   </v>
      </c>
      <c r="N4231">
        <v>1</v>
      </c>
      <c r="O4231">
        <v>1750</v>
      </c>
    </row>
    <row r="4232" spans="1:15" x14ac:dyDescent="0.25">
      <c r="A4232" t="str">
        <f>"10/21/2020 18:44:34.320"</f>
        <v>10/21/2020 18:44:34.320</v>
      </c>
      <c r="B4232" t="str">
        <f>"18:44:42.273"</f>
        <v>18:44:42.273</v>
      </c>
      <c r="C4232" t="str">
        <f>"18:44:41.873"</f>
        <v>18:44:41.873</v>
      </c>
      <c r="D4232" t="s">
        <v>1708</v>
      </c>
      <c r="E4232">
        <v>31.079613999999999</v>
      </c>
      <c r="F4232" t="s">
        <v>1709</v>
      </c>
      <c r="G4232">
        <v>-89.886724999999998</v>
      </c>
      <c r="H4232">
        <v>1700</v>
      </c>
      <c r="I4232">
        <v>-109</v>
      </c>
      <c r="J4232">
        <v>-125</v>
      </c>
      <c r="K4232">
        <v>-64</v>
      </c>
      <c r="L4232">
        <v>1200</v>
      </c>
      <c r="M4232" t="str">
        <f t="shared" si="428"/>
        <v xml:space="preserve">N35DC   </v>
      </c>
      <c r="N4232">
        <v>1</v>
      </c>
      <c r="O4232">
        <v>1750</v>
      </c>
    </row>
    <row r="4233" spans="1:15" x14ac:dyDescent="0.25">
      <c r="A4233" t="str">
        <f>"10/21/2020 18:44:35.424"</f>
        <v>10/21/2020 18:44:35.424</v>
      </c>
      <c r="B4233" t="str">
        <f>"18:44:43.328"</f>
        <v>18:44:43.328</v>
      </c>
      <c r="C4233" t="str">
        <f>"18:44:42.928"</f>
        <v>18:44:42.928</v>
      </c>
      <c r="D4233" t="s">
        <v>1710</v>
      </c>
      <c r="E4233">
        <v>31.078992</v>
      </c>
      <c r="F4233" t="s">
        <v>732</v>
      </c>
      <c r="G4233">
        <v>-89.887326000000002</v>
      </c>
      <c r="H4233">
        <v>1700</v>
      </c>
      <c r="I4233">
        <v>-104</v>
      </c>
      <c r="J4233">
        <v>-129</v>
      </c>
      <c r="K4233">
        <v>-128</v>
      </c>
      <c r="L4233">
        <v>1200</v>
      </c>
      <c r="M4233" t="str">
        <f t="shared" si="428"/>
        <v xml:space="preserve">N35DC   </v>
      </c>
      <c r="N4233">
        <v>1</v>
      </c>
      <c r="O4233">
        <v>1725</v>
      </c>
    </row>
    <row r="4234" spans="1:15" x14ac:dyDescent="0.25">
      <c r="A4234" t="str">
        <f>"10/21/2020 18:44:35.424"</f>
        <v>10/21/2020 18:44:35.424</v>
      </c>
      <c r="B4234" t="str">
        <f>"18:44:43.328"</f>
        <v>18:44:43.328</v>
      </c>
      <c r="C4234" t="str">
        <f>"18:44:42.928"</f>
        <v>18:44:42.928</v>
      </c>
      <c r="D4234" t="s">
        <v>1710</v>
      </c>
      <c r="E4234">
        <v>31.078992</v>
      </c>
      <c r="F4234" t="s">
        <v>732</v>
      </c>
      <c r="G4234">
        <v>-89.887326000000002</v>
      </c>
      <c r="H4234">
        <v>1700</v>
      </c>
      <c r="I4234">
        <v>-104</v>
      </c>
      <c r="J4234">
        <v>-129</v>
      </c>
      <c r="K4234">
        <v>-128</v>
      </c>
      <c r="L4234">
        <v>1200</v>
      </c>
      <c r="M4234" t="str">
        <f t="shared" si="428"/>
        <v xml:space="preserve">N35DC   </v>
      </c>
      <c r="N4234">
        <v>1</v>
      </c>
      <c r="O4234">
        <v>1725</v>
      </c>
    </row>
    <row r="4235" spans="1:15" x14ac:dyDescent="0.25">
      <c r="A4235" t="str">
        <f>"10/21/2020 18:44:35.424"</f>
        <v>10/21/2020 18:44:35.424</v>
      </c>
      <c r="B4235" t="str">
        <f>"18:44:43.328"</f>
        <v>18:44:43.328</v>
      </c>
      <c r="C4235" t="str">
        <f>"18:44:42.928"</f>
        <v>18:44:42.928</v>
      </c>
      <c r="D4235" t="s">
        <v>1710</v>
      </c>
      <c r="E4235">
        <v>31.078992</v>
      </c>
      <c r="F4235" t="s">
        <v>732</v>
      </c>
      <c r="G4235">
        <v>-89.887326000000002</v>
      </c>
      <c r="H4235">
        <v>1700</v>
      </c>
      <c r="I4235">
        <v>-104</v>
      </c>
      <c r="J4235">
        <v>-129</v>
      </c>
      <c r="K4235">
        <v>-128</v>
      </c>
      <c r="L4235">
        <v>1200</v>
      </c>
      <c r="M4235" t="str">
        <f t="shared" si="428"/>
        <v xml:space="preserve">N35DC   </v>
      </c>
      <c r="N4235">
        <v>1</v>
      </c>
      <c r="O4235">
        <v>1725</v>
      </c>
    </row>
    <row r="4236" spans="1:15" x14ac:dyDescent="0.25">
      <c r="A4236" t="str">
        <f>"10/21/2020 18:44:35.424"</f>
        <v>10/21/2020 18:44:35.424</v>
      </c>
      <c r="B4236" t="str">
        <f>"18:44:43.328"</f>
        <v>18:44:43.328</v>
      </c>
      <c r="C4236" t="str">
        <f>"18:44:42.928"</f>
        <v>18:44:42.928</v>
      </c>
      <c r="D4236" t="s">
        <v>1710</v>
      </c>
      <c r="E4236">
        <v>31.078992</v>
      </c>
      <c r="F4236" t="s">
        <v>732</v>
      </c>
      <c r="G4236">
        <v>-89.887326000000002</v>
      </c>
      <c r="H4236">
        <v>1700</v>
      </c>
      <c r="I4236">
        <v>-104</v>
      </c>
      <c r="J4236">
        <v>-129</v>
      </c>
      <c r="K4236">
        <v>-128</v>
      </c>
      <c r="L4236">
        <v>1200</v>
      </c>
      <c r="M4236" t="str">
        <f t="shared" si="428"/>
        <v xml:space="preserve">N35DC   </v>
      </c>
      <c r="N4236">
        <v>1</v>
      </c>
      <c r="O4236">
        <v>1725</v>
      </c>
    </row>
    <row r="4237" spans="1:15" x14ac:dyDescent="0.25">
      <c r="A4237" t="str">
        <f>"10/21/2020 18:44:38.499"</f>
        <v>10/21/2020 18:44:38.499</v>
      </c>
      <c r="B4237" t="str">
        <f>"18:44:46.445"</f>
        <v>18:44:46.445</v>
      </c>
      <c r="C4237" t="str">
        <f>"18:44:46.045"</f>
        <v>18:44:46.045</v>
      </c>
      <c r="D4237" t="s">
        <v>1711</v>
      </c>
      <c r="E4237">
        <v>31.077017999999999</v>
      </c>
      <c r="F4237" t="s">
        <v>1712</v>
      </c>
      <c r="G4237">
        <v>-89.888891999999998</v>
      </c>
      <c r="H4237">
        <v>1700</v>
      </c>
      <c r="I4237">
        <v>-88</v>
      </c>
      <c r="J4237">
        <v>-140</v>
      </c>
      <c r="K4237">
        <v>-64</v>
      </c>
      <c r="L4237">
        <v>1200</v>
      </c>
      <c r="M4237" t="str">
        <f t="shared" si="428"/>
        <v xml:space="preserve">N35DC   </v>
      </c>
      <c r="N4237">
        <v>1</v>
      </c>
      <c r="O4237">
        <v>1725</v>
      </c>
    </row>
    <row r="4238" spans="1:15" x14ac:dyDescent="0.25">
      <c r="A4238" t="str">
        <f>"10/21/2020 18:44:38.499"</f>
        <v>10/21/2020 18:44:38.499</v>
      </c>
      <c r="B4238" t="str">
        <f>"18:44:46.445"</f>
        <v>18:44:46.445</v>
      </c>
      <c r="C4238" t="str">
        <f>"18:44:46.045"</f>
        <v>18:44:46.045</v>
      </c>
      <c r="D4238" t="s">
        <v>1711</v>
      </c>
      <c r="E4238">
        <v>31.077017999999999</v>
      </c>
      <c r="F4238" t="s">
        <v>1712</v>
      </c>
      <c r="G4238">
        <v>-89.888891999999998</v>
      </c>
      <c r="H4238">
        <v>1700</v>
      </c>
      <c r="I4238">
        <v>-88</v>
      </c>
      <c r="J4238">
        <v>-140</v>
      </c>
      <c r="K4238">
        <v>-64</v>
      </c>
      <c r="L4238">
        <v>1200</v>
      </c>
      <c r="M4238" t="str">
        <f t="shared" si="428"/>
        <v xml:space="preserve">N35DC   </v>
      </c>
      <c r="N4238">
        <v>1</v>
      </c>
      <c r="O4238">
        <v>1725</v>
      </c>
    </row>
    <row r="4239" spans="1:15" x14ac:dyDescent="0.25">
      <c r="A4239" t="str">
        <f>"10/21/2020 18:44:38.499"</f>
        <v>10/21/2020 18:44:38.499</v>
      </c>
      <c r="B4239" t="str">
        <f>"18:44:46.445"</f>
        <v>18:44:46.445</v>
      </c>
      <c r="C4239" t="str">
        <f>"18:44:46.045"</f>
        <v>18:44:46.045</v>
      </c>
      <c r="D4239" t="s">
        <v>1711</v>
      </c>
      <c r="E4239">
        <v>31.077017999999999</v>
      </c>
      <c r="F4239" t="s">
        <v>1712</v>
      </c>
      <c r="G4239">
        <v>-89.888891999999998</v>
      </c>
      <c r="H4239">
        <v>1700</v>
      </c>
      <c r="I4239">
        <v>-88</v>
      </c>
      <c r="J4239">
        <v>-140</v>
      </c>
      <c r="K4239">
        <v>-64</v>
      </c>
      <c r="L4239">
        <v>1200</v>
      </c>
      <c r="M4239" t="str">
        <f t="shared" si="428"/>
        <v xml:space="preserve">N35DC   </v>
      </c>
      <c r="N4239">
        <v>1</v>
      </c>
      <c r="O4239">
        <v>1725</v>
      </c>
    </row>
    <row r="4240" spans="1:15" x14ac:dyDescent="0.25">
      <c r="A4240" t="str">
        <f>"10/21/2020 18:44:38.499"</f>
        <v>10/21/2020 18:44:38.499</v>
      </c>
      <c r="B4240" t="str">
        <f>"18:44:46.445"</f>
        <v>18:44:46.445</v>
      </c>
      <c r="C4240" t="str">
        <f>"18:44:46.045"</f>
        <v>18:44:46.045</v>
      </c>
      <c r="D4240" t="s">
        <v>1711</v>
      </c>
      <c r="E4240">
        <v>31.077017999999999</v>
      </c>
      <c r="F4240" t="s">
        <v>1712</v>
      </c>
      <c r="G4240">
        <v>-89.888891999999998</v>
      </c>
      <c r="H4240">
        <v>1700</v>
      </c>
      <c r="I4240">
        <v>-88</v>
      </c>
      <c r="J4240">
        <v>-140</v>
      </c>
      <c r="K4240">
        <v>-64</v>
      </c>
      <c r="L4240">
        <v>1200</v>
      </c>
      <c r="M4240" t="str">
        <f t="shared" si="428"/>
        <v xml:space="preserve">N35DC   </v>
      </c>
      <c r="N4240">
        <v>1</v>
      </c>
      <c r="O4240">
        <v>1725</v>
      </c>
    </row>
    <row r="4241" spans="1:15" x14ac:dyDescent="0.25">
      <c r="A4241" t="str">
        <f>"10/21/2020 18:44:41.636"</f>
        <v>10/21/2020 18:44:41.636</v>
      </c>
      <c r="B4241" t="str">
        <f t="shared" ref="B4241:C4243" si="429">"18:44:49.555"</f>
        <v>18:44:49.555</v>
      </c>
      <c r="C4241" t="str">
        <f t="shared" si="429"/>
        <v>18:44:49.555</v>
      </c>
      <c r="D4241" t="s">
        <v>1713</v>
      </c>
      <c r="E4241">
        <v>31.074871999999999</v>
      </c>
      <c r="F4241" t="s">
        <v>1714</v>
      </c>
      <c r="G4241">
        <v>-89.890072000000004</v>
      </c>
      <c r="H4241">
        <v>1700</v>
      </c>
      <c r="I4241">
        <v>-65</v>
      </c>
      <c r="J4241">
        <v>-152</v>
      </c>
      <c r="K4241">
        <v>-128</v>
      </c>
      <c r="L4241">
        <v>1200</v>
      </c>
      <c r="M4241" t="str">
        <f t="shared" si="428"/>
        <v xml:space="preserve">N35DC   </v>
      </c>
      <c r="N4241">
        <v>1</v>
      </c>
      <c r="O4241">
        <v>1725</v>
      </c>
    </row>
    <row r="4242" spans="1:15" x14ac:dyDescent="0.25">
      <c r="A4242" t="str">
        <f>"10/21/2020 18:44:41.636"</f>
        <v>10/21/2020 18:44:41.636</v>
      </c>
      <c r="B4242" t="str">
        <f t="shared" si="429"/>
        <v>18:44:49.555</v>
      </c>
      <c r="C4242" t="str">
        <f t="shared" si="429"/>
        <v>18:44:49.555</v>
      </c>
      <c r="D4242" t="s">
        <v>1713</v>
      </c>
      <c r="E4242">
        <v>31.074871999999999</v>
      </c>
      <c r="F4242" t="s">
        <v>1714</v>
      </c>
      <c r="G4242">
        <v>-89.890072000000004</v>
      </c>
      <c r="H4242">
        <v>1700</v>
      </c>
      <c r="I4242">
        <v>-65</v>
      </c>
      <c r="J4242">
        <v>-152</v>
      </c>
      <c r="K4242">
        <v>-128</v>
      </c>
      <c r="L4242">
        <v>1200</v>
      </c>
      <c r="M4242" t="str">
        <f t="shared" si="428"/>
        <v xml:space="preserve">N35DC   </v>
      </c>
      <c r="N4242">
        <v>1</v>
      </c>
      <c r="O4242">
        <v>1725</v>
      </c>
    </row>
    <row r="4243" spans="1:15" x14ac:dyDescent="0.25">
      <c r="A4243" t="str">
        <f>"10/21/2020 18:44:41.636"</f>
        <v>10/21/2020 18:44:41.636</v>
      </c>
      <c r="B4243" t="str">
        <f t="shared" si="429"/>
        <v>18:44:49.555</v>
      </c>
      <c r="C4243" t="str">
        <f t="shared" si="429"/>
        <v>18:44:49.555</v>
      </c>
      <c r="D4243" t="s">
        <v>1713</v>
      </c>
      <c r="E4243">
        <v>31.074871999999999</v>
      </c>
      <c r="F4243" t="s">
        <v>1714</v>
      </c>
      <c r="G4243">
        <v>-89.890072000000004</v>
      </c>
      <c r="H4243">
        <v>1700</v>
      </c>
      <c r="I4243">
        <v>-65</v>
      </c>
      <c r="J4243">
        <v>-152</v>
      </c>
      <c r="K4243">
        <v>-128</v>
      </c>
      <c r="L4243">
        <v>1200</v>
      </c>
      <c r="M4243" t="str">
        <f t="shared" si="428"/>
        <v xml:space="preserve">N35DC   </v>
      </c>
      <c r="N4243">
        <v>1</v>
      </c>
      <c r="O4243">
        <v>1725</v>
      </c>
    </row>
    <row r="4244" spans="1:15" x14ac:dyDescent="0.25">
      <c r="A4244" t="str">
        <f>"10/21/2020 18:44:42.595"</f>
        <v>10/21/2020 18:44:42.595</v>
      </c>
      <c r="B4244" t="str">
        <f t="shared" ref="B4244:C4247" si="430">"18:44:50.523"</f>
        <v>18:44:50.523</v>
      </c>
      <c r="C4244" t="str">
        <f t="shared" si="430"/>
        <v>18:44:50.523</v>
      </c>
      <c r="D4244" t="s">
        <v>1715</v>
      </c>
      <c r="E4244">
        <v>31.074141999999998</v>
      </c>
      <c r="F4244" t="s">
        <v>1491</v>
      </c>
      <c r="G4244">
        <v>-89.890459000000007</v>
      </c>
      <c r="H4244">
        <v>1700</v>
      </c>
      <c r="I4244">
        <v>-58</v>
      </c>
      <c r="J4244">
        <v>-155</v>
      </c>
      <c r="K4244">
        <v>-192</v>
      </c>
      <c r="L4244">
        <v>1200</v>
      </c>
      <c r="M4244" t="str">
        <f t="shared" si="428"/>
        <v xml:space="preserve">N35DC   </v>
      </c>
      <c r="N4244">
        <v>1</v>
      </c>
      <c r="O4244">
        <v>1725</v>
      </c>
    </row>
    <row r="4245" spans="1:15" x14ac:dyDescent="0.25">
      <c r="A4245" t="str">
        <f>"10/21/2020 18:44:42.595"</f>
        <v>10/21/2020 18:44:42.595</v>
      </c>
      <c r="B4245" t="str">
        <f t="shared" si="430"/>
        <v>18:44:50.523</v>
      </c>
      <c r="C4245" t="str">
        <f t="shared" si="430"/>
        <v>18:44:50.523</v>
      </c>
      <c r="D4245" t="s">
        <v>1715</v>
      </c>
      <c r="E4245">
        <v>31.074141999999998</v>
      </c>
      <c r="F4245" t="s">
        <v>1491</v>
      </c>
      <c r="G4245">
        <v>-89.890459000000007</v>
      </c>
      <c r="H4245">
        <v>1700</v>
      </c>
      <c r="I4245">
        <v>-58</v>
      </c>
      <c r="J4245">
        <v>-155</v>
      </c>
      <c r="K4245">
        <v>-192</v>
      </c>
      <c r="L4245">
        <v>1200</v>
      </c>
      <c r="M4245" t="str">
        <f t="shared" si="428"/>
        <v xml:space="preserve">N35DC   </v>
      </c>
      <c r="N4245">
        <v>1</v>
      </c>
      <c r="O4245">
        <v>1725</v>
      </c>
    </row>
    <row r="4246" spans="1:15" x14ac:dyDescent="0.25">
      <c r="A4246" t="str">
        <f>"10/21/2020 18:44:42.595"</f>
        <v>10/21/2020 18:44:42.595</v>
      </c>
      <c r="B4246" t="str">
        <f t="shared" si="430"/>
        <v>18:44:50.523</v>
      </c>
      <c r="C4246" t="str">
        <f t="shared" si="430"/>
        <v>18:44:50.523</v>
      </c>
      <c r="D4246" t="s">
        <v>1715</v>
      </c>
      <c r="E4246">
        <v>31.074141999999998</v>
      </c>
      <c r="F4246" t="s">
        <v>1491</v>
      </c>
      <c r="G4246">
        <v>-89.890459000000007</v>
      </c>
      <c r="H4246">
        <v>1700</v>
      </c>
      <c r="I4246">
        <v>-58</v>
      </c>
      <c r="J4246">
        <v>-155</v>
      </c>
      <c r="K4246">
        <v>-192</v>
      </c>
      <c r="L4246">
        <v>1200</v>
      </c>
      <c r="M4246" t="str">
        <f t="shared" si="428"/>
        <v xml:space="preserve">N35DC   </v>
      </c>
      <c r="N4246">
        <v>1</v>
      </c>
      <c r="O4246">
        <v>1725</v>
      </c>
    </row>
    <row r="4247" spans="1:15" x14ac:dyDescent="0.25">
      <c r="A4247" t="str">
        <f>"10/21/2020 18:44:42.595"</f>
        <v>10/21/2020 18:44:42.595</v>
      </c>
      <c r="B4247" t="str">
        <f t="shared" si="430"/>
        <v>18:44:50.523</v>
      </c>
      <c r="C4247" t="str">
        <f t="shared" si="430"/>
        <v>18:44:50.523</v>
      </c>
      <c r="D4247" t="s">
        <v>1715</v>
      </c>
      <c r="E4247">
        <v>31.074141999999998</v>
      </c>
      <c r="F4247" t="s">
        <v>1491</v>
      </c>
      <c r="G4247">
        <v>-89.890459000000007</v>
      </c>
      <c r="H4247">
        <v>1700</v>
      </c>
      <c r="I4247">
        <v>-58</v>
      </c>
      <c r="J4247">
        <v>-155</v>
      </c>
      <c r="K4247">
        <v>-192</v>
      </c>
      <c r="L4247">
        <v>1200</v>
      </c>
      <c r="M4247" t="str">
        <f t="shared" si="428"/>
        <v xml:space="preserve">N35DC   </v>
      </c>
      <c r="N4247">
        <v>1</v>
      </c>
      <c r="O4247">
        <v>1725</v>
      </c>
    </row>
    <row r="4248" spans="1:15" x14ac:dyDescent="0.25">
      <c r="A4248" t="str">
        <f>"10/21/2020 18:44:44.510"</f>
        <v>10/21/2020 18:44:44.510</v>
      </c>
      <c r="B4248" t="str">
        <f>"18:44:52.430"</f>
        <v>18:44:52.430</v>
      </c>
      <c r="C4248" t="str">
        <f>"18:44:52.130"</f>
        <v>18:44:52.130</v>
      </c>
      <c r="D4248" t="s">
        <v>1716</v>
      </c>
      <c r="E4248">
        <v>31.072769000000001</v>
      </c>
      <c r="F4248" t="s">
        <v>1717</v>
      </c>
      <c r="G4248">
        <v>-89.890951999999999</v>
      </c>
      <c r="H4248">
        <v>1600</v>
      </c>
      <c r="I4248">
        <v>-46</v>
      </c>
      <c r="J4248">
        <v>-158</v>
      </c>
      <c r="K4248">
        <v>-192</v>
      </c>
      <c r="L4248">
        <v>1200</v>
      </c>
      <c r="M4248" t="str">
        <f t="shared" si="428"/>
        <v xml:space="preserve">N35DC   </v>
      </c>
      <c r="N4248">
        <v>1</v>
      </c>
      <c r="O4248">
        <v>1725</v>
      </c>
    </row>
    <row r="4249" spans="1:15" x14ac:dyDescent="0.25">
      <c r="A4249" t="str">
        <f>"10/21/2020 18:44:44.510"</f>
        <v>10/21/2020 18:44:44.510</v>
      </c>
      <c r="B4249" t="str">
        <f>"18:44:52.430"</f>
        <v>18:44:52.430</v>
      </c>
      <c r="C4249" t="str">
        <f>"18:44:52.130"</f>
        <v>18:44:52.130</v>
      </c>
      <c r="D4249" t="s">
        <v>1716</v>
      </c>
      <c r="E4249">
        <v>31.072769000000001</v>
      </c>
      <c r="F4249" t="s">
        <v>1717</v>
      </c>
      <c r="G4249">
        <v>-89.890951999999999</v>
      </c>
      <c r="H4249">
        <v>1600</v>
      </c>
      <c r="I4249">
        <v>-46</v>
      </c>
      <c r="J4249">
        <v>-158</v>
      </c>
      <c r="K4249">
        <v>-192</v>
      </c>
      <c r="L4249">
        <v>1200</v>
      </c>
      <c r="M4249" t="str">
        <f t="shared" si="428"/>
        <v xml:space="preserve">N35DC   </v>
      </c>
      <c r="N4249">
        <v>1</v>
      </c>
      <c r="O4249">
        <v>1725</v>
      </c>
    </row>
    <row r="4250" spans="1:15" x14ac:dyDescent="0.25">
      <c r="A4250" t="str">
        <f>"10/21/2020 18:44:44.510"</f>
        <v>10/21/2020 18:44:44.510</v>
      </c>
      <c r="B4250" t="str">
        <f>"18:44:52.430"</f>
        <v>18:44:52.430</v>
      </c>
      <c r="C4250" t="str">
        <f>"18:44:52.130"</f>
        <v>18:44:52.130</v>
      </c>
      <c r="D4250" t="s">
        <v>1716</v>
      </c>
      <c r="E4250">
        <v>31.072769000000001</v>
      </c>
      <c r="F4250" t="s">
        <v>1717</v>
      </c>
      <c r="G4250">
        <v>-89.890951999999999</v>
      </c>
      <c r="H4250">
        <v>1600</v>
      </c>
      <c r="I4250">
        <v>-46</v>
      </c>
      <c r="J4250">
        <v>-158</v>
      </c>
      <c r="K4250">
        <v>-192</v>
      </c>
      <c r="L4250">
        <v>1200</v>
      </c>
      <c r="M4250" t="str">
        <f t="shared" si="428"/>
        <v xml:space="preserve">N35DC   </v>
      </c>
      <c r="N4250">
        <v>1</v>
      </c>
      <c r="O4250">
        <v>1725</v>
      </c>
    </row>
    <row r="4251" spans="1:15" x14ac:dyDescent="0.25">
      <c r="A4251" t="str">
        <f>"10/21/2020 18:44:45.050"</f>
        <v>10/21/2020 18:44:45.050</v>
      </c>
      <c r="B4251" t="str">
        <f>"18:44:52.914"</f>
        <v>18:44:52.914</v>
      </c>
      <c r="C4251" t="str">
        <f>"18:44:52.514"</f>
        <v>18:44:52.514</v>
      </c>
      <c r="D4251" t="s">
        <v>1718</v>
      </c>
      <c r="E4251">
        <v>31.072403999999999</v>
      </c>
      <c r="F4251" t="s">
        <v>1719</v>
      </c>
      <c r="G4251">
        <v>-89.890995000000004</v>
      </c>
      <c r="H4251">
        <v>1600</v>
      </c>
      <c r="I4251">
        <v>-43</v>
      </c>
      <c r="J4251">
        <v>-159</v>
      </c>
      <c r="K4251">
        <v>-192</v>
      </c>
      <c r="L4251">
        <v>1200</v>
      </c>
      <c r="M4251" t="str">
        <f t="shared" si="428"/>
        <v xml:space="preserve">N35DC   </v>
      </c>
      <c r="N4251">
        <v>1</v>
      </c>
      <c r="O4251">
        <v>1725</v>
      </c>
    </row>
    <row r="4252" spans="1:15" x14ac:dyDescent="0.25">
      <c r="A4252" t="str">
        <f>"10/21/2020 18:44:45.547"</f>
        <v>10/21/2020 18:44:45.547</v>
      </c>
      <c r="B4252" t="str">
        <f>"18:44:53.469"</f>
        <v>18:44:53.469</v>
      </c>
      <c r="C4252" t="str">
        <f>"18:44:53.169"</f>
        <v>18:44:53.169</v>
      </c>
      <c r="D4252" t="s">
        <v>1720</v>
      </c>
      <c r="E4252">
        <v>31.071997</v>
      </c>
      <c r="F4252" t="s">
        <v>1721</v>
      </c>
      <c r="G4252">
        <v>-89.891124000000005</v>
      </c>
      <c r="H4252">
        <v>1600</v>
      </c>
      <c r="I4252">
        <v>-39</v>
      </c>
      <c r="J4252">
        <v>-160</v>
      </c>
      <c r="K4252">
        <v>-128</v>
      </c>
      <c r="L4252">
        <v>1200</v>
      </c>
      <c r="M4252" t="str">
        <f t="shared" si="428"/>
        <v xml:space="preserve">N35DC   </v>
      </c>
      <c r="N4252">
        <v>1</v>
      </c>
      <c r="O4252">
        <v>1725</v>
      </c>
    </row>
    <row r="4253" spans="1:15" x14ac:dyDescent="0.25">
      <c r="A4253" t="str">
        <f>"10/21/2020 18:44:45.547"</f>
        <v>10/21/2020 18:44:45.547</v>
      </c>
      <c r="B4253" t="str">
        <f>"18:44:53.469"</f>
        <v>18:44:53.469</v>
      </c>
      <c r="C4253" t="str">
        <f>"18:44:53.169"</f>
        <v>18:44:53.169</v>
      </c>
      <c r="D4253" t="s">
        <v>1720</v>
      </c>
      <c r="E4253">
        <v>31.071997</v>
      </c>
      <c r="F4253" t="s">
        <v>1721</v>
      </c>
      <c r="G4253">
        <v>-89.891124000000005</v>
      </c>
      <c r="H4253">
        <v>1600</v>
      </c>
      <c r="I4253">
        <v>-39</v>
      </c>
      <c r="J4253">
        <v>-160</v>
      </c>
      <c r="K4253">
        <v>-128</v>
      </c>
      <c r="L4253">
        <v>1200</v>
      </c>
      <c r="M4253" t="str">
        <f t="shared" si="428"/>
        <v xml:space="preserve">N35DC   </v>
      </c>
      <c r="N4253">
        <v>1</v>
      </c>
      <c r="O4253">
        <v>1725</v>
      </c>
    </row>
    <row r="4254" spans="1:15" x14ac:dyDescent="0.25">
      <c r="A4254" t="str">
        <f>"10/21/2020 18:44:45.547"</f>
        <v>10/21/2020 18:44:45.547</v>
      </c>
      <c r="B4254" t="str">
        <f>"18:44:53.469"</f>
        <v>18:44:53.469</v>
      </c>
      <c r="C4254" t="str">
        <f>"18:44:53.169"</f>
        <v>18:44:53.169</v>
      </c>
      <c r="D4254" t="s">
        <v>1720</v>
      </c>
      <c r="E4254">
        <v>31.071997</v>
      </c>
      <c r="F4254" t="s">
        <v>1721</v>
      </c>
      <c r="G4254">
        <v>-89.891124000000005</v>
      </c>
      <c r="H4254">
        <v>1600</v>
      </c>
      <c r="I4254">
        <v>-39</v>
      </c>
      <c r="J4254">
        <v>-160</v>
      </c>
      <c r="K4254">
        <v>-128</v>
      </c>
      <c r="L4254">
        <v>1200</v>
      </c>
      <c r="M4254" t="str">
        <f t="shared" si="428"/>
        <v xml:space="preserve">N35DC   </v>
      </c>
      <c r="N4254">
        <v>1</v>
      </c>
      <c r="O4254">
        <v>1725</v>
      </c>
    </row>
    <row r="4255" spans="1:15" x14ac:dyDescent="0.25">
      <c r="A4255" t="str">
        <f>"10/21/2020 18:44:49.087"</f>
        <v>10/21/2020 18:44:49.087</v>
      </c>
      <c r="B4255" t="str">
        <f>"18:44:57.008"</f>
        <v>18:44:57.008</v>
      </c>
      <c r="C4255" t="str">
        <f>"18:44:56.908"</f>
        <v>18:44:56.908</v>
      </c>
      <c r="D4255" t="s">
        <v>1722</v>
      </c>
      <c r="E4255">
        <v>31.069336</v>
      </c>
      <c r="F4255" t="s">
        <v>1723</v>
      </c>
      <c r="G4255">
        <v>-89.891509999999997</v>
      </c>
      <c r="H4255">
        <v>1700</v>
      </c>
      <c r="I4255">
        <v>-10</v>
      </c>
      <c r="J4255">
        <v>-162</v>
      </c>
      <c r="K4255">
        <v>256</v>
      </c>
      <c r="L4255">
        <v>1200</v>
      </c>
      <c r="M4255" t="str">
        <f t="shared" si="428"/>
        <v xml:space="preserve">N35DC   </v>
      </c>
      <c r="N4255">
        <v>1</v>
      </c>
      <c r="O4255">
        <v>1625</v>
      </c>
    </row>
    <row r="4256" spans="1:15" x14ac:dyDescent="0.25">
      <c r="A4256" t="str">
        <f>"10/21/2020 18:44:49.087"</f>
        <v>10/21/2020 18:44:49.087</v>
      </c>
      <c r="B4256" t="str">
        <f>"18:44:57.008"</f>
        <v>18:44:57.008</v>
      </c>
      <c r="C4256" t="str">
        <f>"18:44:56.908"</f>
        <v>18:44:56.908</v>
      </c>
      <c r="D4256" t="s">
        <v>1722</v>
      </c>
      <c r="E4256">
        <v>31.069336</v>
      </c>
      <c r="F4256" t="s">
        <v>1723</v>
      </c>
      <c r="G4256">
        <v>-89.891509999999997</v>
      </c>
      <c r="H4256">
        <v>1700</v>
      </c>
      <c r="I4256">
        <v>-10</v>
      </c>
      <c r="J4256">
        <v>-162</v>
      </c>
      <c r="K4256">
        <v>256</v>
      </c>
      <c r="L4256">
        <v>1200</v>
      </c>
      <c r="M4256" t="str">
        <f t="shared" si="428"/>
        <v xml:space="preserve">N35DC   </v>
      </c>
      <c r="N4256">
        <v>1</v>
      </c>
      <c r="O4256">
        <v>1625</v>
      </c>
    </row>
    <row r="4257" spans="1:15" x14ac:dyDescent="0.25">
      <c r="A4257" t="str">
        <f>"10/21/2020 18:44:49.087"</f>
        <v>10/21/2020 18:44:49.087</v>
      </c>
      <c r="B4257" t="str">
        <f>"18:44:57.008"</f>
        <v>18:44:57.008</v>
      </c>
      <c r="C4257" t="str">
        <f>"18:44:56.908"</f>
        <v>18:44:56.908</v>
      </c>
      <c r="D4257" t="s">
        <v>1722</v>
      </c>
      <c r="E4257">
        <v>31.069336</v>
      </c>
      <c r="F4257" t="s">
        <v>1723</v>
      </c>
      <c r="G4257">
        <v>-89.891509999999997</v>
      </c>
      <c r="H4257">
        <v>1700</v>
      </c>
      <c r="I4257">
        <v>-10</v>
      </c>
      <c r="J4257">
        <v>-162</v>
      </c>
      <c r="K4257">
        <v>256</v>
      </c>
      <c r="L4257">
        <v>1200</v>
      </c>
      <c r="M4257" t="str">
        <f t="shared" si="428"/>
        <v xml:space="preserve">N35DC   </v>
      </c>
      <c r="N4257">
        <v>1</v>
      </c>
      <c r="O4257">
        <v>1625</v>
      </c>
    </row>
    <row r="4258" spans="1:15" x14ac:dyDescent="0.25">
      <c r="A4258" t="str">
        <f>"10/21/2020 18:44:49.087"</f>
        <v>10/21/2020 18:44:49.087</v>
      </c>
      <c r="B4258" t="str">
        <f>"18:44:57.008"</f>
        <v>18:44:57.008</v>
      </c>
      <c r="C4258" t="str">
        <f>"18:44:56.908"</f>
        <v>18:44:56.908</v>
      </c>
      <c r="D4258" t="s">
        <v>1722</v>
      </c>
      <c r="E4258">
        <v>31.069336</v>
      </c>
      <c r="F4258" t="s">
        <v>1723</v>
      </c>
      <c r="G4258">
        <v>-89.891509999999997</v>
      </c>
      <c r="H4258">
        <v>1700</v>
      </c>
      <c r="I4258">
        <v>-10</v>
      </c>
      <c r="J4258">
        <v>-162</v>
      </c>
      <c r="K4258">
        <v>256</v>
      </c>
      <c r="L4258">
        <v>1200</v>
      </c>
      <c r="M4258" t="str">
        <f t="shared" si="428"/>
        <v xml:space="preserve">N35DC   </v>
      </c>
      <c r="N4258">
        <v>1</v>
      </c>
      <c r="O4258">
        <v>1625</v>
      </c>
    </row>
    <row r="4259" spans="1:15" x14ac:dyDescent="0.25">
      <c r="A4259" t="str">
        <f>"10/21/2020 18:44:51.259"</f>
        <v>10/21/2020 18:44:51.259</v>
      </c>
      <c r="B4259" t="str">
        <f>"18:44:59.195"</f>
        <v>18:44:59.195</v>
      </c>
      <c r="C4259" t="str">
        <f>"18:44:58.895"</f>
        <v>18:44:58.895</v>
      </c>
      <c r="D4259" t="s">
        <v>1724</v>
      </c>
      <c r="E4259">
        <v>31.067727000000001</v>
      </c>
      <c r="F4259" t="s">
        <v>1725</v>
      </c>
      <c r="G4259">
        <v>-89.891489000000007</v>
      </c>
      <c r="H4259">
        <v>1700</v>
      </c>
      <c r="I4259">
        <v>5</v>
      </c>
      <c r="J4259">
        <v>-161</v>
      </c>
      <c r="K4259">
        <v>192</v>
      </c>
      <c r="L4259">
        <v>1200</v>
      </c>
      <c r="M4259" t="str">
        <f t="shared" si="428"/>
        <v xml:space="preserve">N35DC   </v>
      </c>
      <c r="N4259">
        <v>1</v>
      </c>
      <c r="O4259">
        <v>1725</v>
      </c>
    </row>
    <row r="4260" spans="1:15" x14ac:dyDescent="0.25">
      <c r="A4260" t="str">
        <f>"10/21/2020 18:44:51.259"</f>
        <v>10/21/2020 18:44:51.259</v>
      </c>
      <c r="B4260" t="str">
        <f>"18:44:59.195"</f>
        <v>18:44:59.195</v>
      </c>
      <c r="C4260" t="str">
        <f>"18:44:58.895"</f>
        <v>18:44:58.895</v>
      </c>
      <c r="D4260" t="s">
        <v>1724</v>
      </c>
      <c r="E4260">
        <v>31.067727000000001</v>
      </c>
      <c r="F4260" t="s">
        <v>1725</v>
      </c>
      <c r="G4260">
        <v>-89.891489000000007</v>
      </c>
      <c r="H4260">
        <v>1700</v>
      </c>
      <c r="I4260">
        <v>5</v>
      </c>
      <c r="J4260">
        <v>-161</v>
      </c>
      <c r="K4260">
        <v>192</v>
      </c>
      <c r="L4260">
        <v>1200</v>
      </c>
      <c r="M4260" t="str">
        <f t="shared" si="428"/>
        <v xml:space="preserve">N35DC   </v>
      </c>
      <c r="N4260">
        <v>1</v>
      </c>
      <c r="O4260">
        <v>1725</v>
      </c>
    </row>
    <row r="4261" spans="1:15" x14ac:dyDescent="0.25">
      <c r="A4261" t="str">
        <f>"10/21/2020 18:44:51.259"</f>
        <v>10/21/2020 18:44:51.259</v>
      </c>
      <c r="B4261" t="str">
        <f>"18:44:59.195"</f>
        <v>18:44:59.195</v>
      </c>
      <c r="C4261" t="str">
        <f>"18:44:58.895"</f>
        <v>18:44:58.895</v>
      </c>
      <c r="D4261" t="s">
        <v>1724</v>
      </c>
      <c r="E4261">
        <v>31.067727000000001</v>
      </c>
      <c r="F4261" t="s">
        <v>1725</v>
      </c>
      <c r="G4261">
        <v>-89.891489000000007</v>
      </c>
      <c r="H4261">
        <v>1700</v>
      </c>
      <c r="I4261">
        <v>5</v>
      </c>
      <c r="J4261">
        <v>-161</v>
      </c>
      <c r="K4261">
        <v>192</v>
      </c>
      <c r="L4261">
        <v>1200</v>
      </c>
      <c r="M4261" t="str">
        <f t="shared" si="428"/>
        <v xml:space="preserve">N35DC   </v>
      </c>
      <c r="N4261">
        <v>1</v>
      </c>
      <c r="O4261">
        <v>1725</v>
      </c>
    </row>
    <row r="4262" spans="1:15" x14ac:dyDescent="0.25">
      <c r="A4262" t="str">
        <f>"10/21/2020 18:44:51.259"</f>
        <v>10/21/2020 18:44:51.259</v>
      </c>
      <c r="B4262" t="str">
        <f>"18:44:59.195"</f>
        <v>18:44:59.195</v>
      </c>
      <c r="C4262" t="str">
        <f>"18:44:58.895"</f>
        <v>18:44:58.895</v>
      </c>
      <c r="D4262" t="s">
        <v>1724</v>
      </c>
      <c r="E4262">
        <v>31.067727000000001</v>
      </c>
      <c r="F4262" t="s">
        <v>1725</v>
      </c>
      <c r="G4262">
        <v>-89.891489000000007</v>
      </c>
      <c r="H4262">
        <v>1700</v>
      </c>
      <c r="I4262">
        <v>5</v>
      </c>
      <c r="J4262">
        <v>-161</v>
      </c>
      <c r="K4262">
        <v>192</v>
      </c>
      <c r="L4262">
        <v>1200</v>
      </c>
      <c r="M4262" t="str">
        <f t="shared" si="428"/>
        <v xml:space="preserve">N35DC   </v>
      </c>
      <c r="N4262">
        <v>1</v>
      </c>
      <c r="O4262">
        <v>1725</v>
      </c>
    </row>
    <row r="4263" spans="1:15" x14ac:dyDescent="0.25">
      <c r="A4263" t="str">
        <f>"10/21/2020 18:44:52.196"</f>
        <v>10/21/2020 18:44:52.196</v>
      </c>
      <c r="B4263" t="str">
        <f>"18:45:00.125"</f>
        <v>18:45:00.125</v>
      </c>
      <c r="C4263" t="str">
        <f>"18:45:00.025"</f>
        <v>18:45:00.025</v>
      </c>
      <c r="D4263" t="s">
        <v>1726</v>
      </c>
      <c r="E4263">
        <v>31.066997000000001</v>
      </c>
      <c r="F4263" t="s">
        <v>1727</v>
      </c>
      <c r="G4263">
        <v>-89.891424000000001</v>
      </c>
      <c r="H4263">
        <v>1700</v>
      </c>
      <c r="I4263">
        <v>12</v>
      </c>
      <c r="J4263">
        <v>-160</v>
      </c>
      <c r="K4263">
        <v>256</v>
      </c>
      <c r="L4263">
        <v>1200</v>
      </c>
      <c r="M4263" t="str">
        <f t="shared" si="428"/>
        <v xml:space="preserve">N35DC   </v>
      </c>
      <c r="N4263">
        <v>1</v>
      </c>
      <c r="O4263">
        <v>1725</v>
      </c>
    </row>
    <row r="4264" spans="1:15" x14ac:dyDescent="0.25">
      <c r="A4264" t="str">
        <f>"10/21/2020 18:44:52.196"</f>
        <v>10/21/2020 18:44:52.196</v>
      </c>
      <c r="B4264" t="str">
        <f>"18:45:00.125"</f>
        <v>18:45:00.125</v>
      </c>
      <c r="C4264" t="str">
        <f>"18:45:00.025"</f>
        <v>18:45:00.025</v>
      </c>
      <c r="D4264" t="s">
        <v>1726</v>
      </c>
      <c r="E4264">
        <v>31.066997000000001</v>
      </c>
      <c r="F4264" t="s">
        <v>1727</v>
      </c>
      <c r="G4264">
        <v>-89.891424000000001</v>
      </c>
      <c r="H4264">
        <v>1700</v>
      </c>
      <c r="I4264">
        <v>12</v>
      </c>
      <c r="J4264">
        <v>-160</v>
      </c>
      <c r="K4264">
        <v>256</v>
      </c>
      <c r="L4264">
        <v>1200</v>
      </c>
      <c r="M4264" t="str">
        <f t="shared" si="428"/>
        <v xml:space="preserve">N35DC   </v>
      </c>
      <c r="N4264">
        <v>1</v>
      </c>
      <c r="O4264">
        <v>1725</v>
      </c>
    </row>
    <row r="4265" spans="1:15" x14ac:dyDescent="0.25">
      <c r="A4265" t="str">
        <f>"10/21/2020 18:44:52.196"</f>
        <v>10/21/2020 18:44:52.196</v>
      </c>
      <c r="B4265" t="str">
        <f>"18:45:00.125"</f>
        <v>18:45:00.125</v>
      </c>
      <c r="C4265" t="str">
        <f>"18:45:00.025"</f>
        <v>18:45:00.025</v>
      </c>
      <c r="D4265" t="s">
        <v>1726</v>
      </c>
      <c r="E4265">
        <v>31.066997000000001</v>
      </c>
      <c r="F4265" t="s">
        <v>1727</v>
      </c>
      <c r="G4265">
        <v>-89.891424000000001</v>
      </c>
      <c r="H4265">
        <v>1700</v>
      </c>
      <c r="I4265">
        <v>12</v>
      </c>
      <c r="J4265">
        <v>-160</v>
      </c>
      <c r="K4265">
        <v>256</v>
      </c>
      <c r="L4265">
        <v>1200</v>
      </c>
      <c r="M4265" t="str">
        <f t="shared" si="428"/>
        <v xml:space="preserve">N35DC   </v>
      </c>
      <c r="N4265">
        <v>1</v>
      </c>
      <c r="O4265">
        <v>1725</v>
      </c>
    </row>
    <row r="4266" spans="1:15" x14ac:dyDescent="0.25">
      <c r="A4266" t="str">
        <f>"10/21/2020 18:44:52.644"</f>
        <v>10/21/2020 18:44:52.644</v>
      </c>
      <c r="B4266" t="str">
        <f>"18:45:00.578"</f>
        <v>18:45:00.578</v>
      </c>
      <c r="C4266" t="str">
        <f>"18:45:00.478"</f>
        <v>18:45:00.478</v>
      </c>
      <c r="D4266" t="s">
        <v>1728</v>
      </c>
      <c r="E4266">
        <v>31.066675</v>
      </c>
      <c r="F4266" t="s">
        <v>1727</v>
      </c>
      <c r="G4266">
        <v>-89.891424000000001</v>
      </c>
      <c r="H4266">
        <v>1700</v>
      </c>
      <c r="I4266">
        <v>15</v>
      </c>
      <c r="J4266">
        <v>-160</v>
      </c>
      <c r="K4266">
        <v>-64</v>
      </c>
      <c r="L4266">
        <v>1200</v>
      </c>
      <c r="M4266" t="str">
        <f t="shared" si="428"/>
        <v xml:space="preserve">N35DC   </v>
      </c>
      <c r="N4266">
        <v>1</v>
      </c>
      <c r="O4266">
        <v>1750</v>
      </c>
    </row>
    <row r="4267" spans="1:15" x14ac:dyDescent="0.25">
      <c r="A4267" t="str">
        <f>"10/21/2020 18:44:54.977"</f>
        <v>10/21/2020 18:44:54.977</v>
      </c>
      <c r="B4267" t="str">
        <f>"18:45:02.914"</f>
        <v>18:45:02.914</v>
      </c>
      <c r="C4267" t="str">
        <f>"18:45:02.714"</f>
        <v>18:45:02.714</v>
      </c>
      <c r="D4267" t="s">
        <v>1729</v>
      </c>
      <c r="E4267">
        <v>31.064937</v>
      </c>
      <c r="F4267" t="s">
        <v>1730</v>
      </c>
      <c r="G4267">
        <v>-89.891058999999998</v>
      </c>
      <c r="H4267">
        <v>1600</v>
      </c>
      <c r="I4267">
        <v>31</v>
      </c>
      <c r="J4267">
        <v>-158</v>
      </c>
      <c r="K4267">
        <v>-256</v>
      </c>
      <c r="L4267">
        <v>1200</v>
      </c>
      <c r="M4267" t="str">
        <f t="shared" si="428"/>
        <v xml:space="preserve">N35DC   </v>
      </c>
      <c r="N4267">
        <v>1</v>
      </c>
      <c r="O4267">
        <v>1825</v>
      </c>
    </row>
    <row r="4268" spans="1:15" x14ac:dyDescent="0.25">
      <c r="A4268" t="str">
        <f>"10/21/2020 18:44:54.977"</f>
        <v>10/21/2020 18:44:54.977</v>
      </c>
      <c r="B4268" t="str">
        <f>"18:45:02.914"</f>
        <v>18:45:02.914</v>
      </c>
      <c r="C4268" t="str">
        <f>"18:45:02.714"</f>
        <v>18:45:02.714</v>
      </c>
      <c r="D4268" t="s">
        <v>1729</v>
      </c>
      <c r="E4268">
        <v>31.064937</v>
      </c>
      <c r="F4268" t="s">
        <v>1730</v>
      </c>
      <c r="G4268">
        <v>-89.891058999999998</v>
      </c>
      <c r="H4268">
        <v>1600</v>
      </c>
      <c r="I4268">
        <v>31</v>
      </c>
      <c r="J4268">
        <v>-158</v>
      </c>
      <c r="K4268">
        <v>-256</v>
      </c>
      <c r="L4268">
        <v>1200</v>
      </c>
      <c r="M4268" t="str">
        <f t="shared" si="428"/>
        <v xml:space="preserve">N35DC   </v>
      </c>
      <c r="N4268">
        <v>1</v>
      </c>
      <c r="O4268">
        <v>1825</v>
      </c>
    </row>
    <row r="4269" spans="1:15" x14ac:dyDescent="0.25">
      <c r="A4269" t="str">
        <f>"10/21/2020 18:44:54.977"</f>
        <v>10/21/2020 18:44:54.977</v>
      </c>
      <c r="B4269" t="str">
        <f>"18:45:02.914"</f>
        <v>18:45:02.914</v>
      </c>
      <c r="C4269" t="str">
        <f>"18:45:02.714"</f>
        <v>18:45:02.714</v>
      </c>
      <c r="D4269" t="s">
        <v>1729</v>
      </c>
      <c r="E4269">
        <v>31.064937</v>
      </c>
      <c r="F4269" t="s">
        <v>1730</v>
      </c>
      <c r="G4269">
        <v>-89.891058999999998</v>
      </c>
      <c r="H4269">
        <v>1600</v>
      </c>
      <c r="I4269">
        <v>31</v>
      </c>
      <c r="J4269">
        <v>-158</v>
      </c>
      <c r="K4269">
        <v>-256</v>
      </c>
      <c r="L4269">
        <v>1200</v>
      </c>
      <c r="M4269" t="str">
        <f t="shared" si="428"/>
        <v xml:space="preserve">N35DC   </v>
      </c>
      <c r="N4269">
        <v>1</v>
      </c>
      <c r="O4269">
        <v>1825</v>
      </c>
    </row>
    <row r="4270" spans="1:15" x14ac:dyDescent="0.25">
      <c r="A4270" t="str">
        <f>"10/21/2020 18:44:54.977"</f>
        <v>10/21/2020 18:44:54.977</v>
      </c>
      <c r="B4270" t="str">
        <f>"18:45:02.914"</f>
        <v>18:45:02.914</v>
      </c>
      <c r="C4270" t="str">
        <f>"18:45:02.714"</f>
        <v>18:45:02.714</v>
      </c>
      <c r="D4270" t="s">
        <v>1729</v>
      </c>
      <c r="E4270">
        <v>31.064937</v>
      </c>
      <c r="F4270" t="s">
        <v>1730</v>
      </c>
      <c r="G4270">
        <v>-89.891058999999998</v>
      </c>
      <c r="H4270">
        <v>1600</v>
      </c>
      <c r="I4270">
        <v>31</v>
      </c>
      <c r="J4270">
        <v>-158</v>
      </c>
      <c r="K4270">
        <v>-256</v>
      </c>
      <c r="L4270">
        <v>1200</v>
      </c>
      <c r="M4270" t="str">
        <f t="shared" si="428"/>
        <v xml:space="preserve">N35DC   </v>
      </c>
      <c r="N4270">
        <v>1</v>
      </c>
      <c r="O4270">
        <v>1825</v>
      </c>
    </row>
    <row r="4271" spans="1:15" x14ac:dyDescent="0.25">
      <c r="A4271" t="str">
        <f>"10/21/2020 18:44:55.936"</f>
        <v>10/21/2020 18:44:55.936</v>
      </c>
      <c r="B4271" t="str">
        <f>"18:45:03.891"</f>
        <v>18:45:03.891</v>
      </c>
      <c r="C4271" t="str">
        <f>"18:45:03.491"</f>
        <v>18:45:03.491</v>
      </c>
      <c r="D4271" t="s">
        <v>1731</v>
      </c>
      <c r="E4271">
        <v>31.064271999999999</v>
      </c>
      <c r="F4271" t="s">
        <v>1732</v>
      </c>
      <c r="G4271">
        <v>-89.890844999999999</v>
      </c>
      <c r="H4271">
        <v>1600</v>
      </c>
      <c r="I4271">
        <v>36</v>
      </c>
      <c r="J4271">
        <v>-156</v>
      </c>
      <c r="K4271">
        <v>-256</v>
      </c>
      <c r="L4271">
        <v>1200</v>
      </c>
      <c r="M4271" t="str">
        <f t="shared" si="428"/>
        <v xml:space="preserve">N35DC   </v>
      </c>
      <c r="N4271">
        <v>1</v>
      </c>
      <c r="O4271">
        <v>1725</v>
      </c>
    </row>
    <row r="4272" spans="1:15" x14ac:dyDescent="0.25">
      <c r="A4272" t="str">
        <f>"10/21/2020 18:44:55.936"</f>
        <v>10/21/2020 18:44:55.936</v>
      </c>
      <c r="B4272" t="str">
        <f>"18:45:03.891"</f>
        <v>18:45:03.891</v>
      </c>
      <c r="C4272" t="str">
        <f>"18:45:03.491"</f>
        <v>18:45:03.491</v>
      </c>
      <c r="D4272" t="s">
        <v>1731</v>
      </c>
      <c r="E4272">
        <v>31.064271999999999</v>
      </c>
      <c r="F4272" t="s">
        <v>1732</v>
      </c>
      <c r="G4272">
        <v>-89.890844999999999</v>
      </c>
      <c r="H4272">
        <v>1600</v>
      </c>
      <c r="I4272">
        <v>36</v>
      </c>
      <c r="J4272">
        <v>-156</v>
      </c>
      <c r="K4272">
        <v>-256</v>
      </c>
      <c r="L4272">
        <v>1200</v>
      </c>
      <c r="M4272" t="str">
        <f t="shared" si="428"/>
        <v xml:space="preserve">N35DC   </v>
      </c>
      <c r="N4272">
        <v>1</v>
      </c>
      <c r="O4272">
        <v>1725</v>
      </c>
    </row>
    <row r="4273" spans="1:15" x14ac:dyDescent="0.25">
      <c r="A4273" t="str">
        <f>"10/21/2020 18:44:55.936"</f>
        <v>10/21/2020 18:44:55.936</v>
      </c>
      <c r="B4273" t="str">
        <f>"18:45:03.891"</f>
        <v>18:45:03.891</v>
      </c>
      <c r="C4273" t="str">
        <f>"18:45:03.491"</f>
        <v>18:45:03.491</v>
      </c>
      <c r="D4273" t="s">
        <v>1731</v>
      </c>
      <c r="E4273">
        <v>31.064271999999999</v>
      </c>
      <c r="F4273" t="s">
        <v>1732</v>
      </c>
      <c r="G4273">
        <v>-89.890844999999999</v>
      </c>
      <c r="H4273">
        <v>1600</v>
      </c>
      <c r="I4273">
        <v>36</v>
      </c>
      <c r="J4273">
        <v>-156</v>
      </c>
      <c r="K4273">
        <v>-256</v>
      </c>
      <c r="L4273">
        <v>1200</v>
      </c>
      <c r="M4273" t="str">
        <f t="shared" si="428"/>
        <v xml:space="preserve">N35DC   </v>
      </c>
      <c r="N4273">
        <v>1</v>
      </c>
      <c r="O4273">
        <v>1725</v>
      </c>
    </row>
    <row r="4274" spans="1:15" x14ac:dyDescent="0.25">
      <c r="A4274" t="str">
        <f>"10/21/2020 18:44:55.936"</f>
        <v>10/21/2020 18:44:55.936</v>
      </c>
      <c r="B4274" t="str">
        <f>"18:45:03.891"</f>
        <v>18:45:03.891</v>
      </c>
      <c r="C4274" t="str">
        <f>"18:45:03.491"</f>
        <v>18:45:03.491</v>
      </c>
      <c r="D4274" t="s">
        <v>1731</v>
      </c>
      <c r="E4274">
        <v>31.064271999999999</v>
      </c>
      <c r="F4274" t="s">
        <v>1732</v>
      </c>
      <c r="G4274">
        <v>-89.890844999999999</v>
      </c>
      <c r="H4274">
        <v>1600</v>
      </c>
      <c r="I4274">
        <v>36</v>
      </c>
      <c r="J4274">
        <v>-156</v>
      </c>
      <c r="K4274">
        <v>-256</v>
      </c>
      <c r="L4274">
        <v>1200</v>
      </c>
      <c r="M4274" t="str">
        <f t="shared" si="428"/>
        <v xml:space="preserve">N35DC   </v>
      </c>
      <c r="N4274">
        <v>1</v>
      </c>
      <c r="O4274">
        <v>1725</v>
      </c>
    </row>
    <row r="4275" spans="1:15" x14ac:dyDescent="0.25">
      <c r="A4275" t="str">
        <f>"10/21/2020 18:44:57.026"</f>
        <v>10/21/2020 18:44:57.026</v>
      </c>
      <c r="B4275" t="str">
        <f t="shared" ref="B4275:C4278" si="431">"18:45:04.969"</f>
        <v>18:45:04.969</v>
      </c>
      <c r="C4275" t="str">
        <f t="shared" si="431"/>
        <v>18:45:04.969</v>
      </c>
      <c r="D4275" t="s">
        <v>1733</v>
      </c>
      <c r="E4275">
        <v>31.063478</v>
      </c>
      <c r="F4275" t="s">
        <v>1734</v>
      </c>
      <c r="G4275">
        <v>-89.890630000000002</v>
      </c>
      <c r="H4275">
        <v>1600</v>
      </c>
      <c r="I4275">
        <v>46</v>
      </c>
      <c r="J4275">
        <v>-153</v>
      </c>
      <c r="K4275">
        <v>-256</v>
      </c>
      <c r="L4275">
        <v>1200</v>
      </c>
      <c r="M4275" t="str">
        <f t="shared" si="428"/>
        <v xml:space="preserve">N35DC   </v>
      </c>
      <c r="N4275">
        <v>1</v>
      </c>
      <c r="O4275">
        <v>1725</v>
      </c>
    </row>
    <row r="4276" spans="1:15" x14ac:dyDescent="0.25">
      <c r="A4276" t="str">
        <f>"10/21/2020 18:44:57.026"</f>
        <v>10/21/2020 18:44:57.026</v>
      </c>
      <c r="B4276" t="str">
        <f t="shared" si="431"/>
        <v>18:45:04.969</v>
      </c>
      <c r="C4276" t="str">
        <f t="shared" si="431"/>
        <v>18:45:04.969</v>
      </c>
      <c r="D4276" t="s">
        <v>1733</v>
      </c>
      <c r="E4276">
        <v>31.063478</v>
      </c>
      <c r="F4276" t="s">
        <v>1734</v>
      </c>
      <c r="G4276">
        <v>-89.890630000000002</v>
      </c>
      <c r="H4276">
        <v>1600</v>
      </c>
      <c r="I4276">
        <v>46</v>
      </c>
      <c r="J4276">
        <v>-153</v>
      </c>
      <c r="K4276">
        <v>-256</v>
      </c>
      <c r="L4276">
        <v>1200</v>
      </c>
      <c r="M4276" t="str">
        <f t="shared" si="428"/>
        <v xml:space="preserve">N35DC   </v>
      </c>
      <c r="N4276">
        <v>1</v>
      </c>
      <c r="O4276">
        <v>1725</v>
      </c>
    </row>
    <row r="4277" spans="1:15" x14ac:dyDescent="0.25">
      <c r="A4277" t="str">
        <f>"10/21/2020 18:44:57.026"</f>
        <v>10/21/2020 18:44:57.026</v>
      </c>
      <c r="B4277" t="str">
        <f t="shared" si="431"/>
        <v>18:45:04.969</v>
      </c>
      <c r="C4277" t="str">
        <f t="shared" si="431"/>
        <v>18:45:04.969</v>
      </c>
      <c r="D4277" t="s">
        <v>1733</v>
      </c>
      <c r="E4277">
        <v>31.063478</v>
      </c>
      <c r="F4277" t="s">
        <v>1734</v>
      </c>
      <c r="G4277">
        <v>-89.890630000000002</v>
      </c>
      <c r="H4277">
        <v>1600</v>
      </c>
      <c r="I4277">
        <v>46</v>
      </c>
      <c r="J4277">
        <v>-153</v>
      </c>
      <c r="K4277">
        <v>-256</v>
      </c>
      <c r="L4277">
        <v>1200</v>
      </c>
      <c r="M4277" t="str">
        <f t="shared" si="428"/>
        <v xml:space="preserve">N35DC   </v>
      </c>
      <c r="N4277">
        <v>1</v>
      </c>
      <c r="O4277">
        <v>1725</v>
      </c>
    </row>
    <row r="4278" spans="1:15" x14ac:dyDescent="0.25">
      <c r="A4278" t="str">
        <f>"10/21/2020 18:44:57.026"</f>
        <v>10/21/2020 18:44:57.026</v>
      </c>
      <c r="B4278" t="str">
        <f t="shared" si="431"/>
        <v>18:45:04.969</v>
      </c>
      <c r="C4278" t="str">
        <f t="shared" si="431"/>
        <v>18:45:04.969</v>
      </c>
      <c r="D4278" t="s">
        <v>1733</v>
      </c>
      <c r="E4278">
        <v>31.063478</v>
      </c>
      <c r="F4278" t="s">
        <v>1734</v>
      </c>
      <c r="G4278">
        <v>-89.890630000000002</v>
      </c>
      <c r="H4278">
        <v>1600</v>
      </c>
      <c r="I4278">
        <v>46</v>
      </c>
      <c r="J4278">
        <v>-153</v>
      </c>
      <c r="K4278">
        <v>-256</v>
      </c>
      <c r="L4278">
        <v>1200</v>
      </c>
      <c r="M4278" t="str">
        <f t="shared" si="428"/>
        <v xml:space="preserve">N35DC   </v>
      </c>
      <c r="N4278">
        <v>1</v>
      </c>
      <c r="O4278">
        <v>1725</v>
      </c>
    </row>
    <row r="4279" spans="1:15" x14ac:dyDescent="0.25">
      <c r="A4279" t="str">
        <f>"10/21/2020 18:45:00.079"</f>
        <v>10/21/2020 18:45:00.079</v>
      </c>
      <c r="B4279" t="str">
        <f t="shared" ref="B4279:C4281" si="432">"18:45:08.031"</f>
        <v>18:45:08.031</v>
      </c>
      <c r="C4279" t="str">
        <f t="shared" si="432"/>
        <v>18:45:08.031</v>
      </c>
      <c r="D4279" t="s">
        <v>1735</v>
      </c>
      <c r="E4279">
        <v>31.061418</v>
      </c>
      <c r="F4279" t="s">
        <v>1736</v>
      </c>
      <c r="G4279">
        <v>-89.889643000000007</v>
      </c>
      <c r="H4279">
        <v>1600</v>
      </c>
      <c r="I4279">
        <v>67</v>
      </c>
      <c r="J4279">
        <v>-143</v>
      </c>
      <c r="K4279">
        <v>64</v>
      </c>
      <c r="L4279">
        <v>1200</v>
      </c>
      <c r="M4279" t="str">
        <f t="shared" si="428"/>
        <v xml:space="preserve">N35DC   </v>
      </c>
      <c r="N4279">
        <v>1</v>
      </c>
      <c r="O4279">
        <v>1725</v>
      </c>
    </row>
    <row r="4280" spans="1:15" x14ac:dyDescent="0.25">
      <c r="A4280" t="str">
        <f>"10/21/2020 18:45:00.079"</f>
        <v>10/21/2020 18:45:00.079</v>
      </c>
      <c r="B4280" t="str">
        <f t="shared" si="432"/>
        <v>18:45:08.031</v>
      </c>
      <c r="C4280" t="str">
        <f t="shared" si="432"/>
        <v>18:45:08.031</v>
      </c>
      <c r="D4280" t="s">
        <v>1735</v>
      </c>
      <c r="E4280">
        <v>31.061418</v>
      </c>
      <c r="F4280" t="s">
        <v>1736</v>
      </c>
      <c r="G4280">
        <v>-89.889643000000007</v>
      </c>
      <c r="H4280">
        <v>1600</v>
      </c>
      <c r="I4280">
        <v>67</v>
      </c>
      <c r="J4280">
        <v>-143</v>
      </c>
      <c r="K4280">
        <v>64</v>
      </c>
      <c r="L4280">
        <v>1200</v>
      </c>
      <c r="M4280" t="str">
        <f t="shared" si="428"/>
        <v xml:space="preserve">N35DC   </v>
      </c>
      <c r="N4280">
        <v>1</v>
      </c>
      <c r="O4280">
        <v>1725</v>
      </c>
    </row>
    <row r="4281" spans="1:15" x14ac:dyDescent="0.25">
      <c r="A4281" t="str">
        <f>"10/21/2020 18:45:00.079"</f>
        <v>10/21/2020 18:45:00.079</v>
      </c>
      <c r="B4281" t="str">
        <f t="shared" si="432"/>
        <v>18:45:08.031</v>
      </c>
      <c r="C4281" t="str">
        <f t="shared" si="432"/>
        <v>18:45:08.031</v>
      </c>
      <c r="D4281" t="s">
        <v>1735</v>
      </c>
      <c r="E4281">
        <v>31.061418</v>
      </c>
      <c r="F4281" t="s">
        <v>1736</v>
      </c>
      <c r="G4281">
        <v>-89.889643000000007</v>
      </c>
      <c r="H4281">
        <v>1600</v>
      </c>
      <c r="I4281">
        <v>67</v>
      </c>
      <c r="J4281">
        <v>-143</v>
      </c>
      <c r="K4281">
        <v>64</v>
      </c>
      <c r="L4281">
        <v>1200</v>
      </c>
      <c r="M4281" t="str">
        <f t="shared" si="428"/>
        <v xml:space="preserve">N35DC   </v>
      </c>
      <c r="N4281">
        <v>1</v>
      </c>
      <c r="O4281">
        <v>1725</v>
      </c>
    </row>
    <row r="4282" spans="1:15" x14ac:dyDescent="0.25">
      <c r="A4282" t="str">
        <f>"10/21/2020 18:45:00.586"</f>
        <v>10/21/2020 18:45:00.586</v>
      </c>
      <c r="B4282" t="str">
        <f>"18:45:08.477"</f>
        <v>18:45:08.477</v>
      </c>
      <c r="C4282" t="str">
        <f>"18:45:07.977"</f>
        <v>18:45:07.977</v>
      </c>
      <c r="D4282" t="s">
        <v>1737</v>
      </c>
      <c r="E4282">
        <v>31.061095999999999</v>
      </c>
      <c r="F4282" t="s">
        <v>1738</v>
      </c>
      <c r="G4282">
        <v>-89.889429000000007</v>
      </c>
      <c r="H4282">
        <v>1600</v>
      </c>
      <c r="I4282">
        <v>67</v>
      </c>
      <c r="J4282">
        <v>-143</v>
      </c>
      <c r="K4282">
        <v>64</v>
      </c>
      <c r="L4282">
        <v>1200</v>
      </c>
      <c r="M4282" t="str">
        <f t="shared" si="428"/>
        <v xml:space="preserve">N35DC   </v>
      </c>
      <c r="N4282">
        <v>1</v>
      </c>
      <c r="O4282">
        <v>1725</v>
      </c>
    </row>
    <row r="4283" spans="1:15" x14ac:dyDescent="0.25">
      <c r="A4283" t="str">
        <f>"10/21/2020 18:45:02.991"</f>
        <v>10/21/2020 18:45:02.991</v>
      </c>
      <c r="B4283" t="str">
        <f>"18:45:10.922"</f>
        <v>18:45:10.922</v>
      </c>
      <c r="C4283" t="str">
        <f>"18:45:10.422"</f>
        <v>18:45:10.422</v>
      </c>
      <c r="D4283" t="s">
        <v>1739</v>
      </c>
      <c r="E4283">
        <v>31.059594000000001</v>
      </c>
      <c r="F4283" t="s">
        <v>1740</v>
      </c>
      <c r="G4283">
        <v>-89.888419999999996</v>
      </c>
      <c r="H4283">
        <v>1600</v>
      </c>
      <c r="I4283">
        <v>83</v>
      </c>
      <c r="J4283">
        <v>-132</v>
      </c>
      <c r="K4283">
        <v>128</v>
      </c>
      <c r="L4283">
        <v>1200</v>
      </c>
      <c r="M4283" t="str">
        <f t="shared" si="428"/>
        <v xml:space="preserve">N35DC   </v>
      </c>
      <c r="N4283">
        <v>1</v>
      </c>
      <c r="O4283">
        <v>1725</v>
      </c>
    </row>
    <row r="4284" spans="1:15" x14ac:dyDescent="0.25">
      <c r="A4284" t="str">
        <f>"10/21/2020 18:45:02.991"</f>
        <v>10/21/2020 18:45:02.991</v>
      </c>
      <c r="B4284" t="str">
        <f>"18:45:10.922"</f>
        <v>18:45:10.922</v>
      </c>
      <c r="C4284" t="str">
        <f>"18:45:10.422"</f>
        <v>18:45:10.422</v>
      </c>
      <c r="D4284" t="s">
        <v>1739</v>
      </c>
      <c r="E4284">
        <v>31.059594000000001</v>
      </c>
      <c r="F4284" t="s">
        <v>1740</v>
      </c>
      <c r="G4284">
        <v>-89.888419999999996</v>
      </c>
      <c r="H4284">
        <v>1600</v>
      </c>
      <c r="I4284">
        <v>83</v>
      </c>
      <c r="J4284">
        <v>-132</v>
      </c>
      <c r="K4284">
        <v>128</v>
      </c>
      <c r="L4284">
        <v>1200</v>
      </c>
      <c r="M4284" t="str">
        <f t="shared" si="428"/>
        <v xml:space="preserve">N35DC   </v>
      </c>
      <c r="N4284">
        <v>1</v>
      </c>
      <c r="O4284">
        <v>1725</v>
      </c>
    </row>
    <row r="4285" spans="1:15" x14ac:dyDescent="0.25">
      <c r="A4285" t="str">
        <f>"10/21/2020 18:45:02.991"</f>
        <v>10/21/2020 18:45:02.991</v>
      </c>
      <c r="B4285" t="str">
        <f>"18:45:10.922"</f>
        <v>18:45:10.922</v>
      </c>
      <c r="C4285" t="str">
        <f>"18:45:10.422"</f>
        <v>18:45:10.422</v>
      </c>
      <c r="D4285" t="s">
        <v>1739</v>
      </c>
      <c r="E4285">
        <v>31.059594000000001</v>
      </c>
      <c r="F4285" t="s">
        <v>1740</v>
      </c>
      <c r="G4285">
        <v>-89.888419999999996</v>
      </c>
      <c r="H4285">
        <v>1600</v>
      </c>
      <c r="I4285">
        <v>83</v>
      </c>
      <c r="J4285">
        <v>-132</v>
      </c>
      <c r="K4285">
        <v>128</v>
      </c>
      <c r="L4285">
        <v>1200</v>
      </c>
      <c r="M4285" t="str">
        <f t="shared" si="428"/>
        <v xml:space="preserve">N35DC   </v>
      </c>
      <c r="N4285">
        <v>1</v>
      </c>
      <c r="O4285">
        <v>1725</v>
      </c>
    </row>
    <row r="4286" spans="1:15" x14ac:dyDescent="0.25">
      <c r="A4286" t="str">
        <f>"10/21/2020 18:45:02.991"</f>
        <v>10/21/2020 18:45:02.991</v>
      </c>
      <c r="B4286" t="str">
        <f>"18:45:10.922"</f>
        <v>18:45:10.922</v>
      </c>
      <c r="C4286" t="str">
        <f>"18:45:10.422"</f>
        <v>18:45:10.422</v>
      </c>
      <c r="D4286" t="s">
        <v>1739</v>
      </c>
      <c r="E4286">
        <v>31.059594000000001</v>
      </c>
      <c r="F4286" t="s">
        <v>1740</v>
      </c>
      <c r="G4286">
        <v>-89.888419999999996</v>
      </c>
      <c r="H4286">
        <v>1600</v>
      </c>
      <c r="I4286">
        <v>83</v>
      </c>
      <c r="J4286">
        <v>-132</v>
      </c>
      <c r="K4286">
        <v>128</v>
      </c>
      <c r="L4286">
        <v>1200</v>
      </c>
      <c r="M4286" t="str">
        <f t="shared" si="428"/>
        <v xml:space="preserve">N35DC   </v>
      </c>
      <c r="N4286">
        <v>1</v>
      </c>
      <c r="O4286">
        <v>1725</v>
      </c>
    </row>
    <row r="4287" spans="1:15" x14ac:dyDescent="0.25">
      <c r="A4287" t="str">
        <f>"10/21/2020 18:45:04.124"</f>
        <v>10/21/2020 18:45:04.124</v>
      </c>
      <c r="B4287" t="str">
        <f>"18:45:12.078"</f>
        <v>18:45:12.078</v>
      </c>
      <c r="C4287" t="str">
        <f>"18:45:11.478"</f>
        <v>18:45:11.478</v>
      </c>
      <c r="D4287" t="s">
        <v>1741</v>
      </c>
      <c r="E4287">
        <v>31.058907999999999</v>
      </c>
      <c r="F4287" t="s">
        <v>1742</v>
      </c>
      <c r="G4287">
        <v>-89.887818999999993</v>
      </c>
      <c r="H4287">
        <v>1600</v>
      </c>
      <c r="I4287">
        <v>89</v>
      </c>
      <c r="J4287">
        <v>-127</v>
      </c>
      <c r="K4287">
        <v>128</v>
      </c>
      <c r="L4287">
        <v>1200</v>
      </c>
      <c r="M4287" t="str">
        <f t="shared" si="428"/>
        <v xml:space="preserve">N35DC   </v>
      </c>
      <c r="N4287">
        <v>1</v>
      </c>
      <c r="O4287">
        <v>1725</v>
      </c>
    </row>
    <row r="4288" spans="1:15" x14ac:dyDescent="0.25">
      <c r="A4288" t="str">
        <f>"10/21/2020 18:45:04.124"</f>
        <v>10/21/2020 18:45:04.124</v>
      </c>
      <c r="B4288" t="str">
        <f>"18:45:12.078"</f>
        <v>18:45:12.078</v>
      </c>
      <c r="C4288" t="str">
        <f>"18:45:11.478"</f>
        <v>18:45:11.478</v>
      </c>
      <c r="D4288" t="s">
        <v>1741</v>
      </c>
      <c r="E4288">
        <v>31.058907999999999</v>
      </c>
      <c r="F4288" t="s">
        <v>1742</v>
      </c>
      <c r="G4288">
        <v>-89.887818999999993</v>
      </c>
      <c r="H4288">
        <v>1600</v>
      </c>
      <c r="I4288">
        <v>89</v>
      </c>
      <c r="J4288">
        <v>-127</v>
      </c>
      <c r="K4288">
        <v>128</v>
      </c>
      <c r="L4288">
        <v>1200</v>
      </c>
      <c r="M4288" t="str">
        <f t="shared" si="428"/>
        <v xml:space="preserve">N35DC   </v>
      </c>
      <c r="N4288">
        <v>1</v>
      </c>
      <c r="O4288">
        <v>1725</v>
      </c>
    </row>
    <row r="4289" spans="1:15" x14ac:dyDescent="0.25">
      <c r="A4289" t="str">
        <f>"10/21/2020 18:45:04.124"</f>
        <v>10/21/2020 18:45:04.124</v>
      </c>
      <c r="B4289" t="str">
        <f>"18:45:12.078"</f>
        <v>18:45:12.078</v>
      </c>
      <c r="C4289" t="str">
        <f>"18:45:11.478"</f>
        <v>18:45:11.478</v>
      </c>
      <c r="D4289" t="s">
        <v>1741</v>
      </c>
      <c r="E4289">
        <v>31.058907999999999</v>
      </c>
      <c r="F4289" t="s">
        <v>1742</v>
      </c>
      <c r="G4289">
        <v>-89.887818999999993</v>
      </c>
      <c r="H4289">
        <v>1600</v>
      </c>
      <c r="I4289">
        <v>89</v>
      </c>
      <c r="J4289">
        <v>-127</v>
      </c>
      <c r="K4289">
        <v>128</v>
      </c>
      <c r="L4289">
        <v>1200</v>
      </c>
      <c r="M4289" t="str">
        <f t="shared" si="428"/>
        <v xml:space="preserve">N35DC   </v>
      </c>
      <c r="N4289">
        <v>1</v>
      </c>
      <c r="O4289">
        <v>1725</v>
      </c>
    </row>
    <row r="4290" spans="1:15" x14ac:dyDescent="0.25">
      <c r="A4290" t="str">
        <f>"10/21/2020 18:45:04.124"</f>
        <v>10/21/2020 18:45:04.124</v>
      </c>
      <c r="B4290" t="str">
        <f>"18:45:12.078"</f>
        <v>18:45:12.078</v>
      </c>
      <c r="C4290" t="str">
        <f>"18:45:11.478"</f>
        <v>18:45:11.478</v>
      </c>
      <c r="D4290" t="s">
        <v>1741</v>
      </c>
      <c r="E4290">
        <v>31.058907999999999</v>
      </c>
      <c r="F4290" t="s">
        <v>1742</v>
      </c>
      <c r="G4290">
        <v>-89.887818999999993</v>
      </c>
      <c r="H4290">
        <v>1600</v>
      </c>
      <c r="I4290">
        <v>89</v>
      </c>
      <c r="J4290">
        <v>-127</v>
      </c>
      <c r="K4290">
        <v>128</v>
      </c>
      <c r="L4290">
        <v>1200</v>
      </c>
      <c r="M4290" t="str">
        <f t="shared" si="428"/>
        <v xml:space="preserve">N35DC   </v>
      </c>
      <c r="N4290">
        <v>1</v>
      </c>
      <c r="O4290">
        <v>1725</v>
      </c>
    </row>
    <row r="4291" spans="1:15" x14ac:dyDescent="0.25">
      <c r="A4291" t="str">
        <f>"10/21/2020 18:45:05.163"</f>
        <v>10/21/2020 18:45:05.163</v>
      </c>
      <c r="B4291" t="str">
        <f>"18:45:13.117"</f>
        <v>18:45:13.117</v>
      </c>
      <c r="C4291" t="str">
        <f>"18:45:13.017"</f>
        <v>18:45:13.017</v>
      </c>
      <c r="D4291" t="s">
        <v>1743</v>
      </c>
      <c r="E4291">
        <v>31.058306999999999</v>
      </c>
      <c r="F4291" t="s">
        <v>732</v>
      </c>
      <c r="G4291">
        <v>-89.887326000000002</v>
      </c>
      <c r="H4291">
        <v>1600</v>
      </c>
      <c r="I4291">
        <v>98</v>
      </c>
      <c r="J4291">
        <v>-119</v>
      </c>
      <c r="K4291">
        <v>128</v>
      </c>
      <c r="L4291">
        <v>1200</v>
      </c>
      <c r="M4291" t="str">
        <f t="shared" si="428"/>
        <v xml:space="preserve">N35DC   </v>
      </c>
      <c r="N4291">
        <v>1</v>
      </c>
      <c r="O4291">
        <v>1725</v>
      </c>
    </row>
    <row r="4292" spans="1:15" x14ac:dyDescent="0.25">
      <c r="A4292" t="str">
        <f>"10/21/2020 18:45:05.163"</f>
        <v>10/21/2020 18:45:05.163</v>
      </c>
      <c r="B4292" t="str">
        <f>"18:45:13.117"</f>
        <v>18:45:13.117</v>
      </c>
      <c r="C4292" t="str">
        <f>"18:45:13.017"</f>
        <v>18:45:13.017</v>
      </c>
      <c r="D4292" t="s">
        <v>1743</v>
      </c>
      <c r="E4292">
        <v>31.058306999999999</v>
      </c>
      <c r="F4292" t="s">
        <v>732</v>
      </c>
      <c r="G4292">
        <v>-89.887326000000002</v>
      </c>
      <c r="H4292">
        <v>1600</v>
      </c>
      <c r="I4292">
        <v>98</v>
      </c>
      <c r="J4292">
        <v>-119</v>
      </c>
      <c r="K4292">
        <v>128</v>
      </c>
      <c r="L4292">
        <v>1200</v>
      </c>
      <c r="M4292" t="str">
        <f t="shared" si="428"/>
        <v xml:space="preserve">N35DC   </v>
      </c>
      <c r="N4292">
        <v>1</v>
      </c>
      <c r="O4292">
        <v>1725</v>
      </c>
    </row>
    <row r="4293" spans="1:15" x14ac:dyDescent="0.25">
      <c r="A4293" t="str">
        <f>"10/21/2020 18:45:05.163"</f>
        <v>10/21/2020 18:45:05.163</v>
      </c>
      <c r="B4293" t="str">
        <f>"18:45:13.117"</f>
        <v>18:45:13.117</v>
      </c>
      <c r="C4293" t="str">
        <f>"18:45:13.017"</f>
        <v>18:45:13.017</v>
      </c>
      <c r="D4293" t="s">
        <v>1743</v>
      </c>
      <c r="E4293">
        <v>31.058306999999999</v>
      </c>
      <c r="F4293" t="s">
        <v>732</v>
      </c>
      <c r="G4293">
        <v>-89.887326000000002</v>
      </c>
      <c r="H4293">
        <v>1600</v>
      </c>
      <c r="I4293">
        <v>98</v>
      </c>
      <c r="J4293">
        <v>-119</v>
      </c>
      <c r="K4293">
        <v>128</v>
      </c>
      <c r="L4293">
        <v>1200</v>
      </c>
      <c r="M4293" t="str">
        <f t="shared" si="428"/>
        <v xml:space="preserve">N35DC   </v>
      </c>
      <c r="N4293">
        <v>1</v>
      </c>
      <c r="O4293">
        <v>1725</v>
      </c>
    </row>
    <row r="4294" spans="1:15" x14ac:dyDescent="0.25">
      <c r="A4294" t="str">
        <f>"10/21/2020 18:45:05.163"</f>
        <v>10/21/2020 18:45:05.163</v>
      </c>
      <c r="B4294" t="str">
        <f>"18:45:13.117"</f>
        <v>18:45:13.117</v>
      </c>
      <c r="C4294" t="str">
        <f>"18:45:13.017"</f>
        <v>18:45:13.017</v>
      </c>
      <c r="D4294" t="s">
        <v>1743</v>
      </c>
      <c r="E4294">
        <v>31.058306999999999</v>
      </c>
      <c r="F4294" t="s">
        <v>732</v>
      </c>
      <c r="G4294">
        <v>-89.887326000000002</v>
      </c>
      <c r="H4294">
        <v>1600</v>
      </c>
      <c r="I4294">
        <v>98</v>
      </c>
      <c r="J4294">
        <v>-119</v>
      </c>
      <c r="K4294">
        <v>128</v>
      </c>
      <c r="L4294">
        <v>1200</v>
      </c>
      <c r="M4294" t="str">
        <f t="shared" si="428"/>
        <v xml:space="preserve">N35DC   </v>
      </c>
      <c r="N4294">
        <v>1</v>
      </c>
      <c r="O4294">
        <v>1725</v>
      </c>
    </row>
    <row r="4295" spans="1:15" x14ac:dyDescent="0.25">
      <c r="A4295" t="str">
        <f>"10/21/2020 18:45:08.079"</f>
        <v>10/21/2020 18:45:08.079</v>
      </c>
      <c r="B4295" t="str">
        <f>"18:45:16.039"</f>
        <v>18:45:16.039</v>
      </c>
      <c r="C4295" t="str">
        <f>"18:45:15.639"</f>
        <v>18:45:15.639</v>
      </c>
      <c r="D4295" t="s">
        <v>1744</v>
      </c>
      <c r="E4295">
        <v>31.056847999999999</v>
      </c>
      <c r="F4295" t="s">
        <v>1745</v>
      </c>
      <c r="G4295">
        <v>-89.885609000000002</v>
      </c>
      <c r="H4295">
        <v>1600</v>
      </c>
      <c r="I4295">
        <v>111</v>
      </c>
      <c r="J4295">
        <v>-105</v>
      </c>
      <c r="K4295">
        <v>128</v>
      </c>
      <c r="L4295">
        <v>1200</v>
      </c>
      <c r="M4295" t="str">
        <f t="shared" ref="M4295:M4358" si="433">"N35DC   "</f>
        <v xml:space="preserve">N35DC   </v>
      </c>
      <c r="N4295">
        <v>1</v>
      </c>
      <c r="O4295">
        <v>1725</v>
      </c>
    </row>
    <row r="4296" spans="1:15" x14ac:dyDescent="0.25">
      <c r="A4296" t="str">
        <f>"10/21/2020 18:45:08.079"</f>
        <v>10/21/2020 18:45:08.079</v>
      </c>
      <c r="B4296" t="str">
        <f>"18:45:16.039"</f>
        <v>18:45:16.039</v>
      </c>
      <c r="C4296" t="str">
        <f>"18:45:15.639"</f>
        <v>18:45:15.639</v>
      </c>
      <c r="D4296" t="s">
        <v>1744</v>
      </c>
      <c r="E4296">
        <v>31.056847999999999</v>
      </c>
      <c r="F4296" t="s">
        <v>1745</v>
      </c>
      <c r="G4296">
        <v>-89.885609000000002</v>
      </c>
      <c r="H4296">
        <v>1600</v>
      </c>
      <c r="I4296">
        <v>111</v>
      </c>
      <c r="J4296">
        <v>-105</v>
      </c>
      <c r="K4296">
        <v>128</v>
      </c>
      <c r="L4296">
        <v>1200</v>
      </c>
      <c r="M4296" t="str">
        <f t="shared" si="433"/>
        <v xml:space="preserve">N35DC   </v>
      </c>
      <c r="N4296">
        <v>1</v>
      </c>
      <c r="O4296">
        <v>1725</v>
      </c>
    </row>
    <row r="4297" spans="1:15" x14ac:dyDescent="0.25">
      <c r="A4297" t="str">
        <f>"10/21/2020 18:45:08.079"</f>
        <v>10/21/2020 18:45:08.079</v>
      </c>
      <c r="B4297" t="str">
        <f>"18:45:16.039"</f>
        <v>18:45:16.039</v>
      </c>
      <c r="C4297" t="str">
        <f>"18:45:15.639"</f>
        <v>18:45:15.639</v>
      </c>
      <c r="D4297" t="s">
        <v>1744</v>
      </c>
      <c r="E4297">
        <v>31.056847999999999</v>
      </c>
      <c r="F4297" t="s">
        <v>1745</v>
      </c>
      <c r="G4297">
        <v>-89.885609000000002</v>
      </c>
      <c r="H4297">
        <v>1600</v>
      </c>
      <c r="I4297">
        <v>111</v>
      </c>
      <c r="J4297">
        <v>-105</v>
      </c>
      <c r="K4297">
        <v>128</v>
      </c>
      <c r="L4297">
        <v>1200</v>
      </c>
      <c r="M4297" t="str">
        <f t="shared" si="433"/>
        <v xml:space="preserve">N35DC   </v>
      </c>
      <c r="N4297">
        <v>1</v>
      </c>
      <c r="O4297">
        <v>1725</v>
      </c>
    </row>
    <row r="4298" spans="1:15" x14ac:dyDescent="0.25">
      <c r="A4298" t="str">
        <f>"10/21/2020 18:45:08.079"</f>
        <v>10/21/2020 18:45:08.079</v>
      </c>
      <c r="B4298" t="str">
        <f>"18:45:16.039"</f>
        <v>18:45:16.039</v>
      </c>
      <c r="C4298" t="str">
        <f>"18:45:15.639"</f>
        <v>18:45:15.639</v>
      </c>
      <c r="D4298" t="s">
        <v>1744</v>
      </c>
      <c r="E4298">
        <v>31.056847999999999</v>
      </c>
      <c r="F4298" t="s">
        <v>1745</v>
      </c>
      <c r="G4298">
        <v>-89.885609000000002</v>
      </c>
      <c r="H4298">
        <v>1600</v>
      </c>
      <c r="I4298">
        <v>111</v>
      </c>
      <c r="J4298">
        <v>-105</v>
      </c>
      <c r="K4298">
        <v>128</v>
      </c>
      <c r="L4298">
        <v>1200</v>
      </c>
      <c r="M4298" t="str">
        <f t="shared" si="433"/>
        <v xml:space="preserve">N35DC   </v>
      </c>
      <c r="N4298">
        <v>1</v>
      </c>
      <c r="O4298">
        <v>1725</v>
      </c>
    </row>
    <row r="4299" spans="1:15" x14ac:dyDescent="0.25">
      <c r="A4299" t="str">
        <f>"10/21/2020 18:45:09.050"</f>
        <v>10/21/2020 18:45:09.050</v>
      </c>
      <c r="B4299" t="str">
        <f>"18:45:16.984"</f>
        <v>18:45:16.984</v>
      </c>
      <c r="C4299" t="str">
        <f>"18:45:16.584"</f>
        <v>18:45:16.584</v>
      </c>
      <c r="D4299" t="s">
        <v>1746</v>
      </c>
      <c r="E4299">
        <v>31.056397</v>
      </c>
      <c r="F4299" t="s">
        <v>1243</v>
      </c>
      <c r="G4299">
        <v>-89.88503</v>
      </c>
      <c r="H4299">
        <v>1600</v>
      </c>
      <c r="I4299">
        <v>115</v>
      </c>
      <c r="J4299">
        <v>-101</v>
      </c>
      <c r="K4299">
        <v>64</v>
      </c>
      <c r="L4299">
        <v>1200</v>
      </c>
      <c r="M4299" t="str">
        <f t="shared" si="433"/>
        <v xml:space="preserve">N35DC   </v>
      </c>
      <c r="N4299">
        <v>1</v>
      </c>
      <c r="O4299">
        <v>1725</v>
      </c>
    </row>
    <row r="4300" spans="1:15" x14ac:dyDescent="0.25">
      <c r="A4300" t="str">
        <f>"10/21/2020 18:45:09.050"</f>
        <v>10/21/2020 18:45:09.050</v>
      </c>
      <c r="B4300" t="str">
        <f>"18:45:16.984"</f>
        <v>18:45:16.984</v>
      </c>
      <c r="C4300" t="str">
        <f>"18:45:16.584"</f>
        <v>18:45:16.584</v>
      </c>
      <c r="D4300" t="s">
        <v>1746</v>
      </c>
      <c r="E4300">
        <v>31.056397</v>
      </c>
      <c r="F4300" t="s">
        <v>1243</v>
      </c>
      <c r="G4300">
        <v>-89.88503</v>
      </c>
      <c r="H4300">
        <v>1600</v>
      </c>
      <c r="I4300">
        <v>115</v>
      </c>
      <c r="J4300">
        <v>-101</v>
      </c>
      <c r="K4300">
        <v>64</v>
      </c>
      <c r="L4300">
        <v>1200</v>
      </c>
      <c r="M4300" t="str">
        <f t="shared" si="433"/>
        <v xml:space="preserve">N35DC   </v>
      </c>
      <c r="N4300">
        <v>1</v>
      </c>
      <c r="O4300">
        <v>1725</v>
      </c>
    </row>
    <row r="4301" spans="1:15" x14ac:dyDescent="0.25">
      <c r="A4301" t="str">
        <f>"10/21/2020 18:45:09.050"</f>
        <v>10/21/2020 18:45:09.050</v>
      </c>
      <c r="B4301" t="str">
        <f>"18:45:16.984"</f>
        <v>18:45:16.984</v>
      </c>
      <c r="C4301" t="str">
        <f>"18:45:16.584"</f>
        <v>18:45:16.584</v>
      </c>
      <c r="D4301" t="s">
        <v>1746</v>
      </c>
      <c r="E4301">
        <v>31.056397</v>
      </c>
      <c r="F4301" t="s">
        <v>1243</v>
      </c>
      <c r="G4301">
        <v>-89.88503</v>
      </c>
      <c r="H4301">
        <v>1600</v>
      </c>
      <c r="I4301">
        <v>115</v>
      </c>
      <c r="J4301">
        <v>-101</v>
      </c>
      <c r="K4301">
        <v>64</v>
      </c>
      <c r="L4301">
        <v>1200</v>
      </c>
      <c r="M4301" t="str">
        <f t="shared" si="433"/>
        <v xml:space="preserve">N35DC   </v>
      </c>
      <c r="N4301">
        <v>1</v>
      </c>
      <c r="O4301">
        <v>1725</v>
      </c>
    </row>
    <row r="4302" spans="1:15" x14ac:dyDescent="0.25">
      <c r="A4302" t="str">
        <f>"10/21/2020 18:45:10.914"</f>
        <v>10/21/2020 18:45:10.914</v>
      </c>
      <c r="B4302" t="str">
        <f>"18:45:18.875"</f>
        <v>18:45:18.875</v>
      </c>
      <c r="C4302" t="str">
        <f>"18:45:18.475"</f>
        <v>18:45:18.475</v>
      </c>
      <c r="D4302" t="s">
        <v>1747</v>
      </c>
      <c r="E4302">
        <v>31.055603000000001</v>
      </c>
      <c r="F4302" t="s">
        <v>1748</v>
      </c>
      <c r="G4302">
        <v>-89.883785000000003</v>
      </c>
      <c r="H4302">
        <v>1600</v>
      </c>
      <c r="I4302">
        <v>123</v>
      </c>
      <c r="J4302">
        <v>-89</v>
      </c>
      <c r="K4302">
        <v>0</v>
      </c>
      <c r="L4302">
        <v>1200</v>
      </c>
      <c r="M4302" t="str">
        <f t="shared" si="433"/>
        <v xml:space="preserve">N35DC   </v>
      </c>
      <c r="N4302">
        <v>1</v>
      </c>
      <c r="O4302">
        <v>1725</v>
      </c>
    </row>
    <row r="4303" spans="1:15" x14ac:dyDescent="0.25">
      <c r="A4303" t="str">
        <f>"10/21/2020 18:45:10.914"</f>
        <v>10/21/2020 18:45:10.914</v>
      </c>
      <c r="B4303" t="str">
        <f>"18:45:18.875"</f>
        <v>18:45:18.875</v>
      </c>
      <c r="C4303" t="str">
        <f>"18:45:18.475"</f>
        <v>18:45:18.475</v>
      </c>
      <c r="D4303" t="s">
        <v>1747</v>
      </c>
      <c r="E4303">
        <v>31.055603000000001</v>
      </c>
      <c r="F4303" t="s">
        <v>1748</v>
      </c>
      <c r="G4303">
        <v>-89.883785000000003</v>
      </c>
      <c r="H4303">
        <v>1600</v>
      </c>
      <c r="I4303">
        <v>123</v>
      </c>
      <c r="J4303">
        <v>-89</v>
      </c>
      <c r="K4303">
        <v>0</v>
      </c>
      <c r="L4303">
        <v>1200</v>
      </c>
      <c r="M4303" t="str">
        <f t="shared" si="433"/>
        <v xml:space="preserve">N35DC   </v>
      </c>
      <c r="N4303">
        <v>1</v>
      </c>
      <c r="O4303">
        <v>1725</v>
      </c>
    </row>
    <row r="4304" spans="1:15" x14ac:dyDescent="0.25">
      <c r="A4304" t="str">
        <f>"10/21/2020 18:45:10.914"</f>
        <v>10/21/2020 18:45:10.914</v>
      </c>
      <c r="B4304" t="str">
        <f>"18:45:18.875"</f>
        <v>18:45:18.875</v>
      </c>
      <c r="C4304" t="str">
        <f>"18:45:18.475"</f>
        <v>18:45:18.475</v>
      </c>
      <c r="D4304" t="s">
        <v>1747</v>
      </c>
      <c r="E4304">
        <v>31.055603000000001</v>
      </c>
      <c r="F4304" t="s">
        <v>1748</v>
      </c>
      <c r="G4304">
        <v>-89.883785000000003</v>
      </c>
      <c r="H4304">
        <v>1600</v>
      </c>
      <c r="I4304">
        <v>123</v>
      </c>
      <c r="J4304">
        <v>-89</v>
      </c>
      <c r="K4304">
        <v>0</v>
      </c>
      <c r="L4304">
        <v>1200</v>
      </c>
      <c r="M4304" t="str">
        <f t="shared" si="433"/>
        <v xml:space="preserve">N35DC   </v>
      </c>
      <c r="N4304">
        <v>1</v>
      </c>
      <c r="O4304">
        <v>1725</v>
      </c>
    </row>
    <row r="4305" spans="1:15" x14ac:dyDescent="0.25">
      <c r="A4305" t="str">
        <f>"10/21/2020 18:45:10.914"</f>
        <v>10/21/2020 18:45:10.914</v>
      </c>
      <c r="B4305" t="str">
        <f>"18:45:18.875"</f>
        <v>18:45:18.875</v>
      </c>
      <c r="C4305" t="str">
        <f>"18:45:18.475"</f>
        <v>18:45:18.475</v>
      </c>
      <c r="D4305" t="s">
        <v>1747</v>
      </c>
      <c r="E4305">
        <v>31.055603000000001</v>
      </c>
      <c r="F4305" t="s">
        <v>1748</v>
      </c>
      <c r="G4305">
        <v>-89.883785000000003</v>
      </c>
      <c r="H4305">
        <v>1600</v>
      </c>
      <c r="I4305">
        <v>123</v>
      </c>
      <c r="J4305">
        <v>-89</v>
      </c>
      <c r="K4305">
        <v>0</v>
      </c>
      <c r="L4305">
        <v>1200</v>
      </c>
      <c r="M4305" t="str">
        <f t="shared" si="433"/>
        <v xml:space="preserve">N35DC   </v>
      </c>
      <c r="N4305">
        <v>1</v>
      </c>
      <c r="O4305">
        <v>1725</v>
      </c>
    </row>
    <row r="4306" spans="1:15" x14ac:dyDescent="0.25">
      <c r="A4306" t="str">
        <f>"10/21/2020 18:45:12.075"</f>
        <v>10/21/2020 18:45:12.075</v>
      </c>
      <c r="B4306" t="str">
        <f>"18:45:20.031"</f>
        <v>18:45:20.031</v>
      </c>
      <c r="C4306" t="str">
        <f>"18:45:19.531"</f>
        <v>18:45:19.531</v>
      </c>
      <c r="D4306" t="s">
        <v>1749</v>
      </c>
      <c r="E4306">
        <v>31.055152</v>
      </c>
      <c r="F4306" t="s">
        <v>1750</v>
      </c>
      <c r="G4306">
        <v>-89.88297</v>
      </c>
      <c r="H4306">
        <v>1600</v>
      </c>
      <c r="I4306">
        <v>126</v>
      </c>
      <c r="J4306">
        <v>-84</v>
      </c>
      <c r="K4306">
        <v>64</v>
      </c>
      <c r="L4306">
        <v>1200</v>
      </c>
      <c r="M4306" t="str">
        <f t="shared" si="433"/>
        <v xml:space="preserve">N35DC   </v>
      </c>
      <c r="N4306">
        <v>1</v>
      </c>
      <c r="O4306">
        <v>1725</v>
      </c>
    </row>
    <row r="4307" spans="1:15" x14ac:dyDescent="0.25">
      <c r="A4307" t="str">
        <f>"10/21/2020 18:45:12.075"</f>
        <v>10/21/2020 18:45:12.075</v>
      </c>
      <c r="B4307" t="str">
        <f>"18:45:20.031"</f>
        <v>18:45:20.031</v>
      </c>
      <c r="C4307" t="str">
        <f>"18:45:19.531"</f>
        <v>18:45:19.531</v>
      </c>
      <c r="D4307" t="s">
        <v>1749</v>
      </c>
      <c r="E4307">
        <v>31.055152</v>
      </c>
      <c r="F4307" t="s">
        <v>1750</v>
      </c>
      <c r="G4307">
        <v>-89.88297</v>
      </c>
      <c r="H4307">
        <v>1600</v>
      </c>
      <c r="I4307">
        <v>126</v>
      </c>
      <c r="J4307">
        <v>-84</v>
      </c>
      <c r="K4307">
        <v>64</v>
      </c>
      <c r="L4307">
        <v>1200</v>
      </c>
      <c r="M4307" t="str">
        <f t="shared" si="433"/>
        <v xml:space="preserve">N35DC   </v>
      </c>
      <c r="N4307">
        <v>1</v>
      </c>
      <c r="O4307">
        <v>1725</v>
      </c>
    </row>
    <row r="4308" spans="1:15" x14ac:dyDescent="0.25">
      <c r="A4308" t="str">
        <f>"10/21/2020 18:45:12.075"</f>
        <v>10/21/2020 18:45:12.075</v>
      </c>
      <c r="B4308" t="str">
        <f>"18:45:20.031"</f>
        <v>18:45:20.031</v>
      </c>
      <c r="C4308" t="str">
        <f>"18:45:19.531"</f>
        <v>18:45:19.531</v>
      </c>
      <c r="D4308" t="s">
        <v>1749</v>
      </c>
      <c r="E4308">
        <v>31.055152</v>
      </c>
      <c r="F4308" t="s">
        <v>1750</v>
      </c>
      <c r="G4308">
        <v>-89.88297</v>
      </c>
      <c r="H4308">
        <v>1600</v>
      </c>
      <c r="I4308">
        <v>126</v>
      </c>
      <c r="J4308">
        <v>-84</v>
      </c>
      <c r="K4308">
        <v>64</v>
      </c>
      <c r="L4308">
        <v>1200</v>
      </c>
      <c r="M4308" t="str">
        <f t="shared" si="433"/>
        <v xml:space="preserve">N35DC   </v>
      </c>
      <c r="N4308">
        <v>1</v>
      </c>
      <c r="O4308">
        <v>1725</v>
      </c>
    </row>
    <row r="4309" spans="1:15" x14ac:dyDescent="0.25">
      <c r="A4309" t="str">
        <f>"10/21/2020 18:45:12.075"</f>
        <v>10/21/2020 18:45:12.075</v>
      </c>
      <c r="B4309" t="str">
        <f>"18:45:20.031"</f>
        <v>18:45:20.031</v>
      </c>
      <c r="C4309" t="str">
        <f>"18:45:19.531"</f>
        <v>18:45:19.531</v>
      </c>
      <c r="D4309" t="s">
        <v>1749</v>
      </c>
      <c r="E4309">
        <v>31.055152</v>
      </c>
      <c r="F4309" t="s">
        <v>1750</v>
      </c>
      <c r="G4309">
        <v>-89.88297</v>
      </c>
      <c r="H4309">
        <v>1600</v>
      </c>
      <c r="I4309">
        <v>126</v>
      </c>
      <c r="J4309">
        <v>-84</v>
      </c>
      <c r="K4309">
        <v>64</v>
      </c>
      <c r="L4309">
        <v>1200</v>
      </c>
      <c r="M4309" t="str">
        <f t="shared" si="433"/>
        <v xml:space="preserve">N35DC   </v>
      </c>
      <c r="N4309">
        <v>1</v>
      </c>
      <c r="O4309">
        <v>1725</v>
      </c>
    </row>
    <row r="4310" spans="1:15" x14ac:dyDescent="0.25">
      <c r="A4310" t="str">
        <f>"10/21/2020 18:45:14.576"</f>
        <v>10/21/2020 18:45:14.576</v>
      </c>
      <c r="B4310" t="str">
        <f>"18:45:22.477"</f>
        <v>18:45:22.477</v>
      </c>
      <c r="C4310" t="str">
        <f>"18:45:22.077"</f>
        <v>18:45:22.077</v>
      </c>
      <c r="D4310" t="s">
        <v>1751</v>
      </c>
      <c r="E4310">
        <v>31.054316</v>
      </c>
      <c r="F4310" t="s">
        <v>1752</v>
      </c>
      <c r="G4310">
        <v>-89.881296000000006</v>
      </c>
      <c r="H4310">
        <v>1700</v>
      </c>
      <c r="I4310">
        <v>131</v>
      </c>
      <c r="J4310">
        <v>-73</v>
      </c>
      <c r="K4310">
        <v>320</v>
      </c>
      <c r="L4310">
        <v>1200</v>
      </c>
      <c r="M4310" t="str">
        <f t="shared" si="433"/>
        <v xml:space="preserve">N35DC   </v>
      </c>
      <c r="N4310">
        <v>1</v>
      </c>
      <c r="O4310">
        <v>1750</v>
      </c>
    </row>
    <row r="4311" spans="1:15" x14ac:dyDescent="0.25">
      <c r="A4311" t="str">
        <f>"10/21/2020 18:45:15.172"</f>
        <v>10/21/2020 18:45:15.172</v>
      </c>
      <c r="B4311" t="str">
        <f>"18:45:23.070"</f>
        <v>18:45:23.070</v>
      </c>
      <c r="C4311" t="str">
        <f>"18:45:22.670"</f>
        <v>18:45:22.670</v>
      </c>
      <c r="D4311" t="s">
        <v>1753</v>
      </c>
      <c r="E4311">
        <v>31.054122</v>
      </c>
      <c r="F4311" t="s">
        <v>1754</v>
      </c>
      <c r="G4311">
        <v>-89.880846000000005</v>
      </c>
      <c r="H4311">
        <v>1700</v>
      </c>
      <c r="I4311">
        <v>132</v>
      </c>
      <c r="J4311">
        <v>-71</v>
      </c>
      <c r="K4311">
        <v>384</v>
      </c>
      <c r="L4311">
        <v>1200</v>
      </c>
      <c r="M4311" t="str">
        <f t="shared" si="433"/>
        <v xml:space="preserve">N35DC   </v>
      </c>
      <c r="N4311">
        <v>1</v>
      </c>
      <c r="O4311">
        <v>1750</v>
      </c>
    </row>
    <row r="4312" spans="1:15" x14ac:dyDescent="0.25">
      <c r="A4312" t="str">
        <f>"10/21/2020 18:45:15.172"</f>
        <v>10/21/2020 18:45:15.172</v>
      </c>
      <c r="B4312" t="str">
        <f>"18:45:23.070"</f>
        <v>18:45:23.070</v>
      </c>
      <c r="C4312" t="str">
        <f>"18:45:22.670"</f>
        <v>18:45:22.670</v>
      </c>
      <c r="D4312" t="s">
        <v>1753</v>
      </c>
      <c r="E4312">
        <v>31.054122</v>
      </c>
      <c r="F4312" t="s">
        <v>1754</v>
      </c>
      <c r="G4312">
        <v>-89.880846000000005</v>
      </c>
      <c r="H4312">
        <v>1700</v>
      </c>
      <c r="I4312">
        <v>132</v>
      </c>
      <c r="J4312">
        <v>-71</v>
      </c>
      <c r="K4312">
        <v>384</v>
      </c>
      <c r="L4312">
        <v>1200</v>
      </c>
      <c r="M4312" t="str">
        <f t="shared" si="433"/>
        <v xml:space="preserve">N35DC   </v>
      </c>
      <c r="N4312">
        <v>1</v>
      </c>
      <c r="O4312">
        <v>1750</v>
      </c>
    </row>
    <row r="4313" spans="1:15" x14ac:dyDescent="0.25">
      <c r="A4313" t="str">
        <f>"10/21/2020 18:45:15.172"</f>
        <v>10/21/2020 18:45:15.172</v>
      </c>
      <c r="B4313" t="str">
        <f>"18:45:23.070"</f>
        <v>18:45:23.070</v>
      </c>
      <c r="C4313" t="str">
        <f>"18:45:22.670"</f>
        <v>18:45:22.670</v>
      </c>
      <c r="D4313" t="s">
        <v>1753</v>
      </c>
      <c r="E4313">
        <v>31.054122</v>
      </c>
      <c r="F4313" t="s">
        <v>1754</v>
      </c>
      <c r="G4313">
        <v>-89.880846000000005</v>
      </c>
      <c r="H4313">
        <v>1700</v>
      </c>
      <c r="I4313">
        <v>132</v>
      </c>
      <c r="J4313">
        <v>-71</v>
      </c>
      <c r="K4313">
        <v>384</v>
      </c>
      <c r="L4313">
        <v>1200</v>
      </c>
      <c r="M4313" t="str">
        <f t="shared" si="433"/>
        <v xml:space="preserve">N35DC   </v>
      </c>
      <c r="N4313">
        <v>1</v>
      </c>
      <c r="O4313">
        <v>1750</v>
      </c>
    </row>
    <row r="4314" spans="1:15" x14ac:dyDescent="0.25">
      <c r="A4314" t="str">
        <f>"10/21/2020 18:45:15.172"</f>
        <v>10/21/2020 18:45:15.172</v>
      </c>
      <c r="B4314" t="str">
        <f>"18:45:23.070"</f>
        <v>18:45:23.070</v>
      </c>
      <c r="C4314" t="str">
        <f>"18:45:22.670"</f>
        <v>18:45:22.670</v>
      </c>
      <c r="D4314" t="s">
        <v>1753</v>
      </c>
      <c r="E4314">
        <v>31.054122</v>
      </c>
      <c r="F4314" t="s">
        <v>1754</v>
      </c>
      <c r="G4314">
        <v>-89.880846000000005</v>
      </c>
      <c r="H4314">
        <v>1700</v>
      </c>
      <c r="I4314">
        <v>132</v>
      </c>
      <c r="J4314">
        <v>-71</v>
      </c>
      <c r="K4314">
        <v>384</v>
      </c>
      <c r="L4314">
        <v>1200</v>
      </c>
      <c r="M4314" t="str">
        <f t="shared" si="433"/>
        <v xml:space="preserve">N35DC   </v>
      </c>
      <c r="N4314">
        <v>1</v>
      </c>
      <c r="O4314">
        <v>1650</v>
      </c>
    </row>
    <row r="4315" spans="1:15" x14ac:dyDescent="0.25">
      <c r="A4315" t="str">
        <f>"10/21/2020 18:45:15.680"</f>
        <v>10/21/2020 18:45:15.680</v>
      </c>
      <c r="B4315" t="str">
        <f>"18:45:23.570"</f>
        <v>18:45:23.570</v>
      </c>
      <c r="C4315" t="str">
        <f>"18:45:23.270"</f>
        <v>18:45:23.270</v>
      </c>
      <c r="D4315" t="s">
        <v>1755</v>
      </c>
      <c r="E4315">
        <v>31.053972000000002</v>
      </c>
      <c r="F4315" t="s">
        <v>1756</v>
      </c>
      <c r="G4315">
        <v>-89.880459000000002</v>
      </c>
      <c r="H4315">
        <v>1700</v>
      </c>
      <c r="I4315">
        <v>132</v>
      </c>
      <c r="J4315">
        <v>-69</v>
      </c>
      <c r="K4315">
        <v>448</v>
      </c>
      <c r="L4315">
        <v>1200</v>
      </c>
      <c r="M4315" t="str">
        <f t="shared" si="433"/>
        <v xml:space="preserve">N35DC   </v>
      </c>
      <c r="N4315">
        <v>1</v>
      </c>
      <c r="O4315">
        <v>1750</v>
      </c>
    </row>
    <row r="4316" spans="1:15" x14ac:dyDescent="0.25">
      <c r="A4316" t="str">
        <f>"10/21/2020 18:45:16.056"</f>
        <v>10/21/2020 18:45:16.056</v>
      </c>
      <c r="B4316" t="str">
        <f>"18:45:23.984"</f>
        <v>18:45:23.984</v>
      </c>
      <c r="C4316" t="str">
        <f>"18:45:23.684"</f>
        <v>18:45:23.684</v>
      </c>
      <c r="D4316" t="s">
        <v>1757</v>
      </c>
      <c r="E4316">
        <v>31.053822</v>
      </c>
      <c r="F4316" t="s">
        <v>711</v>
      </c>
      <c r="G4316">
        <v>-89.880179999999996</v>
      </c>
      <c r="H4316">
        <v>1700</v>
      </c>
      <c r="I4316">
        <v>133</v>
      </c>
      <c r="J4316">
        <v>-68</v>
      </c>
      <c r="K4316">
        <v>448</v>
      </c>
      <c r="L4316">
        <v>1200</v>
      </c>
      <c r="M4316" t="str">
        <f t="shared" si="433"/>
        <v xml:space="preserve">N35DC   </v>
      </c>
      <c r="N4316">
        <v>1</v>
      </c>
      <c r="O4316">
        <v>1750</v>
      </c>
    </row>
    <row r="4317" spans="1:15" x14ac:dyDescent="0.25">
      <c r="A4317" t="str">
        <f>"10/21/2020 18:45:16.056"</f>
        <v>10/21/2020 18:45:16.056</v>
      </c>
      <c r="B4317" t="str">
        <f>"18:45:23.984"</f>
        <v>18:45:23.984</v>
      </c>
      <c r="C4317" t="str">
        <f>"18:45:23.684"</f>
        <v>18:45:23.684</v>
      </c>
      <c r="D4317" t="s">
        <v>1757</v>
      </c>
      <c r="E4317">
        <v>31.053822</v>
      </c>
      <c r="F4317" t="s">
        <v>711</v>
      </c>
      <c r="G4317">
        <v>-89.880179999999996</v>
      </c>
      <c r="H4317">
        <v>1700</v>
      </c>
      <c r="I4317">
        <v>133</v>
      </c>
      <c r="J4317">
        <v>-68</v>
      </c>
      <c r="K4317">
        <v>448</v>
      </c>
      <c r="L4317">
        <v>1200</v>
      </c>
      <c r="M4317" t="str">
        <f t="shared" si="433"/>
        <v xml:space="preserve">N35DC   </v>
      </c>
      <c r="N4317">
        <v>1</v>
      </c>
      <c r="O4317">
        <v>1750</v>
      </c>
    </row>
    <row r="4318" spans="1:15" x14ac:dyDescent="0.25">
      <c r="A4318" t="str">
        <f>"10/21/2020 18:45:16.056"</f>
        <v>10/21/2020 18:45:16.056</v>
      </c>
      <c r="B4318" t="str">
        <f>"18:45:23.984"</f>
        <v>18:45:23.984</v>
      </c>
      <c r="C4318" t="str">
        <f>"18:45:23.684"</f>
        <v>18:45:23.684</v>
      </c>
      <c r="D4318" t="s">
        <v>1757</v>
      </c>
      <c r="E4318">
        <v>31.053822</v>
      </c>
      <c r="F4318" t="s">
        <v>711</v>
      </c>
      <c r="G4318">
        <v>-89.880179999999996</v>
      </c>
      <c r="H4318">
        <v>1700</v>
      </c>
      <c r="I4318">
        <v>133</v>
      </c>
      <c r="J4318">
        <v>-68</v>
      </c>
      <c r="K4318">
        <v>448</v>
      </c>
      <c r="L4318">
        <v>1200</v>
      </c>
      <c r="M4318" t="str">
        <f t="shared" si="433"/>
        <v xml:space="preserve">N35DC   </v>
      </c>
      <c r="N4318">
        <v>1</v>
      </c>
      <c r="O4318">
        <v>1750</v>
      </c>
    </row>
    <row r="4319" spans="1:15" x14ac:dyDescent="0.25">
      <c r="A4319" t="str">
        <f>"10/21/2020 18:45:16.056"</f>
        <v>10/21/2020 18:45:16.056</v>
      </c>
      <c r="B4319" t="str">
        <f>"18:45:23.984"</f>
        <v>18:45:23.984</v>
      </c>
      <c r="C4319" t="str">
        <f>"18:45:23.684"</f>
        <v>18:45:23.684</v>
      </c>
      <c r="D4319" t="s">
        <v>1757</v>
      </c>
      <c r="E4319">
        <v>31.053822</v>
      </c>
      <c r="F4319" t="s">
        <v>711</v>
      </c>
      <c r="G4319">
        <v>-89.880179999999996</v>
      </c>
      <c r="H4319">
        <v>1700</v>
      </c>
      <c r="I4319">
        <v>133</v>
      </c>
      <c r="J4319">
        <v>-68</v>
      </c>
      <c r="K4319">
        <v>448</v>
      </c>
      <c r="L4319">
        <v>1200</v>
      </c>
      <c r="M4319" t="str">
        <f t="shared" si="433"/>
        <v xml:space="preserve">N35DC   </v>
      </c>
      <c r="N4319">
        <v>1</v>
      </c>
      <c r="O4319">
        <v>1750</v>
      </c>
    </row>
    <row r="4320" spans="1:15" x14ac:dyDescent="0.25">
      <c r="A4320" t="str">
        <f>"10/21/2020 18:45:18.652"</f>
        <v>10/21/2020 18:45:18.652</v>
      </c>
      <c r="B4320" t="str">
        <f>"18:45:26.523"</f>
        <v>18:45:26.523</v>
      </c>
      <c r="C4320" t="str">
        <f>"18:45:26.123"</f>
        <v>18:45:26.123</v>
      </c>
      <c r="D4320" t="s">
        <v>1758</v>
      </c>
      <c r="E4320">
        <v>31.053091999999999</v>
      </c>
      <c r="F4320" t="s">
        <v>783</v>
      </c>
      <c r="G4320">
        <v>-89.878399000000002</v>
      </c>
      <c r="H4320">
        <v>1700</v>
      </c>
      <c r="I4320">
        <v>133</v>
      </c>
      <c r="J4320">
        <v>-65</v>
      </c>
      <c r="K4320">
        <v>384</v>
      </c>
      <c r="L4320">
        <v>1200</v>
      </c>
      <c r="M4320" t="str">
        <f t="shared" si="433"/>
        <v xml:space="preserve">N35DC   </v>
      </c>
      <c r="N4320">
        <v>1</v>
      </c>
      <c r="O4320">
        <v>1775</v>
      </c>
    </row>
    <row r="4321" spans="1:15" x14ac:dyDescent="0.25">
      <c r="A4321" t="str">
        <f>"10/21/2020 18:45:19.167"</f>
        <v>10/21/2020 18:45:19.167</v>
      </c>
      <c r="B4321" t="str">
        <f t="shared" ref="B4321:C4323" si="434">"18:45:27.125"</f>
        <v>18:45:27.125</v>
      </c>
      <c r="C4321" t="str">
        <f t="shared" si="434"/>
        <v>18:45:27.125</v>
      </c>
      <c r="D4321" t="s">
        <v>1759</v>
      </c>
      <c r="E4321">
        <v>31.052899</v>
      </c>
      <c r="F4321" t="s">
        <v>798</v>
      </c>
      <c r="G4321">
        <v>-89.877949000000001</v>
      </c>
      <c r="H4321">
        <v>1700</v>
      </c>
      <c r="I4321">
        <v>133</v>
      </c>
      <c r="J4321">
        <v>-65</v>
      </c>
      <c r="K4321">
        <v>384</v>
      </c>
      <c r="L4321">
        <v>1200</v>
      </c>
      <c r="M4321" t="str">
        <f t="shared" si="433"/>
        <v xml:space="preserve">N35DC   </v>
      </c>
      <c r="N4321">
        <v>1</v>
      </c>
      <c r="O4321">
        <v>1775</v>
      </c>
    </row>
    <row r="4322" spans="1:15" x14ac:dyDescent="0.25">
      <c r="A4322" t="str">
        <f>"10/21/2020 18:45:19.167"</f>
        <v>10/21/2020 18:45:19.167</v>
      </c>
      <c r="B4322" t="str">
        <f t="shared" si="434"/>
        <v>18:45:27.125</v>
      </c>
      <c r="C4322" t="str">
        <f t="shared" si="434"/>
        <v>18:45:27.125</v>
      </c>
      <c r="D4322" t="s">
        <v>1759</v>
      </c>
      <c r="E4322">
        <v>31.052899</v>
      </c>
      <c r="F4322" t="s">
        <v>798</v>
      </c>
      <c r="G4322">
        <v>-89.877949000000001</v>
      </c>
      <c r="H4322">
        <v>1700</v>
      </c>
      <c r="I4322">
        <v>133</v>
      </c>
      <c r="J4322">
        <v>-65</v>
      </c>
      <c r="K4322">
        <v>384</v>
      </c>
      <c r="L4322">
        <v>1200</v>
      </c>
      <c r="M4322" t="str">
        <f t="shared" si="433"/>
        <v xml:space="preserve">N35DC   </v>
      </c>
      <c r="N4322">
        <v>1</v>
      </c>
      <c r="O4322">
        <v>1775</v>
      </c>
    </row>
    <row r="4323" spans="1:15" x14ac:dyDescent="0.25">
      <c r="A4323" t="str">
        <f>"10/21/2020 18:45:19.167"</f>
        <v>10/21/2020 18:45:19.167</v>
      </c>
      <c r="B4323" t="str">
        <f t="shared" si="434"/>
        <v>18:45:27.125</v>
      </c>
      <c r="C4323" t="str">
        <f t="shared" si="434"/>
        <v>18:45:27.125</v>
      </c>
      <c r="D4323" t="s">
        <v>1759</v>
      </c>
      <c r="E4323">
        <v>31.052899</v>
      </c>
      <c r="F4323" t="s">
        <v>798</v>
      </c>
      <c r="G4323">
        <v>-89.877949000000001</v>
      </c>
      <c r="H4323">
        <v>1700</v>
      </c>
      <c r="I4323">
        <v>133</v>
      </c>
      <c r="J4323">
        <v>-65</v>
      </c>
      <c r="K4323">
        <v>384</v>
      </c>
      <c r="L4323">
        <v>1200</v>
      </c>
      <c r="M4323" t="str">
        <f t="shared" si="433"/>
        <v xml:space="preserve">N35DC   </v>
      </c>
      <c r="N4323">
        <v>1</v>
      </c>
      <c r="O4323">
        <v>1775</v>
      </c>
    </row>
    <row r="4324" spans="1:15" x14ac:dyDescent="0.25">
      <c r="A4324" t="str">
        <f>"10/21/2020 18:45:20.177"</f>
        <v>10/21/2020 18:45:20.177</v>
      </c>
      <c r="B4324" t="str">
        <f>"18:45:28.094"</f>
        <v>18:45:28.094</v>
      </c>
      <c r="C4324" t="str">
        <f>"18:45:27.994"</f>
        <v>18:45:27.994</v>
      </c>
      <c r="D4324" t="s">
        <v>1760</v>
      </c>
      <c r="E4324">
        <v>31.052576999999999</v>
      </c>
      <c r="F4324" t="s">
        <v>813</v>
      </c>
      <c r="G4324">
        <v>-89.877262000000002</v>
      </c>
      <c r="H4324">
        <v>1700</v>
      </c>
      <c r="I4324">
        <v>132</v>
      </c>
      <c r="J4324">
        <v>-66</v>
      </c>
      <c r="K4324">
        <v>256</v>
      </c>
      <c r="L4324">
        <v>1200</v>
      </c>
      <c r="M4324" t="str">
        <f t="shared" si="433"/>
        <v xml:space="preserve">N35DC   </v>
      </c>
      <c r="N4324">
        <v>1</v>
      </c>
      <c r="O4324">
        <v>1775</v>
      </c>
    </row>
    <row r="4325" spans="1:15" x14ac:dyDescent="0.25">
      <c r="A4325" t="str">
        <f>"10/21/2020 18:45:20.177"</f>
        <v>10/21/2020 18:45:20.177</v>
      </c>
      <c r="B4325" t="str">
        <f>"18:45:28.094"</f>
        <v>18:45:28.094</v>
      </c>
      <c r="C4325" t="str">
        <f>"18:45:27.994"</f>
        <v>18:45:27.994</v>
      </c>
      <c r="D4325" t="s">
        <v>1760</v>
      </c>
      <c r="E4325">
        <v>31.052576999999999</v>
      </c>
      <c r="F4325" t="s">
        <v>813</v>
      </c>
      <c r="G4325">
        <v>-89.877262000000002</v>
      </c>
      <c r="H4325">
        <v>1700</v>
      </c>
      <c r="I4325">
        <v>132</v>
      </c>
      <c r="J4325">
        <v>-66</v>
      </c>
      <c r="K4325">
        <v>256</v>
      </c>
      <c r="L4325">
        <v>1200</v>
      </c>
      <c r="M4325" t="str">
        <f t="shared" si="433"/>
        <v xml:space="preserve">N35DC   </v>
      </c>
      <c r="N4325">
        <v>1</v>
      </c>
      <c r="O4325">
        <v>1775</v>
      </c>
    </row>
    <row r="4326" spans="1:15" x14ac:dyDescent="0.25">
      <c r="A4326" t="str">
        <f>"10/21/2020 18:45:20.177"</f>
        <v>10/21/2020 18:45:20.177</v>
      </c>
      <c r="B4326" t="str">
        <f>"18:45:28.094"</f>
        <v>18:45:28.094</v>
      </c>
      <c r="C4326" t="str">
        <f>"18:45:27.994"</f>
        <v>18:45:27.994</v>
      </c>
      <c r="D4326" t="s">
        <v>1760</v>
      </c>
      <c r="E4326">
        <v>31.052576999999999</v>
      </c>
      <c r="F4326" t="s">
        <v>813</v>
      </c>
      <c r="G4326">
        <v>-89.877262000000002</v>
      </c>
      <c r="H4326">
        <v>1700</v>
      </c>
      <c r="I4326">
        <v>132</v>
      </c>
      <c r="J4326">
        <v>-66</v>
      </c>
      <c r="K4326">
        <v>256</v>
      </c>
      <c r="L4326">
        <v>1200</v>
      </c>
      <c r="M4326" t="str">
        <f t="shared" si="433"/>
        <v xml:space="preserve">N35DC   </v>
      </c>
      <c r="N4326">
        <v>1</v>
      </c>
      <c r="O4326">
        <v>1775</v>
      </c>
    </row>
    <row r="4327" spans="1:15" x14ac:dyDescent="0.25">
      <c r="A4327" t="str">
        <f>"10/21/2020 18:45:20.177"</f>
        <v>10/21/2020 18:45:20.177</v>
      </c>
      <c r="B4327" t="str">
        <f>"18:45:28.094"</f>
        <v>18:45:28.094</v>
      </c>
      <c r="C4327" t="str">
        <f>"18:45:27.994"</f>
        <v>18:45:27.994</v>
      </c>
      <c r="D4327" t="s">
        <v>1760</v>
      </c>
      <c r="E4327">
        <v>31.052576999999999</v>
      </c>
      <c r="F4327" t="s">
        <v>813</v>
      </c>
      <c r="G4327">
        <v>-89.877262000000002</v>
      </c>
      <c r="H4327">
        <v>1700</v>
      </c>
      <c r="I4327">
        <v>132</v>
      </c>
      <c r="J4327">
        <v>-66</v>
      </c>
      <c r="K4327">
        <v>256</v>
      </c>
      <c r="L4327">
        <v>1200</v>
      </c>
      <c r="M4327" t="str">
        <f t="shared" si="433"/>
        <v xml:space="preserve">N35DC   </v>
      </c>
      <c r="N4327">
        <v>1</v>
      </c>
      <c r="O4327">
        <v>1775</v>
      </c>
    </row>
    <row r="4328" spans="1:15" x14ac:dyDescent="0.25">
      <c r="A4328" t="str">
        <f>"10/21/2020 18:45:22.828"</f>
        <v>10/21/2020 18:45:22.828</v>
      </c>
      <c r="B4328" t="str">
        <f>"18:45:30.711"</f>
        <v>18:45:30.711</v>
      </c>
      <c r="C4328" t="str">
        <f>"18:45:30.711"</f>
        <v>18:45:30.711</v>
      </c>
      <c r="D4328" t="s">
        <v>1761</v>
      </c>
      <c r="E4328">
        <v>31.051784000000001</v>
      </c>
      <c r="F4328" t="s">
        <v>1762</v>
      </c>
      <c r="G4328">
        <v>-89.875416999999999</v>
      </c>
      <c r="H4328">
        <v>1700</v>
      </c>
      <c r="I4328">
        <v>131</v>
      </c>
      <c r="J4328">
        <v>-69</v>
      </c>
      <c r="K4328">
        <v>-128</v>
      </c>
      <c r="L4328">
        <v>1200</v>
      </c>
      <c r="M4328" t="str">
        <f t="shared" si="433"/>
        <v xml:space="preserve">N35DC   </v>
      </c>
      <c r="N4328">
        <v>1</v>
      </c>
      <c r="O4328">
        <v>1775</v>
      </c>
    </row>
    <row r="4329" spans="1:15" x14ac:dyDescent="0.25">
      <c r="A4329" t="str">
        <f>"10/21/2020 18:45:23.374"</f>
        <v>10/21/2020 18:45:23.374</v>
      </c>
      <c r="B4329" t="str">
        <f>"18:45:31.273"</f>
        <v>18:45:31.273</v>
      </c>
      <c r="C4329" t="str">
        <f>"18:45:30.673"</f>
        <v>18:45:30.673</v>
      </c>
      <c r="D4329" t="s">
        <v>1763</v>
      </c>
      <c r="E4329">
        <v>31.051569000000001</v>
      </c>
      <c r="F4329" t="s">
        <v>1764</v>
      </c>
      <c r="G4329">
        <v>-89.875009000000006</v>
      </c>
      <c r="H4329">
        <v>1700</v>
      </c>
      <c r="I4329">
        <v>131</v>
      </c>
      <c r="J4329">
        <v>-69</v>
      </c>
      <c r="K4329">
        <v>-128</v>
      </c>
      <c r="L4329">
        <v>1200</v>
      </c>
      <c r="M4329" t="str">
        <f t="shared" si="433"/>
        <v xml:space="preserve">N35DC   </v>
      </c>
      <c r="N4329">
        <v>1</v>
      </c>
      <c r="O4329">
        <v>1775</v>
      </c>
    </row>
    <row r="4330" spans="1:15" x14ac:dyDescent="0.25">
      <c r="A4330" t="str">
        <f>"10/21/2020 18:45:23.374"</f>
        <v>10/21/2020 18:45:23.374</v>
      </c>
      <c r="B4330" t="str">
        <f>"18:45:31.273"</f>
        <v>18:45:31.273</v>
      </c>
      <c r="C4330" t="str">
        <f>"18:45:30.673"</f>
        <v>18:45:30.673</v>
      </c>
      <c r="D4330" t="s">
        <v>1763</v>
      </c>
      <c r="E4330">
        <v>31.051569000000001</v>
      </c>
      <c r="F4330" t="s">
        <v>1764</v>
      </c>
      <c r="G4330">
        <v>-89.875009000000006</v>
      </c>
      <c r="H4330">
        <v>1700</v>
      </c>
      <c r="I4330">
        <v>131</v>
      </c>
      <c r="J4330">
        <v>-69</v>
      </c>
      <c r="K4330">
        <v>-128</v>
      </c>
      <c r="L4330">
        <v>1200</v>
      </c>
      <c r="M4330" t="str">
        <f t="shared" si="433"/>
        <v xml:space="preserve">N35DC   </v>
      </c>
      <c r="N4330">
        <v>1</v>
      </c>
      <c r="O4330">
        <v>1775</v>
      </c>
    </row>
    <row r="4331" spans="1:15" x14ac:dyDescent="0.25">
      <c r="A4331" t="str">
        <f>"10/21/2020 18:45:23.374"</f>
        <v>10/21/2020 18:45:23.374</v>
      </c>
      <c r="B4331" t="str">
        <f>"18:45:31.273"</f>
        <v>18:45:31.273</v>
      </c>
      <c r="C4331" t="str">
        <f>"18:45:30.673"</f>
        <v>18:45:30.673</v>
      </c>
      <c r="D4331" t="s">
        <v>1763</v>
      </c>
      <c r="E4331">
        <v>31.051569000000001</v>
      </c>
      <c r="F4331" t="s">
        <v>1764</v>
      </c>
      <c r="G4331">
        <v>-89.875009000000006</v>
      </c>
      <c r="H4331">
        <v>1700</v>
      </c>
      <c r="I4331">
        <v>131</v>
      </c>
      <c r="J4331">
        <v>-69</v>
      </c>
      <c r="K4331">
        <v>-128</v>
      </c>
      <c r="L4331">
        <v>1200</v>
      </c>
      <c r="M4331" t="str">
        <f t="shared" si="433"/>
        <v xml:space="preserve">N35DC   </v>
      </c>
      <c r="N4331">
        <v>1</v>
      </c>
      <c r="O4331">
        <v>1775</v>
      </c>
    </row>
    <row r="4332" spans="1:15" x14ac:dyDescent="0.25">
      <c r="A4332" t="str">
        <f>"10/21/2020 18:45:23.776"</f>
        <v>10/21/2020 18:45:23.776</v>
      </c>
      <c r="B4332" t="str">
        <f>"18:45:31.711"</f>
        <v>18:45:31.711</v>
      </c>
      <c r="C4332" t="str">
        <f>"18:45:31.711"</f>
        <v>18:45:31.711</v>
      </c>
      <c r="D4332" t="s">
        <v>1765</v>
      </c>
      <c r="E4332">
        <v>31.051439999999999</v>
      </c>
      <c r="F4332" t="s">
        <v>865</v>
      </c>
      <c r="G4332">
        <v>-89.874686999999994</v>
      </c>
      <c r="H4332">
        <v>1700</v>
      </c>
      <c r="I4332">
        <v>131</v>
      </c>
      <c r="J4332">
        <v>-70</v>
      </c>
      <c r="K4332">
        <v>-192</v>
      </c>
      <c r="L4332">
        <v>1200</v>
      </c>
      <c r="M4332" t="str">
        <f t="shared" si="433"/>
        <v xml:space="preserve">N35DC   </v>
      </c>
      <c r="N4332">
        <v>1</v>
      </c>
      <c r="O4332">
        <v>1775</v>
      </c>
    </row>
    <row r="4333" spans="1:15" x14ac:dyDescent="0.25">
      <c r="A4333" t="str">
        <f>"10/21/2020 18:45:24.249"</f>
        <v>10/21/2020 18:45:24.249</v>
      </c>
      <c r="B4333" t="str">
        <f>"18:45:32.180"</f>
        <v>18:45:32.180</v>
      </c>
      <c r="C4333" t="str">
        <f>"18:45:31.680"</f>
        <v>18:45:31.680</v>
      </c>
      <c r="D4333" t="s">
        <v>1766</v>
      </c>
      <c r="E4333">
        <v>31.051269000000001</v>
      </c>
      <c r="F4333" t="s">
        <v>870</v>
      </c>
      <c r="G4333">
        <v>-89.874364999999997</v>
      </c>
      <c r="H4333">
        <v>1700</v>
      </c>
      <c r="I4333">
        <v>131</v>
      </c>
      <c r="J4333">
        <v>-70</v>
      </c>
      <c r="K4333">
        <v>-192</v>
      </c>
      <c r="L4333">
        <v>1200</v>
      </c>
      <c r="M4333" t="str">
        <f t="shared" si="433"/>
        <v xml:space="preserve">N35DC   </v>
      </c>
      <c r="N4333">
        <v>1</v>
      </c>
      <c r="O4333">
        <v>1775</v>
      </c>
    </row>
    <row r="4334" spans="1:15" x14ac:dyDescent="0.25">
      <c r="A4334" t="str">
        <f>"10/21/2020 18:45:24.249"</f>
        <v>10/21/2020 18:45:24.249</v>
      </c>
      <c r="B4334" t="str">
        <f>"18:45:32.180"</f>
        <v>18:45:32.180</v>
      </c>
      <c r="C4334" t="str">
        <f>"18:45:31.680"</f>
        <v>18:45:31.680</v>
      </c>
      <c r="D4334" t="s">
        <v>1766</v>
      </c>
      <c r="E4334">
        <v>31.051269000000001</v>
      </c>
      <c r="F4334" t="s">
        <v>870</v>
      </c>
      <c r="G4334">
        <v>-89.874364999999997</v>
      </c>
      <c r="H4334">
        <v>1700</v>
      </c>
      <c r="I4334">
        <v>131</v>
      </c>
      <c r="J4334">
        <v>-70</v>
      </c>
      <c r="K4334">
        <v>-192</v>
      </c>
      <c r="L4334">
        <v>1200</v>
      </c>
      <c r="M4334" t="str">
        <f t="shared" si="433"/>
        <v xml:space="preserve">N35DC   </v>
      </c>
      <c r="N4334">
        <v>1</v>
      </c>
      <c r="O4334">
        <v>1775</v>
      </c>
    </row>
    <row r="4335" spans="1:15" x14ac:dyDescent="0.25">
      <c r="A4335" t="str">
        <f>"10/21/2020 18:45:24.249"</f>
        <v>10/21/2020 18:45:24.249</v>
      </c>
      <c r="B4335" t="str">
        <f>"18:45:32.180"</f>
        <v>18:45:32.180</v>
      </c>
      <c r="C4335" t="str">
        <f>"18:45:31.680"</f>
        <v>18:45:31.680</v>
      </c>
      <c r="D4335" t="s">
        <v>1766</v>
      </c>
      <c r="E4335">
        <v>31.051269000000001</v>
      </c>
      <c r="F4335" t="s">
        <v>870</v>
      </c>
      <c r="G4335">
        <v>-89.874364999999997</v>
      </c>
      <c r="H4335">
        <v>1700</v>
      </c>
      <c r="I4335">
        <v>131</v>
      </c>
      <c r="J4335">
        <v>-70</v>
      </c>
      <c r="K4335">
        <v>-192</v>
      </c>
      <c r="L4335">
        <v>1200</v>
      </c>
      <c r="M4335" t="str">
        <f t="shared" si="433"/>
        <v xml:space="preserve">N35DC   </v>
      </c>
      <c r="N4335">
        <v>1</v>
      </c>
      <c r="O4335">
        <v>1775</v>
      </c>
    </row>
    <row r="4336" spans="1:15" x14ac:dyDescent="0.25">
      <c r="A4336" t="str">
        <f>"10/21/2020 18:45:25.260"</f>
        <v>10/21/2020 18:45:25.260</v>
      </c>
      <c r="B4336" t="str">
        <f t="shared" ref="B4336:C4339" si="435">"18:45:33.195"</f>
        <v>18:45:33.195</v>
      </c>
      <c r="C4336" t="str">
        <f t="shared" si="435"/>
        <v>18:45:33.195</v>
      </c>
      <c r="D4336" t="s">
        <v>1767</v>
      </c>
      <c r="E4336">
        <v>31.050924999999999</v>
      </c>
      <c r="F4336" t="s">
        <v>476</v>
      </c>
      <c r="G4336">
        <v>-89.873656999999994</v>
      </c>
      <c r="H4336">
        <v>1700</v>
      </c>
      <c r="I4336">
        <v>131</v>
      </c>
      <c r="J4336">
        <v>-72</v>
      </c>
      <c r="K4336">
        <v>-384</v>
      </c>
      <c r="L4336">
        <v>1200</v>
      </c>
      <c r="M4336" t="str">
        <f t="shared" si="433"/>
        <v xml:space="preserve">N35DC   </v>
      </c>
      <c r="N4336">
        <v>1</v>
      </c>
      <c r="O4336">
        <v>1775</v>
      </c>
    </row>
    <row r="4337" spans="1:15" x14ac:dyDescent="0.25">
      <c r="A4337" t="str">
        <f>"10/21/2020 18:45:25.260"</f>
        <v>10/21/2020 18:45:25.260</v>
      </c>
      <c r="B4337" t="str">
        <f t="shared" si="435"/>
        <v>18:45:33.195</v>
      </c>
      <c r="C4337" t="str">
        <f t="shared" si="435"/>
        <v>18:45:33.195</v>
      </c>
      <c r="D4337" t="s">
        <v>1767</v>
      </c>
      <c r="E4337">
        <v>31.050924999999999</v>
      </c>
      <c r="F4337" t="s">
        <v>476</v>
      </c>
      <c r="G4337">
        <v>-89.873656999999994</v>
      </c>
      <c r="H4337">
        <v>1700</v>
      </c>
      <c r="I4337">
        <v>131</v>
      </c>
      <c r="J4337">
        <v>-72</v>
      </c>
      <c r="K4337">
        <v>-384</v>
      </c>
      <c r="L4337">
        <v>1200</v>
      </c>
      <c r="M4337" t="str">
        <f t="shared" si="433"/>
        <v xml:space="preserve">N35DC   </v>
      </c>
      <c r="N4337">
        <v>1</v>
      </c>
      <c r="O4337">
        <v>1775</v>
      </c>
    </row>
    <row r="4338" spans="1:15" x14ac:dyDescent="0.25">
      <c r="A4338" t="str">
        <f>"10/21/2020 18:45:25.260"</f>
        <v>10/21/2020 18:45:25.260</v>
      </c>
      <c r="B4338" t="str">
        <f t="shared" si="435"/>
        <v>18:45:33.195</v>
      </c>
      <c r="C4338" t="str">
        <f t="shared" si="435"/>
        <v>18:45:33.195</v>
      </c>
      <c r="D4338" t="s">
        <v>1767</v>
      </c>
      <c r="E4338">
        <v>31.050924999999999</v>
      </c>
      <c r="F4338" t="s">
        <v>476</v>
      </c>
      <c r="G4338">
        <v>-89.873656999999994</v>
      </c>
      <c r="H4338">
        <v>1700</v>
      </c>
      <c r="I4338">
        <v>131</v>
      </c>
      <c r="J4338">
        <v>-72</v>
      </c>
      <c r="K4338">
        <v>-384</v>
      </c>
      <c r="L4338">
        <v>1200</v>
      </c>
      <c r="M4338" t="str">
        <f t="shared" si="433"/>
        <v xml:space="preserve">N35DC   </v>
      </c>
      <c r="N4338">
        <v>1</v>
      </c>
      <c r="O4338">
        <v>1775</v>
      </c>
    </row>
    <row r="4339" spans="1:15" x14ac:dyDescent="0.25">
      <c r="A4339" t="str">
        <f>"10/21/2020 18:45:25.260"</f>
        <v>10/21/2020 18:45:25.260</v>
      </c>
      <c r="B4339" t="str">
        <f t="shared" si="435"/>
        <v>18:45:33.195</v>
      </c>
      <c r="C4339" t="str">
        <f t="shared" si="435"/>
        <v>18:45:33.195</v>
      </c>
      <c r="D4339" t="s">
        <v>1767</v>
      </c>
      <c r="E4339">
        <v>31.050924999999999</v>
      </c>
      <c r="F4339" t="s">
        <v>476</v>
      </c>
      <c r="G4339">
        <v>-89.873656999999994</v>
      </c>
      <c r="H4339">
        <v>1700</v>
      </c>
      <c r="I4339">
        <v>131</v>
      </c>
      <c r="J4339">
        <v>-72</v>
      </c>
      <c r="K4339">
        <v>-384</v>
      </c>
      <c r="L4339">
        <v>1200</v>
      </c>
      <c r="M4339" t="str">
        <f t="shared" si="433"/>
        <v xml:space="preserve">N35DC   </v>
      </c>
      <c r="N4339">
        <v>1</v>
      </c>
      <c r="O4339">
        <v>1775</v>
      </c>
    </row>
    <row r="4340" spans="1:15" x14ac:dyDescent="0.25">
      <c r="A4340" t="str">
        <f>"10/21/2020 18:45:28.222"</f>
        <v>10/21/2020 18:45:28.222</v>
      </c>
      <c r="B4340" t="str">
        <f>"18:45:36.133"</f>
        <v>18:45:36.133</v>
      </c>
      <c r="C4340" t="str">
        <f>"18:45:35.633"</f>
        <v>18:45:35.633</v>
      </c>
      <c r="D4340" t="s">
        <v>1768</v>
      </c>
      <c r="E4340">
        <v>31.049917000000001</v>
      </c>
      <c r="F4340" t="s">
        <v>982</v>
      </c>
      <c r="G4340">
        <v>-89.871554000000003</v>
      </c>
      <c r="H4340">
        <v>1700</v>
      </c>
      <c r="I4340">
        <v>131</v>
      </c>
      <c r="J4340">
        <v>-76</v>
      </c>
      <c r="K4340">
        <v>-512</v>
      </c>
      <c r="L4340">
        <v>1200</v>
      </c>
      <c r="M4340" t="str">
        <f t="shared" si="433"/>
        <v xml:space="preserve">N35DC   </v>
      </c>
      <c r="N4340">
        <v>1</v>
      </c>
      <c r="O4340">
        <v>1750</v>
      </c>
    </row>
    <row r="4341" spans="1:15" x14ac:dyDescent="0.25">
      <c r="A4341" t="str">
        <f>"10/21/2020 18:45:28.222"</f>
        <v>10/21/2020 18:45:28.222</v>
      </c>
      <c r="B4341" t="str">
        <f>"18:45:36.133"</f>
        <v>18:45:36.133</v>
      </c>
      <c r="C4341" t="str">
        <f>"18:45:35.633"</f>
        <v>18:45:35.633</v>
      </c>
      <c r="D4341" t="s">
        <v>1768</v>
      </c>
      <c r="E4341">
        <v>31.049917000000001</v>
      </c>
      <c r="F4341" t="s">
        <v>982</v>
      </c>
      <c r="G4341">
        <v>-89.871554000000003</v>
      </c>
      <c r="H4341">
        <v>1700</v>
      </c>
      <c r="I4341">
        <v>131</v>
      </c>
      <c r="J4341">
        <v>-76</v>
      </c>
      <c r="K4341">
        <v>-512</v>
      </c>
      <c r="L4341">
        <v>1200</v>
      </c>
      <c r="M4341" t="str">
        <f t="shared" si="433"/>
        <v xml:space="preserve">N35DC   </v>
      </c>
      <c r="N4341">
        <v>1</v>
      </c>
      <c r="O4341">
        <v>1750</v>
      </c>
    </row>
    <row r="4342" spans="1:15" x14ac:dyDescent="0.25">
      <c r="A4342" t="str">
        <f>"10/21/2020 18:45:28.222"</f>
        <v>10/21/2020 18:45:28.222</v>
      </c>
      <c r="B4342" t="str">
        <f>"18:45:36.133"</f>
        <v>18:45:36.133</v>
      </c>
      <c r="C4342" t="str">
        <f>"18:45:35.633"</f>
        <v>18:45:35.633</v>
      </c>
      <c r="D4342" t="s">
        <v>1768</v>
      </c>
      <c r="E4342">
        <v>31.049917000000001</v>
      </c>
      <c r="F4342" t="s">
        <v>982</v>
      </c>
      <c r="G4342">
        <v>-89.871554000000003</v>
      </c>
      <c r="H4342">
        <v>1700</v>
      </c>
      <c r="I4342">
        <v>131</v>
      </c>
      <c r="J4342">
        <v>-76</v>
      </c>
      <c r="K4342">
        <v>-512</v>
      </c>
      <c r="L4342">
        <v>1200</v>
      </c>
      <c r="M4342" t="str">
        <f t="shared" si="433"/>
        <v xml:space="preserve">N35DC   </v>
      </c>
      <c r="N4342">
        <v>1</v>
      </c>
      <c r="O4342">
        <v>1750</v>
      </c>
    </row>
    <row r="4343" spans="1:15" x14ac:dyDescent="0.25">
      <c r="A4343" t="str">
        <f>"10/21/2020 18:45:28.222"</f>
        <v>10/21/2020 18:45:28.222</v>
      </c>
      <c r="B4343" t="str">
        <f>"18:45:36.133"</f>
        <v>18:45:36.133</v>
      </c>
      <c r="C4343" t="str">
        <f>"18:45:35.633"</f>
        <v>18:45:35.633</v>
      </c>
      <c r="D4343" t="s">
        <v>1768</v>
      </c>
      <c r="E4343">
        <v>31.049917000000001</v>
      </c>
      <c r="F4343" t="s">
        <v>982</v>
      </c>
      <c r="G4343">
        <v>-89.871554000000003</v>
      </c>
      <c r="H4343">
        <v>1700</v>
      </c>
      <c r="I4343">
        <v>131</v>
      </c>
      <c r="J4343">
        <v>-76</v>
      </c>
      <c r="K4343">
        <v>-512</v>
      </c>
      <c r="L4343">
        <v>1200</v>
      </c>
      <c r="M4343" t="str">
        <f t="shared" si="433"/>
        <v xml:space="preserve">N35DC   </v>
      </c>
      <c r="N4343">
        <v>1</v>
      </c>
      <c r="O4343">
        <v>1750</v>
      </c>
    </row>
    <row r="4344" spans="1:15" x14ac:dyDescent="0.25">
      <c r="A4344" t="str">
        <f>"10/21/2020 18:45:29.203"</f>
        <v>10/21/2020 18:45:29.203</v>
      </c>
      <c r="B4344" t="str">
        <f>"18:45:37.141"</f>
        <v>18:45:37.141</v>
      </c>
      <c r="C4344" t="str">
        <f>"18:45:36.741"</f>
        <v>18:45:36.741</v>
      </c>
      <c r="D4344" t="s">
        <v>1769</v>
      </c>
      <c r="E4344">
        <v>31.049551999999998</v>
      </c>
      <c r="F4344" t="s">
        <v>965</v>
      </c>
      <c r="G4344">
        <v>-89.870846</v>
      </c>
      <c r="H4344">
        <v>1700</v>
      </c>
      <c r="I4344">
        <v>131</v>
      </c>
      <c r="J4344">
        <v>-77</v>
      </c>
      <c r="K4344">
        <v>-320</v>
      </c>
      <c r="L4344">
        <v>1200</v>
      </c>
      <c r="M4344" t="str">
        <f t="shared" si="433"/>
        <v xml:space="preserve">N35DC   </v>
      </c>
      <c r="N4344">
        <v>1</v>
      </c>
      <c r="O4344">
        <v>1750</v>
      </c>
    </row>
    <row r="4345" spans="1:15" x14ac:dyDescent="0.25">
      <c r="A4345" t="str">
        <f>"10/21/2020 18:45:29.203"</f>
        <v>10/21/2020 18:45:29.203</v>
      </c>
      <c r="B4345" t="str">
        <f>"18:45:37.141"</f>
        <v>18:45:37.141</v>
      </c>
      <c r="C4345" t="str">
        <f>"18:45:36.741"</f>
        <v>18:45:36.741</v>
      </c>
      <c r="D4345" t="s">
        <v>1769</v>
      </c>
      <c r="E4345">
        <v>31.049551999999998</v>
      </c>
      <c r="F4345" t="s">
        <v>965</v>
      </c>
      <c r="G4345">
        <v>-89.870846</v>
      </c>
      <c r="H4345">
        <v>1700</v>
      </c>
      <c r="I4345">
        <v>131</v>
      </c>
      <c r="J4345">
        <v>-77</v>
      </c>
      <c r="K4345">
        <v>-320</v>
      </c>
      <c r="L4345">
        <v>1200</v>
      </c>
      <c r="M4345" t="str">
        <f t="shared" si="433"/>
        <v xml:space="preserve">N35DC   </v>
      </c>
      <c r="N4345">
        <v>1</v>
      </c>
      <c r="O4345">
        <v>1750</v>
      </c>
    </row>
    <row r="4346" spans="1:15" x14ac:dyDescent="0.25">
      <c r="A4346" t="str">
        <f>"10/21/2020 18:45:29.203"</f>
        <v>10/21/2020 18:45:29.203</v>
      </c>
      <c r="B4346" t="str">
        <f>"18:45:37.141"</f>
        <v>18:45:37.141</v>
      </c>
      <c r="C4346" t="str">
        <f>"18:45:36.741"</f>
        <v>18:45:36.741</v>
      </c>
      <c r="D4346" t="s">
        <v>1769</v>
      </c>
      <c r="E4346">
        <v>31.049551999999998</v>
      </c>
      <c r="F4346" t="s">
        <v>965</v>
      </c>
      <c r="G4346">
        <v>-89.870846</v>
      </c>
      <c r="H4346">
        <v>1700</v>
      </c>
      <c r="I4346">
        <v>131</v>
      </c>
      <c r="J4346">
        <v>-77</v>
      </c>
      <c r="K4346">
        <v>-320</v>
      </c>
      <c r="L4346">
        <v>1200</v>
      </c>
      <c r="M4346" t="str">
        <f t="shared" si="433"/>
        <v xml:space="preserve">N35DC   </v>
      </c>
      <c r="N4346">
        <v>1</v>
      </c>
      <c r="O4346">
        <v>1750</v>
      </c>
    </row>
    <row r="4347" spans="1:15" x14ac:dyDescent="0.25">
      <c r="A4347" t="str">
        <f>"10/21/2020 18:45:29.812"</f>
        <v>10/21/2020 18:45:29.812</v>
      </c>
      <c r="B4347" t="str">
        <f>"18:45:37.711"</f>
        <v>18:45:37.711</v>
      </c>
      <c r="C4347" t="str">
        <f>"18:45:37.711"</f>
        <v>18:45:37.711</v>
      </c>
      <c r="D4347" t="s">
        <v>1770</v>
      </c>
      <c r="E4347">
        <v>31.049379999999999</v>
      </c>
      <c r="F4347" t="s">
        <v>954</v>
      </c>
      <c r="G4347">
        <v>-89.870417000000003</v>
      </c>
      <c r="H4347">
        <v>1700</v>
      </c>
      <c r="I4347">
        <v>131</v>
      </c>
      <c r="J4347">
        <v>-78</v>
      </c>
      <c r="K4347">
        <v>-320</v>
      </c>
      <c r="L4347">
        <v>1200</v>
      </c>
      <c r="M4347" t="str">
        <f t="shared" si="433"/>
        <v xml:space="preserve">N35DC   </v>
      </c>
      <c r="N4347">
        <v>1</v>
      </c>
      <c r="O4347">
        <v>1750</v>
      </c>
    </row>
    <row r="4348" spans="1:15" x14ac:dyDescent="0.25">
      <c r="A4348" t="str">
        <f>"10/21/2020 18:45:30.165"</f>
        <v>10/21/2020 18:45:30.165</v>
      </c>
      <c r="B4348" t="str">
        <f>"18:45:38.117"</f>
        <v>18:45:38.117</v>
      </c>
      <c r="C4348" t="str">
        <f>"18:45:37.717"</f>
        <v>18:45:37.717</v>
      </c>
      <c r="D4348" t="s">
        <v>1771</v>
      </c>
      <c r="E4348">
        <v>31.049187</v>
      </c>
      <c r="F4348" t="s">
        <v>947</v>
      </c>
      <c r="G4348">
        <v>-89.870159999999998</v>
      </c>
      <c r="H4348">
        <v>1700</v>
      </c>
      <c r="I4348">
        <v>131</v>
      </c>
      <c r="J4348">
        <v>-78</v>
      </c>
      <c r="K4348">
        <v>-320</v>
      </c>
      <c r="L4348">
        <v>1200</v>
      </c>
      <c r="M4348" t="str">
        <f t="shared" si="433"/>
        <v xml:space="preserve">N35DC   </v>
      </c>
      <c r="N4348">
        <v>1</v>
      </c>
      <c r="O4348">
        <v>1750</v>
      </c>
    </row>
    <row r="4349" spans="1:15" x14ac:dyDescent="0.25">
      <c r="A4349" t="str">
        <f>"10/21/2020 18:45:30.165"</f>
        <v>10/21/2020 18:45:30.165</v>
      </c>
      <c r="B4349" t="str">
        <f>"18:45:38.117"</f>
        <v>18:45:38.117</v>
      </c>
      <c r="C4349" t="str">
        <f>"18:45:37.717"</f>
        <v>18:45:37.717</v>
      </c>
      <c r="D4349" t="s">
        <v>1771</v>
      </c>
      <c r="E4349">
        <v>31.049187</v>
      </c>
      <c r="F4349" t="s">
        <v>947</v>
      </c>
      <c r="G4349">
        <v>-89.870159999999998</v>
      </c>
      <c r="H4349">
        <v>1700</v>
      </c>
      <c r="I4349">
        <v>131</v>
      </c>
      <c r="J4349">
        <v>-78</v>
      </c>
      <c r="K4349">
        <v>-320</v>
      </c>
      <c r="L4349">
        <v>1200</v>
      </c>
      <c r="M4349" t="str">
        <f t="shared" si="433"/>
        <v xml:space="preserve">N35DC   </v>
      </c>
      <c r="N4349">
        <v>1</v>
      </c>
      <c r="O4349">
        <v>1750</v>
      </c>
    </row>
    <row r="4350" spans="1:15" x14ac:dyDescent="0.25">
      <c r="A4350" t="str">
        <f>"10/21/2020 18:45:30.165"</f>
        <v>10/21/2020 18:45:30.165</v>
      </c>
      <c r="B4350" t="str">
        <f>"18:45:38.117"</f>
        <v>18:45:38.117</v>
      </c>
      <c r="C4350" t="str">
        <f>"18:45:37.717"</f>
        <v>18:45:37.717</v>
      </c>
      <c r="D4350" t="s">
        <v>1771</v>
      </c>
      <c r="E4350">
        <v>31.049187</v>
      </c>
      <c r="F4350" t="s">
        <v>947</v>
      </c>
      <c r="G4350">
        <v>-89.870159999999998</v>
      </c>
      <c r="H4350">
        <v>1700</v>
      </c>
      <c r="I4350">
        <v>131</v>
      </c>
      <c r="J4350">
        <v>-78</v>
      </c>
      <c r="K4350">
        <v>-320</v>
      </c>
      <c r="L4350">
        <v>1200</v>
      </c>
      <c r="M4350" t="str">
        <f t="shared" si="433"/>
        <v xml:space="preserve">N35DC   </v>
      </c>
      <c r="N4350">
        <v>1</v>
      </c>
      <c r="O4350">
        <v>1750</v>
      </c>
    </row>
    <row r="4351" spans="1:15" x14ac:dyDescent="0.25">
      <c r="A4351" t="str">
        <f>"10/21/2020 18:45:32.066"</f>
        <v>10/21/2020 18:45:32.066</v>
      </c>
      <c r="B4351" t="str">
        <f>"18:45:39.992"</f>
        <v>18:45:39.992</v>
      </c>
      <c r="C4351" t="str">
        <f>"18:45:39.692"</f>
        <v>18:45:39.692</v>
      </c>
      <c r="D4351" t="s">
        <v>1772</v>
      </c>
      <c r="E4351">
        <v>31.048501000000002</v>
      </c>
      <c r="F4351" t="s">
        <v>1083</v>
      </c>
      <c r="G4351">
        <v>-89.868871999999996</v>
      </c>
      <c r="H4351">
        <v>1600</v>
      </c>
      <c r="I4351">
        <v>130</v>
      </c>
      <c r="J4351">
        <v>-80</v>
      </c>
      <c r="K4351">
        <v>-192</v>
      </c>
      <c r="L4351">
        <v>1200</v>
      </c>
      <c r="M4351" t="str">
        <f t="shared" si="433"/>
        <v xml:space="preserve">N35DC   </v>
      </c>
      <c r="N4351">
        <v>1</v>
      </c>
      <c r="O4351">
        <v>1725</v>
      </c>
    </row>
    <row r="4352" spans="1:15" x14ac:dyDescent="0.25">
      <c r="A4352" t="str">
        <f>"10/21/2020 18:45:32.066"</f>
        <v>10/21/2020 18:45:32.066</v>
      </c>
      <c r="B4352" t="str">
        <f>"18:45:39.992"</f>
        <v>18:45:39.992</v>
      </c>
      <c r="C4352" t="str">
        <f>"18:45:39.692"</f>
        <v>18:45:39.692</v>
      </c>
      <c r="D4352" t="s">
        <v>1772</v>
      </c>
      <c r="E4352">
        <v>31.048501000000002</v>
      </c>
      <c r="F4352" t="s">
        <v>1083</v>
      </c>
      <c r="G4352">
        <v>-89.868871999999996</v>
      </c>
      <c r="H4352">
        <v>1600</v>
      </c>
      <c r="I4352">
        <v>130</v>
      </c>
      <c r="J4352">
        <v>-80</v>
      </c>
      <c r="K4352">
        <v>-192</v>
      </c>
      <c r="L4352">
        <v>1200</v>
      </c>
      <c r="M4352" t="str">
        <f t="shared" si="433"/>
        <v xml:space="preserve">N35DC   </v>
      </c>
      <c r="N4352">
        <v>1</v>
      </c>
      <c r="O4352">
        <v>1725</v>
      </c>
    </row>
    <row r="4353" spans="1:15" x14ac:dyDescent="0.25">
      <c r="A4353" t="str">
        <f>"10/21/2020 18:45:32.066"</f>
        <v>10/21/2020 18:45:32.066</v>
      </c>
      <c r="B4353" t="str">
        <f>"18:45:39.992"</f>
        <v>18:45:39.992</v>
      </c>
      <c r="C4353" t="str">
        <f>"18:45:39.692"</f>
        <v>18:45:39.692</v>
      </c>
      <c r="D4353" t="s">
        <v>1772</v>
      </c>
      <c r="E4353">
        <v>31.048501000000002</v>
      </c>
      <c r="F4353" t="s">
        <v>1083</v>
      </c>
      <c r="G4353">
        <v>-89.868871999999996</v>
      </c>
      <c r="H4353">
        <v>1600</v>
      </c>
      <c r="I4353">
        <v>130</v>
      </c>
      <c r="J4353">
        <v>-80</v>
      </c>
      <c r="K4353">
        <v>-192</v>
      </c>
      <c r="L4353">
        <v>1200</v>
      </c>
      <c r="M4353" t="str">
        <f t="shared" si="433"/>
        <v xml:space="preserve">N35DC   </v>
      </c>
      <c r="N4353">
        <v>1</v>
      </c>
      <c r="O4353">
        <v>1725</v>
      </c>
    </row>
    <row r="4354" spans="1:15" x14ac:dyDescent="0.25">
      <c r="A4354" t="str">
        <f>"10/21/2020 18:45:32.066"</f>
        <v>10/21/2020 18:45:32.066</v>
      </c>
      <c r="B4354" t="str">
        <f>"18:45:39.992"</f>
        <v>18:45:39.992</v>
      </c>
      <c r="C4354" t="str">
        <f>"18:45:39.692"</f>
        <v>18:45:39.692</v>
      </c>
      <c r="D4354" t="s">
        <v>1772</v>
      </c>
      <c r="E4354">
        <v>31.048501000000002</v>
      </c>
      <c r="F4354" t="s">
        <v>1083</v>
      </c>
      <c r="G4354">
        <v>-89.868871999999996</v>
      </c>
      <c r="H4354">
        <v>1600</v>
      </c>
      <c r="I4354">
        <v>130</v>
      </c>
      <c r="J4354">
        <v>-80</v>
      </c>
      <c r="K4354">
        <v>-192</v>
      </c>
      <c r="L4354">
        <v>1200</v>
      </c>
      <c r="M4354" t="str">
        <f t="shared" si="433"/>
        <v xml:space="preserve">N35DC   </v>
      </c>
      <c r="N4354">
        <v>1</v>
      </c>
      <c r="O4354">
        <v>1725</v>
      </c>
    </row>
    <row r="4355" spans="1:15" x14ac:dyDescent="0.25">
      <c r="A4355" t="str">
        <f>"10/21/2020 18:45:32.066"</f>
        <v>10/21/2020 18:45:32.066</v>
      </c>
      <c r="B4355" t="str">
        <f>"18:45:39.992"</f>
        <v>18:45:39.992</v>
      </c>
      <c r="C4355" t="str">
        <f>"18:45:39.192"</f>
        <v>18:45:39.192</v>
      </c>
      <c r="D4355" t="s">
        <v>1772</v>
      </c>
      <c r="E4355">
        <v>31.048501000000002</v>
      </c>
      <c r="F4355" t="s">
        <v>1083</v>
      </c>
      <c r="G4355">
        <v>-89.868871999999996</v>
      </c>
      <c r="H4355">
        <v>1600</v>
      </c>
      <c r="I4355">
        <v>130</v>
      </c>
      <c r="J4355">
        <v>-80</v>
      </c>
      <c r="K4355">
        <v>-192</v>
      </c>
      <c r="L4355">
        <v>1200</v>
      </c>
      <c r="M4355" t="str">
        <f t="shared" si="433"/>
        <v xml:space="preserve">N35DC   </v>
      </c>
      <c r="N4355">
        <v>1</v>
      </c>
      <c r="O4355">
        <v>1725</v>
      </c>
    </row>
    <row r="4356" spans="1:15" x14ac:dyDescent="0.25">
      <c r="A4356" t="str">
        <f>"10/21/2020 18:45:33.095"</f>
        <v>10/21/2020 18:45:33.095</v>
      </c>
      <c r="B4356" t="str">
        <f>"18:45:41.055"</f>
        <v>18:45:41.055</v>
      </c>
      <c r="C4356" t="str">
        <f>"18:45:40.855"</f>
        <v>18:45:40.855</v>
      </c>
      <c r="D4356" t="s">
        <v>1773</v>
      </c>
      <c r="E4356">
        <v>31.048114000000002</v>
      </c>
      <c r="F4356" t="s">
        <v>1170</v>
      </c>
      <c r="G4356">
        <v>-89.868099999999998</v>
      </c>
      <c r="H4356">
        <v>1600</v>
      </c>
      <c r="I4356">
        <v>130</v>
      </c>
      <c r="J4356">
        <v>-82</v>
      </c>
      <c r="K4356">
        <v>-320</v>
      </c>
      <c r="L4356">
        <v>1200</v>
      </c>
      <c r="M4356" t="str">
        <f t="shared" si="433"/>
        <v xml:space="preserve">N35DC   </v>
      </c>
      <c r="N4356">
        <v>1</v>
      </c>
      <c r="O4356">
        <v>1725</v>
      </c>
    </row>
    <row r="4357" spans="1:15" x14ac:dyDescent="0.25">
      <c r="A4357" t="str">
        <f>"10/21/2020 18:45:33.095"</f>
        <v>10/21/2020 18:45:33.095</v>
      </c>
      <c r="B4357" t="str">
        <f>"18:45:41.055"</f>
        <v>18:45:41.055</v>
      </c>
      <c r="C4357" t="str">
        <f>"18:45:40.855"</f>
        <v>18:45:40.855</v>
      </c>
      <c r="D4357" t="s">
        <v>1773</v>
      </c>
      <c r="E4357">
        <v>31.048114000000002</v>
      </c>
      <c r="F4357" t="s">
        <v>1170</v>
      </c>
      <c r="G4357">
        <v>-89.868099999999998</v>
      </c>
      <c r="H4357">
        <v>1600</v>
      </c>
      <c r="I4357">
        <v>130</v>
      </c>
      <c r="J4357">
        <v>-82</v>
      </c>
      <c r="K4357">
        <v>-320</v>
      </c>
      <c r="L4357">
        <v>1200</v>
      </c>
      <c r="M4357" t="str">
        <f t="shared" si="433"/>
        <v xml:space="preserve">N35DC   </v>
      </c>
      <c r="N4357">
        <v>1</v>
      </c>
      <c r="O4357">
        <v>1725</v>
      </c>
    </row>
    <row r="4358" spans="1:15" x14ac:dyDescent="0.25">
      <c r="A4358" t="str">
        <f>"10/21/2020 18:45:33.095"</f>
        <v>10/21/2020 18:45:33.095</v>
      </c>
      <c r="B4358" t="str">
        <f>"18:45:41.055"</f>
        <v>18:45:41.055</v>
      </c>
      <c r="C4358" t="str">
        <f>"18:45:40.855"</f>
        <v>18:45:40.855</v>
      </c>
      <c r="D4358" t="s">
        <v>1773</v>
      </c>
      <c r="E4358">
        <v>31.048114000000002</v>
      </c>
      <c r="F4358" t="s">
        <v>1170</v>
      </c>
      <c r="G4358">
        <v>-89.868099999999998</v>
      </c>
      <c r="H4358">
        <v>1600</v>
      </c>
      <c r="I4358">
        <v>130</v>
      </c>
      <c r="J4358">
        <v>-82</v>
      </c>
      <c r="K4358">
        <v>-320</v>
      </c>
      <c r="L4358">
        <v>1200</v>
      </c>
      <c r="M4358" t="str">
        <f t="shared" si="433"/>
        <v xml:space="preserve">N35DC   </v>
      </c>
      <c r="N4358">
        <v>1</v>
      </c>
      <c r="O4358">
        <v>1725</v>
      </c>
    </row>
    <row r="4359" spans="1:15" x14ac:dyDescent="0.25">
      <c r="A4359" t="str">
        <f>"10/21/2020 18:45:33.095"</f>
        <v>10/21/2020 18:45:33.095</v>
      </c>
      <c r="B4359" t="str">
        <f>"18:45:41.055"</f>
        <v>18:45:41.055</v>
      </c>
      <c r="C4359" t="str">
        <f>"18:45:40.855"</f>
        <v>18:45:40.855</v>
      </c>
      <c r="D4359" t="s">
        <v>1773</v>
      </c>
      <c r="E4359">
        <v>31.048114000000002</v>
      </c>
      <c r="F4359" t="s">
        <v>1170</v>
      </c>
      <c r="G4359">
        <v>-89.868099999999998</v>
      </c>
      <c r="H4359">
        <v>1600</v>
      </c>
      <c r="I4359">
        <v>130</v>
      </c>
      <c r="J4359">
        <v>-82</v>
      </c>
      <c r="K4359">
        <v>-320</v>
      </c>
      <c r="L4359">
        <v>1200</v>
      </c>
      <c r="M4359" t="str">
        <f t="shared" ref="M4359:M4422" si="436">"N35DC   "</f>
        <v xml:space="preserve">N35DC   </v>
      </c>
      <c r="N4359">
        <v>1</v>
      </c>
      <c r="O4359">
        <v>1725</v>
      </c>
    </row>
    <row r="4360" spans="1:15" x14ac:dyDescent="0.25">
      <c r="A4360" t="str">
        <f>"10/21/2020 18:45:33.095"</f>
        <v>10/21/2020 18:45:33.095</v>
      </c>
      <c r="B4360" t="str">
        <f>"18:45:41.055"</f>
        <v>18:45:41.055</v>
      </c>
      <c r="C4360" t="str">
        <f>"18:45:40.855"</f>
        <v>18:45:40.855</v>
      </c>
      <c r="D4360" t="s">
        <v>1773</v>
      </c>
      <c r="E4360">
        <v>31.048114000000002</v>
      </c>
      <c r="F4360" t="s">
        <v>1170</v>
      </c>
      <c r="G4360">
        <v>-89.868099999999998</v>
      </c>
      <c r="H4360">
        <v>1600</v>
      </c>
      <c r="I4360">
        <v>130</v>
      </c>
      <c r="J4360">
        <v>-82</v>
      </c>
      <c r="K4360">
        <v>-320</v>
      </c>
      <c r="L4360">
        <v>1200</v>
      </c>
      <c r="M4360" t="str">
        <f t="shared" si="436"/>
        <v xml:space="preserve">N35DC   </v>
      </c>
      <c r="N4360">
        <v>1</v>
      </c>
      <c r="O4360">
        <v>1725</v>
      </c>
    </row>
    <row r="4361" spans="1:15" x14ac:dyDescent="0.25">
      <c r="A4361" t="str">
        <f>"10/21/2020 18:45:36.860"</f>
        <v>10/21/2020 18:45:36.860</v>
      </c>
      <c r="B4361" t="str">
        <f>"18:45:44.758"</f>
        <v>18:45:44.758</v>
      </c>
      <c r="C4361" t="str">
        <f>"18:45:44.358"</f>
        <v>18:45:44.358</v>
      </c>
      <c r="D4361" t="s">
        <v>1774</v>
      </c>
      <c r="E4361">
        <v>31.046612</v>
      </c>
      <c r="F4361" t="s">
        <v>1775</v>
      </c>
      <c r="G4361">
        <v>-89.865589</v>
      </c>
      <c r="H4361">
        <v>1600</v>
      </c>
      <c r="I4361">
        <v>125</v>
      </c>
      <c r="J4361">
        <v>-91</v>
      </c>
      <c r="K4361">
        <v>-128</v>
      </c>
      <c r="L4361">
        <v>1200</v>
      </c>
      <c r="M4361" t="str">
        <f t="shared" si="436"/>
        <v xml:space="preserve">N35DC   </v>
      </c>
      <c r="N4361">
        <v>1</v>
      </c>
      <c r="O4361">
        <v>1725</v>
      </c>
    </row>
    <row r="4362" spans="1:15" x14ac:dyDescent="0.25">
      <c r="A4362" t="str">
        <f>"10/21/2020 18:45:36.860"</f>
        <v>10/21/2020 18:45:36.860</v>
      </c>
      <c r="B4362" t="str">
        <f>"18:45:44.758"</f>
        <v>18:45:44.758</v>
      </c>
      <c r="C4362" t="str">
        <f>"18:45:44.358"</f>
        <v>18:45:44.358</v>
      </c>
      <c r="D4362" t="s">
        <v>1774</v>
      </c>
      <c r="E4362">
        <v>31.046612</v>
      </c>
      <c r="F4362" t="s">
        <v>1775</v>
      </c>
      <c r="G4362">
        <v>-89.865589</v>
      </c>
      <c r="H4362">
        <v>1600</v>
      </c>
      <c r="I4362">
        <v>125</v>
      </c>
      <c r="J4362">
        <v>-91</v>
      </c>
      <c r="K4362">
        <v>-128</v>
      </c>
      <c r="L4362">
        <v>1200</v>
      </c>
      <c r="M4362" t="str">
        <f t="shared" si="436"/>
        <v xml:space="preserve">N35DC   </v>
      </c>
      <c r="N4362">
        <v>1</v>
      </c>
      <c r="O4362">
        <v>1725</v>
      </c>
    </row>
    <row r="4363" spans="1:15" x14ac:dyDescent="0.25">
      <c r="A4363" t="str">
        <f>"10/21/2020 18:45:36.860"</f>
        <v>10/21/2020 18:45:36.860</v>
      </c>
      <c r="B4363" t="str">
        <f>"18:45:44.758"</f>
        <v>18:45:44.758</v>
      </c>
      <c r="C4363" t="str">
        <f>"18:45:44.358"</f>
        <v>18:45:44.358</v>
      </c>
      <c r="D4363" t="s">
        <v>1774</v>
      </c>
      <c r="E4363">
        <v>31.046612</v>
      </c>
      <c r="F4363" t="s">
        <v>1775</v>
      </c>
      <c r="G4363">
        <v>-89.865589</v>
      </c>
      <c r="H4363">
        <v>1600</v>
      </c>
      <c r="I4363">
        <v>125</v>
      </c>
      <c r="J4363">
        <v>-91</v>
      </c>
      <c r="K4363">
        <v>-128</v>
      </c>
      <c r="L4363">
        <v>1200</v>
      </c>
      <c r="M4363" t="str">
        <f t="shared" si="436"/>
        <v xml:space="preserve">N35DC   </v>
      </c>
      <c r="N4363">
        <v>1</v>
      </c>
      <c r="O4363">
        <v>1725</v>
      </c>
    </row>
    <row r="4364" spans="1:15" x14ac:dyDescent="0.25">
      <c r="A4364" t="str">
        <f>"10/21/2020 18:45:36.860"</f>
        <v>10/21/2020 18:45:36.860</v>
      </c>
      <c r="B4364" t="str">
        <f>"18:45:44.758"</f>
        <v>18:45:44.758</v>
      </c>
      <c r="C4364" t="str">
        <f>"18:45:44.358"</f>
        <v>18:45:44.358</v>
      </c>
      <c r="D4364" t="s">
        <v>1774</v>
      </c>
      <c r="E4364">
        <v>31.046612</v>
      </c>
      <c r="F4364" t="s">
        <v>1775</v>
      </c>
      <c r="G4364">
        <v>-89.865589</v>
      </c>
      <c r="H4364">
        <v>1600</v>
      </c>
      <c r="I4364">
        <v>125</v>
      </c>
      <c r="J4364">
        <v>-91</v>
      </c>
      <c r="K4364">
        <v>-128</v>
      </c>
      <c r="L4364">
        <v>1200</v>
      </c>
      <c r="M4364" t="str">
        <f t="shared" si="436"/>
        <v xml:space="preserve">N35DC   </v>
      </c>
      <c r="N4364">
        <v>1</v>
      </c>
      <c r="O4364">
        <v>1725</v>
      </c>
    </row>
    <row r="4365" spans="1:15" x14ac:dyDescent="0.25">
      <c r="A4365" t="str">
        <f>"10/21/2020 18:45:40.711"</f>
        <v>10/21/2020 18:45:40.711</v>
      </c>
      <c r="B4365" t="str">
        <f t="shared" ref="B4365:C4367" si="437">"18:45:48.648"</f>
        <v>18:45:48.648</v>
      </c>
      <c r="C4365" t="str">
        <f t="shared" si="437"/>
        <v>18:45:48.648</v>
      </c>
      <c r="D4365" t="s">
        <v>1776</v>
      </c>
      <c r="E4365">
        <v>31.044853</v>
      </c>
      <c r="F4365" t="s">
        <v>1777</v>
      </c>
      <c r="G4365">
        <v>-89.863100000000003</v>
      </c>
      <c r="H4365">
        <v>1600</v>
      </c>
      <c r="I4365">
        <v>118</v>
      </c>
      <c r="J4365">
        <v>-101</v>
      </c>
      <c r="K4365">
        <v>-64</v>
      </c>
      <c r="L4365">
        <v>1200</v>
      </c>
      <c r="M4365" t="str">
        <f t="shared" si="436"/>
        <v xml:space="preserve">N35DC   </v>
      </c>
      <c r="N4365">
        <v>1</v>
      </c>
      <c r="O4365">
        <v>1725</v>
      </c>
    </row>
    <row r="4366" spans="1:15" x14ac:dyDescent="0.25">
      <c r="A4366" t="str">
        <f>"10/21/2020 18:45:40.711"</f>
        <v>10/21/2020 18:45:40.711</v>
      </c>
      <c r="B4366" t="str">
        <f t="shared" si="437"/>
        <v>18:45:48.648</v>
      </c>
      <c r="C4366" t="str">
        <f t="shared" si="437"/>
        <v>18:45:48.648</v>
      </c>
      <c r="D4366" t="s">
        <v>1776</v>
      </c>
      <c r="E4366">
        <v>31.044853</v>
      </c>
      <c r="F4366" t="s">
        <v>1777</v>
      </c>
      <c r="G4366">
        <v>-89.863100000000003</v>
      </c>
      <c r="H4366">
        <v>1600</v>
      </c>
      <c r="I4366">
        <v>118</v>
      </c>
      <c r="J4366">
        <v>-101</v>
      </c>
      <c r="K4366">
        <v>-64</v>
      </c>
      <c r="L4366">
        <v>1200</v>
      </c>
      <c r="M4366" t="str">
        <f t="shared" si="436"/>
        <v xml:space="preserve">N35DC   </v>
      </c>
      <c r="N4366">
        <v>1</v>
      </c>
      <c r="O4366">
        <v>1725</v>
      </c>
    </row>
    <row r="4367" spans="1:15" x14ac:dyDescent="0.25">
      <c r="A4367" t="str">
        <f>"10/21/2020 18:45:40.711"</f>
        <v>10/21/2020 18:45:40.711</v>
      </c>
      <c r="B4367" t="str">
        <f t="shared" si="437"/>
        <v>18:45:48.648</v>
      </c>
      <c r="C4367" t="str">
        <f t="shared" si="437"/>
        <v>18:45:48.648</v>
      </c>
      <c r="D4367" t="s">
        <v>1776</v>
      </c>
      <c r="E4367">
        <v>31.044853</v>
      </c>
      <c r="F4367" t="s">
        <v>1777</v>
      </c>
      <c r="G4367">
        <v>-89.863100000000003</v>
      </c>
      <c r="H4367">
        <v>1600</v>
      </c>
      <c r="I4367">
        <v>118</v>
      </c>
      <c r="J4367">
        <v>-101</v>
      </c>
      <c r="K4367">
        <v>-64</v>
      </c>
      <c r="L4367">
        <v>1200</v>
      </c>
      <c r="M4367" t="str">
        <f t="shared" si="436"/>
        <v xml:space="preserve">N35DC   </v>
      </c>
      <c r="N4367">
        <v>1</v>
      </c>
      <c r="O4367">
        <v>1725</v>
      </c>
    </row>
    <row r="4368" spans="1:15" x14ac:dyDescent="0.25">
      <c r="A4368" t="str">
        <f>"10/21/2020 18:45:41.250"</f>
        <v>10/21/2020 18:45:41.250</v>
      </c>
      <c r="B4368" t="str">
        <f>"18:45:49.188"</f>
        <v>18:45:49.188</v>
      </c>
      <c r="C4368" t="str">
        <f>"18:45:49.188"</f>
        <v>18:45:49.188</v>
      </c>
      <c r="D4368" t="s">
        <v>1778</v>
      </c>
      <c r="E4368">
        <v>31.044574000000001</v>
      </c>
      <c r="F4368" t="s">
        <v>1779</v>
      </c>
      <c r="G4368">
        <v>-89.862735000000001</v>
      </c>
      <c r="H4368">
        <v>1600</v>
      </c>
      <c r="I4368">
        <v>117</v>
      </c>
      <c r="J4368">
        <v>-102</v>
      </c>
      <c r="K4368">
        <v>0</v>
      </c>
      <c r="L4368">
        <v>1200</v>
      </c>
      <c r="M4368" t="str">
        <f t="shared" si="436"/>
        <v xml:space="preserve">N35DC   </v>
      </c>
      <c r="N4368">
        <v>1</v>
      </c>
      <c r="O4368">
        <v>1725</v>
      </c>
    </row>
    <row r="4369" spans="1:15" x14ac:dyDescent="0.25">
      <c r="A4369" t="str">
        <f>"10/21/2020 18:45:41.763"</f>
        <v>10/21/2020 18:45:41.763</v>
      </c>
      <c r="B4369" t="str">
        <f t="shared" ref="B4369:C4371" si="438">"18:45:49.664"</f>
        <v>18:45:49.664</v>
      </c>
      <c r="C4369" t="str">
        <f t="shared" si="438"/>
        <v>18:45:49.664</v>
      </c>
      <c r="D4369" t="s">
        <v>1780</v>
      </c>
      <c r="E4369">
        <v>31.044338</v>
      </c>
      <c r="F4369" t="s">
        <v>1781</v>
      </c>
      <c r="G4369">
        <v>-89.862455999999995</v>
      </c>
      <c r="H4369">
        <v>1600</v>
      </c>
      <c r="I4369">
        <v>117</v>
      </c>
      <c r="J4369">
        <v>-103</v>
      </c>
      <c r="K4369">
        <v>64</v>
      </c>
      <c r="L4369">
        <v>1200</v>
      </c>
      <c r="M4369" t="str">
        <f t="shared" si="436"/>
        <v xml:space="preserve">N35DC   </v>
      </c>
      <c r="N4369">
        <v>1</v>
      </c>
      <c r="O4369">
        <v>1725</v>
      </c>
    </row>
    <row r="4370" spans="1:15" x14ac:dyDescent="0.25">
      <c r="A4370" t="str">
        <f>"10/21/2020 18:45:41.763"</f>
        <v>10/21/2020 18:45:41.763</v>
      </c>
      <c r="B4370" t="str">
        <f t="shared" si="438"/>
        <v>18:45:49.664</v>
      </c>
      <c r="C4370" t="str">
        <f t="shared" si="438"/>
        <v>18:45:49.664</v>
      </c>
      <c r="D4370" t="s">
        <v>1780</v>
      </c>
      <c r="E4370">
        <v>31.044338</v>
      </c>
      <c r="F4370" t="s">
        <v>1781</v>
      </c>
      <c r="G4370">
        <v>-89.862455999999995</v>
      </c>
      <c r="H4370">
        <v>1600</v>
      </c>
      <c r="I4370">
        <v>117</v>
      </c>
      <c r="J4370">
        <v>-103</v>
      </c>
      <c r="K4370">
        <v>64</v>
      </c>
      <c r="L4370">
        <v>1200</v>
      </c>
      <c r="M4370" t="str">
        <f t="shared" si="436"/>
        <v xml:space="preserve">N35DC   </v>
      </c>
      <c r="N4370">
        <v>1</v>
      </c>
      <c r="O4370">
        <v>1725</v>
      </c>
    </row>
    <row r="4371" spans="1:15" x14ac:dyDescent="0.25">
      <c r="A4371" t="str">
        <f>"10/21/2020 18:45:41.763"</f>
        <v>10/21/2020 18:45:41.763</v>
      </c>
      <c r="B4371" t="str">
        <f t="shared" si="438"/>
        <v>18:45:49.664</v>
      </c>
      <c r="C4371" t="str">
        <f t="shared" si="438"/>
        <v>18:45:49.664</v>
      </c>
      <c r="D4371" t="s">
        <v>1780</v>
      </c>
      <c r="E4371">
        <v>31.044338</v>
      </c>
      <c r="F4371" t="s">
        <v>1781</v>
      </c>
      <c r="G4371">
        <v>-89.862455999999995</v>
      </c>
      <c r="H4371">
        <v>1600</v>
      </c>
      <c r="I4371">
        <v>117</v>
      </c>
      <c r="J4371">
        <v>-103</v>
      </c>
      <c r="K4371">
        <v>64</v>
      </c>
      <c r="L4371">
        <v>1200</v>
      </c>
      <c r="M4371" t="str">
        <f t="shared" si="436"/>
        <v xml:space="preserve">N35DC   </v>
      </c>
      <c r="N4371">
        <v>1</v>
      </c>
      <c r="O4371">
        <v>1725</v>
      </c>
    </row>
    <row r="4372" spans="1:15" x14ac:dyDescent="0.25">
      <c r="A4372" t="str">
        <f>"10/21/2020 18:45:46.237"</f>
        <v>10/21/2020 18:45:46.237</v>
      </c>
      <c r="B4372" t="str">
        <f>"18:45:54.164"</f>
        <v>18:45:54.164</v>
      </c>
      <c r="C4372" t="str">
        <f>"18:45:53.964"</f>
        <v>18:45:53.964</v>
      </c>
      <c r="D4372" t="s">
        <v>1782</v>
      </c>
      <c r="E4372">
        <v>31.042148999999998</v>
      </c>
      <c r="F4372" t="s">
        <v>1783</v>
      </c>
      <c r="G4372">
        <v>-89.859645</v>
      </c>
      <c r="H4372">
        <v>1600</v>
      </c>
      <c r="I4372">
        <v>112</v>
      </c>
      <c r="J4372">
        <v>-109</v>
      </c>
      <c r="K4372">
        <v>128</v>
      </c>
      <c r="L4372">
        <v>1200</v>
      </c>
      <c r="M4372" t="str">
        <f t="shared" si="436"/>
        <v xml:space="preserve">N35DC   </v>
      </c>
      <c r="N4372">
        <v>1</v>
      </c>
      <c r="O4372">
        <v>1725</v>
      </c>
    </row>
    <row r="4373" spans="1:15" x14ac:dyDescent="0.25">
      <c r="A4373" t="str">
        <f>"10/21/2020 18:45:46.730"</f>
        <v>10/21/2020 18:45:46.730</v>
      </c>
      <c r="B4373" t="str">
        <f>"18:45:54.656"</f>
        <v>18:45:54.656</v>
      </c>
      <c r="C4373" t="str">
        <f>"18:45:54.556"</f>
        <v>18:45:54.556</v>
      </c>
      <c r="D4373" t="s">
        <v>1784</v>
      </c>
      <c r="E4373">
        <v>31.041869999999999</v>
      </c>
      <c r="F4373" t="s">
        <v>1785</v>
      </c>
      <c r="G4373">
        <v>-89.859365999999994</v>
      </c>
      <c r="H4373">
        <v>1600</v>
      </c>
      <c r="I4373">
        <v>111</v>
      </c>
      <c r="J4373">
        <v>-110</v>
      </c>
      <c r="K4373">
        <v>128</v>
      </c>
      <c r="L4373">
        <v>1200</v>
      </c>
      <c r="M4373" t="str">
        <f t="shared" si="436"/>
        <v xml:space="preserve">N35DC   </v>
      </c>
      <c r="N4373">
        <v>1</v>
      </c>
      <c r="O4373">
        <v>1725</v>
      </c>
    </row>
    <row r="4374" spans="1:15" x14ac:dyDescent="0.25">
      <c r="A4374" t="str">
        <f>"10/21/2020 18:45:46.730"</f>
        <v>10/21/2020 18:45:46.730</v>
      </c>
      <c r="B4374" t="str">
        <f>"18:45:54.656"</f>
        <v>18:45:54.656</v>
      </c>
      <c r="C4374" t="str">
        <f>"18:45:54.556"</f>
        <v>18:45:54.556</v>
      </c>
      <c r="D4374" t="s">
        <v>1784</v>
      </c>
      <c r="E4374">
        <v>31.041869999999999</v>
      </c>
      <c r="F4374" t="s">
        <v>1785</v>
      </c>
      <c r="G4374">
        <v>-89.859365999999994</v>
      </c>
      <c r="H4374">
        <v>1600</v>
      </c>
      <c r="I4374">
        <v>111</v>
      </c>
      <c r="J4374">
        <v>-110</v>
      </c>
      <c r="K4374">
        <v>128</v>
      </c>
      <c r="L4374">
        <v>1200</v>
      </c>
      <c r="M4374" t="str">
        <f t="shared" si="436"/>
        <v xml:space="preserve">N35DC   </v>
      </c>
      <c r="N4374">
        <v>1</v>
      </c>
      <c r="O4374">
        <v>1725</v>
      </c>
    </row>
    <row r="4375" spans="1:15" x14ac:dyDescent="0.25">
      <c r="A4375" t="str">
        <f>"10/21/2020 18:45:46.730"</f>
        <v>10/21/2020 18:45:46.730</v>
      </c>
      <c r="B4375" t="str">
        <f>"18:45:54.656"</f>
        <v>18:45:54.656</v>
      </c>
      <c r="C4375" t="str">
        <f>"18:45:54.556"</f>
        <v>18:45:54.556</v>
      </c>
      <c r="D4375" t="s">
        <v>1784</v>
      </c>
      <c r="E4375">
        <v>31.041869999999999</v>
      </c>
      <c r="F4375" t="s">
        <v>1785</v>
      </c>
      <c r="G4375">
        <v>-89.859365999999994</v>
      </c>
      <c r="H4375">
        <v>1600</v>
      </c>
      <c r="I4375">
        <v>111</v>
      </c>
      <c r="J4375">
        <v>-110</v>
      </c>
      <c r="K4375">
        <v>128</v>
      </c>
      <c r="L4375">
        <v>1200</v>
      </c>
      <c r="M4375" t="str">
        <f t="shared" si="436"/>
        <v xml:space="preserve">N35DC   </v>
      </c>
      <c r="N4375">
        <v>1</v>
      </c>
      <c r="O4375">
        <v>1725</v>
      </c>
    </row>
    <row r="4376" spans="1:15" x14ac:dyDescent="0.25">
      <c r="A4376" t="str">
        <f>"10/21/2020 18:45:46.730"</f>
        <v>10/21/2020 18:45:46.730</v>
      </c>
      <c r="B4376" t="str">
        <f>"18:45:54.656"</f>
        <v>18:45:54.656</v>
      </c>
      <c r="C4376" t="str">
        <f>"18:45:54.556"</f>
        <v>18:45:54.556</v>
      </c>
      <c r="D4376" t="s">
        <v>1784</v>
      </c>
      <c r="E4376">
        <v>31.041869999999999</v>
      </c>
      <c r="F4376" t="s">
        <v>1785</v>
      </c>
      <c r="G4376">
        <v>-89.859365999999994</v>
      </c>
      <c r="H4376">
        <v>1600</v>
      </c>
      <c r="I4376">
        <v>111</v>
      </c>
      <c r="J4376">
        <v>-110</v>
      </c>
      <c r="K4376">
        <v>128</v>
      </c>
      <c r="L4376">
        <v>1200</v>
      </c>
      <c r="M4376" t="str">
        <f t="shared" si="436"/>
        <v xml:space="preserve">N35DC   </v>
      </c>
      <c r="N4376">
        <v>1</v>
      </c>
      <c r="O4376">
        <v>1725</v>
      </c>
    </row>
    <row r="4377" spans="1:15" x14ac:dyDescent="0.25">
      <c r="A4377" t="str">
        <f>"10/21/2020 18:45:47.589"</f>
        <v>10/21/2020 18:45:47.589</v>
      </c>
      <c r="B4377" t="str">
        <f>"18:45:55.547"</f>
        <v>18:45:55.547</v>
      </c>
      <c r="C4377" t="str">
        <f>"18:45:55.047"</f>
        <v>18:45:55.047</v>
      </c>
      <c r="D4377" t="s">
        <v>1786</v>
      </c>
      <c r="E4377">
        <v>31.041398000000001</v>
      </c>
      <c r="F4377" t="s">
        <v>1787</v>
      </c>
      <c r="G4377">
        <v>-89.858829999999998</v>
      </c>
      <c r="H4377">
        <v>1600</v>
      </c>
      <c r="I4377">
        <v>111</v>
      </c>
      <c r="J4377">
        <v>-111</v>
      </c>
      <c r="K4377">
        <v>128</v>
      </c>
      <c r="L4377">
        <v>1200</v>
      </c>
      <c r="M4377" t="str">
        <f t="shared" si="436"/>
        <v xml:space="preserve">N35DC   </v>
      </c>
      <c r="N4377">
        <v>1</v>
      </c>
      <c r="O4377">
        <v>1725</v>
      </c>
    </row>
    <row r="4378" spans="1:15" x14ac:dyDescent="0.25">
      <c r="A4378" t="str">
        <f>"10/21/2020 18:45:47.589"</f>
        <v>10/21/2020 18:45:47.589</v>
      </c>
      <c r="B4378" t="str">
        <f>"18:45:55.547"</f>
        <v>18:45:55.547</v>
      </c>
      <c r="C4378" t="str">
        <f>"18:45:55.047"</f>
        <v>18:45:55.047</v>
      </c>
      <c r="D4378" t="s">
        <v>1786</v>
      </c>
      <c r="E4378">
        <v>31.041398000000001</v>
      </c>
      <c r="F4378" t="s">
        <v>1787</v>
      </c>
      <c r="G4378">
        <v>-89.858829999999998</v>
      </c>
      <c r="H4378">
        <v>1600</v>
      </c>
      <c r="I4378">
        <v>111</v>
      </c>
      <c r="J4378">
        <v>-111</v>
      </c>
      <c r="K4378">
        <v>128</v>
      </c>
      <c r="L4378">
        <v>1200</v>
      </c>
      <c r="M4378" t="str">
        <f t="shared" si="436"/>
        <v xml:space="preserve">N35DC   </v>
      </c>
      <c r="N4378">
        <v>1</v>
      </c>
      <c r="O4378">
        <v>1725</v>
      </c>
    </row>
    <row r="4379" spans="1:15" x14ac:dyDescent="0.25">
      <c r="A4379" t="str">
        <f>"10/21/2020 18:45:47.589"</f>
        <v>10/21/2020 18:45:47.589</v>
      </c>
      <c r="B4379" t="str">
        <f>"18:45:55.547"</f>
        <v>18:45:55.547</v>
      </c>
      <c r="C4379" t="str">
        <f>"18:45:54.547"</f>
        <v>18:45:54.547</v>
      </c>
      <c r="D4379" t="s">
        <v>1786</v>
      </c>
      <c r="E4379">
        <v>31.041398000000001</v>
      </c>
      <c r="F4379" t="s">
        <v>1787</v>
      </c>
      <c r="G4379">
        <v>-89.858829999999998</v>
      </c>
      <c r="H4379">
        <v>1600</v>
      </c>
      <c r="I4379">
        <v>111</v>
      </c>
      <c r="J4379">
        <v>-110</v>
      </c>
      <c r="K4379">
        <v>128</v>
      </c>
      <c r="L4379">
        <v>1200</v>
      </c>
      <c r="M4379" t="str">
        <f t="shared" si="436"/>
        <v xml:space="preserve">N35DC   </v>
      </c>
      <c r="N4379">
        <v>1</v>
      </c>
      <c r="O4379">
        <v>1725</v>
      </c>
    </row>
    <row r="4380" spans="1:15" x14ac:dyDescent="0.25">
      <c r="A4380" t="str">
        <f>"10/21/2020 18:45:47.589"</f>
        <v>10/21/2020 18:45:47.589</v>
      </c>
      <c r="B4380" t="str">
        <f>"18:45:55.547"</f>
        <v>18:45:55.547</v>
      </c>
      <c r="C4380" t="str">
        <f>"18:45:55.047"</f>
        <v>18:45:55.047</v>
      </c>
      <c r="D4380" t="s">
        <v>1786</v>
      </c>
      <c r="E4380">
        <v>31.041398000000001</v>
      </c>
      <c r="F4380" t="s">
        <v>1787</v>
      </c>
      <c r="G4380">
        <v>-89.858829999999998</v>
      </c>
      <c r="H4380">
        <v>1600</v>
      </c>
      <c r="I4380">
        <v>111</v>
      </c>
      <c r="J4380">
        <v>-111</v>
      </c>
      <c r="K4380">
        <v>128</v>
      </c>
      <c r="L4380">
        <v>1200</v>
      </c>
      <c r="M4380" t="str">
        <f t="shared" si="436"/>
        <v xml:space="preserve">N35DC   </v>
      </c>
      <c r="N4380">
        <v>1</v>
      </c>
      <c r="O4380">
        <v>1725</v>
      </c>
    </row>
    <row r="4381" spans="1:15" x14ac:dyDescent="0.25">
      <c r="A4381" t="str">
        <f>"10/21/2020 18:45:47.589"</f>
        <v>10/21/2020 18:45:47.589</v>
      </c>
      <c r="B4381" t="str">
        <f>"18:45:55.547"</f>
        <v>18:45:55.547</v>
      </c>
      <c r="C4381" t="str">
        <f>"18:45:55.047"</f>
        <v>18:45:55.047</v>
      </c>
      <c r="D4381" t="s">
        <v>1786</v>
      </c>
      <c r="E4381">
        <v>31.041398000000001</v>
      </c>
      <c r="F4381" t="s">
        <v>1787</v>
      </c>
      <c r="G4381">
        <v>-89.858829999999998</v>
      </c>
      <c r="H4381">
        <v>1600</v>
      </c>
      <c r="I4381">
        <v>111</v>
      </c>
      <c r="J4381">
        <v>-111</v>
      </c>
      <c r="K4381">
        <v>128</v>
      </c>
      <c r="L4381">
        <v>1200</v>
      </c>
      <c r="M4381" t="str">
        <f t="shared" si="436"/>
        <v xml:space="preserve">N35DC   </v>
      </c>
      <c r="N4381">
        <v>1</v>
      </c>
      <c r="O4381">
        <v>1725</v>
      </c>
    </row>
    <row r="4382" spans="1:15" x14ac:dyDescent="0.25">
      <c r="A4382" t="str">
        <f>"10/21/2020 18:45:51.790"</f>
        <v>10/21/2020 18:45:51.790</v>
      </c>
      <c r="B4382" t="str">
        <f>"18:45:59.727"</f>
        <v>18:45:59.727</v>
      </c>
      <c r="C4382" t="str">
        <f>"18:45:59.627"</f>
        <v>18:45:59.627</v>
      </c>
      <c r="D4382" t="s">
        <v>1788</v>
      </c>
      <c r="E4382">
        <v>31.039124000000001</v>
      </c>
      <c r="F4382" t="s">
        <v>686</v>
      </c>
      <c r="G4382">
        <v>-89.856470000000002</v>
      </c>
      <c r="H4382">
        <v>1700</v>
      </c>
      <c r="I4382">
        <v>99</v>
      </c>
      <c r="J4382">
        <v>-121</v>
      </c>
      <c r="K4382">
        <v>64</v>
      </c>
      <c r="L4382">
        <v>1200</v>
      </c>
      <c r="M4382" t="str">
        <f t="shared" si="436"/>
        <v xml:space="preserve">N35DC   </v>
      </c>
      <c r="N4382">
        <v>1</v>
      </c>
      <c r="O4382">
        <v>1725</v>
      </c>
    </row>
    <row r="4383" spans="1:15" x14ac:dyDescent="0.25">
      <c r="A4383" t="str">
        <f>"10/21/2020 18:45:51.790"</f>
        <v>10/21/2020 18:45:51.790</v>
      </c>
      <c r="B4383" t="str">
        <f>"18:45:59.727"</f>
        <v>18:45:59.727</v>
      </c>
      <c r="C4383" t="str">
        <f>"18:45:57.527"</f>
        <v>18:45:57.527</v>
      </c>
      <c r="D4383" t="s">
        <v>1788</v>
      </c>
      <c r="E4383">
        <v>31.039124000000001</v>
      </c>
      <c r="F4383" t="s">
        <v>686</v>
      </c>
      <c r="G4383">
        <v>-89.856470000000002</v>
      </c>
      <c r="H4383">
        <v>1700</v>
      </c>
      <c r="I4383">
        <v>106</v>
      </c>
      <c r="J4383">
        <v>-115</v>
      </c>
      <c r="K4383">
        <v>192</v>
      </c>
      <c r="L4383">
        <v>1200</v>
      </c>
      <c r="M4383" t="str">
        <f t="shared" si="436"/>
        <v xml:space="preserve">N35DC   </v>
      </c>
      <c r="N4383">
        <v>1</v>
      </c>
      <c r="O4383">
        <v>1725</v>
      </c>
    </row>
    <row r="4384" spans="1:15" x14ac:dyDescent="0.25">
      <c r="A4384" t="str">
        <f>"10/21/2020 18:45:51.790"</f>
        <v>10/21/2020 18:45:51.790</v>
      </c>
      <c r="B4384" t="str">
        <f>"18:45:59.727"</f>
        <v>18:45:59.727</v>
      </c>
      <c r="C4384" t="str">
        <f>"18:45:59.627"</f>
        <v>18:45:59.627</v>
      </c>
      <c r="D4384" t="s">
        <v>1788</v>
      </c>
      <c r="E4384">
        <v>31.039124000000001</v>
      </c>
      <c r="F4384" t="s">
        <v>686</v>
      </c>
      <c r="G4384">
        <v>-89.856470000000002</v>
      </c>
      <c r="H4384">
        <v>1700</v>
      </c>
      <c r="I4384">
        <v>99</v>
      </c>
      <c r="J4384">
        <v>-121</v>
      </c>
      <c r="K4384">
        <v>64</v>
      </c>
      <c r="L4384">
        <v>1200</v>
      </c>
      <c r="M4384" t="str">
        <f t="shared" si="436"/>
        <v xml:space="preserve">N35DC   </v>
      </c>
      <c r="N4384">
        <v>1</v>
      </c>
      <c r="O4384">
        <v>1725</v>
      </c>
    </row>
    <row r="4385" spans="1:15" x14ac:dyDescent="0.25">
      <c r="A4385" t="str">
        <f>"10/21/2020 18:45:51.790"</f>
        <v>10/21/2020 18:45:51.790</v>
      </c>
      <c r="B4385" t="str">
        <f>"18:45:59.727"</f>
        <v>18:45:59.727</v>
      </c>
      <c r="C4385" t="str">
        <f>"18:45:59.627"</f>
        <v>18:45:59.627</v>
      </c>
      <c r="D4385" t="s">
        <v>1788</v>
      </c>
      <c r="E4385">
        <v>31.039124000000001</v>
      </c>
      <c r="F4385" t="s">
        <v>686</v>
      </c>
      <c r="G4385">
        <v>-89.856470000000002</v>
      </c>
      <c r="H4385">
        <v>1700</v>
      </c>
      <c r="I4385">
        <v>99</v>
      </c>
      <c r="J4385">
        <v>-121</v>
      </c>
      <c r="K4385">
        <v>64</v>
      </c>
      <c r="L4385">
        <v>1200</v>
      </c>
      <c r="M4385" t="str">
        <f t="shared" si="436"/>
        <v xml:space="preserve">N35DC   </v>
      </c>
      <c r="N4385">
        <v>1</v>
      </c>
      <c r="O4385">
        <v>1725</v>
      </c>
    </row>
    <row r="4386" spans="1:15" x14ac:dyDescent="0.25">
      <c r="A4386" t="str">
        <f>"10/21/2020 18:45:52.276"</f>
        <v>10/21/2020 18:45:52.276</v>
      </c>
      <c r="B4386" t="str">
        <f>"18:46:00.211"</f>
        <v>18:46:00.211</v>
      </c>
      <c r="C4386" t="str">
        <f>"18:46:00.111"</f>
        <v>18:46:00.111</v>
      </c>
      <c r="D4386" t="s">
        <v>1789</v>
      </c>
      <c r="E4386">
        <v>31.038844999999998</v>
      </c>
      <c r="F4386" t="s">
        <v>1790</v>
      </c>
      <c r="G4386">
        <v>-89.856234000000001</v>
      </c>
      <c r="H4386">
        <v>1700</v>
      </c>
      <c r="I4386">
        <v>97</v>
      </c>
      <c r="J4386">
        <v>-123</v>
      </c>
      <c r="K4386">
        <v>0</v>
      </c>
      <c r="L4386">
        <v>1200</v>
      </c>
      <c r="M4386" t="str">
        <f t="shared" si="436"/>
        <v xml:space="preserve">N35DC   </v>
      </c>
      <c r="N4386">
        <v>1</v>
      </c>
      <c r="O4386">
        <v>1725</v>
      </c>
    </row>
    <row r="4387" spans="1:15" x14ac:dyDescent="0.25">
      <c r="A4387" t="str">
        <f>"10/21/2020 18:45:55.647"</f>
        <v>10/21/2020 18:45:55.647</v>
      </c>
      <c r="B4387" t="str">
        <f>"18:46:03.539"</f>
        <v>18:46:03.539</v>
      </c>
      <c r="C4387" t="str">
        <f>"18:46:03.139"</f>
        <v>18:46:03.139</v>
      </c>
      <c r="D4387" t="s">
        <v>1791</v>
      </c>
      <c r="E4387">
        <v>31.036849</v>
      </c>
      <c r="F4387" t="s">
        <v>1792</v>
      </c>
      <c r="G4387">
        <v>-89.854646000000002</v>
      </c>
      <c r="H4387">
        <v>1600</v>
      </c>
      <c r="I4387">
        <v>84</v>
      </c>
      <c r="J4387">
        <v>-134</v>
      </c>
      <c r="K4387">
        <v>-256</v>
      </c>
      <c r="L4387">
        <v>1200</v>
      </c>
      <c r="M4387" t="str">
        <f t="shared" si="436"/>
        <v xml:space="preserve">N35DC   </v>
      </c>
      <c r="N4387">
        <v>1</v>
      </c>
      <c r="O4387">
        <v>1725</v>
      </c>
    </row>
    <row r="4388" spans="1:15" x14ac:dyDescent="0.25">
      <c r="A4388" t="str">
        <f>"10/21/2020 18:45:56.184"</f>
        <v>10/21/2020 18:45:56.184</v>
      </c>
      <c r="B4388" t="str">
        <f>"18:46:04.094"</f>
        <v>18:46:04.094</v>
      </c>
      <c r="C4388" t="str">
        <f>"18:46:03.694"</f>
        <v>18:46:03.694</v>
      </c>
      <c r="D4388" t="s">
        <v>1793</v>
      </c>
      <c r="E4388">
        <v>31.036505999999999</v>
      </c>
      <c r="F4388" t="s">
        <v>531</v>
      </c>
      <c r="G4388">
        <v>-89.854431000000005</v>
      </c>
      <c r="H4388">
        <v>1600</v>
      </c>
      <c r="I4388">
        <v>80</v>
      </c>
      <c r="J4388">
        <v>-136</v>
      </c>
      <c r="K4388">
        <v>-256</v>
      </c>
      <c r="L4388">
        <v>1200</v>
      </c>
      <c r="M4388" t="str">
        <f t="shared" si="436"/>
        <v xml:space="preserve">N35DC   </v>
      </c>
      <c r="N4388">
        <v>1</v>
      </c>
      <c r="O4388">
        <v>1725</v>
      </c>
    </row>
    <row r="4389" spans="1:15" x14ac:dyDescent="0.25">
      <c r="A4389" t="str">
        <f>"10/21/2020 18:45:56.184"</f>
        <v>10/21/2020 18:45:56.184</v>
      </c>
      <c r="B4389" t="str">
        <f>"18:46:04.094"</f>
        <v>18:46:04.094</v>
      </c>
      <c r="C4389" t="str">
        <f>"18:46:03.694"</f>
        <v>18:46:03.694</v>
      </c>
      <c r="D4389" t="s">
        <v>1793</v>
      </c>
      <c r="E4389">
        <v>31.036505999999999</v>
      </c>
      <c r="F4389" t="s">
        <v>531</v>
      </c>
      <c r="G4389">
        <v>-89.854431000000005</v>
      </c>
      <c r="H4389">
        <v>1600</v>
      </c>
      <c r="I4389">
        <v>80</v>
      </c>
      <c r="J4389">
        <v>-136</v>
      </c>
      <c r="K4389">
        <v>-256</v>
      </c>
      <c r="L4389">
        <v>1200</v>
      </c>
      <c r="M4389" t="str">
        <f t="shared" si="436"/>
        <v xml:space="preserve">N35DC   </v>
      </c>
      <c r="N4389">
        <v>1</v>
      </c>
      <c r="O4389">
        <v>1725</v>
      </c>
    </row>
    <row r="4390" spans="1:15" x14ac:dyDescent="0.25">
      <c r="A4390" t="str">
        <f>"10/21/2020 18:45:56.184"</f>
        <v>10/21/2020 18:45:56.184</v>
      </c>
      <c r="B4390" t="str">
        <f>"18:46:04.094"</f>
        <v>18:46:04.094</v>
      </c>
      <c r="C4390" t="str">
        <f>"18:46:03.694"</f>
        <v>18:46:03.694</v>
      </c>
      <c r="D4390" t="s">
        <v>1793</v>
      </c>
      <c r="E4390">
        <v>31.036505999999999</v>
      </c>
      <c r="F4390" t="s">
        <v>531</v>
      </c>
      <c r="G4390">
        <v>-89.854431000000005</v>
      </c>
      <c r="H4390">
        <v>1600</v>
      </c>
      <c r="I4390">
        <v>80</v>
      </c>
      <c r="J4390">
        <v>-136</v>
      </c>
      <c r="K4390">
        <v>-256</v>
      </c>
      <c r="L4390">
        <v>1200</v>
      </c>
      <c r="M4390" t="str">
        <f t="shared" si="436"/>
        <v xml:space="preserve">N35DC   </v>
      </c>
      <c r="N4390">
        <v>1</v>
      </c>
      <c r="O4390">
        <v>1725</v>
      </c>
    </row>
    <row r="4391" spans="1:15" x14ac:dyDescent="0.25">
      <c r="A4391" t="str">
        <f>"10/21/2020 18:45:56.802"</f>
        <v>10/21/2020 18:45:56.802</v>
      </c>
      <c r="B4391" t="str">
        <f>"18:46:04.695"</f>
        <v>18:46:04.695</v>
      </c>
      <c r="C4391" t="str">
        <f>"18:46:04.595"</f>
        <v>18:46:04.595</v>
      </c>
      <c r="D4391" t="s">
        <v>1617</v>
      </c>
      <c r="E4391">
        <v>31.036097999999999</v>
      </c>
      <c r="F4391" t="s">
        <v>1794</v>
      </c>
      <c r="G4391">
        <v>-89.854151999999999</v>
      </c>
      <c r="H4391">
        <v>1600</v>
      </c>
      <c r="I4391">
        <v>77</v>
      </c>
      <c r="J4391">
        <v>-139</v>
      </c>
      <c r="K4391">
        <v>-320</v>
      </c>
      <c r="L4391">
        <v>1200</v>
      </c>
      <c r="M4391" t="str">
        <f t="shared" si="436"/>
        <v xml:space="preserve">N35DC   </v>
      </c>
      <c r="N4391">
        <v>1</v>
      </c>
      <c r="O4391">
        <v>1725</v>
      </c>
    </row>
    <row r="4392" spans="1:15" x14ac:dyDescent="0.25">
      <c r="A4392" t="str">
        <f>"10/21/2020 18:45:57.347"</f>
        <v>10/21/2020 18:45:57.347</v>
      </c>
      <c r="B4392" t="str">
        <f>"18:46:05.281"</f>
        <v>18:46:05.281</v>
      </c>
      <c r="C4392" t="str">
        <f>"18:46:04.981"</f>
        <v>18:46:04.981</v>
      </c>
      <c r="D4392" t="s">
        <v>1795</v>
      </c>
      <c r="E4392">
        <v>31.035733</v>
      </c>
      <c r="F4392" t="s">
        <v>1796</v>
      </c>
      <c r="G4392">
        <v>-89.853937999999999</v>
      </c>
      <c r="H4392">
        <v>1600</v>
      </c>
      <c r="I4392">
        <v>75</v>
      </c>
      <c r="J4392">
        <v>-140</v>
      </c>
      <c r="K4392">
        <v>-384</v>
      </c>
      <c r="L4392">
        <v>1200</v>
      </c>
      <c r="M4392" t="str">
        <f t="shared" si="436"/>
        <v xml:space="preserve">N35DC   </v>
      </c>
      <c r="N4392">
        <v>1</v>
      </c>
      <c r="O4392">
        <v>1725</v>
      </c>
    </row>
    <row r="4393" spans="1:15" x14ac:dyDescent="0.25">
      <c r="A4393" t="str">
        <f>"10/21/2020 18:45:57.347"</f>
        <v>10/21/2020 18:45:57.347</v>
      </c>
      <c r="B4393" t="str">
        <f>"18:46:05.281"</f>
        <v>18:46:05.281</v>
      </c>
      <c r="C4393" t="str">
        <f>"18:46:04.981"</f>
        <v>18:46:04.981</v>
      </c>
      <c r="D4393" t="s">
        <v>1795</v>
      </c>
      <c r="E4393">
        <v>31.035733</v>
      </c>
      <c r="F4393" t="s">
        <v>1796</v>
      </c>
      <c r="G4393">
        <v>-89.853937999999999</v>
      </c>
      <c r="H4393">
        <v>1600</v>
      </c>
      <c r="I4393">
        <v>75</v>
      </c>
      <c r="J4393">
        <v>-140</v>
      </c>
      <c r="K4393">
        <v>-384</v>
      </c>
      <c r="L4393">
        <v>1200</v>
      </c>
      <c r="M4393" t="str">
        <f t="shared" si="436"/>
        <v xml:space="preserve">N35DC   </v>
      </c>
      <c r="N4393">
        <v>1</v>
      </c>
      <c r="O4393">
        <v>1725</v>
      </c>
    </row>
    <row r="4394" spans="1:15" x14ac:dyDescent="0.25">
      <c r="A4394" t="str">
        <f>"10/21/2020 18:45:57.347"</f>
        <v>10/21/2020 18:45:57.347</v>
      </c>
      <c r="B4394" t="str">
        <f>"18:46:05.281"</f>
        <v>18:46:05.281</v>
      </c>
      <c r="C4394" t="str">
        <f>"18:46:04.981"</f>
        <v>18:46:04.981</v>
      </c>
      <c r="D4394" t="s">
        <v>1795</v>
      </c>
      <c r="E4394">
        <v>31.035733</v>
      </c>
      <c r="F4394" t="s">
        <v>1796</v>
      </c>
      <c r="G4394">
        <v>-89.853937999999999</v>
      </c>
      <c r="H4394">
        <v>1600</v>
      </c>
      <c r="I4394">
        <v>75</v>
      </c>
      <c r="J4394">
        <v>-140</v>
      </c>
      <c r="K4394">
        <v>-384</v>
      </c>
      <c r="L4394">
        <v>1200</v>
      </c>
      <c r="M4394" t="str">
        <f t="shared" si="436"/>
        <v xml:space="preserve">N35DC   </v>
      </c>
      <c r="N4394">
        <v>1</v>
      </c>
      <c r="O4394">
        <v>1725</v>
      </c>
    </row>
    <row r="4395" spans="1:15" x14ac:dyDescent="0.25">
      <c r="A4395" t="str">
        <f>"10/21/2020 18:45:57.347"</f>
        <v>10/21/2020 18:45:57.347</v>
      </c>
      <c r="B4395" t="str">
        <f>"18:46:05.281"</f>
        <v>18:46:05.281</v>
      </c>
      <c r="C4395" t="str">
        <f>"18:46:04.981"</f>
        <v>18:46:04.981</v>
      </c>
      <c r="D4395" t="s">
        <v>1795</v>
      </c>
      <c r="E4395">
        <v>31.035733</v>
      </c>
      <c r="F4395" t="s">
        <v>1796</v>
      </c>
      <c r="G4395">
        <v>-89.853937999999999</v>
      </c>
      <c r="H4395">
        <v>1600</v>
      </c>
      <c r="I4395">
        <v>75</v>
      </c>
      <c r="J4395">
        <v>-140</v>
      </c>
      <c r="K4395">
        <v>-384</v>
      </c>
      <c r="L4395">
        <v>1200</v>
      </c>
      <c r="M4395" t="str">
        <f t="shared" si="436"/>
        <v xml:space="preserve">N35DC   </v>
      </c>
      <c r="N4395">
        <v>1</v>
      </c>
      <c r="O4395">
        <v>1725</v>
      </c>
    </row>
    <row r="4396" spans="1:15" x14ac:dyDescent="0.25">
      <c r="A4396" t="str">
        <f>"10/21/2020 18:45:59.470"</f>
        <v>10/21/2020 18:45:59.470</v>
      </c>
      <c r="B4396" t="str">
        <f>"18:46:07.391"</f>
        <v>18:46:07.391</v>
      </c>
      <c r="C4396" t="str">
        <f>"18:46:06.891"</f>
        <v>18:46:06.891</v>
      </c>
      <c r="D4396" t="s">
        <v>1797</v>
      </c>
      <c r="E4396">
        <v>31.034274</v>
      </c>
      <c r="F4396" t="s">
        <v>1798</v>
      </c>
      <c r="G4396">
        <v>-89.853229999999996</v>
      </c>
      <c r="H4396">
        <v>1600</v>
      </c>
      <c r="I4396">
        <v>62</v>
      </c>
      <c r="J4396">
        <v>-148</v>
      </c>
      <c r="K4396">
        <v>-320</v>
      </c>
      <c r="L4396">
        <v>1200</v>
      </c>
      <c r="M4396" t="str">
        <f t="shared" si="436"/>
        <v xml:space="preserve">N35DC   </v>
      </c>
      <c r="N4396">
        <v>1</v>
      </c>
      <c r="O4396">
        <v>1700</v>
      </c>
    </row>
    <row r="4397" spans="1:15" x14ac:dyDescent="0.25">
      <c r="A4397" t="str">
        <f>"10/21/2020 18:45:59.470"</f>
        <v>10/21/2020 18:45:59.470</v>
      </c>
      <c r="B4397" t="str">
        <f>"18:46:07.391"</f>
        <v>18:46:07.391</v>
      </c>
      <c r="C4397" t="str">
        <f>"18:46:06.891"</f>
        <v>18:46:06.891</v>
      </c>
      <c r="D4397" t="s">
        <v>1797</v>
      </c>
      <c r="E4397">
        <v>31.034274</v>
      </c>
      <c r="F4397" t="s">
        <v>1798</v>
      </c>
      <c r="G4397">
        <v>-89.853229999999996</v>
      </c>
      <c r="H4397">
        <v>1600</v>
      </c>
      <c r="I4397">
        <v>62</v>
      </c>
      <c r="J4397">
        <v>-148</v>
      </c>
      <c r="K4397">
        <v>-320</v>
      </c>
      <c r="L4397">
        <v>1200</v>
      </c>
      <c r="M4397" t="str">
        <f t="shared" si="436"/>
        <v xml:space="preserve">N35DC   </v>
      </c>
      <c r="N4397">
        <v>1</v>
      </c>
      <c r="O4397">
        <v>1700</v>
      </c>
    </row>
    <row r="4398" spans="1:15" x14ac:dyDescent="0.25">
      <c r="A4398" t="str">
        <f>"10/21/2020 18:45:59.470"</f>
        <v>10/21/2020 18:45:59.470</v>
      </c>
      <c r="B4398" t="str">
        <f>"18:46:07.391"</f>
        <v>18:46:07.391</v>
      </c>
      <c r="C4398" t="str">
        <f>"18:46:06.891"</f>
        <v>18:46:06.891</v>
      </c>
      <c r="D4398" t="s">
        <v>1797</v>
      </c>
      <c r="E4398">
        <v>31.034274</v>
      </c>
      <c r="F4398" t="s">
        <v>1798</v>
      </c>
      <c r="G4398">
        <v>-89.853229999999996</v>
      </c>
      <c r="H4398">
        <v>1600</v>
      </c>
      <c r="I4398">
        <v>62</v>
      </c>
      <c r="J4398">
        <v>-148</v>
      </c>
      <c r="K4398">
        <v>-320</v>
      </c>
      <c r="L4398">
        <v>1200</v>
      </c>
      <c r="M4398" t="str">
        <f t="shared" si="436"/>
        <v xml:space="preserve">N35DC   </v>
      </c>
      <c r="N4398">
        <v>1</v>
      </c>
      <c r="O4398">
        <v>1700</v>
      </c>
    </row>
    <row r="4399" spans="1:15" x14ac:dyDescent="0.25">
      <c r="A4399" t="str">
        <f>"10/21/2020 18:45:59.470"</f>
        <v>10/21/2020 18:45:59.470</v>
      </c>
      <c r="B4399" t="str">
        <f>"18:46:07.391"</f>
        <v>18:46:07.391</v>
      </c>
      <c r="C4399" t="str">
        <f>"18:46:06.891"</f>
        <v>18:46:06.891</v>
      </c>
      <c r="D4399" t="s">
        <v>1797</v>
      </c>
      <c r="E4399">
        <v>31.034274</v>
      </c>
      <c r="F4399" t="s">
        <v>1798</v>
      </c>
      <c r="G4399">
        <v>-89.853229999999996</v>
      </c>
      <c r="H4399">
        <v>1600</v>
      </c>
      <c r="I4399">
        <v>62</v>
      </c>
      <c r="J4399">
        <v>-148</v>
      </c>
      <c r="K4399">
        <v>-320</v>
      </c>
      <c r="L4399">
        <v>1200</v>
      </c>
      <c r="M4399" t="str">
        <f t="shared" si="436"/>
        <v xml:space="preserve">N35DC   </v>
      </c>
      <c r="N4399">
        <v>1</v>
      </c>
      <c r="O4399">
        <v>1700</v>
      </c>
    </row>
    <row r="4400" spans="1:15" x14ac:dyDescent="0.25">
      <c r="A4400" t="str">
        <f>"10/21/2020 18:45:59.875"</f>
        <v>10/21/2020 18:45:59.875</v>
      </c>
      <c r="B4400" t="str">
        <f>"18:46:07.828"</f>
        <v>18:46:07.828</v>
      </c>
      <c r="C4400" t="str">
        <f>"18:46:07.328"</f>
        <v>18:46:07.328</v>
      </c>
      <c r="D4400" t="s">
        <v>1799</v>
      </c>
      <c r="E4400">
        <v>31.033951999999999</v>
      </c>
      <c r="F4400" t="s">
        <v>1800</v>
      </c>
      <c r="G4400">
        <v>-89.853058000000004</v>
      </c>
      <c r="H4400">
        <v>1600</v>
      </c>
      <c r="I4400">
        <v>60</v>
      </c>
      <c r="J4400">
        <v>-150</v>
      </c>
      <c r="K4400">
        <v>-256</v>
      </c>
      <c r="L4400">
        <v>1200</v>
      </c>
      <c r="M4400" t="str">
        <f t="shared" si="436"/>
        <v xml:space="preserve">N35DC   </v>
      </c>
      <c r="N4400">
        <v>1</v>
      </c>
      <c r="O4400">
        <v>1700</v>
      </c>
    </row>
    <row r="4401" spans="1:15" x14ac:dyDescent="0.25">
      <c r="A4401" t="str">
        <f>"10/21/2020 18:46:00.327"</f>
        <v>10/21/2020 18:46:00.327</v>
      </c>
      <c r="B4401" t="str">
        <f>"18:46:08.250"</f>
        <v>18:46:08.250</v>
      </c>
      <c r="C4401" t="str">
        <f>"18:46:07.850"</f>
        <v>18:46:07.850</v>
      </c>
      <c r="D4401" t="s">
        <v>1613</v>
      </c>
      <c r="E4401">
        <v>31.033673</v>
      </c>
      <c r="F4401" t="s">
        <v>1801</v>
      </c>
      <c r="G4401">
        <v>-89.852951000000004</v>
      </c>
      <c r="H4401">
        <v>1600</v>
      </c>
      <c r="I4401">
        <v>57</v>
      </c>
      <c r="J4401">
        <v>-152</v>
      </c>
      <c r="K4401">
        <v>-320</v>
      </c>
      <c r="L4401">
        <v>1200</v>
      </c>
      <c r="M4401" t="str">
        <f t="shared" si="436"/>
        <v xml:space="preserve">N35DC   </v>
      </c>
      <c r="N4401">
        <v>1</v>
      </c>
      <c r="O4401">
        <v>1700</v>
      </c>
    </row>
    <row r="4402" spans="1:15" x14ac:dyDescent="0.25">
      <c r="A4402" t="str">
        <f>"10/21/2020 18:46:00.327"</f>
        <v>10/21/2020 18:46:00.327</v>
      </c>
      <c r="B4402" t="str">
        <f>"18:46:08.250"</f>
        <v>18:46:08.250</v>
      </c>
      <c r="C4402" t="str">
        <f>"18:46:07.850"</f>
        <v>18:46:07.850</v>
      </c>
      <c r="D4402" t="s">
        <v>1613</v>
      </c>
      <c r="E4402">
        <v>31.033673</v>
      </c>
      <c r="F4402" t="s">
        <v>1801</v>
      </c>
      <c r="G4402">
        <v>-89.852951000000004</v>
      </c>
      <c r="H4402">
        <v>1600</v>
      </c>
      <c r="I4402">
        <v>57</v>
      </c>
      <c r="J4402">
        <v>-152</v>
      </c>
      <c r="K4402">
        <v>-320</v>
      </c>
      <c r="L4402">
        <v>1200</v>
      </c>
      <c r="M4402" t="str">
        <f t="shared" si="436"/>
        <v xml:space="preserve">N35DC   </v>
      </c>
      <c r="N4402">
        <v>1</v>
      </c>
      <c r="O4402">
        <v>1700</v>
      </c>
    </row>
    <row r="4403" spans="1:15" x14ac:dyDescent="0.25">
      <c r="A4403" t="str">
        <f>"10/21/2020 18:46:00.327"</f>
        <v>10/21/2020 18:46:00.327</v>
      </c>
      <c r="B4403" t="str">
        <f>"18:46:08.250"</f>
        <v>18:46:08.250</v>
      </c>
      <c r="C4403" t="str">
        <f>"18:46:07.850"</f>
        <v>18:46:07.850</v>
      </c>
      <c r="D4403" t="s">
        <v>1613</v>
      </c>
      <c r="E4403">
        <v>31.033673</v>
      </c>
      <c r="F4403" t="s">
        <v>1801</v>
      </c>
      <c r="G4403">
        <v>-89.852951000000004</v>
      </c>
      <c r="H4403">
        <v>1600</v>
      </c>
      <c r="I4403">
        <v>57</v>
      </c>
      <c r="J4403">
        <v>-152</v>
      </c>
      <c r="K4403">
        <v>-320</v>
      </c>
      <c r="L4403">
        <v>1200</v>
      </c>
      <c r="M4403" t="str">
        <f t="shared" si="436"/>
        <v xml:space="preserve">N35DC   </v>
      </c>
      <c r="N4403">
        <v>1</v>
      </c>
      <c r="O4403">
        <v>1700</v>
      </c>
    </row>
    <row r="4404" spans="1:15" x14ac:dyDescent="0.25">
      <c r="A4404" t="str">
        <f>"10/21/2020 18:46:00.327"</f>
        <v>10/21/2020 18:46:00.327</v>
      </c>
      <c r="B4404" t="str">
        <f>"18:46:08.250"</f>
        <v>18:46:08.250</v>
      </c>
      <c r="C4404" t="str">
        <f>"18:46:07.850"</f>
        <v>18:46:07.850</v>
      </c>
      <c r="D4404" t="s">
        <v>1613</v>
      </c>
      <c r="E4404">
        <v>31.033673</v>
      </c>
      <c r="F4404" t="s">
        <v>1801</v>
      </c>
      <c r="G4404">
        <v>-89.852951000000004</v>
      </c>
      <c r="H4404">
        <v>1600</v>
      </c>
      <c r="I4404">
        <v>57</v>
      </c>
      <c r="J4404">
        <v>-152</v>
      </c>
      <c r="K4404">
        <v>-320</v>
      </c>
      <c r="L4404">
        <v>1200</v>
      </c>
      <c r="M4404" t="str">
        <f t="shared" si="436"/>
        <v xml:space="preserve">N35DC   </v>
      </c>
      <c r="N4404">
        <v>1</v>
      </c>
      <c r="O4404">
        <v>1700</v>
      </c>
    </row>
    <row r="4405" spans="1:15" x14ac:dyDescent="0.25">
      <c r="A4405" t="str">
        <f>"10/21/2020 18:46:03.258"</f>
        <v>10/21/2020 18:46:03.258</v>
      </c>
      <c r="B4405" t="str">
        <f>"18:46:11.203"</f>
        <v>18:46:11.203</v>
      </c>
      <c r="C4405" t="str">
        <f>"18:46:10.703"</f>
        <v>18:46:10.703</v>
      </c>
      <c r="D4405" t="s">
        <v>1802</v>
      </c>
      <c r="E4405">
        <v>31.031528000000002</v>
      </c>
      <c r="F4405" t="s">
        <v>1803</v>
      </c>
      <c r="G4405">
        <v>-89.852284999999995</v>
      </c>
      <c r="H4405">
        <v>1600</v>
      </c>
      <c r="I4405">
        <v>40</v>
      </c>
      <c r="J4405">
        <v>-159</v>
      </c>
      <c r="K4405">
        <v>0</v>
      </c>
      <c r="L4405">
        <v>1200</v>
      </c>
      <c r="M4405" t="str">
        <f t="shared" si="436"/>
        <v xml:space="preserve">N35DC   </v>
      </c>
      <c r="N4405">
        <v>1</v>
      </c>
      <c r="O4405">
        <v>1700</v>
      </c>
    </row>
    <row r="4406" spans="1:15" x14ac:dyDescent="0.25">
      <c r="A4406" t="str">
        <f>"10/21/2020 18:46:03.258"</f>
        <v>10/21/2020 18:46:03.258</v>
      </c>
      <c r="B4406" t="str">
        <f>"18:46:11.203"</f>
        <v>18:46:11.203</v>
      </c>
      <c r="C4406" t="str">
        <f>"18:46:10.703"</f>
        <v>18:46:10.703</v>
      </c>
      <c r="D4406" t="s">
        <v>1802</v>
      </c>
      <c r="E4406">
        <v>31.031528000000002</v>
      </c>
      <c r="F4406" t="s">
        <v>1803</v>
      </c>
      <c r="G4406">
        <v>-89.852284999999995</v>
      </c>
      <c r="H4406">
        <v>1600</v>
      </c>
      <c r="I4406">
        <v>40</v>
      </c>
      <c r="J4406">
        <v>-159</v>
      </c>
      <c r="K4406">
        <v>0</v>
      </c>
      <c r="L4406">
        <v>1200</v>
      </c>
      <c r="M4406" t="str">
        <f t="shared" si="436"/>
        <v xml:space="preserve">N35DC   </v>
      </c>
      <c r="N4406">
        <v>1</v>
      </c>
      <c r="O4406">
        <v>1700</v>
      </c>
    </row>
    <row r="4407" spans="1:15" x14ac:dyDescent="0.25">
      <c r="A4407" t="str">
        <f>"10/21/2020 18:46:03.258"</f>
        <v>10/21/2020 18:46:03.258</v>
      </c>
      <c r="B4407" t="str">
        <f>"18:46:11.203"</f>
        <v>18:46:11.203</v>
      </c>
      <c r="C4407" t="str">
        <f>"18:46:10.703"</f>
        <v>18:46:10.703</v>
      </c>
      <c r="D4407" t="s">
        <v>1802</v>
      </c>
      <c r="E4407">
        <v>31.031528000000002</v>
      </c>
      <c r="F4407" t="s">
        <v>1803</v>
      </c>
      <c r="G4407">
        <v>-89.852284999999995</v>
      </c>
      <c r="H4407">
        <v>1600</v>
      </c>
      <c r="I4407">
        <v>40</v>
      </c>
      <c r="J4407">
        <v>-159</v>
      </c>
      <c r="K4407">
        <v>0</v>
      </c>
      <c r="L4407">
        <v>1200</v>
      </c>
      <c r="M4407" t="str">
        <f t="shared" si="436"/>
        <v xml:space="preserve">N35DC   </v>
      </c>
      <c r="N4407">
        <v>1</v>
      </c>
      <c r="O4407">
        <v>1700</v>
      </c>
    </row>
    <row r="4408" spans="1:15" x14ac:dyDescent="0.25">
      <c r="A4408" t="str">
        <f>"10/21/2020 18:46:03.258"</f>
        <v>10/21/2020 18:46:03.258</v>
      </c>
      <c r="B4408" t="str">
        <f>"18:46:11.203"</f>
        <v>18:46:11.203</v>
      </c>
      <c r="C4408" t="str">
        <f>"18:46:10.703"</f>
        <v>18:46:10.703</v>
      </c>
      <c r="D4408" t="s">
        <v>1802</v>
      </c>
      <c r="E4408">
        <v>31.031528000000002</v>
      </c>
      <c r="F4408" t="s">
        <v>1803</v>
      </c>
      <c r="G4408">
        <v>-89.852284999999995</v>
      </c>
      <c r="H4408">
        <v>1600</v>
      </c>
      <c r="I4408">
        <v>40</v>
      </c>
      <c r="J4408">
        <v>-159</v>
      </c>
      <c r="K4408">
        <v>0</v>
      </c>
      <c r="L4408">
        <v>1200</v>
      </c>
      <c r="M4408" t="str">
        <f t="shared" si="436"/>
        <v xml:space="preserve">N35DC   </v>
      </c>
      <c r="N4408">
        <v>1</v>
      </c>
      <c r="O4408">
        <v>1700</v>
      </c>
    </row>
    <row r="4409" spans="1:15" x14ac:dyDescent="0.25">
      <c r="A4409" t="str">
        <f>"10/21/2020 18:46:03.258"</f>
        <v>10/21/2020 18:46:03.258</v>
      </c>
      <c r="B4409" t="str">
        <f>"18:46:11.203"</f>
        <v>18:46:11.203</v>
      </c>
      <c r="C4409" t="str">
        <f>"18:46:10.703"</f>
        <v>18:46:10.703</v>
      </c>
      <c r="D4409" t="s">
        <v>1802</v>
      </c>
      <c r="E4409">
        <v>31.031528000000002</v>
      </c>
      <c r="F4409" t="s">
        <v>1803</v>
      </c>
      <c r="G4409">
        <v>-89.852284999999995</v>
      </c>
      <c r="H4409">
        <v>1600</v>
      </c>
      <c r="I4409">
        <v>40</v>
      </c>
      <c r="J4409">
        <v>-159</v>
      </c>
      <c r="K4409">
        <v>0</v>
      </c>
      <c r="L4409">
        <v>1200</v>
      </c>
      <c r="M4409" t="str">
        <f t="shared" si="436"/>
        <v xml:space="preserve">N35DC   </v>
      </c>
      <c r="N4409">
        <v>1</v>
      </c>
      <c r="O4409">
        <v>1700</v>
      </c>
    </row>
    <row r="4410" spans="1:15" x14ac:dyDescent="0.25">
      <c r="A4410" t="str">
        <f>"10/21/2020 18:46:04.370"</f>
        <v>10/21/2020 18:46:04.370</v>
      </c>
      <c r="B4410" t="str">
        <f>"18:46:12.313"</f>
        <v>18:46:12.313</v>
      </c>
      <c r="C4410" t="str">
        <f>"18:46:11.913"</f>
        <v>18:46:11.913</v>
      </c>
      <c r="D4410" t="s">
        <v>1804</v>
      </c>
      <c r="E4410">
        <v>31.030691000000001</v>
      </c>
      <c r="F4410" t="s">
        <v>1805</v>
      </c>
      <c r="G4410">
        <v>-89.852114</v>
      </c>
      <c r="H4410">
        <v>1600</v>
      </c>
      <c r="I4410">
        <v>31</v>
      </c>
      <c r="J4410">
        <v>-161</v>
      </c>
      <c r="K4410">
        <v>256</v>
      </c>
      <c r="L4410">
        <v>1200</v>
      </c>
      <c r="M4410" t="str">
        <f t="shared" si="436"/>
        <v xml:space="preserve">N35DC   </v>
      </c>
      <c r="N4410">
        <v>1</v>
      </c>
      <c r="O4410">
        <v>1700</v>
      </c>
    </row>
    <row r="4411" spans="1:15" x14ac:dyDescent="0.25">
      <c r="A4411" t="str">
        <f>"10/21/2020 18:46:04.370"</f>
        <v>10/21/2020 18:46:04.370</v>
      </c>
      <c r="B4411" t="str">
        <f>"18:46:12.313"</f>
        <v>18:46:12.313</v>
      </c>
      <c r="C4411" t="str">
        <f>"18:46:11.913"</f>
        <v>18:46:11.913</v>
      </c>
      <c r="D4411" t="s">
        <v>1804</v>
      </c>
      <c r="E4411">
        <v>31.030691000000001</v>
      </c>
      <c r="F4411" t="s">
        <v>1805</v>
      </c>
      <c r="G4411">
        <v>-89.852114</v>
      </c>
      <c r="H4411">
        <v>1600</v>
      </c>
      <c r="I4411">
        <v>31</v>
      </c>
      <c r="J4411">
        <v>-161</v>
      </c>
      <c r="K4411">
        <v>256</v>
      </c>
      <c r="L4411">
        <v>1200</v>
      </c>
      <c r="M4411" t="str">
        <f t="shared" si="436"/>
        <v xml:space="preserve">N35DC   </v>
      </c>
      <c r="N4411">
        <v>1</v>
      </c>
      <c r="O4411">
        <v>1700</v>
      </c>
    </row>
    <row r="4412" spans="1:15" x14ac:dyDescent="0.25">
      <c r="A4412" t="str">
        <f>"10/21/2020 18:46:04.370"</f>
        <v>10/21/2020 18:46:04.370</v>
      </c>
      <c r="B4412" t="str">
        <f>"18:46:12.313"</f>
        <v>18:46:12.313</v>
      </c>
      <c r="C4412" t="str">
        <f>"18:46:11.913"</f>
        <v>18:46:11.913</v>
      </c>
      <c r="D4412" t="s">
        <v>1804</v>
      </c>
      <c r="E4412">
        <v>31.030691000000001</v>
      </c>
      <c r="F4412" t="s">
        <v>1805</v>
      </c>
      <c r="G4412">
        <v>-89.852114</v>
      </c>
      <c r="H4412">
        <v>1600</v>
      </c>
      <c r="I4412">
        <v>31</v>
      </c>
      <c r="J4412">
        <v>-161</v>
      </c>
      <c r="K4412">
        <v>256</v>
      </c>
      <c r="L4412">
        <v>1200</v>
      </c>
      <c r="M4412" t="str">
        <f t="shared" si="436"/>
        <v xml:space="preserve">N35DC   </v>
      </c>
      <c r="N4412">
        <v>1</v>
      </c>
      <c r="O4412">
        <v>1700</v>
      </c>
    </row>
    <row r="4413" spans="1:15" x14ac:dyDescent="0.25">
      <c r="A4413" t="str">
        <f>"10/21/2020 18:46:04.370"</f>
        <v>10/21/2020 18:46:04.370</v>
      </c>
      <c r="B4413" t="str">
        <f>"18:46:12.313"</f>
        <v>18:46:12.313</v>
      </c>
      <c r="C4413" t="str">
        <f>"18:46:11.913"</f>
        <v>18:46:11.913</v>
      </c>
      <c r="D4413" t="s">
        <v>1804</v>
      </c>
      <c r="E4413">
        <v>31.030691000000001</v>
      </c>
      <c r="F4413" t="s">
        <v>1805</v>
      </c>
      <c r="G4413">
        <v>-89.852114</v>
      </c>
      <c r="H4413">
        <v>1600</v>
      </c>
      <c r="I4413">
        <v>31</v>
      </c>
      <c r="J4413">
        <v>-161</v>
      </c>
      <c r="K4413">
        <v>256</v>
      </c>
      <c r="L4413">
        <v>1200</v>
      </c>
      <c r="M4413" t="str">
        <f t="shared" si="436"/>
        <v xml:space="preserve">N35DC   </v>
      </c>
      <c r="N4413">
        <v>1</v>
      </c>
      <c r="O4413">
        <v>1700</v>
      </c>
    </row>
    <row r="4414" spans="1:15" x14ac:dyDescent="0.25">
      <c r="A4414" t="str">
        <f>"10/21/2020 18:46:04.370"</f>
        <v>10/21/2020 18:46:04.370</v>
      </c>
      <c r="B4414" t="str">
        <f>"18:46:12.313"</f>
        <v>18:46:12.313</v>
      </c>
      <c r="C4414" t="str">
        <f>"18:46:11.913"</f>
        <v>18:46:11.913</v>
      </c>
      <c r="D4414" t="s">
        <v>1804</v>
      </c>
      <c r="E4414">
        <v>31.030691000000001</v>
      </c>
      <c r="F4414" t="s">
        <v>1805</v>
      </c>
      <c r="G4414">
        <v>-89.852114</v>
      </c>
      <c r="H4414">
        <v>1600</v>
      </c>
      <c r="I4414">
        <v>31</v>
      </c>
      <c r="J4414">
        <v>-161</v>
      </c>
      <c r="K4414">
        <v>256</v>
      </c>
      <c r="L4414">
        <v>1200</v>
      </c>
      <c r="M4414" t="str">
        <f t="shared" si="436"/>
        <v xml:space="preserve">N35DC   </v>
      </c>
      <c r="N4414">
        <v>1</v>
      </c>
      <c r="O4414">
        <v>1700</v>
      </c>
    </row>
    <row r="4415" spans="1:15" x14ac:dyDescent="0.25">
      <c r="A4415" t="str">
        <f>"10/21/2020 18:46:07.322"</f>
        <v>10/21/2020 18:46:07.322</v>
      </c>
      <c r="B4415" t="str">
        <f>"18:46:15.227"</f>
        <v>18:46:15.227</v>
      </c>
      <c r="C4415" t="str">
        <f>"18:46:14.827"</f>
        <v>18:46:14.827</v>
      </c>
      <c r="D4415" t="s">
        <v>1806</v>
      </c>
      <c r="E4415">
        <v>31.028502</v>
      </c>
      <c r="F4415" t="s">
        <v>1807</v>
      </c>
      <c r="G4415">
        <v>-89.851792000000003</v>
      </c>
      <c r="H4415">
        <v>1600</v>
      </c>
      <c r="I4415">
        <v>14</v>
      </c>
      <c r="J4415">
        <v>-163</v>
      </c>
      <c r="K4415">
        <v>320</v>
      </c>
      <c r="L4415">
        <v>1200</v>
      </c>
      <c r="M4415" t="str">
        <f t="shared" si="436"/>
        <v xml:space="preserve">N35DC   </v>
      </c>
      <c r="N4415">
        <v>1</v>
      </c>
      <c r="O4415">
        <v>1700</v>
      </c>
    </row>
    <row r="4416" spans="1:15" x14ac:dyDescent="0.25">
      <c r="A4416" t="str">
        <f>"10/21/2020 18:46:07.322"</f>
        <v>10/21/2020 18:46:07.322</v>
      </c>
      <c r="B4416" t="str">
        <f>"18:46:15.227"</f>
        <v>18:46:15.227</v>
      </c>
      <c r="C4416" t="str">
        <f>"18:46:15.227"</f>
        <v>18:46:15.227</v>
      </c>
      <c r="D4416" t="s">
        <v>1806</v>
      </c>
      <c r="E4416">
        <v>31.028502</v>
      </c>
      <c r="F4416" t="s">
        <v>1807</v>
      </c>
      <c r="G4416">
        <v>-89.851792000000003</v>
      </c>
      <c r="H4416">
        <v>1600</v>
      </c>
      <c r="I4416">
        <v>11</v>
      </c>
      <c r="J4416">
        <v>-163</v>
      </c>
      <c r="K4416">
        <v>320</v>
      </c>
      <c r="L4416">
        <v>1200</v>
      </c>
      <c r="M4416" t="str">
        <f t="shared" si="436"/>
        <v xml:space="preserve">N35DC   </v>
      </c>
      <c r="N4416">
        <v>1</v>
      </c>
      <c r="O4416">
        <v>1700</v>
      </c>
    </row>
    <row r="4417" spans="1:15" x14ac:dyDescent="0.25">
      <c r="A4417" t="str">
        <f>"10/21/2020 18:46:07.322"</f>
        <v>10/21/2020 18:46:07.322</v>
      </c>
      <c r="B4417" t="str">
        <f>"18:46:15.227"</f>
        <v>18:46:15.227</v>
      </c>
      <c r="C4417" t="str">
        <f>"18:46:15.227"</f>
        <v>18:46:15.227</v>
      </c>
      <c r="D4417" t="s">
        <v>1806</v>
      </c>
      <c r="E4417">
        <v>31.028502</v>
      </c>
      <c r="F4417" t="s">
        <v>1807</v>
      </c>
      <c r="G4417">
        <v>-89.851792000000003</v>
      </c>
      <c r="H4417">
        <v>1600</v>
      </c>
      <c r="I4417">
        <v>11</v>
      </c>
      <c r="J4417">
        <v>-163</v>
      </c>
      <c r="K4417">
        <v>320</v>
      </c>
      <c r="L4417">
        <v>1200</v>
      </c>
      <c r="M4417" t="str">
        <f t="shared" si="436"/>
        <v xml:space="preserve">N35DC   </v>
      </c>
      <c r="N4417">
        <v>1</v>
      </c>
      <c r="O4417">
        <v>1700</v>
      </c>
    </row>
    <row r="4418" spans="1:15" x14ac:dyDescent="0.25">
      <c r="A4418" t="str">
        <f>"10/21/2020 18:46:07.322"</f>
        <v>10/21/2020 18:46:07.322</v>
      </c>
      <c r="B4418" t="str">
        <f>"18:46:15.227"</f>
        <v>18:46:15.227</v>
      </c>
      <c r="C4418" t="str">
        <f>"18:46:15.227"</f>
        <v>18:46:15.227</v>
      </c>
      <c r="D4418" t="s">
        <v>1806</v>
      </c>
      <c r="E4418">
        <v>31.028502</v>
      </c>
      <c r="F4418" t="s">
        <v>1807</v>
      </c>
      <c r="G4418">
        <v>-89.851792000000003</v>
      </c>
      <c r="H4418">
        <v>1600</v>
      </c>
      <c r="I4418">
        <v>11</v>
      </c>
      <c r="J4418">
        <v>-163</v>
      </c>
      <c r="K4418">
        <v>320</v>
      </c>
      <c r="L4418">
        <v>1200</v>
      </c>
      <c r="M4418" t="str">
        <f t="shared" si="436"/>
        <v xml:space="preserve">N35DC   </v>
      </c>
      <c r="N4418">
        <v>1</v>
      </c>
      <c r="O4418">
        <v>1700</v>
      </c>
    </row>
    <row r="4419" spans="1:15" x14ac:dyDescent="0.25">
      <c r="A4419" t="str">
        <f>"10/21/2020 18:46:07.322"</f>
        <v>10/21/2020 18:46:07.322</v>
      </c>
      <c r="B4419" t="str">
        <f>"18:46:15.227"</f>
        <v>18:46:15.227</v>
      </c>
      <c r="C4419" t="str">
        <f>"18:46:15.227"</f>
        <v>18:46:15.227</v>
      </c>
      <c r="D4419" t="s">
        <v>1806</v>
      </c>
      <c r="E4419">
        <v>31.028502</v>
      </c>
      <c r="F4419" t="s">
        <v>1807</v>
      </c>
      <c r="G4419">
        <v>-89.851792000000003</v>
      </c>
      <c r="H4419">
        <v>1600</v>
      </c>
      <c r="I4419">
        <v>11</v>
      </c>
      <c r="J4419">
        <v>-163</v>
      </c>
      <c r="K4419">
        <v>320</v>
      </c>
      <c r="L4419">
        <v>1200</v>
      </c>
      <c r="M4419" t="str">
        <f t="shared" si="436"/>
        <v xml:space="preserve">N35DC   </v>
      </c>
      <c r="N4419">
        <v>1</v>
      </c>
      <c r="O4419">
        <v>1700</v>
      </c>
    </row>
    <row r="4420" spans="1:15" x14ac:dyDescent="0.25">
      <c r="A4420" t="str">
        <f>"10/21/2020 18:46:08.403"</f>
        <v>10/21/2020 18:46:08.403</v>
      </c>
      <c r="B4420" t="str">
        <f>"18:46:16.320"</f>
        <v>18:46:16.320</v>
      </c>
      <c r="C4420" t="str">
        <f>"18:46:16.320"</f>
        <v>18:46:16.320</v>
      </c>
      <c r="D4420" t="s">
        <v>1808</v>
      </c>
      <c r="E4420">
        <v>31.027664999999999</v>
      </c>
      <c r="F4420" t="s">
        <v>1807</v>
      </c>
      <c r="G4420">
        <v>-89.851792000000003</v>
      </c>
      <c r="H4420">
        <v>1600</v>
      </c>
      <c r="I4420">
        <v>5</v>
      </c>
      <c r="J4420">
        <v>-163</v>
      </c>
      <c r="K4420">
        <v>320</v>
      </c>
      <c r="L4420">
        <v>1200</v>
      </c>
      <c r="M4420" t="str">
        <f t="shared" si="436"/>
        <v xml:space="preserve">N35DC   </v>
      </c>
      <c r="N4420">
        <v>1</v>
      </c>
      <c r="O4420">
        <v>1725</v>
      </c>
    </row>
    <row r="4421" spans="1:15" x14ac:dyDescent="0.25">
      <c r="A4421" t="str">
        <f>"10/21/2020 18:46:08.403"</f>
        <v>10/21/2020 18:46:08.403</v>
      </c>
      <c r="B4421" t="str">
        <f>"18:46:16.320"</f>
        <v>18:46:16.320</v>
      </c>
      <c r="C4421" t="str">
        <f>"18:46:15.820"</f>
        <v>18:46:15.820</v>
      </c>
      <c r="D4421" t="s">
        <v>1808</v>
      </c>
      <c r="E4421">
        <v>31.027664999999999</v>
      </c>
      <c r="F4421" t="s">
        <v>1807</v>
      </c>
      <c r="G4421">
        <v>-89.851792000000003</v>
      </c>
      <c r="H4421">
        <v>1600</v>
      </c>
      <c r="I4421">
        <v>8</v>
      </c>
      <c r="J4421">
        <v>-163</v>
      </c>
      <c r="K4421">
        <v>320</v>
      </c>
      <c r="L4421">
        <v>1200</v>
      </c>
      <c r="M4421" t="str">
        <f t="shared" si="436"/>
        <v xml:space="preserve">N35DC   </v>
      </c>
      <c r="N4421">
        <v>1</v>
      </c>
      <c r="O4421">
        <v>1700</v>
      </c>
    </row>
    <row r="4422" spans="1:15" x14ac:dyDescent="0.25">
      <c r="A4422" t="str">
        <f>"10/21/2020 18:46:08.403"</f>
        <v>10/21/2020 18:46:08.403</v>
      </c>
      <c r="B4422" t="str">
        <f>"18:46:16.320"</f>
        <v>18:46:16.320</v>
      </c>
      <c r="C4422" t="str">
        <f>"18:46:16.320"</f>
        <v>18:46:16.320</v>
      </c>
      <c r="D4422" t="s">
        <v>1808</v>
      </c>
      <c r="E4422">
        <v>31.027664999999999</v>
      </c>
      <c r="F4422" t="s">
        <v>1807</v>
      </c>
      <c r="G4422">
        <v>-89.851792000000003</v>
      </c>
      <c r="H4422">
        <v>1600</v>
      </c>
      <c r="I4422">
        <v>5</v>
      </c>
      <c r="J4422">
        <v>-163</v>
      </c>
      <c r="K4422">
        <v>320</v>
      </c>
      <c r="L4422">
        <v>1200</v>
      </c>
      <c r="M4422" t="str">
        <f t="shared" si="436"/>
        <v xml:space="preserve">N35DC   </v>
      </c>
      <c r="N4422">
        <v>1</v>
      </c>
      <c r="O4422">
        <v>1725</v>
      </c>
    </row>
    <row r="4423" spans="1:15" x14ac:dyDescent="0.25">
      <c r="A4423" t="str">
        <f>"10/21/2020 18:46:08.403"</f>
        <v>10/21/2020 18:46:08.403</v>
      </c>
      <c r="B4423" t="str">
        <f>"18:46:16.320"</f>
        <v>18:46:16.320</v>
      </c>
      <c r="C4423" t="str">
        <f>"18:46:16.320"</f>
        <v>18:46:16.320</v>
      </c>
      <c r="D4423" t="s">
        <v>1808</v>
      </c>
      <c r="E4423">
        <v>31.027664999999999</v>
      </c>
      <c r="F4423" t="s">
        <v>1807</v>
      </c>
      <c r="G4423">
        <v>-89.851792000000003</v>
      </c>
      <c r="H4423">
        <v>1600</v>
      </c>
      <c r="I4423">
        <v>5</v>
      </c>
      <c r="J4423">
        <v>-163</v>
      </c>
      <c r="K4423">
        <v>320</v>
      </c>
      <c r="L4423">
        <v>1200</v>
      </c>
      <c r="M4423" t="str">
        <f t="shared" ref="M4423:M4486" si="439">"N35DC   "</f>
        <v xml:space="preserve">N35DC   </v>
      </c>
      <c r="N4423">
        <v>1</v>
      </c>
      <c r="O4423">
        <v>1725</v>
      </c>
    </row>
    <row r="4424" spans="1:15" x14ac:dyDescent="0.25">
      <c r="A4424" t="str">
        <f>"10/21/2020 18:46:08.403"</f>
        <v>10/21/2020 18:46:08.403</v>
      </c>
      <c r="B4424" t="str">
        <f>"18:46:16.320"</f>
        <v>18:46:16.320</v>
      </c>
      <c r="C4424" t="str">
        <f>"18:46:16.320"</f>
        <v>18:46:16.320</v>
      </c>
      <c r="D4424" t="s">
        <v>1808</v>
      </c>
      <c r="E4424">
        <v>31.027664999999999</v>
      </c>
      <c r="F4424" t="s">
        <v>1807</v>
      </c>
      <c r="G4424">
        <v>-89.851792000000003</v>
      </c>
      <c r="H4424">
        <v>1600</v>
      </c>
      <c r="I4424">
        <v>5</v>
      </c>
      <c r="J4424">
        <v>-163</v>
      </c>
      <c r="K4424">
        <v>320</v>
      </c>
      <c r="L4424">
        <v>1200</v>
      </c>
      <c r="M4424" t="str">
        <f t="shared" si="439"/>
        <v xml:space="preserve">N35DC   </v>
      </c>
      <c r="N4424">
        <v>1</v>
      </c>
      <c r="O4424">
        <v>1725</v>
      </c>
    </row>
    <row r="4425" spans="1:15" x14ac:dyDescent="0.25">
      <c r="A4425" t="str">
        <f>"10/21/2020 18:46:11.424"</f>
        <v>10/21/2020 18:46:11.424</v>
      </c>
      <c r="B4425" t="str">
        <f>"18:46:19.344"</f>
        <v>18:46:19.344</v>
      </c>
      <c r="C4425" t="str">
        <f>"18:46:19.044"</f>
        <v>18:46:19.044</v>
      </c>
      <c r="D4425" t="s">
        <v>1809</v>
      </c>
      <c r="E4425">
        <v>31.025348000000001</v>
      </c>
      <c r="F4425" t="s">
        <v>1810</v>
      </c>
      <c r="G4425">
        <v>-89.851855999999998</v>
      </c>
      <c r="H4425">
        <v>1700</v>
      </c>
      <c r="I4425">
        <v>-7</v>
      </c>
      <c r="J4425">
        <v>-163</v>
      </c>
      <c r="K4425">
        <v>320</v>
      </c>
      <c r="L4425">
        <v>1200</v>
      </c>
      <c r="M4425" t="str">
        <f t="shared" si="439"/>
        <v xml:space="preserve">N35DC   </v>
      </c>
      <c r="N4425">
        <v>1</v>
      </c>
      <c r="O4425">
        <v>1725</v>
      </c>
    </row>
    <row r="4426" spans="1:15" x14ac:dyDescent="0.25">
      <c r="A4426" t="str">
        <f>"10/21/2020 18:46:11.424"</f>
        <v>10/21/2020 18:46:11.424</v>
      </c>
      <c r="B4426" t="str">
        <f>"18:46:19.344"</f>
        <v>18:46:19.344</v>
      </c>
      <c r="C4426" t="str">
        <f>"18:46:19.044"</f>
        <v>18:46:19.044</v>
      </c>
      <c r="D4426" t="s">
        <v>1809</v>
      </c>
      <c r="E4426">
        <v>31.025348000000001</v>
      </c>
      <c r="F4426" t="s">
        <v>1810</v>
      </c>
      <c r="G4426">
        <v>-89.851855999999998</v>
      </c>
      <c r="H4426">
        <v>1700</v>
      </c>
      <c r="I4426">
        <v>-7</v>
      </c>
      <c r="J4426">
        <v>-163</v>
      </c>
      <c r="K4426">
        <v>320</v>
      </c>
      <c r="L4426">
        <v>1200</v>
      </c>
      <c r="M4426" t="str">
        <f t="shared" si="439"/>
        <v xml:space="preserve">N35DC   </v>
      </c>
      <c r="N4426">
        <v>1</v>
      </c>
      <c r="O4426">
        <v>1725</v>
      </c>
    </row>
    <row r="4427" spans="1:15" x14ac:dyDescent="0.25">
      <c r="A4427" t="str">
        <f>"10/21/2020 18:46:11.424"</f>
        <v>10/21/2020 18:46:11.424</v>
      </c>
      <c r="B4427" t="str">
        <f>"18:46:19.344"</f>
        <v>18:46:19.344</v>
      </c>
      <c r="C4427" t="str">
        <f>"18:46:19.044"</f>
        <v>18:46:19.044</v>
      </c>
      <c r="D4427" t="s">
        <v>1809</v>
      </c>
      <c r="E4427">
        <v>31.025348000000001</v>
      </c>
      <c r="F4427" t="s">
        <v>1810</v>
      </c>
      <c r="G4427">
        <v>-89.851855999999998</v>
      </c>
      <c r="H4427">
        <v>1700</v>
      </c>
      <c r="I4427">
        <v>-7</v>
      </c>
      <c r="J4427">
        <v>-163</v>
      </c>
      <c r="K4427">
        <v>320</v>
      </c>
      <c r="L4427">
        <v>1200</v>
      </c>
      <c r="M4427" t="str">
        <f t="shared" si="439"/>
        <v xml:space="preserve">N35DC   </v>
      </c>
      <c r="N4427">
        <v>1</v>
      </c>
      <c r="O4427">
        <v>1725</v>
      </c>
    </row>
    <row r="4428" spans="1:15" x14ac:dyDescent="0.25">
      <c r="A4428" t="str">
        <f>"10/21/2020 18:46:11.424"</f>
        <v>10/21/2020 18:46:11.424</v>
      </c>
      <c r="B4428" t="str">
        <f>"18:46:19.344"</f>
        <v>18:46:19.344</v>
      </c>
      <c r="C4428" t="str">
        <f>"18:46:19.044"</f>
        <v>18:46:19.044</v>
      </c>
      <c r="D4428" t="s">
        <v>1809</v>
      </c>
      <c r="E4428">
        <v>31.025348000000001</v>
      </c>
      <c r="F4428" t="s">
        <v>1810</v>
      </c>
      <c r="G4428">
        <v>-89.851855999999998</v>
      </c>
      <c r="H4428">
        <v>1700</v>
      </c>
      <c r="I4428">
        <v>-7</v>
      </c>
      <c r="J4428">
        <v>-163</v>
      </c>
      <c r="K4428">
        <v>320</v>
      </c>
      <c r="L4428">
        <v>1200</v>
      </c>
      <c r="M4428" t="str">
        <f t="shared" si="439"/>
        <v xml:space="preserve">N35DC   </v>
      </c>
      <c r="N4428">
        <v>1</v>
      </c>
      <c r="O4428">
        <v>1725</v>
      </c>
    </row>
    <row r="4429" spans="1:15" x14ac:dyDescent="0.25">
      <c r="A4429" t="str">
        <f>"10/21/2020 18:46:11.424"</f>
        <v>10/21/2020 18:46:11.424</v>
      </c>
      <c r="B4429" t="str">
        <f>"18:46:19.344"</f>
        <v>18:46:19.344</v>
      </c>
      <c r="C4429" t="str">
        <f>"18:46:17.444"</f>
        <v>18:46:17.444</v>
      </c>
      <c r="D4429" t="s">
        <v>1809</v>
      </c>
      <c r="E4429">
        <v>31.025348000000001</v>
      </c>
      <c r="F4429" t="s">
        <v>1810</v>
      </c>
      <c r="G4429">
        <v>-89.851855999999998</v>
      </c>
      <c r="H4429">
        <v>1700</v>
      </c>
      <c r="I4429">
        <v>-1</v>
      </c>
      <c r="J4429">
        <v>-163</v>
      </c>
      <c r="K4429">
        <v>512</v>
      </c>
      <c r="L4429">
        <v>1200</v>
      </c>
      <c r="M4429" t="str">
        <f t="shared" si="439"/>
        <v xml:space="preserve">N35DC   </v>
      </c>
      <c r="N4429">
        <v>1</v>
      </c>
      <c r="O4429">
        <v>1725</v>
      </c>
    </row>
    <row r="4430" spans="1:15" x14ac:dyDescent="0.25">
      <c r="A4430" t="str">
        <f>"10/21/2020 18:46:12.230"</f>
        <v>10/21/2020 18:46:12.230</v>
      </c>
      <c r="B4430" t="str">
        <f>"18:46:20.188"</f>
        <v>18:46:20.188</v>
      </c>
      <c r="C4430" t="str">
        <f>"18:46:20.087"</f>
        <v>18:46:20.087</v>
      </c>
      <c r="D4430" t="s">
        <v>1811</v>
      </c>
      <c r="E4430">
        <v>31.024747000000001</v>
      </c>
      <c r="F4430" t="s">
        <v>1810</v>
      </c>
      <c r="G4430">
        <v>-89.851855999999998</v>
      </c>
      <c r="H4430">
        <v>1700</v>
      </c>
      <c r="I4430">
        <v>-10</v>
      </c>
      <c r="J4430">
        <v>-163</v>
      </c>
      <c r="K4430">
        <v>640</v>
      </c>
      <c r="L4430">
        <v>1200</v>
      </c>
      <c r="M4430" t="str">
        <f t="shared" si="439"/>
        <v xml:space="preserve">N35DC   </v>
      </c>
      <c r="N4430">
        <v>1</v>
      </c>
      <c r="O4430">
        <v>1750</v>
      </c>
    </row>
    <row r="4431" spans="1:15" x14ac:dyDescent="0.25">
      <c r="A4431" t="str">
        <f>"10/21/2020 18:46:12.230"</f>
        <v>10/21/2020 18:46:12.230</v>
      </c>
      <c r="B4431" t="str">
        <f>"18:46:20.188"</f>
        <v>18:46:20.188</v>
      </c>
      <c r="C4431" t="str">
        <f>"18:46:20.087"</f>
        <v>18:46:20.087</v>
      </c>
      <c r="D4431" t="s">
        <v>1811</v>
      </c>
      <c r="E4431">
        <v>31.024747000000001</v>
      </c>
      <c r="F4431" t="s">
        <v>1810</v>
      </c>
      <c r="G4431">
        <v>-89.851855999999998</v>
      </c>
      <c r="H4431">
        <v>1700</v>
      </c>
      <c r="I4431">
        <v>-10</v>
      </c>
      <c r="J4431">
        <v>-163</v>
      </c>
      <c r="K4431">
        <v>640</v>
      </c>
      <c r="L4431">
        <v>1200</v>
      </c>
      <c r="M4431" t="str">
        <f t="shared" si="439"/>
        <v xml:space="preserve">N35DC   </v>
      </c>
      <c r="N4431">
        <v>1</v>
      </c>
      <c r="O4431">
        <v>1750</v>
      </c>
    </row>
    <row r="4432" spans="1:15" x14ac:dyDescent="0.25">
      <c r="A4432" t="str">
        <f>"10/21/2020 18:46:12.230"</f>
        <v>10/21/2020 18:46:12.230</v>
      </c>
      <c r="B4432" t="str">
        <f>"18:46:20.188"</f>
        <v>18:46:20.188</v>
      </c>
      <c r="C4432" t="str">
        <f>"18:46:20.087"</f>
        <v>18:46:20.087</v>
      </c>
      <c r="D4432" t="s">
        <v>1811</v>
      </c>
      <c r="E4432">
        <v>31.024747000000001</v>
      </c>
      <c r="F4432" t="s">
        <v>1810</v>
      </c>
      <c r="G4432">
        <v>-89.851855999999998</v>
      </c>
      <c r="H4432">
        <v>1700</v>
      </c>
      <c r="I4432">
        <v>-10</v>
      </c>
      <c r="J4432">
        <v>-163</v>
      </c>
      <c r="K4432">
        <v>640</v>
      </c>
      <c r="L4432">
        <v>1200</v>
      </c>
      <c r="M4432" t="str">
        <f t="shared" si="439"/>
        <v xml:space="preserve">N35DC   </v>
      </c>
      <c r="N4432">
        <v>1</v>
      </c>
      <c r="O4432">
        <v>1750</v>
      </c>
    </row>
    <row r="4433" spans="1:15" x14ac:dyDescent="0.25">
      <c r="A4433" t="str">
        <f>"10/21/2020 18:46:12.230"</f>
        <v>10/21/2020 18:46:12.230</v>
      </c>
      <c r="B4433" t="str">
        <f>"18:46:20.188"</f>
        <v>18:46:20.188</v>
      </c>
      <c r="C4433" t="str">
        <f>"18:46:19.488"</f>
        <v>18:46:19.488</v>
      </c>
      <c r="D4433" t="s">
        <v>1811</v>
      </c>
      <c r="E4433">
        <v>31.024747000000001</v>
      </c>
      <c r="F4433" t="s">
        <v>1810</v>
      </c>
      <c r="G4433">
        <v>-89.851855999999998</v>
      </c>
      <c r="H4433">
        <v>1700</v>
      </c>
      <c r="I4433">
        <v>-9</v>
      </c>
      <c r="J4433">
        <v>-163</v>
      </c>
      <c r="K4433">
        <v>384</v>
      </c>
      <c r="L4433">
        <v>1200</v>
      </c>
      <c r="M4433" t="str">
        <f t="shared" si="439"/>
        <v xml:space="preserve">N35DC   </v>
      </c>
      <c r="N4433">
        <v>1</v>
      </c>
      <c r="O4433">
        <v>1725</v>
      </c>
    </row>
    <row r="4434" spans="1:15" x14ac:dyDescent="0.25">
      <c r="A4434" t="str">
        <f>"10/21/2020 18:46:14.436"</f>
        <v>10/21/2020 18:46:14.436</v>
      </c>
      <c r="B4434" t="str">
        <f>"18:46:22.344"</f>
        <v>18:46:22.344</v>
      </c>
      <c r="C4434" t="str">
        <f>"18:46:22.044"</f>
        <v>18:46:22.044</v>
      </c>
      <c r="D4434" t="s">
        <v>1812</v>
      </c>
      <c r="E4434">
        <v>31.023116000000002</v>
      </c>
      <c r="F4434" t="s">
        <v>1813</v>
      </c>
      <c r="G4434">
        <v>-89.852070999999995</v>
      </c>
      <c r="H4434">
        <v>1700</v>
      </c>
      <c r="I4434">
        <v>-14</v>
      </c>
      <c r="J4434">
        <v>-162</v>
      </c>
      <c r="K4434">
        <v>320</v>
      </c>
      <c r="L4434">
        <v>1200</v>
      </c>
      <c r="M4434" t="str">
        <f t="shared" si="439"/>
        <v xml:space="preserve">N35DC   </v>
      </c>
      <c r="N4434">
        <v>1</v>
      </c>
      <c r="O4434">
        <v>1750</v>
      </c>
    </row>
    <row r="4435" spans="1:15" x14ac:dyDescent="0.25">
      <c r="A4435" t="str">
        <f>"10/21/2020 18:46:14.436"</f>
        <v>10/21/2020 18:46:14.436</v>
      </c>
      <c r="B4435" t="str">
        <f>"18:46:22.344"</f>
        <v>18:46:22.344</v>
      </c>
      <c r="C4435" t="str">
        <f>"18:46:22.044"</f>
        <v>18:46:22.044</v>
      </c>
      <c r="D4435" t="s">
        <v>1812</v>
      </c>
      <c r="E4435">
        <v>31.023116000000002</v>
      </c>
      <c r="F4435" t="s">
        <v>1813</v>
      </c>
      <c r="G4435">
        <v>-89.852070999999995</v>
      </c>
      <c r="H4435">
        <v>1700</v>
      </c>
      <c r="I4435">
        <v>-14</v>
      </c>
      <c r="J4435">
        <v>-162</v>
      </c>
      <c r="K4435">
        <v>320</v>
      </c>
      <c r="L4435">
        <v>1200</v>
      </c>
      <c r="M4435" t="str">
        <f t="shared" si="439"/>
        <v xml:space="preserve">N35DC   </v>
      </c>
      <c r="N4435">
        <v>1</v>
      </c>
      <c r="O4435">
        <v>1750</v>
      </c>
    </row>
    <row r="4436" spans="1:15" x14ac:dyDescent="0.25">
      <c r="A4436" t="str">
        <f>"10/21/2020 18:46:14.436"</f>
        <v>10/21/2020 18:46:14.436</v>
      </c>
      <c r="B4436" t="str">
        <f>"18:46:22.344"</f>
        <v>18:46:22.344</v>
      </c>
      <c r="C4436" t="str">
        <f>"18:46:22.044"</f>
        <v>18:46:22.044</v>
      </c>
      <c r="D4436" t="s">
        <v>1812</v>
      </c>
      <c r="E4436">
        <v>31.023116000000002</v>
      </c>
      <c r="F4436" t="s">
        <v>1813</v>
      </c>
      <c r="G4436">
        <v>-89.852070999999995</v>
      </c>
      <c r="H4436">
        <v>1700</v>
      </c>
      <c r="I4436">
        <v>-14</v>
      </c>
      <c r="J4436">
        <v>-162</v>
      </c>
      <c r="K4436">
        <v>320</v>
      </c>
      <c r="L4436">
        <v>1200</v>
      </c>
      <c r="M4436" t="str">
        <f t="shared" si="439"/>
        <v xml:space="preserve">N35DC   </v>
      </c>
      <c r="N4436">
        <v>1</v>
      </c>
      <c r="O4436">
        <v>1750</v>
      </c>
    </row>
    <row r="4437" spans="1:15" x14ac:dyDescent="0.25">
      <c r="A4437" t="str">
        <f>"10/21/2020 18:46:15.397"</f>
        <v>10/21/2020 18:46:15.397</v>
      </c>
      <c r="B4437" t="str">
        <f>"18:46:23.352"</f>
        <v>18:46:23.352</v>
      </c>
      <c r="C4437" t="str">
        <f>"18:46:23.152"</f>
        <v>18:46:23.152</v>
      </c>
      <c r="D4437" t="s">
        <v>1814</v>
      </c>
      <c r="E4437">
        <v>31.022365000000001</v>
      </c>
      <c r="F4437" t="s">
        <v>1805</v>
      </c>
      <c r="G4437">
        <v>-89.852114</v>
      </c>
      <c r="H4437">
        <v>1700</v>
      </c>
      <c r="I4437">
        <v>-17</v>
      </c>
      <c r="J4437">
        <v>-161</v>
      </c>
      <c r="K4437">
        <v>192</v>
      </c>
      <c r="L4437">
        <v>1200</v>
      </c>
      <c r="M4437" t="str">
        <f t="shared" si="439"/>
        <v xml:space="preserve">N35DC   </v>
      </c>
      <c r="N4437">
        <v>1</v>
      </c>
      <c r="O4437">
        <v>1750</v>
      </c>
    </row>
    <row r="4438" spans="1:15" x14ac:dyDescent="0.25">
      <c r="A4438" t="str">
        <f>"10/21/2020 18:46:15.397"</f>
        <v>10/21/2020 18:46:15.397</v>
      </c>
      <c r="B4438" t="str">
        <f>"18:46:23.352"</f>
        <v>18:46:23.352</v>
      </c>
      <c r="C4438" t="str">
        <f>"18:46:23.152"</f>
        <v>18:46:23.152</v>
      </c>
      <c r="D4438" t="s">
        <v>1814</v>
      </c>
      <c r="E4438">
        <v>31.022365000000001</v>
      </c>
      <c r="F4438" t="s">
        <v>1805</v>
      </c>
      <c r="G4438">
        <v>-89.852114</v>
      </c>
      <c r="H4438">
        <v>1700</v>
      </c>
      <c r="I4438">
        <v>-17</v>
      </c>
      <c r="J4438">
        <v>-161</v>
      </c>
      <c r="K4438">
        <v>192</v>
      </c>
      <c r="L4438">
        <v>1200</v>
      </c>
      <c r="M4438" t="str">
        <f t="shared" si="439"/>
        <v xml:space="preserve">N35DC   </v>
      </c>
      <c r="N4438">
        <v>1</v>
      </c>
      <c r="O4438">
        <v>1750</v>
      </c>
    </row>
    <row r="4439" spans="1:15" x14ac:dyDescent="0.25">
      <c r="A4439" t="str">
        <f>"10/21/2020 18:46:15.397"</f>
        <v>10/21/2020 18:46:15.397</v>
      </c>
      <c r="B4439" t="str">
        <f>"18:46:23.352"</f>
        <v>18:46:23.352</v>
      </c>
      <c r="C4439" t="str">
        <f>"18:46:23.152"</f>
        <v>18:46:23.152</v>
      </c>
      <c r="D4439" t="s">
        <v>1814</v>
      </c>
      <c r="E4439">
        <v>31.022365000000001</v>
      </c>
      <c r="F4439" t="s">
        <v>1805</v>
      </c>
      <c r="G4439">
        <v>-89.852114</v>
      </c>
      <c r="H4439">
        <v>1700</v>
      </c>
      <c r="I4439">
        <v>-17</v>
      </c>
      <c r="J4439">
        <v>-161</v>
      </c>
      <c r="K4439">
        <v>192</v>
      </c>
      <c r="L4439">
        <v>1200</v>
      </c>
      <c r="M4439" t="str">
        <f t="shared" si="439"/>
        <v xml:space="preserve">N35DC   </v>
      </c>
      <c r="N4439">
        <v>1</v>
      </c>
      <c r="O4439">
        <v>1750</v>
      </c>
    </row>
    <row r="4440" spans="1:15" x14ac:dyDescent="0.25">
      <c r="A4440" t="str">
        <f>"10/21/2020 18:46:15.397"</f>
        <v>10/21/2020 18:46:15.397</v>
      </c>
      <c r="B4440" t="str">
        <f>"18:46:23.352"</f>
        <v>18:46:23.352</v>
      </c>
      <c r="C4440" t="str">
        <f>"18:46:23.152"</f>
        <v>18:46:23.152</v>
      </c>
      <c r="D4440" t="s">
        <v>1814</v>
      </c>
      <c r="E4440">
        <v>31.022365000000001</v>
      </c>
      <c r="F4440" t="s">
        <v>1805</v>
      </c>
      <c r="G4440">
        <v>-89.852114</v>
      </c>
      <c r="H4440">
        <v>1700</v>
      </c>
      <c r="I4440">
        <v>-17</v>
      </c>
      <c r="J4440">
        <v>-161</v>
      </c>
      <c r="K4440">
        <v>192</v>
      </c>
      <c r="L4440">
        <v>1200</v>
      </c>
      <c r="M4440" t="str">
        <f t="shared" si="439"/>
        <v xml:space="preserve">N35DC   </v>
      </c>
      <c r="N4440">
        <v>1</v>
      </c>
      <c r="O4440">
        <v>1750</v>
      </c>
    </row>
    <row r="4441" spans="1:15" x14ac:dyDescent="0.25">
      <c r="A4441" t="str">
        <f>"10/21/2020 18:46:18.430"</f>
        <v>10/21/2020 18:46:18.430</v>
      </c>
      <c r="B4441" t="str">
        <f>"18:46:26.383"</f>
        <v>18:46:26.383</v>
      </c>
      <c r="C4441" t="str">
        <f>"18:46:25.983"</f>
        <v>18:46:25.983</v>
      </c>
      <c r="D4441" t="s">
        <v>1815</v>
      </c>
      <c r="E4441">
        <v>31.020091000000001</v>
      </c>
      <c r="F4441" t="s">
        <v>1816</v>
      </c>
      <c r="G4441">
        <v>-89.852500000000006</v>
      </c>
      <c r="H4441">
        <v>1700</v>
      </c>
      <c r="I4441">
        <v>-22</v>
      </c>
      <c r="J4441">
        <v>-160</v>
      </c>
      <c r="K4441">
        <v>-64</v>
      </c>
      <c r="L4441">
        <v>1200</v>
      </c>
      <c r="M4441" t="str">
        <f t="shared" si="439"/>
        <v xml:space="preserve">N35DC   </v>
      </c>
      <c r="N4441">
        <v>1</v>
      </c>
      <c r="O4441">
        <v>1775</v>
      </c>
    </row>
    <row r="4442" spans="1:15" x14ac:dyDescent="0.25">
      <c r="A4442" t="str">
        <f>"10/21/2020 18:46:18.430"</f>
        <v>10/21/2020 18:46:18.430</v>
      </c>
      <c r="B4442" t="str">
        <f>"18:46:26.383"</f>
        <v>18:46:26.383</v>
      </c>
      <c r="C4442" t="str">
        <f>"18:46:25.983"</f>
        <v>18:46:25.983</v>
      </c>
      <c r="D4442" t="s">
        <v>1815</v>
      </c>
      <c r="E4442">
        <v>31.020091000000001</v>
      </c>
      <c r="F4442" t="s">
        <v>1816</v>
      </c>
      <c r="G4442">
        <v>-89.852500000000006</v>
      </c>
      <c r="H4442">
        <v>1700</v>
      </c>
      <c r="I4442">
        <v>-22</v>
      </c>
      <c r="J4442">
        <v>-160</v>
      </c>
      <c r="K4442">
        <v>-64</v>
      </c>
      <c r="L4442">
        <v>1200</v>
      </c>
      <c r="M4442" t="str">
        <f t="shared" si="439"/>
        <v xml:space="preserve">N35DC   </v>
      </c>
      <c r="N4442">
        <v>1</v>
      </c>
      <c r="O4442">
        <v>1775</v>
      </c>
    </row>
    <row r="4443" spans="1:15" x14ac:dyDescent="0.25">
      <c r="A4443" t="str">
        <f>"10/21/2020 18:46:18.430"</f>
        <v>10/21/2020 18:46:18.430</v>
      </c>
      <c r="B4443" t="str">
        <f>"18:46:26.383"</f>
        <v>18:46:26.383</v>
      </c>
      <c r="C4443" t="str">
        <f>"18:46:25.983"</f>
        <v>18:46:25.983</v>
      </c>
      <c r="D4443" t="s">
        <v>1815</v>
      </c>
      <c r="E4443">
        <v>31.020091000000001</v>
      </c>
      <c r="F4443" t="s">
        <v>1816</v>
      </c>
      <c r="G4443">
        <v>-89.852500000000006</v>
      </c>
      <c r="H4443">
        <v>1700</v>
      </c>
      <c r="I4443">
        <v>-22</v>
      </c>
      <c r="J4443">
        <v>-160</v>
      </c>
      <c r="K4443">
        <v>-64</v>
      </c>
      <c r="L4443">
        <v>1200</v>
      </c>
      <c r="M4443" t="str">
        <f t="shared" si="439"/>
        <v xml:space="preserve">N35DC   </v>
      </c>
      <c r="N4443">
        <v>1</v>
      </c>
      <c r="O4443">
        <v>1775</v>
      </c>
    </row>
    <row r="4444" spans="1:15" x14ac:dyDescent="0.25">
      <c r="A4444" t="str">
        <f>"10/21/2020 18:46:19.007"</f>
        <v>10/21/2020 18:46:19.007</v>
      </c>
      <c r="B4444" t="str">
        <f>"18:46:26.891"</f>
        <v>18:46:26.891</v>
      </c>
      <c r="C4444" t="str">
        <f>"18:46:26.491"</f>
        <v>18:46:26.491</v>
      </c>
      <c r="D4444" t="s">
        <v>1817</v>
      </c>
      <c r="E4444">
        <v>31.019704000000001</v>
      </c>
      <c r="F4444" t="s">
        <v>1818</v>
      </c>
      <c r="G4444">
        <v>-89.852542999999997</v>
      </c>
      <c r="H4444">
        <v>1700</v>
      </c>
      <c r="I4444">
        <v>-23</v>
      </c>
      <c r="J4444">
        <v>-160</v>
      </c>
      <c r="K4444">
        <v>-64</v>
      </c>
      <c r="L4444">
        <v>1200</v>
      </c>
      <c r="M4444" t="str">
        <f t="shared" si="439"/>
        <v xml:space="preserve">N35DC   </v>
      </c>
      <c r="N4444">
        <v>1</v>
      </c>
      <c r="O4444">
        <v>1775</v>
      </c>
    </row>
    <row r="4445" spans="1:15" x14ac:dyDescent="0.25">
      <c r="A4445" t="str">
        <f>"10/21/2020 18:46:19.477"</f>
        <v>10/21/2020 18:46:19.477</v>
      </c>
      <c r="B4445" t="str">
        <f>"18:46:27.414"</f>
        <v>18:46:27.414</v>
      </c>
      <c r="C4445" t="str">
        <f>"18:46:27.014"</f>
        <v>18:46:27.014</v>
      </c>
      <c r="D4445" t="s">
        <v>1819</v>
      </c>
      <c r="E4445">
        <v>31.01934</v>
      </c>
      <c r="F4445" t="s">
        <v>1820</v>
      </c>
      <c r="G4445">
        <v>-89.852628999999993</v>
      </c>
      <c r="H4445">
        <v>1700</v>
      </c>
      <c r="I4445">
        <v>-24</v>
      </c>
      <c r="J4445">
        <v>-160</v>
      </c>
      <c r="K4445">
        <v>-64</v>
      </c>
      <c r="L4445">
        <v>1200</v>
      </c>
      <c r="M4445" t="str">
        <f t="shared" si="439"/>
        <v xml:space="preserve">N35DC   </v>
      </c>
      <c r="N4445">
        <v>1</v>
      </c>
      <c r="O4445">
        <v>1775</v>
      </c>
    </row>
    <row r="4446" spans="1:15" x14ac:dyDescent="0.25">
      <c r="A4446" t="str">
        <f>"10/21/2020 18:46:19.477"</f>
        <v>10/21/2020 18:46:19.477</v>
      </c>
      <c r="B4446" t="str">
        <f>"18:46:27.414"</f>
        <v>18:46:27.414</v>
      </c>
      <c r="C4446" t="str">
        <f>"18:46:27.014"</f>
        <v>18:46:27.014</v>
      </c>
      <c r="D4446" t="s">
        <v>1819</v>
      </c>
      <c r="E4446">
        <v>31.01934</v>
      </c>
      <c r="F4446" t="s">
        <v>1820</v>
      </c>
      <c r="G4446">
        <v>-89.852628999999993</v>
      </c>
      <c r="H4446">
        <v>1700</v>
      </c>
      <c r="I4446">
        <v>-24</v>
      </c>
      <c r="J4446">
        <v>-160</v>
      </c>
      <c r="K4446">
        <v>-64</v>
      </c>
      <c r="L4446">
        <v>1200</v>
      </c>
      <c r="M4446" t="str">
        <f t="shared" si="439"/>
        <v xml:space="preserve">N35DC   </v>
      </c>
      <c r="N4446">
        <v>1</v>
      </c>
      <c r="O4446">
        <v>1775</v>
      </c>
    </row>
    <row r="4447" spans="1:15" x14ac:dyDescent="0.25">
      <c r="A4447" t="str">
        <f>"10/21/2020 18:46:19.477"</f>
        <v>10/21/2020 18:46:19.477</v>
      </c>
      <c r="B4447" t="str">
        <f>"18:46:27.414"</f>
        <v>18:46:27.414</v>
      </c>
      <c r="C4447" t="str">
        <f>"18:46:27.014"</f>
        <v>18:46:27.014</v>
      </c>
      <c r="D4447" t="s">
        <v>1819</v>
      </c>
      <c r="E4447">
        <v>31.01934</v>
      </c>
      <c r="F4447" t="s">
        <v>1820</v>
      </c>
      <c r="G4447">
        <v>-89.852628999999993</v>
      </c>
      <c r="H4447">
        <v>1700</v>
      </c>
      <c r="I4447">
        <v>-24</v>
      </c>
      <c r="J4447">
        <v>-160</v>
      </c>
      <c r="K4447">
        <v>-64</v>
      </c>
      <c r="L4447">
        <v>1200</v>
      </c>
      <c r="M4447" t="str">
        <f t="shared" si="439"/>
        <v xml:space="preserve">N35DC   </v>
      </c>
      <c r="N4447">
        <v>1</v>
      </c>
      <c r="O4447">
        <v>1775</v>
      </c>
    </row>
    <row r="4448" spans="1:15" x14ac:dyDescent="0.25">
      <c r="A4448" t="str">
        <f>"10/21/2020 18:46:20.055"</f>
        <v>10/21/2020 18:46:20.055</v>
      </c>
      <c r="B4448" t="str">
        <f>"18:46:27.953"</f>
        <v>18:46:27.953</v>
      </c>
      <c r="C4448" t="str">
        <f>"18:46:27.653"</f>
        <v>18:46:27.653</v>
      </c>
      <c r="D4448" t="s">
        <v>1821</v>
      </c>
      <c r="E4448">
        <v>31.018910000000002</v>
      </c>
      <c r="F4448" t="s">
        <v>1822</v>
      </c>
      <c r="G4448">
        <v>-89.852671999999998</v>
      </c>
      <c r="H4448">
        <v>1700</v>
      </c>
      <c r="I4448">
        <v>-25</v>
      </c>
      <c r="J4448">
        <v>-160</v>
      </c>
      <c r="K4448">
        <v>-128</v>
      </c>
      <c r="L4448">
        <v>1200</v>
      </c>
      <c r="M4448" t="str">
        <f t="shared" si="439"/>
        <v xml:space="preserve">N35DC   </v>
      </c>
      <c r="N4448">
        <v>1</v>
      </c>
      <c r="O4448">
        <v>1775</v>
      </c>
    </row>
    <row r="4449" spans="1:15" x14ac:dyDescent="0.25">
      <c r="A4449" t="str">
        <f>"10/21/2020 18:46:22.604"</f>
        <v>10/21/2020 18:46:22.604</v>
      </c>
      <c r="B4449" t="str">
        <f t="shared" ref="B4449:C4452" si="440">"18:46:30.523"</f>
        <v>18:46:30.523</v>
      </c>
      <c r="C4449" t="str">
        <f t="shared" si="440"/>
        <v>18:46:30.523</v>
      </c>
      <c r="D4449" t="s">
        <v>1823</v>
      </c>
      <c r="E4449">
        <v>31.017022000000001</v>
      </c>
      <c r="F4449" t="s">
        <v>1824</v>
      </c>
      <c r="G4449">
        <v>-89.853036000000003</v>
      </c>
      <c r="H4449">
        <v>1700</v>
      </c>
      <c r="I4449">
        <v>-27</v>
      </c>
      <c r="J4449">
        <v>-159</v>
      </c>
      <c r="K4449">
        <v>-256</v>
      </c>
      <c r="L4449">
        <v>1200</v>
      </c>
      <c r="M4449" t="str">
        <f t="shared" si="439"/>
        <v xml:space="preserve">N35DC   </v>
      </c>
      <c r="N4449">
        <v>1</v>
      </c>
      <c r="O4449">
        <v>1750</v>
      </c>
    </row>
    <row r="4450" spans="1:15" x14ac:dyDescent="0.25">
      <c r="A4450" t="str">
        <f>"10/21/2020 18:46:22.604"</f>
        <v>10/21/2020 18:46:22.604</v>
      </c>
      <c r="B4450" t="str">
        <f t="shared" si="440"/>
        <v>18:46:30.523</v>
      </c>
      <c r="C4450" t="str">
        <f t="shared" si="440"/>
        <v>18:46:30.523</v>
      </c>
      <c r="D4450" t="s">
        <v>1823</v>
      </c>
      <c r="E4450">
        <v>31.017022000000001</v>
      </c>
      <c r="F4450" t="s">
        <v>1824</v>
      </c>
      <c r="G4450">
        <v>-89.853036000000003</v>
      </c>
      <c r="H4450">
        <v>1700</v>
      </c>
      <c r="I4450">
        <v>-27</v>
      </c>
      <c r="J4450">
        <v>-159</v>
      </c>
      <c r="K4450">
        <v>-256</v>
      </c>
      <c r="L4450">
        <v>1200</v>
      </c>
      <c r="M4450" t="str">
        <f t="shared" si="439"/>
        <v xml:space="preserve">N35DC   </v>
      </c>
      <c r="N4450">
        <v>1</v>
      </c>
      <c r="O4450">
        <v>1750</v>
      </c>
    </row>
    <row r="4451" spans="1:15" x14ac:dyDescent="0.25">
      <c r="A4451" t="str">
        <f>"10/21/2020 18:46:22.604"</f>
        <v>10/21/2020 18:46:22.604</v>
      </c>
      <c r="B4451" t="str">
        <f t="shared" si="440"/>
        <v>18:46:30.523</v>
      </c>
      <c r="C4451" t="str">
        <f t="shared" si="440"/>
        <v>18:46:30.523</v>
      </c>
      <c r="D4451" t="s">
        <v>1823</v>
      </c>
      <c r="E4451">
        <v>31.017022000000001</v>
      </c>
      <c r="F4451" t="s">
        <v>1824</v>
      </c>
      <c r="G4451">
        <v>-89.853036000000003</v>
      </c>
      <c r="H4451">
        <v>1700</v>
      </c>
      <c r="I4451">
        <v>-27</v>
      </c>
      <c r="J4451">
        <v>-159</v>
      </c>
      <c r="K4451">
        <v>-256</v>
      </c>
      <c r="L4451">
        <v>1200</v>
      </c>
      <c r="M4451" t="str">
        <f t="shared" si="439"/>
        <v xml:space="preserve">N35DC   </v>
      </c>
      <c r="N4451">
        <v>1</v>
      </c>
      <c r="O4451">
        <v>1750</v>
      </c>
    </row>
    <row r="4452" spans="1:15" x14ac:dyDescent="0.25">
      <c r="A4452" t="str">
        <f>"10/21/2020 18:46:22.604"</f>
        <v>10/21/2020 18:46:22.604</v>
      </c>
      <c r="B4452" t="str">
        <f t="shared" si="440"/>
        <v>18:46:30.523</v>
      </c>
      <c r="C4452" t="str">
        <f t="shared" si="440"/>
        <v>18:46:30.523</v>
      </c>
      <c r="D4452" t="s">
        <v>1823</v>
      </c>
      <c r="E4452">
        <v>31.017022000000001</v>
      </c>
      <c r="F4452" t="s">
        <v>1824</v>
      </c>
      <c r="G4452">
        <v>-89.853036000000003</v>
      </c>
      <c r="H4452">
        <v>1700</v>
      </c>
      <c r="I4452">
        <v>-27</v>
      </c>
      <c r="J4452">
        <v>-159</v>
      </c>
      <c r="K4452">
        <v>-256</v>
      </c>
      <c r="L4452">
        <v>1200</v>
      </c>
      <c r="M4452" t="str">
        <f t="shared" si="439"/>
        <v xml:space="preserve">N35DC   </v>
      </c>
      <c r="N4452">
        <v>1</v>
      </c>
      <c r="O4452">
        <v>1750</v>
      </c>
    </row>
    <row r="4453" spans="1:15" x14ac:dyDescent="0.25">
      <c r="A4453" t="str">
        <f>"10/21/2020 18:46:23.510"</f>
        <v>10/21/2020 18:46:23.510</v>
      </c>
      <c r="B4453" t="str">
        <f>"18:46:31.406"</f>
        <v>18:46:31.406</v>
      </c>
      <c r="C4453" t="str">
        <f>"18:46:31.106"</f>
        <v>18:46:31.106</v>
      </c>
      <c r="D4453" t="s">
        <v>1825</v>
      </c>
      <c r="E4453">
        <v>31.016356999999999</v>
      </c>
      <c r="F4453" t="s">
        <v>1826</v>
      </c>
      <c r="G4453">
        <v>-89.853165000000004</v>
      </c>
      <c r="H4453">
        <v>1700</v>
      </c>
      <c r="I4453">
        <v>-27</v>
      </c>
      <c r="J4453">
        <v>-159</v>
      </c>
      <c r="K4453">
        <v>-256</v>
      </c>
      <c r="L4453">
        <v>1200</v>
      </c>
      <c r="M4453" t="str">
        <f t="shared" si="439"/>
        <v xml:space="preserve">N35DC   </v>
      </c>
      <c r="N4453">
        <v>1</v>
      </c>
      <c r="O4453">
        <v>1750</v>
      </c>
    </row>
    <row r="4454" spans="1:15" x14ac:dyDescent="0.25">
      <c r="A4454" t="str">
        <f>"10/21/2020 18:46:23.510"</f>
        <v>10/21/2020 18:46:23.510</v>
      </c>
      <c r="B4454" t="str">
        <f>"18:46:31.406"</f>
        <v>18:46:31.406</v>
      </c>
      <c r="C4454" t="str">
        <f>"18:46:31.106"</f>
        <v>18:46:31.106</v>
      </c>
      <c r="D4454" t="s">
        <v>1825</v>
      </c>
      <c r="E4454">
        <v>31.016356999999999</v>
      </c>
      <c r="F4454" t="s">
        <v>1826</v>
      </c>
      <c r="G4454">
        <v>-89.853165000000004</v>
      </c>
      <c r="H4454">
        <v>1700</v>
      </c>
      <c r="I4454">
        <v>-27</v>
      </c>
      <c r="J4454">
        <v>-159</v>
      </c>
      <c r="K4454">
        <v>-256</v>
      </c>
      <c r="L4454">
        <v>1200</v>
      </c>
      <c r="M4454" t="str">
        <f t="shared" si="439"/>
        <v xml:space="preserve">N35DC   </v>
      </c>
      <c r="N4454">
        <v>1</v>
      </c>
      <c r="O4454">
        <v>1750</v>
      </c>
    </row>
    <row r="4455" spans="1:15" x14ac:dyDescent="0.25">
      <c r="A4455" t="str">
        <f>"10/21/2020 18:46:23.510"</f>
        <v>10/21/2020 18:46:23.510</v>
      </c>
      <c r="B4455" t="str">
        <f>"18:46:31.406"</f>
        <v>18:46:31.406</v>
      </c>
      <c r="C4455" t="str">
        <f>"18:46:31.106"</f>
        <v>18:46:31.106</v>
      </c>
      <c r="D4455" t="s">
        <v>1825</v>
      </c>
      <c r="E4455">
        <v>31.016356999999999</v>
      </c>
      <c r="F4455" t="s">
        <v>1826</v>
      </c>
      <c r="G4455">
        <v>-89.853165000000004</v>
      </c>
      <c r="H4455">
        <v>1700</v>
      </c>
      <c r="I4455">
        <v>-27</v>
      </c>
      <c r="J4455">
        <v>-159</v>
      </c>
      <c r="K4455">
        <v>-256</v>
      </c>
      <c r="L4455">
        <v>1200</v>
      </c>
      <c r="M4455" t="str">
        <f t="shared" si="439"/>
        <v xml:space="preserve">N35DC   </v>
      </c>
      <c r="N4455">
        <v>1</v>
      </c>
      <c r="O4455">
        <v>1750</v>
      </c>
    </row>
    <row r="4456" spans="1:15" x14ac:dyDescent="0.25">
      <c r="A4456" t="str">
        <f>"10/21/2020 18:46:24.031"</f>
        <v>10/21/2020 18:46:24.031</v>
      </c>
      <c r="B4456" t="str">
        <f>"18:46:31.961"</f>
        <v>18:46:31.961</v>
      </c>
      <c r="C4456" t="str">
        <f>"18:46:31.561"</f>
        <v>18:46:31.561</v>
      </c>
      <c r="D4456" t="s">
        <v>1827</v>
      </c>
      <c r="E4456">
        <v>31.015948999999999</v>
      </c>
      <c r="F4456" t="s">
        <v>1828</v>
      </c>
      <c r="G4456">
        <v>-89.853272000000004</v>
      </c>
      <c r="H4456">
        <v>1700</v>
      </c>
      <c r="I4456">
        <v>-28</v>
      </c>
      <c r="J4456">
        <v>-159</v>
      </c>
      <c r="K4456">
        <v>-192</v>
      </c>
      <c r="L4456">
        <v>1200</v>
      </c>
      <c r="M4456" t="str">
        <f t="shared" si="439"/>
        <v xml:space="preserve">N35DC   </v>
      </c>
      <c r="N4456">
        <v>1</v>
      </c>
      <c r="O4456">
        <v>1750</v>
      </c>
    </row>
    <row r="4457" spans="1:15" x14ac:dyDescent="0.25">
      <c r="A4457" t="str">
        <f>"10/21/2020 18:46:26.089"</f>
        <v>10/21/2020 18:46:26.089</v>
      </c>
      <c r="B4457" t="str">
        <f>"18:46:34.000"</f>
        <v>18:46:34.000</v>
      </c>
      <c r="C4457" t="str">
        <f>"18:46:34.000"</f>
        <v>18:46:34.000</v>
      </c>
      <c r="D4457" t="s">
        <v>1829</v>
      </c>
      <c r="E4457">
        <v>31.014447000000001</v>
      </c>
      <c r="F4457" t="s">
        <v>1830</v>
      </c>
      <c r="G4457">
        <v>-89.853572999999997</v>
      </c>
      <c r="H4457">
        <v>1700</v>
      </c>
      <c r="I4457">
        <v>-27</v>
      </c>
      <c r="J4457">
        <v>-159</v>
      </c>
      <c r="K4457">
        <v>-64</v>
      </c>
      <c r="L4457">
        <v>1200</v>
      </c>
      <c r="M4457" t="str">
        <f t="shared" si="439"/>
        <v xml:space="preserve">N35DC   </v>
      </c>
      <c r="N4457">
        <v>1</v>
      </c>
      <c r="O4457">
        <v>1750</v>
      </c>
    </row>
    <row r="4458" spans="1:15" x14ac:dyDescent="0.25">
      <c r="A4458" t="str">
        <f>"10/21/2020 18:46:26.475"</f>
        <v>10/21/2020 18:46:26.475</v>
      </c>
      <c r="B4458" t="str">
        <f>"18:46:34.422"</f>
        <v>18:46:34.422</v>
      </c>
      <c r="C4458" t="str">
        <f>"18:46:34.022"</f>
        <v>18:46:34.022</v>
      </c>
      <c r="D4458" t="s">
        <v>1831</v>
      </c>
      <c r="E4458">
        <v>31.014125</v>
      </c>
      <c r="F4458" t="s">
        <v>1832</v>
      </c>
      <c r="G4458">
        <v>-89.853616000000002</v>
      </c>
      <c r="H4458">
        <v>1700</v>
      </c>
      <c r="I4458">
        <v>-27</v>
      </c>
      <c r="J4458">
        <v>-159</v>
      </c>
      <c r="K4458">
        <v>-64</v>
      </c>
      <c r="L4458">
        <v>1200</v>
      </c>
      <c r="M4458" t="str">
        <f t="shared" si="439"/>
        <v xml:space="preserve">N35DC   </v>
      </c>
      <c r="N4458">
        <v>1</v>
      </c>
      <c r="O4458">
        <v>1750</v>
      </c>
    </row>
    <row r="4459" spans="1:15" x14ac:dyDescent="0.25">
      <c r="A4459" t="str">
        <f>"10/21/2020 18:46:26.475"</f>
        <v>10/21/2020 18:46:26.475</v>
      </c>
      <c r="B4459" t="str">
        <f>"18:46:34.422"</f>
        <v>18:46:34.422</v>
      </c>
      <c r="C4459" t="str">
        <f>"18:46:34.022"</f>
        <v>18:46:34.022</v>
      </c>
      <c r="D4459" t="s">
        <v>1831</v>
      </c>
      <c r="E4459">
        <v>31.014125</v>
      </c>
      <c r="F4459" t="s">
        <v>1832</v>
      </c>
      <c r="G4459">
        <v>-89.853616000000002</v>
      </c>
      <c r="H4459">
        <v>1700</v>
      </c>
      <c r="I4459">
        <v>-27</v>
      </c>
      <c r="J4459">
        <v>-159</v>
      </c>
      <c r="K4459">
        <v>-64</v>
      </c>
      <c r="L4459">
        <v>1200</v>
      </c>
      <c r="M4459" t="str">
        <f t="shared" si="439"/>
        <v xml:space="preserve">N35DC   </v>
      </c>
      <c r="N4459">
        <v>1</v>
      </c>
      <c r="O4459">
        <v>1750</v>
      </c>
    </row>
    <row r="4460" spans="1:15" x14ac:dyDescent="0.25">
      <c r="A4460" t="str">
        <f>"10/21/2020 18:46:26.475"</f>
        <v>10/21/2020 18:46:26.475</v>
      </c>
      <c r="B4460" t="str">
        <f>"18:46:34.422"</f>
        <v>18:46:34.422</v>
      </c>
      <c r="C4460" t="str">
        <f>"18:46:34.022"</f>
        <v>18:46:34.022</v>
      </c>
      <c r="D4460" t="s">
        <v>1831</v>
      </c>
      <c r="E4460">
        <v>31.014125</v>
      </c>
      <c r="F4460" t="s">
        <v>1832</v>
      </c>
      <c r="G4460">
        <v>-89.853616000000002</v>
      </c>
      <c r="H4460">
        <v>1700</v>
      </c>
      <c r="I4460">
        <v>-27</v>
      </c>
      <c r="J4460">
        <v>-159</v>
      </c>
      <c r="K4460">
        <v>-64</v>
      </c>
      <c r="L4460">
        <v>1200</v>
      </c>
      <c r="M4460" t="str">
        <f t="shared" si="439"/>
        <v xml:space="preserve">N35DC   </v>
      </c>
      <c r="N4460">
        <v>1</v>
      </c>
      <c r="O4460">
        <v>1750</v>
      </c>
    </row>
    <row r="4461" spans="1:15" x14ac:dyDescent="0.25">
      <c r="A4461" t="str">
        <f>"10/21/2020 18:46:29.122"</f>
        <v>10/21/2020 18:46:29.122</v>
      </c>
      <c r="B4461" t="str">
        <f>"18:46:36.984"</f>
        <v>18:46:36.984</v>
      </c>
      <c r="C4461" t="str">
        <f>"18:46:36.884"</f>
        <v>18:46:36.884</v>
      </c>
      <c r="D4461" t="s">
        <v>1581</v>
      </c>
      <c r="E4461">
        <v>31.012215999999999</v>
      </c>
      <c r="F4461" t="s">
        <v>1833</v>
      </c>
      <c r="G4461">
        <v>-89.854001999999994</v>
      </c>
      <c r="H4461">
        <v>1700</v>
      </c>
      <c r="I4461">
        <v>-25</v>
      </c>
      <c r="J4461">
        <v>-160</v>
      </c>
      <c r="K4461">
        <v>-64</v>
      </c>
      <c r="L4461">
        <v>1200</v>
      </c>
      <c r="M4461" t="str">
        <f t="shared" si="439"/>
        <v xml:space="preserve">N35DC   </v>
      </c>
      <c r="N4461">
        <v>1</v>
      </c>
      <c r="O4461">
        <v>1725</v>
      </c>
    </row>
    <row r="4462" spans="1:15" x14ac:dyDescent="0.25">
      <c r="A4462" t="str">
        <f>"10/21/2020 18:46:29.480"</f>
        <v>10/21/2020 18:46:29.480</v>
      </c>
      <c r="B4462" t="str">
        <f t="shared" ref="B4462:C4464" si="441">"18:46:37.391"</f>
        <v>18:46:37.391</v>
      </c>
      <c r="C4462" t="str">
        <f t="shared" si="441"/>
        <v>18:46:37.391</v>
      </c>
      <c r="D4462" t="s">
        <v>1834</v>
      </c>
      <c r="E4462">
        <v>31.011937</v>
      </c>
      <c r="F4462" t="s">
        <v>680</v>
      </c>
      <c r="G4462">
        <v>-89.854044999999999</v>
      </c>
      <c r="H4462">
        <v>1700</v>
      </c>
      <c r="I4462">
        <v>-25</v>
      </c>
      <c r="J4462">
        <v>-160</v>
      </c>
      <c r="K4462">
        <v>-64</v>
      </c>
      <c r="L4462">
        <v>1200</v>
      </c>
      <c r="M4462" t="str">
        <f t="shared" si="439"/>
        <v xml:space="preserve">N35DC   </v>
      </c>
      <c r="N4462">
        <v>1</v>
      </c>
      <c r="O4462">
        <v>1725</v>
      </c>
    </row>
    <row r="4463" spans="1:15" x14ac:dyDescent="0.25">
      <c r="A4463" t="str">
        <f>"10/21/2020 18:46:29.480"</f>
        <v>10/21/2020 18:46:29.480</v>
      </c>
      <c r="B4463" t="str">
        <f t="shared" si="441"/>
        <v>18:46:37.391</v>
      </c>
      <c r="C4463" t="str">
        <f t="shared" si="441"/>
        <v>18:46:37.391</v>
      </c>
      <c r="D4463" t="s">
        <v>1834</v>
      </c>
      <c r="E4463">
        <v>31.011937</v>
      </c>
      <c r="F4463" t="s">
        <v>680</v>
      </c>
      <c r="G4463">
        <v>-89.854044999999999</v>
      </c>
      <c r="H4463">
        <v>1700</v>
      </c>
      <c r="I4463">
        <v>-25</v>
      </c>
      <c r="J4463">
        <v>-160</v>
      </c>
      <c r="K4463">
        <v>-64</v>
      </c>
      <c r="L4463">
        <v>1200</v>
      </c>
      <c r="M4463" t="str">
        <f t="shared" si="439"/>
        <v xml:space="preserve">N35DC   </v>
      </c>
      <c r="N4463">
        <v>1</v>
      </c>
      <c r="O4463">
        <v>1725</v>
      </c>
    </row>
    <row r="4464" spans="1:15" x14ac:dyDescent="0.25">
      <c r="A4464" t="str">
        <f>"10/21/2020 18:46:29.480"</f>
        <v>10/21/2020 18:46:29.480</v>
      </c>
      <c r="B4464" t="str">
        <f t="shared" si="441"/>
        <v>18:46:37.391</v>
      </c>
      <c r="C4464" t="str">
        <f t="shared" si="441"/>
        <v>18:46:37.391</v>
      </c>
      <c r="D4464" t="s">
        <v>1834</v>
      </c>
      <c r="E4464">
        <v>31.011937</v>
      </c>
      <c r="F4464" t="s">
        <v>680</v>
      </c>
      <c r="G4464">
        <v>-89.854044999999999</v>
      </c>
      <c r="H4464">
        <v>1700</v>
      </c>
      <c r="I4464">
        <v>-25</v>
      </c>
      <c r="J4464">
        <v>-160</v>
      </c>
      <c r="K4464">
        <v>-64</v>
      </c>
      <c r="L4464">
        <v>1200</v>
      </c>
      <c r="M4464" t="str">
        <f t="shared" si="439"/>
        <v xml:space="preserve">N35DC   </v>
      </c>
      <c r="N4464">
        <v>1</v>
      </c>
      <c r="O4464">
        <v>1725</v>
      </c>
    </row>
    <row r="4465" spans="1:15" x14ac:dyDescent="0.25">
      <c r="A4465" t="str">
        <f>"10/21/2020 18:46:30.508"</f>
        <v>10/21/2020 18:46:30.508</v>
      </c>
      <c r="B4465" t="str">
        <f>"18:46:38.414"</f>
        <v>18:46:38.414</v>
      </c>
      <c r="C4465" t="str">
        <f>"18:46:38.314"</f>
        <v>18:46:38.314</v>
      </c>
      <c r="D4465" t="s">
        <v>1835</v>
      </c>
      <c r="E4465">
        <v>31.011164000000001</v>
      </c>
      <c r="F4465" t="s">
        <v>1794</v>
      </c>
      <c r="G4465">
        <v>-89.854151999999999</v>
      </c>
      <c r="H4465">
        <v>1700</v>
      </c>
      <c r="I4465">
        <v>-24</v>
      </c>
      <c r="J4465">
        <v>-160</v>
      </c>
      <c r="K4465">
        <v>0</v>
      </c>
      <c r="L4465">
        <v>1200</v>
      </c>
      <c r="M4465" t="str">
        <f t="shared" si="439"/>
        <v xml:space="preserve">N35DC   </v>
      </c>
      <c r="N4465">
        <v>1</v>
      </c>
      <c r="O4465">
        <v>1725</v>
      </c>
    </row>
    <row r="4466" spans="1:15" x14ac:dyDescent="0.25">
      <c r="A4466" t="str">
        <f>"10/21/2020 18:46:30.508"</f>
        <v>10/21/2020 18:46:30.508</v>
      </c>
      <c r="B4466" t="str">
        <f>"18:46:38.414"</f>
        <v>18:46:38.414</v>
      </c>
      <c r="C4466" t="str">
        <f>"18:46:38.314"</f>
        <v>18:46:38.314</v>
      </c>
      <c r="D4466" t="s">
        <v>1835</v>
      </c>
      <c r="E4466">
        <v>31.011164000000001</v>
      </c>
      <c r="F4466" t="s">
        <v>1794</v>
      </c>
      <c r="G4466">
        <v>-89.854151999999999</v>
      </c>
      <c r="H4466">
        <v>1700</v>
      </c>
      <c r="I4466">
        <v>-24</v>
      </c>
      <c r="J4466">
        <v>-160</v>
      </c>
      <c r="K4466">
        <v>0</v>
      </c>
      <c r="L4466">
        <v>1200</v>
      </c>
      <c r="M4466" t="str">
        <f t="shared" si="439"/>
        <v xml:space="preserve">N35DC   </v>
      </c>
      <c r="N4466">
        <v>1</v>
      </c>
      <c r="O4466">
        <v>1725</v>
      </c>
    </row>
    <row r="4467" spans="1:15" x14ac:dyDescent="0.25">
      <c r="A4467" t="str">
        <f>"10/21/2020 18:46:30.508"</f>
        <v>10/21/2020 18:46:30.508</v>
      </c>
      <c r="B4467" t="str">
        <f>"18:46:38.414"</f>
        <v>18:46:38.414</v>
      </c>
      <c r="C4467" t="str">
        <f>"18:46:38.314"</f>
        <v>18:46:38.314</v>
      </c>
      <c r="D4467" t="s">
        <v>1835</v>
      </c>
      <c r="E4467">
        <v>31.011164000000001</v>
      </c>
      <c r="F4467" t="s">
        <v>1794</v>
      </c>
      <c r="G4467">
        <v>-89.854151999999999</v>
      </c>
      <c r="H4467">
        <v>1700</v>
      </c>
      <c r="I4467">
        <v>-24</v>
      </c>
      <c r="J4467">
        <v>-160</v>
      </c>
      <c r="K4467">
        <v>0</v>
      </c>
      <c r="L4467">
        <v>1200</v>
      </c>
      <c r="M4467" t="str">
        <f t="shared" si="439"/>
        <v xml:space="preserve">N35DC   </v>
      </c>
      <c r="N4467">
        <v>1</v>
      </c>
      <c r="O4467">
        <v>1725</v>
      </c>
    </row>
    <row r="4468" spans="1:15" x14ac:dyDescent="0.25">
      <c r="A4468" t="str">
        <f>"10/21/2020 18:46:30.508"</f>
        <v>10/21/2020 18:46:30.508</v>
      </c>
      <c r="B4468" t="str">
        <f>"18:46:38.414"</f>
        <v>18:46:38.414</v>
      </c>
      <c r="C4468" t="str">
        <f>"18:46:38.314"</f>
        <v>18:46:38.314</v>
      </c>
      <c r="D4468" t="s">
        <v>1835</v>
      </c>
      <c r="E4468">
        <v>31.011164000000001</v>
      </c>
      <c r="F4468" t="s">
        <v>1794</v>
      </c>
      <c r="G4468">
        <v>-89.854151999999999</v>
      </c>
      <c r="H4468">
        <v>1700</v>
      </c>
      <c r="I4468">
        <v>-24</v>
      </c>
      <c r="J4468">
        <v>-160</v>
      </c>
      <c r="K4468">
        <v>0</v>
      </c>
      <c r="L4468">
        <v>1200</v>
      </c>
      <c r="M4468" t="str">
        <f t="shared" si="439"/>
        <v xml:space="preserve">N35DC   </v>
      </c>
      <c r="N4468">
        <v>1</v>
      </c>
      <c r="O4468">
        <v>1725</v>
      </c>
    </row>
    <row r="4469" spans="1:15" x14ac:dyDescent="0.25">
      <c r="A4469" t="str">
        <f>"10/21/2020 18:46:31.450"</f>
        <v>10/21/2020 18:46:31.450</v>
      </c>
      <c r="B4469" t="str">
        <f>"18:46:39.398"</f>
        <v>18:46:39.398</v>
      </c>
      <c r="C4469" t="str">
        <f>"18:46:38.898"</f>
        <v>18:46:38.898</v>
      </c>
      <c r="D4469" t="s">
        <v>1836</v>
      </c>
      <c r="E4469">
        <v>31.010456000000001</v>
      </c>
      <c r="F4469" t="s">
        <v>1837</v>
      </c>
      <c r="G4469">
        <v>-89.854324000000005</v>
      </c>
      <c r="H4469">
        <v>1700</v>
      </c>
      <c r="I4469">
        <v>-24</v>
      </c>
      <c r="J4469">
        <v>-160</v>
      </c>
      <c r="K4469">
        <v>64</v>
      </c>
      <c r="L4469">
        <v>1200</v>
      </c>
      <c r="M4469" t="str">
        <f t="shared" si="439"/>
        <v xml:space="preserve">N35DC   </v>
      </c>
      <c r="N4469">
        <v>1</v>
      </c>
      <c r="O4469">
        <v>1725</v>
      </c>
    </row>
    <row r="4470" spans="1:15" x14ac:dyDescent="0.25">
      <c r="A4470" t="str">
        <f>"10/21/2020 18:46:31.450"</f>
        <v>10/21/2020 18:46:31.450</v>
      </c>
      <c r="B4470" t="str">
        <f>"18:46:39.398"</f>
        <v>18:46:39.398</v>
      </c>
      <c r="C4470" t="str">
        <f>"18:46:38.898"</f>
        <v>18:46:38.898</v>
      </c>
      <c r="D4470" t="s">
        <v>1836</v>
      </c>
      <c r="E4470">
        <v>31.010456000000001</v>
      </c>
      <c r="F4470" t="s">
        <v>1837</v>
      </c>
      <c r="G4470">
        <v>-89.854324000000005</v>
      </c>
      <c r="H4470">
        <v>1700</v>
      </c>
      <c r="I4470">
        <v>-24</v>
      </c>
      <c r="J4470">
        <v>-160</v>
      </c>
      <c r="K4470">
        <v>64</v>
      </c>
      <c r="L4470">
        <v>1200</v>
      </c>
      <c r="M4470" t="str">
        <f t="shared" si="439"/>
        <v xml:space="preserve">N35DC   </v>
      </c>
      <c r="N4470">
        <v>1</v>
      </c>
      <c r="O4470">
        <v>1725</v>
      </c>
    </row>
    <row r="4471" spans="1:15" x14ac:dyDescent="0.25">
      <c r="A4471" t="str">
        <f>"10/21/2020 18:46:31.450"</f>
        <v>10/21/2020 18:46:31.450</v>
      </c>
      <c r="B4471" t="str">
        <f>"18:46:39.398"</f>
        <v>18:46:39.398</v>
      </c>
      <c r="C4471" t="str">
        <f>"18:46:38.898"</f>
        <v>18:46:38.898</v>
      </c>
      <c r="D4471" t="s">
        <v>1836</v>
      </c>
      <c r="E4471">
        <v>31.010456000000001</v>
      </c>
      <c r="F4471" t="s">
        <v>1837</v>
      </c>
      <c r="G4471">
        <v>-89.854324000000005</v>
      </c>
      <c r="H4471">
        <v>1700</v>
      </c>
      <c r="I4471">
        <v>-24</v>
      </c>
      <c r="J4471">
        <v>-160</v>
      </c>
      <c r="K4471">
        <v>64</v>
      </c>
      <c r="L4471">
        <v>1200</v>
      </c>
      <c r="M4471" t="str">
        <f t="shared" si="439"/>
        <v xml:space="preserve">N35DC   </v>
      </c>
      <c r="N4471">
        <v>1</v>
      </c>
      <c r="O4471">
        <v>1725</v>
      </c>
    </row>
    <row r="4472" spans="1:15" x14ac:dyDescent="0.25">
      <c r="A4472" t="str">
        <f>"10/21/2020 18:46:34.462"</f>
        <v>10/21/2020 18:46:34.462</v>
      </c>
      <c r="B4472" t="str">
        <f>"18:46:42.367"</f>
        <v>18:46:42.367</v>
      </c>
      <c r="C4472" t="str">
        <f>"18:46:42.167"</f>
        <v>18:46:42.167</v>
      </c>
      <c r="D4472" t="s">
        <v>1838</v>
      </c>
      <c r="E4472">
        <v>31.008267</v>
      </c>
      <c r="F4472" t="s">
        <v>1839</v>
      </c>
      <c r="G4472">
        <v>-89.854602999999997</v>
      </c>
      <c r="H4472">
        <v>1700</v>
      </c>
      <c r="I4472">
        <v>-19</v>
      </c>
      <c r="J4472">
        <v>-160</v>
      </c>
      <c r="K4472">
        <v>-128</v>
      </c>
      <c r="L4472">
        <v>1200</v>
      </c>
      <c r="M4472" t="str">
        <f t="shared" si="439"/>
        <v xml:space="preserve">N35DC   </v>
      </c>
      <c r="N4472">
        <v>1</v>
      </c>
      <c r="O4472">
        <v>1725</v>
      </c>
    </row>
    <row r="4473" spans="1:15" x14ac:dyDescent="0.25">
      <c r="A4473" t="str">
        <f>"10/21/2020 18:46:34.462"</f>
        <v>10/21/2020 18:46:34.462</v>
      </c>
      <c r="B4473" t="str">
        <f>"18:46:42.367"</f>
        <v>18:46:42.367</v>
      </c>
      <c r="C4473" t="str">
        <f>"18:46:42.167"</f>
        <v>18:46:42.167</v>
      </c>
      <c r="D4473" t="s">
        <v>1838</v>
      </c>
      <c r="E4473">
        <v>31.008267</v>
      </c>
      <c r="F4473" t="s">
        <v>1839</v>
      </c>
      <c r="G4473">
        <v>-89.854602999999997</v>
      </c>
      <c r="H4473">
        <v>1700</v>
      </c>
      <c r="I4473">
        <v>-19</v>
      </c>
      <c r="J4473">
        <v>-160</v>
      </c>
      <c r="K4473">
        <v>-128</v>
      </c>
      <c r="L4473">
        <v>1200</v>
      </c>
      <c r="M4473" t="str">
        <f t="shared" si="439"/>
        <v xml:space="preserve">N35DC   </v>
      </c>
      <c r="N4473">
        <v>1</v>
      </c>
      <c r="O4473">
        <v>1725</v>
      </c>
    </row>
    <row r="4474" spans="1:15" x14ac:dyDescent="0.25">
      <c r="A4474" t="str">
        <f>"10/21/2020 18:46:34.462"</f>
        <v>10/21/2020 18:46:34.462</v>
      </c>
      <c r="B4474" t="str">
        <f>"18:46:42.367"</f>
        <v>18:46:42.367</v>
      </c>
      <c r="C4474" t="str">
        <f>"18:46:42.167"</f>
        <v>18:46:42.167</v>
      </c>
      <c r="D4474" t="s">
        <v>1838</v>
      </c>
      <c r="E4474">
        <v>31.008267</v>
      </c>
      <c r="F4474" t="s">
        <v>1839</v>
      </c>
      <c r="G4474">
        <v>-89.854602999999997</v>
      </c>
      <c r="H4474">
        <v>1700</v>
      </c>
      <c r="I4474">
        <v>-19</v>
      </c>
      <c r="J4474">
        <v>-160</v>
      </c>
      <c r="K4474">
        <v>-128</v>
      </c>
      <c r="L4474">
        <v>1200</v>
      </c>
      <c r="M4474" t="str">
        <f t="shared" si="439"/>
        <v xml:space="preserve">N35DC   </v>
      </c>
      <c r="N4474">
        <v>1</v>
      </c>
      <c r="O4474">
        <v>1725</v>
      </c>
    </row>
    <row r="4475" spans="1:15" x14ac:dyDescent="0.25">
      <c r="A4475" t="str">
        <f>"10/21/2020 18:46:34.997"</f>
        <v>10/21/2020 18:46:34.997</v>
      </c>
      <c r="B4475" t="str">
        <f>"18:46:42.883"</f>
        <v>18:46:42.883</v>
      </c>
      <c r="C4475" t="str">
        <f>"18:46:42.783"</f>
        <v>18:46:42.783</v>
      </c>
      <c r="D4475" t="s">
        <v>1840</v>
      </c>
      <c r="E4475">
        <v>31.007860000000001</v>
      </c>
      <c r="F4475" t="s">
        <v>1792</v>
      </c>
      <c r="G4475">
        <v>-89.854646000000002</v>
      </c>
      <c r="H4475">
        <v>1700</v>
      </c>
      <c r="I4475">
        <v>-20</v>
      </c>
      <c r="J4475">
        <v>-160</v>
      </c>
      <c r="K4475">
        <v>-128</v>
      </c>
      <c r="L4475">
        <v>1200</v>
      </c>
      <c r="M4475" t="str">
        <f t="shared" si="439"/>
        <v xml:space="preserve">N35DC   </v>
      </c>
      <c r="N4475">
        <v>1</v>
      </c>
      <c r="O4475">
        <v>1725</v>
      </c>
    </row>
    <row r="4476" spans="1:15" x14ac:dyDescent="0.25">
      <c r="A4476" t="str">
        <f>"10/21/2020 18:46:35.440"</f>
        <v>10/21/2020 18:46:35.440</v>
      </c>
      <c r="B4476" t="str">
        <f>"18:46:43.359"</f>
        <v>18:46:43.359</v>
      </c>
      <c r="C4476" t="str">
        <f>"18:46:43.259"</f>
        <v>18:46:43.259</v>
      </c>
      <c r="D4476" t="s">
        <v>1841</v>
      </c>
      <c r="E4476">
        <v>31.007494999999999</v>
      </c>
      <c r="F4476" t="s">
        <v>1842</v>
      </c>
      <c r="G4476">
        <v>-89.854753000000002</v>
      </c>
      <c r="H4476">
        <v>1700</v>
      </c>
      <c r="I4476">
        <v>-19</v>
      </c>
      <c r="J4476">
        <v>-160</v>
      </c>
      <c r="K4476">
        <v>-64</v>
      </c>
      <c r="L4476">
        <v>1200</v>
      </c>
      <c r="M4476" t="str">
        <f t="shared" si="439"/>
        <v xml:space="preserve">N35DC   </v>
      </c>
      <c r="N4476">
        <v>1</v>
      </c>
      <c r="O4476">
        <v>1725</v>
      </c>
    </row>
    <row r="4477" spans="1:15" x14ac:dyDescent="0.25">
      <c r="A4477" t="str">
        <f>"10/21/2020 18:46:35.440"</f>
        <v>10/21/2020 18:46:35.440</v>
      </c>
      <c r="B4477" t="str">
        <f>"18:46:43.359"</f>
        <v>18:46:43.359</v>
      </c>
      <c r="C4477" t="str">
        <f>"18:46:43.259"</f>
        <v>18:46:43.259</v>
      </c>
      <c r="D4477" t="s">
        <v>1841</v>
      </c>
      <c r="E4477">
        <v>31.007494999999999</v>
      </c>
      <c r="F4477" t="s">
        <v>1842</v>
      </c>
      <c r="G4477">
        <v>-89.854753000000002</v>
      </c>
      <c r="H4477">
        <v>1700</v>
      </c>
      <c r="I4477">
        <v>-19</v>
      </c>
      <c r="J4477">
        <v>-160</v>
      </c>
      <c r="K4477">
        <v>-64</v>
      </c>
      <c r="L4477">
        <v>1200</v>
      </c>
      <c r="M4477" t="str">
        <f t="shared" si="439"/>
        <v xml:space="preserve">N35DC   </v>
      </c>
      <c r="N4477">
        <v>1</v>
      </c>
      <c r="O4477">
        <v>1725</v>
      </c>
    </row>
    <row r="4478" spans="1:15" x14ac:dyDescent="0.25">
      <c r="A4478" t="str">
        <f>"10/21/2020 18:46:35.440"</f>
        <v>10/21/2020 18:46:35.440</v>
      </c>
      <c r="B4478" t="str">
        <f>"18:46:43.359"</f>
        <v>18:46:43.359</v>
      </c>
      <c r="C4478" t="str">
        <f>"18:46:43.259"</f>
        <v>18:46:43.259</v>
      </c>
      <c r="D4478" t="s">
        <v>1841</v>
      </c>
      <c r="E4478">
        <v>31.007494999999999</v>
      </c>
      <c r="F4478" t="s">
        <v>1842</v>
      </c>
      <c r="G4478">
        <v>-89.854753000000002</v>
      </c>
      <c r="H4478">
        <v>1700</v>
      </c>
      <c r="I4478">
        <v>-19</v>
      </c>
      <c r="J4478">
        <v>-160</v>
      </c>
      <c r="K4478">
        <v>-64</v>
      </c>
      <c r="L4478">
        <v>1200</v>
      </c>
      <c r="M4478" t="str">
        <f t="shared" si="439"/>
        <v xml:space="preserve">N35DC   </v>
      </c>
      <c r="N4478">
        <v>1</v>
      </c>
      <c r="O4478">
        <v>1725</v>
      </c>
    </row>
    <row r="4479" spans="1:15" x14ac:dyDescent="0.25">
      <c r="A4479" t="str">
        <f>"10/21/2020 18:46:37.607"</f>
        <v>10/21/2020 18:46:37.607</v>
      </c>
      <c r="B4479" t="str">
        <f>"18:46:45.523"</f>
        <v>18:46:45.523</v>
      </c>
      <c r="C4479" t="str">
        <f>"18:46:45.323"</f>
        <v>18:46:45.323</v>
      </c>
      <c r="D4479" t="s">
        <v>1843</v>
      </c>
      <c r="E4479">
        <v>31.005886</v>
      </c>
      <c r="F4479" t="s">
        <v>1844</v>
      </c>
      <c r="G4479">
        <v>-89.854924999999994</v>
      </c>
      <c r="H4479">
        <v>1600</v>
      </c>
      <c r="I4479">
        <v>-17</v>
      </c>
      <c r="J4479">
        <v>-160</v>
      </c>
      <c r="K4479">
        <v>-192</v>
      </c>
      <c r="L4479">
        <v>1200</v>
      </c>
      <c r="M4479" t="str">
        <f t="shared" si="439"/>
        <v xml:space="preserve">N35DC   </v>
      </c>
      <c r="N4479">
        <v>1</v>
      </c>
      <c r="O4479">
        <v>1725</v>
      </c>
    </row>
    <row r="4480" spans="1:15" x14ac:dyDescent="0.25">
      <c r="A4480" t="str">
        <f>"10/21/2020 18:46:37.607"</f>
        <v>10/21/2020 18:46:37.607</v>
      </c>
      <c r="B4480" t="str">
        <f>"18:46:45.523"</f>
        <v>18:46:45.523</v>
      </c>
      <c r="C4480" t="str">
        <f>"18:46:45.323"</f>
        <v>18:46:45.323</v>
      </c>
      <c r="D4480" t="s">
        <v>1843</v>
      </c>
      <c r="E4480">
        <v>31.005886</v>
      </c>
      <c r="F4480" t="s">
        <v>1844</v>
      </c>
      <c r="G4480">
        <v>-89.854924999999994</v>
      </c>
      <c r="H4480">
        <v>1600</v>
      </c>
      <c r="I4480">
        <v>-17</v>
      </c>
      <c r="J4480">
        <v>-160</v>
      </c>
      <c r="K4480">
        <v>-192</v>
      </c>
      <c r="L4480">
        <v>1200</v>
      </c>
      <c r="M4480" t="str">
        <f t="shared" si="439"/>
        <v xml:space="preserve">N35DC   </v>
      </c>
      <c r="N4480">
        <v>1</v>
      </c>
      <c r="O4480">
        <v>1725</v>
      </c>
    </row>
    <row r="4481" spans="1:15" x14ac:dyDescent="0.25">
      <c r="A4481" t="str">
        <f>"10/21/2020 18:46:37.607"</f>
        <v>10/21/2020 18:46:37.607</v>
      </c>
      <c r="B4481" t="str">
        <f>"18:46:45.523"</f>
        <v>18:46:45.523</v>
      </c>
      <c r="C4481" t="str">
        <f>"18:46:45.323"</f>
        <v>18:46:45.323</v>
      </c>
      <c r="D4481" t="s">
        <v>1843</v>
      </c>
      <c r="E4481">
        <v>31.005886</v>
      </c>
      <c r="F4481" t="s">
        <v>1844</v>
      </c>
      <c r="G4481">
        <v>-89.854924999999994</v>
      </c>
      <c r="H4481">
        <v>1600</v>
      </c>
      <c r="I4481">
        <v>-17</v>
      </c>
      <c r="J4481">
        <v>-160</v>
      </c>
      <c r="K4481">
        <v>-192</v>
      </c>
      <c r="L4481">
        <v>1200</v>
      </c>
      <c r="M4481" t="str">
        <f t="shared" si="439"/>
        <v xml:space="preserve">N35DC   </v>
      </c>
      <c r="N4481">
        <v>1</v>
      </c>
      <c r="O4481">
        <v>1725</v>
      </c>
    </row>
    <row r="4482" spans="1:15" x14ac:dyDescent="0.25">
      <c r="A4482" t="str">
        <f>"10/21/2020 18:46:38.061"</f>
        <v>10/21/2020 18:46:38.061</v>
      </c>
      <c r="B4482" t="str">
        <f>"18:46:45.938"</f>
        <v>18:46:45.938</v>
      </c>
      <c r="C4482" t="str">
        <f>"18:46:45.837"</f>
        <v>18:46:45.837</v>
      </c>
      <c r="D4482" t="s">
        <v>1845</v>
      </c>
      <c r="E4482">
        <v>31.005564</v>
      </c>
      <c r="F4482" t="s">
        <v>1846</v>
      </c>
      <c r="G4482">
        <v>-89.854989000000003</v>
      </c>
      <c r="H4482">
        <v>1600</v>
      </c>
      <c r="I4482">
        <v>-17</v>
      </c>
      <c r="J4482">
        <v>-160</v>
      </c>
      <c r="K4482">
        <v>-192</v>
      </c>
      <c r="L4482">
        <v>1200</v>
      </c>
      <c r="M4482" t="str">
        <f t="shared" si="439"/>
        <v xml:space="preserve">N35DC   </v>
      </c>
      <c r="N4482">
        <v>1</v>
      </c>
      <c r="O4482">
        <v>1725</v>
      </c>
    </row>
    <row r="4483" spans="1:15" x14ac:dyDescent="0.25">
      <c r="A4483" t="str">
        <f>"10/21/2020 18:46:38.549"</f>
        <v>10/21/2020 18:46:38.549</v>
      </c>
      <c r="B4483" t="str">
        <f>"18:46:46.461"</f>
        <v>18:46:46.461</v>
      </c>
      <c r="C4483" t="str">
        <f>"18:46:46.261"</f>
        <v>18:46:46.261</v>
      </c>
      <c r="D4483" t="s">
        <v>1847</v>
      </c>
      <c r="E4483">
        <v>31.005199000000001</v>
      </c>
      <c r="F4483" t="s">
        <v>1848</v>
      </c>
      <c r="G4483">
        <v>-89.855031999999994</v>
      </c>
      <c r="H4483">
        <v>1600</v>
      </c>
      <c r="I4483">
        <v>-17</v>
      </c>
      <c r="J4483">
        <v>-161</v>
      </c>
      <c r="K4483">
        <v>-128</v>
      </c>
      <c r="L4483">
        <v>1200</v>
      </c>
      <c r="M4483" t="str">
        <f t="shared" si="439"/>
        <v xml:space="preserve">N35DC   </v>
      </c>
      <c r="N4483">
        <v>1</v>
      </c>
      <c r="O4483">
        <v>1725</v>
      </c>
    </row>
    <row r="4484" spans="1:15" x14ac:dyDescent="0.25">
      <c r="A4484" t="str">
        <f>"10/21/2020 18:46:38.549"</f>
        <v>10/21/2020 18:46:38.549</v>
      </c>
      <c r="B4484" t="str">
        <f>"18:46:46.461"</f>
        <v>18:46:46.461</v>
      </c>
      <c r="C4484" t="str">
        <f>"18:46:46.261"</f>
        <v>18:46:46.261</v>
      </c>
      <c r="D4484" t="s">
        <v>1847</v>
      </c>
      <c r="E4484">
        <v>31.005199000000001</v>
      </c>
      <c r="F4484" t="s">
        <v>1848</v>
      </c>
      <c r="G4484">
        <v>-89.855031999999994</v>
      </c>
      <c r="H4484">
        <v>1600</v>
      </c>
      <c r="I4484">
        <v>-17</v>
      </c>
      <c r="J4484">
        <v>-161</v>
      </c>
      <c r="K4484">
        <v>-128</v>
      </c>
      <c r="L4484">
        <v>1200</v>
      </c>
      <c r="M4484" t="str">
        <f t="shared" si="439"/>
        <v xml:space="preserve">N35DC   </v>
      </c>
      <c r="N4484">
        <v>1</v>
      </c>
      <c r="O4484">
        <v>1725</v>
      </c>
    </row>
    <row r="4485" spans="1:15" x14ac:dyDescent="0.25">
      <c r="A4485" t="str">
        <f>"10/21/2020 18:46:38.549"</f>
        <v>10/21/2020 18:46:38.549</v>
      </c>
      <c r="B4485" t="str">
        <f>"18:46:46.461"</f>
        <v>18:46:46.461</v>
      </c>
      <c r="C4485" t="str">
        <f>"18:46:46.261"</f>
        <v>18:46:46.261</v>
      </c>
      <c r="D4485" t="s">
        <v>1847</v>
      </c>
      <c r="E4485">
        <v>31.005199000000001</v>
      </c>
      <c r="F4485" t="s">
        <v>1848</v>
      </c>
      <c r="G4485">
        <v>-89.855031999999994</v>
      </c>
      <c r="H4485">
        <v>1600</v>
      </c>
      <c r="I4485">
        <v>-17</v>
      </c>
      <c r="J4485">
        <v>-161</v>
      </c>
      <c r="K4485">
        <v>-128</v>
      </c>
      <c r="L4485">
        <v>1200</v>
      </c>
      <c r="M4485" t="str">
        <f t="shared" si="439"/>
        <v xml:space="preserve">N35DC   </v>
      </c>
      <c r="N4485">
        <v>1</v>
      </c>
      <c r="O4485">
        <v>1725</v>
      </c>
    </row>
    <row r="4486" spans="1:15" x14ac:dyDescent="0.25">
      <c r="A4486" t="str">
        <f>"10/21/2020 18:46:41.606"</f>
        <v>10/21/2020 18:46:41.606</v>
      </c>
      <c r="B4486" t="str">
        <f t="shared" ref="B4486:C4488" si="442">"18:46:49.508"</f>
        <v>18:46:49.508</v>
      </c>
      <c r="C4486" t="str">
        <f t="shared" si="442"/>
        <v>18:46:49.508</v>
      </c>
      <c r="D4486" t="s">
        <v>1849</v>
      </c>
      <c r="E4486">
        <v>31.002903</v>
      </c>
      <c r="F4486" t="s">
        <v>1850</v>
      </c>
      <c r="G4486">
        <v>-89.855247000000006</v>
      </c>
      <c r="H4486">
        <v>1600</v>
      </c>
      <c r="I4486">
        <v>-14</v>
      </c>
      <c r="J4486">
        <v>-161</v>
      </c>
      <c r="K4486">
        <v>0</v>
      </c>
      <c r="L4486">
        <v>1200</v>
      </c>
      <c r="M4486" t="str">
        <f t="shared" si="439"/>
        <v xml:space="preserve">N35DC   </v>
      </c>
      <c r="N4486">
        <v>1</v>
      </c>
      <c r="O4486">
        <v>1725</v>
      </c>
    </row>
    <row r="4487" spans="1:15" x14ac:dyDescent="0.25">
      <c r="A4487" t="str">
        <f>"10/21/2020 18:46:41.606"</f>
        <v>10/21/2020 18:46:41.606</v>
      </c>
      <c r="B4487" t="str">
        <f t="shared" si="442"/>
        <v>18:46:49.508</v>
      </c>
      <c r="C4487" t="str">
        <f t="shared" si="442"/>
        <v>18:46:49.508</v>
      </c>
      <c r="D4487" t="s">
        <v>1849</v>
      </c>
      <c r="E4487">
        <v>31.002903</v>
      </c>
      <c r="F4487" t="s">
        <v>1850</v>
      </c>
      <c r="G4487">
        <v>-89.855247000000006</v>
      </c>
      <c r="H4487">
        <v>1600</v>
      </c>
      <c r="I4487">
        <v>-14</v>
      </c>
      <c r="J4487">
        <v>-161</v>
      </c>
      <c r="K4487">
        <v>0</v>
      </c>
      <c r="L4487">
        <v>1200</v>
      </c>
      <c r="M4487" t="str">
        <f t="shared" ref="M4487:M4550" si="443">"N35DC   "</f>
        <v xml:space="preserve">N35DC   </v>
      </c>
      <c r="N4487">
        <v>1</v>
      </c>
      <c r="O4487">
        <v>1725</v>
      </c>
    </row>
    <row r="4488" spans="1:15" x14ac:dyDescent="0.25">
      <c r="A4488" t="str">
        <f>"10/21/2020 18:46:41.606"</f>
        <v>10/21/2020 18:46:41.606</v>
      </c>
      <c r="B4488" t="str">
        <f t="shared" si="442"/>
        <v>18:46:49.508</v>
      </c>
      <c r="C4488" t="str">
        <f t="shared" si="442"/>
        <v>18:46:49.508</v>
      </c>
      <c r="D4488" t="s">
        <v>1849</v>
      </c>
      <c r="E4488">
        <v>31.002903</v>
      </c>
      <c r="F4488" t="s">
        <v>1850</v>
      </c>
      <c r="G4488">
        <v>-89.855247000000006</v>
      </c>
      <c r="H4488">
        <v>1600</v>
      </c>
      <c r="I4488">
        <v>-14</v>
      </c>
      <c r="J4488">
        <v>-161</v>
      </c>
      <c r="K4488">
        <v>0</v>
      </c>
      <c r="L4488">
        <v>1200</v>
      </c>
      <c r="M4488" t="str">
        <f t="shared" si="443"/>
        <v xml:space="preserve">N35DC   </v>
      </c>
      <c r="N4488">
        <v>1</v>
      </c>
      <c r="O4488">
        <v>1725</v>
      </c>
    </row>
    <row r="4489" spans="1:15" x14ac:dyDescent="0.25">
      <c r="A4489" t="str">
        <f>"10/21/2020 18:46:42.182"</f>
        <v>10/21/2020 18:46:42.182</v>
      </c>
      <c r="B4489" t="str">
        <f>"18:46:50.094"</f>
        <v>18:46:50.094</v>
      </c>
      <c r="C4489" t="str">
        <f>"18:46:49.994"</f>
        <v>18:46:49.994</v>
      </c>
      <c r="D4489" t="s">
        <v>1851</v>
      </c>
      <c r="E4489">
        <v>31.002452000000002</v>
      </c>
      <c r="F4489" t="s">
        <v>1852</v>
      </c>
      <c r="G4489">
        <v>-89.855288999999999</v>
      </c>
      <c r="H4489">
        <v>1600</v>
      </c>
      <c r="I4489">
        <v>-13</v>
      </c>
      <c r="J4489">
        <v>-161</v>
      </c>
      <c r="K4489">
        <v>-64</v>
      </c>
      <c r="L4489">
        <v>1200</v>
      </c>
      <c r="M4489" t="str">
        <f t="shared" si="443"/>
        <v xml:space="preserve">N35DC   </v>
      </c>
      <c r="N4489">
        <v>1</v>
      </c>
      <c r="O4489">
        <v>1725</v>
      </c>
    </row>
    <row r="4490" spans="1:15" x14ac:dyDescent="0.25">
      <c r="A4490" t="str">
        <f>"10/21/2020 18:46:44.738"</f>
        <v>10/21/2020 18:46:44.738</v>
      </c>
      <c r="B4490" t="str">
        <f>"18:46:52.656"</f>
        <v>18:46:52.656</v>
      </c>
      <c r="C4490" t="str">
        <f>"18:46:52.556"</f>
        <v>18:46:52.556</v>
      </c>
      <c r="D4490" t="s">
        <v>1853</v>
      </c>
      <c r="E4490">
        <v>31.000585999999998</v>
      </c>
      <c r="F4490" t="s">
        <v>525</v>
      </c>
      <c r="G4490">
        <v>-89.855483000000007</v>
      </c>
      <c r="H4490">
        <v>1700</v>
      </c>
      <c r="I4490">
        <v>-10</v>
      </c>
      <c r="J4490">
        <v>-160</v>
      </c>
      <c r="K4490">
        <v>192</v>
      </c>
      <c r="L4490">
        <v>1200</v>
      </c>
      <c r="M4490" t="str">
        <f t="shared" si="443"/>
        <v xml:space="preserve">N35DC   </v>
      </c>
      <c r="N4490">
        <v>1</v>
      </c>
      <c r="O4490">
        <v>1725</v>
      </c>
    </row>
    <row r="4491" spans="1:15" x14ac:dyDescent="0.25">
      <c r="A4491" t="str">
        <f>"10/21/2020 18:46:44.738"</f>
        <v>10/21/2020 18:46:44.738</v>
      </c>
      <c r="B4491" t="str">
        <f>"18:46:52.656"</f>
        <v>18:46:52.656</v>
      </c>
      <c r="C4491" t="str">
        <f>"18:46:52.556"</f>
        <v>18:46:52.556</v>
      </c>
      <c r="D4491" t="s">
        <v>1853</v>
      </c>
      <c r="E4491">
        <v>31.000585999999998</v>
      </c>
      <c r="F4491" t="s">
        <v>525</v>
      </c>
      <c r="G4491">
        <v>-89.855483000000007</v>
      </c>
      <c r="H4491">
        <v>1700</v>
      </c>
      <c r="I4491">
        <v>-10</v>
      </c>
      <c r="J4491">
        <v>-160</v>
      </c>
      <c r="K4491">
        <v>192</v>
      </c>
      <c r="L4491">
        <v>1200</v>
      </c>
      <c r="M4491" t="str">
        <f t="shared" si="443"/>
        <v xml:space="preserve">N35DC   </v>
      </c>
      <c r="N4491">
        <v>1</v>
      </c>
      <c r="O4491">
        <v>1725</v>
      </c>
    </row>
    <row r="4492" spans="1:15" x14ac:dyDescent="0.25">
      <c r="A4492" t="str">
        <f>"10/21/2020 18:46:44.738"</f>
        <v>10/21/2020 18:46:44.738</v>
      </c>
      <c r="B4492" t="str">
        <f>"18:46:52.656"</f>
        <v>18:46:52.656</v>
      </c>
      <c r="C4492" t="str">
        <f>"18:46:52.556"</f>
        <v>18:46:52.556</v>
      </c>
      <c r="D4492" t="s">
        <v>1853</v>
      </c>
      <c r="E4492">
        <v>31.000585999999998</v>
      </c>
      <c r="F4492" t="s">
        <v>525</v>
      </c>
      <c r="G4492">
        <v>-89.855483000000007</v>
      </c>
      <c r="H4492">
        <v>1700</v>
      </c>
      <c r="I4492">
        <v>-10</v>
      </c>
      <c r="J4492">
        <v>-160</v>
      </c>
      <c r="K4492">
        <v>192</v>
      </c>
      <c r="L4492">
        <v>1200</v>
      </c>
      <c r="M4492" t="str">
        <f t="shared" si="443"/>
        <v xml:space="preserve">N35DC   </v>
      </c>
      <c r="N4492">
        <v>1</v>
      </c>
      <c r="O4492">
        <v>1725</v>
      </c>
    </row>
    <row r="4493" spans="1:15" x14ac:dyDescent="0.25">
      <c r="A4493" t="str">
        <f>"10/21/2020 18:46:44.738"</f>
        <v>10/21/2020 18:46:44.738</v>
      </c>
      <c r="B4493" t="str">
        <f>"18:46:52.656"</f>
        <v>18:46:52.656</v>
      </c>
      <c r="C4493" t="str">
        <f>"18:46:52.556"</f>
        <v>18:46:52.556</v>
      </c>
      <c r="D4493" t="s">
        <v>1853</v>
      </c>
      <c r="E4493">
        <v>31.000585999999998</v>
      </c>
      <c r="F4493" t="s">
        <v>525</v>
      </c>
      <c r="G4493">
        <v>-89.855483000000007</v>
      </c>
      <c r="H4493">
        <v>1700</v>
      </c>
      <c r="I4493">
        <v>-10</v>
      </c>
      <c r="J4493">
        <v>-160</v>
      </c>
      <c r="K4493">
        <v>192</v>
      </c>
      <c r="L4493">
        <v>1200</v>
      </c>
      <c r="M4493" t="str">
        <f t="shared" si="443"/>
        <v xml:space="preserve">N35DC   </v>
      </c>
      <c r="N4493">
        <v>1</v>
      </c>
      <c r="O4493">
        <v>1725</v>
      </c>
    </row>
    <row r="4494" spans="1:15" x14ac:dyDescent="0.25">
      <c r="A4494" t="str">
        <f>"10/21/2020 18:46:45.567"</f>
        <v>10/21/2020 18:46:45.567</v>
      </c>
      <c r="B4494" t="str">
        <f>"18:46:53.500"</f>
        <v>18:46:53.500</v>
      </c>
      <c r="C4494" t="str">
        <f>"18:46:53.100"</f>
        <v>18:46:53.100</v>
      </c>
      <c r="D4494" t="s">
        <v>1854</v>
      </c>
      <c r="E4494">
        <v>30.999919999999999</v>
      </c>
      <c r="F4494" t="s">
        <v>525</v>
      </c>
      <c r="G4494">
        <v>-89.855483000000007</v>
      </c>
      <c r="H4494">
        <v>1700</v>
      </c>
      <c r="I4494">
        <v>-9</v>
      </c>
      <c r="J4494">
        <v>-160</v>
      </c>
      <c r="K4494">
        <v>192</v>
      </c>
      <c r="L4494">
        <v>1200</v>
      </c>
      <c r="M4494" t="str">
        <f t="shared" si="443"/>
        <v xml:space="preserve">N35DC   </v>
      </c>
      <c r="N4494">
        <v>1</v>
      </c>
      <c r="O4494">
        <v>1725</v>
      </c>
    </row>
    <row r="4495" spans="1:15" x14ac:dyDescent="0.25">
      <c r="A4495" t="str">
        <f>"10/21/2020 18:46:45.567"</f>
        <v>10/21/2020 18:46:45.567</v>
      </c>
      <c r="B4495" t="str">
        <f>"18:46:53.500"</f>
        <v>18:46:53.500</v>
      </c>
      <c r="C4495" t="str">
        <f>"18:46:53.100"</f>
        <v>18:46:53.100</v>
      </c>
      <c r="D4495" t="s">
        <v>1854</v>
      </c>
      <c r="E4495">
        <v>30.999919999999999</v>
      </c>
      <c r="F4495" t="s">
        <v>525</v>
      </c>
      <c r="G4495">
        <v>-89.855483000000007</v>
      </c>
      <c r="H4495">
        <v>1700</v>
      </c>
      <c r="I4495">
        <v>-9</v>
      </c>
      <c r="J4495">
        <v>-160</v>
      </c>
      <c r="K4495">
        <v>192</v>
      </c>
      <c r="L4495">
        <v>1200</v>
      </c>
      <c r="M4495" t="str">
        <f t="shared" si="443"/>
        <v xml:space="preserve">N35DC   </v>
      </c>
      <c r="N4495">
        <v>1</v>
      </c>
      <c r="O4495">
        <v>1725</v>
      </c>
    </row>
    <row r="4496" spans="1:15" x14ac:dyDescent="0.25">
      <c r="A4496" t="str">
        <f>"10/21/2020 18:46:45.567"</f>
        <v>10/21/2020 18:46:45.567</v>
      </c>
      <c r="B4496" t="str">
        <f>"18:46:53.500"</f>
        <v>18:46:53.500</v>
      </c>
      <c r="C4496" t="str">
        <f>"18:46:53.100"</f>
        <v>18:46:53.100</v>
      </c>
      <c r="D4496" t="s">
        <v>1854</v>
      </c>
      <c r="E4496">
        <v>30.999919999999999</v>
      </c>
      <c r="F4496" t="s">
        <v>525</v>
      </c>
      <c r="G4496">
        <v>-89.855483000000007</v>
      </c>
      <c r="H4496">
        <v>1700</v>
      </c>
      <c r="I4496">
        <v>-9</v>
      </c>
      <c r="J4496">
        <v>-160</v>
      </c>
      <c r="K4496">
        <v>192</v>
      </c>
      <c r="L4496">
        <v>1200</v>
      </c>
      <c r="M4496" t="str">
        <f t="shared" si="443"/>
        <v xml:space="preserve">N35DC   </v>
      </c>
      <c r="N4496">
        <v>1</v>
      </c>
      <c r="O4496">
        <v>1725</v>
      </c>
    </row>
    <row r="4497" spans="1:15" x14ac:dyDescent="0.25">
      <c r="A4497" t="str">
        <f>"10/21/2020 18:46:46.163"</f>
        <v>10/21/2020 18:46:46.163</v>
      </c>
      <c r="B4497" t="str">
        <f>"18:46:54.102"</f>
        <v>18:46:54.102</v>
      </c>
      <c r="C4497" t="str">
        <f>"18:46:53.602"</f>
        <v>18:46:53.602</v>
      </c>
      <c r="D4497" t="s">
        <v>1855</v>
      </c>
      <c r="E4497">
        <v>30.999490999999999</v>
      </c>
      <c r="F4497" t="s">
        <v>1856</v>
      </c>
      <c r="G4497">
        <v>-89.855503999999996</v>
      </c>
      <c r="H4497">
        <v>1700</v>
      </c>
      <c r="I4497">
        <v>-9</v>
      </c>
      <c r="J4497">
        <v>-160</v>
      </c>
      <c r="K4497">
        <v>192</v>
      </c>
      <c r="L4497">
        <v>1200</v>
      </c>
      <c r="M4497" t="str">
        <f t="shared" si="443"/>
        <v xml:space="preserve">N35DC   </v>
      </c>
      <c r="N4497">
        <v>1</v>
      </c>
      <c r="O4497">
        <v>1725</v>
      </c>
    </row>
    <row r="4498" spans="1:15" x14ac:dyDescent="0.25">
      <c r="A4498" t="str">
        <f>"10/21/2020 18:46:46.574"</f>
        <v>10/21/2020 18:46:46.574</v>
      </c>
      <c r="B4498" t="str">
        <f>"18:46:54.516"</f>
        <v>18:46:54.516</v>
      </c>
      <c r="C4498" t="str">
        <f>"18:46:54.116"</f>
        <v>18:46:54.116</v>
      </c>
      <c r="D4498" t="s">
        <v>1857</v>
      </c>
      <c r="E4498">
        <v>30.999212</v>
      </c>
      <c r="F4498" t="s">
        <v>1856</v>
      </c>
      <c r="G4498">
        <v>-89.855503999999996</v>
      </c>
      <c r="H4498">
        <v>1700</v>
      </c>
      <c r="I4498">
        <v>-8</v>
      </c>
      <c r="J4498">
        <v>-159</v>
      </c>
      <c r="K4498">
        <v>192</v>
      </c>
      <c r="L4498">
        <v>1200</v>
      </c>
      <c r="M4498" t="str">
        <f t="shared" si="443"/>
        <v xml:space="preserve">N35DC   </v>
      </c>
      <c r="N4498">
        <v>1</v>
      </c>
      <c r="O4498">
        <v>1725</v>
      </c>
    </row>
    <row r="4499" spans="1:15" x14ac:dyDescent="0.25">
      <c r="A4499" t="str">
        <f>"10/21/2020 18:46:46.574"</f>
        <v>10/21/2020 18:46:46.574</v>
      </c>
      <c r="B4499" t="str">
        <f>"18:46:54.516"</f>
        <v>18:46:54.516</v>
      </c>
      <c r="C4499" t="str">
        <f>"18:46:54.116"</f>
        <v>18:46:54.116</v>
      </c>
      <c r="D4499" t="s">
        <v>1857</v>
      </c>
      <c r="E4499">
        <v>30.999212</v>
      </c>
      <c r="F4499" t="s">
        <v>1856</v>
      </c>
      <c r="G4499">
        <v>-89.855503999999996</v>
      </c>
      <c r="H4499">
        <v>1700</v>
      </c>
      <c r="I4499">
        <v>-8</v>
      </c>
      <c r="J4499">
        <v>-159</v>
      </c>
      <c r="K4499">
        <v>192</v>
      </c>
      <c r="L4499">
        <v>1200</v>
      </c>
      <c r="M4499" t="str">
        <f t="shared" si="443"/>
        <v xml:space="preserve">N35DC   </v>
      </c>
      <c r="N4499">
        <v>1</v>
      </c>
      <c r="O4499">
        <v>1725</v>
      </c>
    </row>
    <row r="4500" spans="1:15" x14ac:dyDescent="0.25">
      <c r="A4500" t="str">
        <f>"10/21/2020 18:46:46.574"</f>
        <v>10/21/2020 18:46:46.574</v>
      </c>
      <c r="B4500" t="str">
        <f>"18:46:54.516"</f>
        <v>18:46:54.516</v>
      </c>
      <c r="C4500" t="str">
        <f>"18:46:54.216"</f>
        <v>18:46:54.216</v>
      </c>
      <c r="D4500" t="s">
        <v>1857</v>
      </c>
      <c r="E4500">
        <v>30.999212</v>
      </c>
      <c r="F4500" t="s">
        <v>1856</v>
      </c>
      <c r="G4500">
        <v>-89.855503999999996</v>
      </c>
      <c r="H4500">
        <v>1700</v>
      </c>
      <c r="I4500">
        <v>-8</v>
      </c>
      <c r="J4500">
        <v>-159</v>
      </c>
      <c r="K4500">
        <v>192</v>
      </c>
      <c r="L4500">
        <v>1200</v>
      </c>
      <c r="M4500" t="str">
        <f t="shared" si="443"/>
        <v xml:space="preserve">N35DC   </v>
      </c>
      <c r="N4500">
        <v>1</v>
      </c>
      <c r="O4500">
        <v>1725</v>
      </c>
    </row>
    <row r="4501" spans="1:15" x14ac:dyDescent="0.25">
      <c r="A4501" t="str">
        <f>"10/21/2020 18:46:49.483"</f>
        <v>10/21/2020 18:46:49.483</v>
      </c>
      <c r="B4501" t="str">
        <f>"18:46:57.430"</f>
        <v>18:46:57.430</v>
      </c>
      <c r="C4501" t="str">
        <f>"18:46:57.230"</f>
        <v>18:46:57.230</v>
      </c>
      <c r="D4501" t="s">
        <v>1545</v>
      </c>
      <c r="E4501">
        <v>30.997045</v>
      </c>
      <c r="F4501" t="s">
        <v>1858</v>
      </c>
      <c r="G4501">
        <v>-89.855632999999997</v>
      </c>
      <c r="H4501">
        <v>1700</v>
      </c>
      <c r="I4501">
        <v>-4</v>
      </c>
      <c r="J4501">
        <v>-158</v>
      </c>
      <c r="K4501">
        <v>64</v>
      </c>
      <c r="L4501">
        <v>1200</v>
      </c>
      <c r="M4501" t="str">
        <f t="shared" si="443"/>
        <v xml:space="preserve">N35DC   </v>
      </c>
      <c r="N4501">
        <v>1</v>
      </c>
      <c r="O4501">
        <v>1750</v>
      </c>
    </row>
    <row r="4502" spans="1:15" x14ac:dyDescent="0.25">
      <c r="A4502" t="str">
        <f>"10/21/2020 18:46:49.483"</f>
        <v>10/21/2020 18:46:49.483</v>
      </c>
      <c r="B4502" t="str">
        <f>"18:46:57.430"</f>
        <v>18:46:57.430</v>
      </c>
      <c r="C4502" t="str">
        <f>"18:46:57.230"</f>
        <v>18:46:57.230</v>
      </c>
      <c r="D4502" t="s">
        <v>1545</v>
      </c>
      <c r="E4502">
        <v>30.997045</v>
      </c>
      <c r="F4502" t="s">
        <v>1858</v>
      </c>
      <c r="G4502">
        <v>-89.855632999999997</v>
      </c>
      <c r="H4502">
        <v>1700</v>
      </c>
      <c r="I4502">
        <v>-4</v>
      </c>
      <c r="J4502">
        <v>-158</v>
      </c>
      <c r="K4502">
        <v>64</v>
      </c>
      <c r="L4502">
        <v>1200</v>
      </c>
      <c r="M4502" t="str">
        <f t="shared" si="443"/>
        <v xml:space="preserve">N35DC   </v>
      </c>
      <c r="N4502">
        <v>1</v>
      </c>
      <c r="O4502">
        <v>1750</v>
      </c>
    </row>
    <row r="4503" spans="1:15" x14ac:dyDescent="0.25">
      <c r="A4503" t="str">
        <f>"10/21/2020 18:46:49.483"</f>
        <v>10/21/2020 18:46:49.483</v>
      </c>
      <c r="B4503" t="str">
        <f>"18:46:57.430"</f>
        <v>18:46:57.430</v>
      </c>
      <c r="C4503" t="str">
        <f>"18:46:56.230"</f>
        <v>18:46:56.230</v>
      </c>
      <c r="D4503" t="s">
        <v>1545</v>
      </c>
      <c r="E4503">
        <v>30.997045</v>
      </c>
      <c r="F4503" t="s">
        <v>1858</v>
      </c>
      <c r="G4503">
        <v>-89.855632999999997</v>
      </c>
      <c r="H4503">
        <v>1700</v>
      </c>
      <c r="I4503">
        <v>-5</v>
      </c>
      <c r="J4503">
        <v>-158</v>
      </c>
      <c r="K4503">
        <v>192</v>
      </c>
      <c r="L4503">
        <v>1200</v>
      </c>
      <c r="M4503" t="str">
        <f t="shared" si="443"/>
        <v xml:space="preserve">N35DC   </v>
      </c>
      <c r="N4503">
        <v>1</v>
      </c>
      <c r="O4503">
        <v>1750</v>
      </c>
    </row>
    <row r="4504" spans="1:15" x14ac:dyDescent="0.25">
      <c r="A4504" t="str">
        <f>"10/21/2020 18:46:49.483"</f>
        <v>10/21/2020 18:46:49.483</v>
      </c>
      <c r="B4504" t="str">
        <f>"18:46:57.430"</f>
        <v>18:46:57.430</v>
      </c>
      <c r="C4504" t="str">
        <f>"18:46:57.230"</f>
        <v>18:46:57.230</v>
      </c>
      <c r="D4504" t="s">
        <v>1545</v>
      </c>
      <c r="E4504">
        <v>30.997045</v>
      </c>
      <c r="F4504" t="s">
        <v>1858</v>
      </c>
      <c r="G4504">
        <v>-89.855632999999997</v>
      </c>
      <c r="H4504">
        <v>1700</v>
      </c>
      <c r="I4504">
        <v>-4</v>
      </c>
      <c r="J4504">
        <v>-158</v>
      </c>
      <c r="K4504">
        <v>64</v>
      </c>
      <c r="L4504">
        <v>1200</v>
      </c>
      <c r="M4504" t="str">
        <f t="shared" si="443"/>
        <v xml:space="preserve">N35DC   </v>
      </c>
      <c r="N4504">
        <v>1</v>
      </c>
      <c r="O4504">
        <v>1750</v>
      </c>
    </row>
    <row r="4505" spans="1:15" x14ac:dyDescent="0.25">
      <c r="A4505" t="str">
        <f>"10/21/2020 18:46:50.480"</f>
        <v>10/21/2020 18:46:50.480</v>
      </c>
      <c r="B4505" t="str">
        <f>"18:46:58.445"</f>
        <v>18:46:58.445</v>
      </c>
      <c r="C4505" t="str">
        <f>"18:46:58.045"</f>
        <v>18:46:58.045</v>
      </c>
      <c r="D4505" t="s">
        <v>1859</v>
      </c>
      <c r="E4505">
        <v>30.996314999999999</v>
      </c>
      <c r="F4505" t="s">
        <v>1860</v>
      </c>
      <c r="G4505">
        <v>-89.855610999999996</v>
      </c>
      <c r="H4505">
        <v>1700</v>
      </c>
      <c r="I4505">
        <v>-3</v>
      </c>
      <c r="J4505">
        <v>-157</v>
      </c>
      <c r="K4505">
        <v>-64</v>
      </c>
      <c r="L4505">
        <v>1200</v>
      </c>
      <c r="M4505" t="str">
        <f t="shared" si="443"/>
        <v xml:space="preserve">N35DC   </v>
      </c>
      <c r="N4505">
        <v>1</v>
      </c>
      <c r="O4505">
        <v>1750</v>
      </c>
    </row>
    <row r="4506" spans="1:15" x14ac:dyDescent="0.25">
      <c r="A4506" t="str">
        <f>"10/21/2020 18:46:50.480"</f>
        <v>10/21/2020 18:46:50.480</v>
      </c>
      <c r="B4506" t="str">
        <f>"18:46:58.445"</f>
        <v>18:46:58.445</v>
      </c>
      <c r="C4506" t="str">
        <f>"18:46:58.045"</f>
        <v>18:46:58.045</v>
      </c>
      <c r="D4506" t="s">
        <v>1859</v>
      </c>
      <c r="E4506">
        <v>30.996314999999999</v>
      </c>
      <c r="F4506" t="s">
        <v>1860</v>
      </c>
      <c r="G4506">
        <v>-89.855610999999996</v>
      </c>
      <c r="H4506">
        <v>1700</v>
      </c>
      <c r="I4506">
        <v>-3</v>
      </c>
      <c r="J4506">
        <v>-157</v>
      </c>
      <c r="K4506">
        <v>-64</v>
      </c>
      <c r="L4506">
        <v>1200</v>
      </c>
      <c r="M4506" t="str">
        <f t="shared" si="443"/>
        <v xml:space="preserve">N35DC   </v>
      </c>
      <c r="N4506">
        <v>1</v>
      </c>
      <c r="O4506">
        <v>1750</v>
      </c>
    </row>
    <row r="4507" spans="1:15" x14ac:dyDescent="0.25">
      <c r="A4507" t="str">
        <f>"10/21/2020 18:46:50.480"</f>
        <v>10/21/2020 18:46:50.480</v>
      </c>
      <c r="B4507" t="str">
        <f>"18:46:58.445"</f>
        <v>18:46:58.445</v>
      </c>
      <c r="C4507" t="str">
        <f>"18:46:58.045"</f>
        <v>18:46:58.045</v>
      </c>
      <c r="D4507" t="s">
        <v>1859</v>
      </c>
      <c r="E4507">
        <v>30.996314999999999</v>
      </c>
      <c r="F4507" t="s">
        <v>1860</v>
      </c>
      <c r="G4507">
        <v>-89.855610999999996</v>
      </c>
      <c r="H4507">
        <v>1700</v>
      </c>
      <c r="I4507">
        <v>-3</v>
      </c>
      <c r="J4507">
        <v>-157</v>
      </c>
      <c r="K4507">
        <v>-64</v>
      </c>
      <c r="L4507">
        <v>1200</v>
      </c>
      <c r="M4507" t="str">
        <f t="shared" si="443"/>
        <v xml:space="preserve">N35DC   </v>
      </c>
      <c r="N4507">
        <v>1</v>
      </c>
      <c r="O4507">
        <v>1750</v>
      </c>
    </row>
    <row r="4508" spans="1:15" x14ac:dyDescent="0.25">
      <c r="A4508" t="str">
        <f>"10/21/2020 18:46:50.480"</f>
        <v>10/21/2020 18:46:50.480</v>
      </c>
      <c r="B4508" t="str">
        <f>"18:46:58.445"</f>
        <v>18:46:58.445</v>
      </c>
      <c r="C4508" t="str">
        <f>"18:46:58.045"</f>
        <v>18:46:58.045</v>
      </c>
      <c r="D4508" t="s">
        <v>1859</v>
      </c>
      <c r="E4508">
        <v>30.996314999999999</v>
      </c>
      <c r="F4508" t="s">
        <v>1860</v>
      </c>
      <c r="G4508">
        <v>-89.855610999999996</v>
      </c>
      <c r="H4508">
        <v>1700</v>
      </c>
      <c r="I4508">
        <v>-3</v>
      </c>
      <c r="J4508">
        <v>-157</v>
      </c>
      <c r="K4508">
        <v>-64</v>
      </c>
      <c r="L4508">
        <v>1200</v>
      </c>
      <c r="M4508" t="str">
        <f t="shared" si="443"/>
        <v xml:space="preserve">N35DC   </v>
      </c>
      <c r="N4508">
        <v>1</v>
      </c>
      <c r="O4508">
        <v>1750</v>
      </c>
    </row>
    <row r="4509" spans="1:15" x14ac:dyDescent="0.25">
      <c r="A4509" t="str">
        <f>"10/21/2020 18:46:53.665"</f>
        <v>10/21/2020 18:46:53.665</v>
      </c>
      <c r="B4509" t="str">
        <f>"18:47:01.555"</f>
        <v>18:47:01.555</v>
      </c>
      <c r="C4509" t="str">
        <f>"18:47:01.155"</f>
        <v>18:47:01.155</v>
      </c>
      <c r="D4509" t="s">
        <v>1861</v>
      </c>
      <c r="E4509">
        <v>30.994062</v>
      </c>
      <c r="F4509" t="s">
        <v>1858</v>
      </c>
      <c r="G4509">
        <v>-89.855632999999997</v>
      </c>
      <c r="H4509">
        <v>1700</v>
      </c>
      <c r="I4509">
        <v>0</v>
      </c>
      <c r="J4509">
        <v>-156</v>
      </c>
      <c r="K4509">
        <v>-64</v>
      </c>
      <c r="L4509">
        <v>1200</v>
      </c>
      <c r="M4509" t="str">
        <f t="shared" si="443"/>
        <v xml:space="preserve">N35DC   </v>
      </c>
      <c r="N4509">
        <v>1</v>
      </c>
      <c r="O4509">
        <v>1750</v>
      </c>
    </row>
    <row r="4510" spans="1:15" x14ac:dyDescent="0.25">
      <c r="A4510" t="str">
        <f>"10/21/2020 18:46:53.665"</f>
        <v>10/21/2020 18:46:53.665</v>
      </c>
      <c r="B4510" t="str">
        <f>"18:47:01.555"</f>
        <v>18:47:01.555</v>
      </c>
      <c r="C4510" t="str">
        <f>"18:47:01.155"</f>
        <v>18:47:01.155</v>
      </c>
      <c r="D4510" t="s">
        <v>1861</v>
      </c>
      <c r="E4510">
        <v>30.994062</v>
      </c>
      <c r="F4510" t="s">
        <v>1858</v>
      </c>
      <c r="G4510">
        <v>-89.855632999999997</v>
      </c>
      <c r="H4510">
        <v>1700</v>
      </c>
      <c r="I4510">
        <v>0</v>
      </c>
      <c r="J4510">
        <v>-156</v>
      </c>
      <c r="K4510">
        <v>-64</v>
      </c>
      <c r="L4510">
        <v>1200</v>
      </c>
      <c r="M4510" t="str">
        <f t="shared" si="443"/>
        <v xml:space="preserve">N35DC   </v>
      </c>
      <c r="N4510">
        <v>1</v>
      </c>
      <c r="O4510">
        <v>1750</v>
      </c>
    </row>
    <row r="4511" spans="1:15" x14ac:dyDescent="0.25">
      <c r="A4511" t="str">
        <f>"10/21/2020 18:46:53.665"</f>
        <v>10/21/2020 18:46:53.665</v>
      </c>
      <c r="B4511" t="str">
        <f>"18:47:01.555"</f>
        <v>18:47:01.555</v>
      </c>
      <c r="C4511" t="str">
        <f>"18:47:01.155"</f>
        <v>18:47:01.155</v>
      </c>
      <c r="D4511" t="s">
        <v>1861</v>
      </c>
      <c r="E4511">
        <v>30.994062</v>
      </c>
      <c r="F4511" t="s">
        <v>1858</v>
      </c>
      <c r="G4511">
        <v>-89.855632999999997</v>
      </c>
      <c r="H4511">
        <v>1700</v>
      </c>
      <c r="I4511">
        <v>0</v>
      </c>
      <c r="J4511">
        <v>-156</v>
      </c>
      <c r="K4511">
        <v>-64</v>
      </c>
      <c r="L4511">
        <v>1200</v>
      </c>
      <c r="M4511" t="str">
        <f t="shared" si="443"/>
        <v xml:space="preserve">N35DC   </v>
      </c>
      <c r="N4511">
        <v>1</v>
      </c>
      <c r="O4511">
        <v>1750</v>
      </c>
    </row>
    <row r="4512" spans="1:15" x14ac:dyDescent="0.25">
      <c r="A4512" t="str">
        <f>"10/21/2020 18:46:54.167"</f>
        <v>10/21/2020 18:46:54.167</v>
      </c>
      <c r="B4512" t="str">
        <f>"18:47:02.063"</f>
        <v>18:47:02.063</v>
      </c>
      <c r="C4512" t="str">
        <f>"18:47:01.663"</f>
        <v>18:47:01.663</v>
      </c>
      <c r="D4512" t="s">
        <v>1862</v>
      </c>
      <c r="E4512">
        <v>30.993676000000001</v>
      </c>
      <c r="F4512" t="s">
        <v>1863</v>
      </c>
      <c r="G4512">
        <v>-89.855676000000003</v>
      </c>
      <c r="H4512">
        <v>1700</v>
      </c>
      <c r="I4512">
        <v>0</v>
      </c>
      <c r="J4512">
        <v>-156</v>
      </c>
      <c r="K4512">
        <v>-128</v>
      </c>
      <c r="L4512">
        <v>1200</v>
      </c>
      <c r="M4512" t="str">
        <f t="shared" si="443"/>
        <v xml:space="preserve">N35DC   </v>
      </c>
      <c r="N4512">
        <v>1</v>
      </c>
      <c r="O4512">
        <v>1750</v>
      </c>
    </row>
    <row r="4513" spans="1:15" x14ac:dyDescent="0.25">
      <c r="A4513" t="str">
        <f>"10/21/2020 18:46:54.675"</f>
        <v>10/21/2020 18:46:54.675</v>
      </c>
      <c r="B4513" t="str">
        <f t="shared" ref="B4513:C4515" si="444">"18:47:02.602"</f>
        <v>18:47:02.602</v>
      </c>
      <c r="C4513" t="str">
        <f t="shared" si="444"/>
        <v>18:47:02.602</v>
      </c>
      <c r="D4513" t="s">
        <v>1864</v>
      </c>
      <c r="E4513">
        <v>30.993268</v>
      </c>
      <c r="F4513" t="s">
        <v>1858</v>
      </c>
      <c r="G4513">
        <v>-89.855632999999997</v>
      </c>
      <c r="H4513">
        <v>1700</v>
      </c>
      <c r="I4513">
        <v>1</v>
      </c>
      <c r="J4513">
        <v>-156</v>
      </c>
      <c r="K4513">
        <v>-128</v>
      </c>
      <c r="L4513">
        <v>1200</v>
      </c>
      <c r="M4513" t="str">
        <f t="shared" si="443"/>
        <v xml:space="preserve">N35DC   </v>
      </c>
      <c r="N4513">
        <v>1</v>
      </c>
      <c r="O4513">
        <v>1725</v>
      </c>
    </row>
    <row r="4514" spans="1:15" x14ac:dyDescent="0.25">
      <c r="A4514" t="str">
        <f>"10/21/2020 18:46:54.675"</f>
        <v>10/21/2020 18:46:54.675</v>
      </c>
      <c r="B4514" t="str">
        <f t="shared" si="444"/>
        <v>18:47:02.602</v>
      </c>
      <c r="C4514" t="str">
        <f t="shared" si="444"/>
        <v>18:47:02.602</v>
      </c>
      <c r="D4514" t="s">
        <v>1864</v>
      </c>
      <c r="E4514">
        <v>30.993268</v>
      </c>
      <c r="F4514" t="s">
        <v>1858</v>
      </c>
      <c r="G4514">
        <v>-89.855632999999997</v>
      </c>
      <c r="H4514">
        <v>1700</v>
      </c>
      <c r="I4514">
        <v>1</v>
      </c>
      <c r="J4514">
        <v>-156</v>
      </c>
      <c r="K4514">
        <v>-128</v>
      </c>
      <c r="L4514">
        <v>1200</v>
      </c>
      <c r="M4514" t="str">
        <f t="shared" si="443"/>
        <v xml:space="preserve">N35DC   </v>
      </c>
      <c r="N4514">
        <v>1</v>
      </c>
      <c r="O4514">
        <v>1725</v>
      </c>
    </row>
    <row r="4515" spans="1:15" x14ac:dyDescent="0.25">
      <c r="A4515" t="str">
        <f>"10/21/2020 18:46:54.675"</f>
        <v>10/21/2020 18:46:54.675</v>
      </c>
      <c r="B4515" t="str">
        <f t="shared" si="444"/>
        <v>18:47:02.602</v>
      </c>
      <c r="C4515" t="str">
        <f t="shared" si="444"/>
        <v>18:47:02.602</v>
      </c>
      <c r="D4515" t="s">
        <v>1864</v>
      </c>
      <c r="E4515">
        <v>30.993268</v>
      </c>
      <c r="F4515" t="s">
        <v>1858</v>
      </c>
      <c r="G4515">
        <v>-89.855632999999997</v>
      </c>
      <c r="H4515">
        <v>1700</v>
      </c>
      <c r="I4515">
        <v>1</v>
      </c>
      <c r="J4515">
        <v>-156</v>
      </c>
      <c r="K4515">
        <v>-128</v>
      </c>
      <c r="L4515">
        <v>1200</v>
      </c>
      <c r="M4515" t="str">
        <f t="shared" si="443"/>
        <v xml:space="preserve">N35DC   </v>
      </c>
      <c r="N4515">
        <v>1</v>
      </c>
      <c r="O4515">
        <v>1725</v>
      </c>
    </row>
    <row r="4516" spans="1:15" x14ac:dyDescent="0.25">
      <c r="A4516" t="str">
        <f>"10/21/2020 18:46:56.706"</f>
        <v>10/21/2020 18:46:56.706</v>
      </c>
      <c r="B4516" t="str">
        <f>"18:47:04.625"</f>
        <v>18:47:04.625</v>
      </c>
      <c r="C4516" t="str">
        <f>"18:47:04.125"</f>
        <v>18:47:04.125</v>
      </c>
      <c r="D4516" t="s">
        <v>1865</v>
      </c>
      <c r="E4516">
        <v>30.991831000000001</v>
      </c>
      <c r="F4516" t="s">
        <v>1858</v>
      </c>
      <c r="G4516">
        <v>-89.855632999999997</v>
      </c>
      <c r="H4516">
        <v>1700</v>
      </c>
      <c r="I4516">
        <v>1</v>
      </c>
      <c r="J4516">
        <v>-156</v>
      </c>
      <c r="K4516">
        <v>-192</v>
      </c>
      <c r="L4516">
        <v>1200</v>
      </c>
      <c r="M4516" t="str">
        <f t="shared" si="443"/>
        <v xml:space="preserve">N35DC   </v>
      </c>
      <c r="N4516">
        <v>1</v>
      </c>
      <c r="O4516">
        <v>1725</v>
      </c>
    </row>
    <row r="4517" spans="1:15" x14ac:dyDescent="0.25">
      <c r="A4517" t="str">
        <f>"10/21/2020 18:46:57.186"</f>
        <v>10/21/2020 18:46:57.186</v>
      </c>
      <c r="B4517" t="str">
        <f>"18:47:05.094"</f>
        <v>18:47:05.094</v>
      </c>
      <c r="C4517" t="str">
        <f>"18:47:05.094"</f>
        <v>18:47:05.094</v>
      </c>
      <c r="D4517" t="s">
        <v>1866</v>
      </c>
      <c r="E4517">
        <v>30.991509000000001</v>
      </c>
      <c r="F4517" t="s">
        <v>1858</v>
      </c>
      <c r="G4517">
        <v>-89.855632999999997</v>
      </c>
      <c r="H4517">
        <v>1600</v>
      </c>
      <c r="I4517">
        <v>2</v>
      </c>
      <c r="J4517">
        <v>-156</v>
      </c>
      <c r="K4517">
        <v>-320</v>
      </c>
      <c r="L4517">
        <v>1200</v>
      </c>
      <c r="M4517" t="str">
        <f t="shared" si="443"/>
        <v xml:space="preserve">N35DC   </v>
      </c>
      <c r="N4517">
        <v>1</v>
      </c>
      <c r="O4517">
        <v>1825</v>
      </c>
    </row>
    <row r="4518" spans="1:15" x14ac:dyDescent="0.25">
      <c r="A4518" t="str">
        <f>"10/21/2020 18:46:57.603"</f>
        <v>10/21/2020 18:46:57.603</v>
      </c>
      <c r="B4518" t="str">
        <f>"18:47:05.516"</f>
        <v>18:47:05.516</v>
      </c>
      <c r="C4518" t="str">
        <f>"18:47:05.116"</f>
        <v>18:47:05.116</v>
      </c>
      <c r="D4518" t="s">
        <v>1867</v>
      </c>
      <c r="E4518">
        <v>30.991166</v>
      </c>
      <c r="F4518" t="s">
        <v>1858</v>
      </c>
      <c r="G4518">
        <v>-89.855632999999997</v>
      </c>
      <c r="H4518">
        <v>1600</v>
      </c>
      <c r="I4518">
        <v>2</v>
      </c>
      <c r="J4518">
        <v>-156</v>
      </c>
      <c r="K4518">
        <v>-320</v>
      </c>
      <c r="L4518">
        <v>1200</v>
      </c>
      <c r="M4518" t="str">
        <f t="shared" si="443"/>
        <v xml:space="preserve">N35DC   </v>
      </c>
      <c r="N4518">
        <v>1</v>
      </c>
      <c r="O4518">
        <v>1825</v>
      </c>
    </row>
    <row r="4519" spans="1:15" x14ac:dyDescent="0.25">
      <c r="A4519" t="str">
        <f>"10/21/2020 18:46:57.603"</f>
        <v>10/21/2020 18:46:57.603</v>
      </c>
      <c r="B4519" t="str">
        <f>"18:47:05.516"</f>
        <v>18:47:05.516</v>
      </c>
      <c r="C4519" t="str">
        <f>"18:47:05.116"</f>
        <v>18:47:05.116</v>
      </c>
      <c r="D4519" t="s">
        <v>1867</v>
      </c>
      <c r="E4519">
        <v>30.991166</v>
      </c>
      <c r="F4519" t="s">
        <v>1858</v>
      </c>
      <c r="G4519">
        <v>-89.855632999999997</v>
      </c>
      <c r="H4519">
        <v>1600</v>
      </c>
      <c r="I4519">
        <v>2</v>
      </c>
      <c r="J4519">
        <v>-156</v>
      </c>
      <c r="K4519">
        <v>-320</v>
      </c>
      <c r="L4519">
        <v>1200</v>
      </c>
      <c r="M4519" t="str">
        <f t="shared" si="443"/>
        <v xml:space="preserve">N35DC   </v>
      </c>
      <c r="N4519">
        <v>1</v>
      </c>
      <c r="O4519">
        <v>1825</v>
      </c>
    </row>
    <row r="4520" spans="1:15" x14ac:dyDescent="0.25">
      <c r="A4520" t="str">
        <f>"10/21/2020 18:46:57.603"</f>
        <v>10/21/2020 18:46:57.603</v>
      </c>
      <c r="B4520" t="str">
        <f>"18:47:05.516"</f>
        <v>18:47:05.516</v>
      </c>
      <c r="C4520" t="str">
        <f>"18:47:05.116"</f>
        <v>18:47:05.116</v>
      </c>
      <c r="D4520" t="s">
        <v>1867</v>
      </c>
      <c r="E4520">
        <v>30.991166</v>
      </c>
      <c r="F4520" t="s">
        <v>1858</v>
      </c>
      <c r="G4520">
        <v>-89.855632999999997</v>
      </c>
      <c r="H4520">
        <v>1600</v>
      </c>
      <c r="I4520">
        <v>2</v>
      </c>
      <c r="J4520">
        <v>-156</v>
      </c>
      <c r="K4520">
        <v>-320</v>
      </c>
      <c r="L4520">
        <v>1200</v>
      </c>
      <c r="M4520" t="str">
        <f t="shared" si="443"/>
        <v xml:space="preserve">N35DC   </v>
      </c>
      <c r="N4520">
        <v>1</v>
      </c>
      <c r="O4520">
        <v>1825</v>
      </c>
    </row>
    <row r="4521" spans="1:15" x14ac:dyDescent="0.25">
      <c r="A4521" t="str">
        <f>"10/21/2020 18:46:57.603"</f>
        <v>10/21/2020 18:46:57.603</v>
      </c>
      <c r="B4521" t="str">
        <f>"18:47:05.516"</f>
        <v>18:47:05.516</v>
      </c>
      <c r="C4521" t="str">
        <f>"18:47:05.116"</f>
        <v>18:47:05.116</v>
      </c>
      <c r="D4521" t="s">
        <v>1867</v>
      </c>
      <c r="E4521">
        <v>30.991166</v>
      </c>
      <c r="F4521" t="s">
        <v>1858</v>
      </c>
      <c r="G4521">
        <v>-89.855632999999997</v>
      </c>
      <c r="H4521">
        <v>1600</v>
      </c>
      <c r="I4521">
        <v>2</v>
      </c>
      <c r="J4521">
        <v>-156</v>
      </c>
      <c r="K4521">
        <v>-320</v>
      </c>
      <c r="L4521">
        <v>1200</v>
      </c>
      <c r="M4521" t="str">
        <f t="shared" si="443"/>
        <v xml:space="preserve">N35DC   </v>
      </c>
      <c r="N4521">
        <v>1</v>
      </c>
      <c r="O4521">
        <v>1825</v>
      </c>
    </row>
    <row r="4522" spans="1:15" x14ac:dyDescent="0.25">
      <c r="A4522" t="str">
        <f>"10/21/2020 18:47:00.675"</f>
        <v>10/21/2020 18:47:00.675</v>
      </c>
      <c r="B4522" t="str">
        <f>"18:47:08.586"</f>
        <v>18:47:08.586</v>
      </c>
      <c r="C4522" t="str">
        <f>"18:47:08.286"</f>
        <v>18:47:08.286</v>
      </c>
      <c r="D4522" t="s">
        <v>1868</v>
      </c>
      <c r="E4522">
        <v>30.988934</v>
      </c>
      <c r="F4522" t="s">
        <v>1869</v>
      </c>
      <c r="G4522">
        <v>-89.855590000000007</v>
      </c>
      <c r="H4522">
        <v>1600</v>
      </c>
      <c r="I4522">
        <v>2</v>
      </c>
      <c r="J4522">
        <v>-157</v>
      </c>
      <c r="K4522">
        <v>-384</v>
      </c>
      <c r="L4522">
        <v>1200</v>
      </c>
      <c r="M4522" t="str">
        <f t="shared" si="443"/>
        <v xml:space="preserve">N35DC   </v>
      </c>
      <c r="N4522">
        <v>1</v>
      </c>
      <c r="O4522">
        <v>1700</v>
      </c>
    </row>
    <row r="4523" spans="1:15" x14ac:dyDescent="0.25">
      <c r="A4523" t="str">
        <f>"10/21/2020 18:47:00.675"</f>
        <v>10/21/2020 18:47:00.675</v>
      </c>
      <c r="B4523" t="str">
        <f>"18:47:08.586"</f>
        <v>18:47:08.586</v>
      </c>
      <c r="C4523" t="str">
        <f>"18:47:07.686"</f>
        <v>18:47:07.686</v>
      </c>
      <c r="D4523" t="s">
        <v>1868</v>
      </c>
      <c r="E4523">
        <v>30.988934</v>
      </c>
      <c r="F4523" t="s">
        <v>1869</v>
      </c>
      <c r="G4523">
        <v>-89.855590000000007</v>
      </c>
      <c r="H4523">
        <v>1600</v>
      </c>
      <c r="I4523">
        <v>2</v>
      </c>
      <c r="J4523">
        <v>-157</v>
      </c>
      <c r="K4523">
        <v>-384</v>
      </c>
      <c r="L4523">
        <v>1200</v>
      </c>
      <c r="M4523" t="str">
        <f t="shared" si="443"/>
        <v xml:space="preserve">N35DC   </v>
      </c>
      <c r="N4523">
        <v>1</v>
      </c>
      <c r="O4523">
        <v>1700</v>
      </c>
    </row>
    <row r="4524" spans="1:15" x14ac:dyDescent="0.25">
      <c r="A4524" t="str">
        <f>"10/21/2020 18:47:00.675"</f>
        <v>10/21/2020 18:47:00.675</v>
      </c>
      <c r="B4524" t="str">
        <f>"18:47:08.586"</f>
        <v>18:47:08.586</v>
      </c>
      <c r="C4524" t="str">
        <f>"18:47:08.286"</f>
        <v>18:47:08.286</v>
      </c>
      <c r="D4524" t="s">
        <v>1868</v>
      </c>
      <c r="E4524">
        <v>30.988934</v>
      </c>
      <c r="F4524" t="s">
        <v>1869</v>
      </c>
      <c r="G4524">
        <v>-89.855590000000007</v>
      </c>
      <c r="H4524">
        <v>1600</v>
      </c>
      <c r="I4524">
        <v>2</v>
      </c>
      <c r="J4524">
        <v>-157</v>
      </c>
      <c r="K4524">
        <v>-384</v>
      </c>
      <c r="L4524">
        <v>1200</v>
      </c>
      <c r="M4524" t="str">
        <f t="shared" si="443"/>
        <v xml:space="preserve">N35DC   </v>
      </c>
      <c r="N4524">
        <v>1</v>
      </c>
      <c r="O4524">
        <v>1700</v>
      </c>
    </row>
    <row r="4525" spans="1:15" x14ac:dyDescent="0.25">
      <c r="A4525" t="str">
        <f>"10/21/2020 18:47:00.675"</f>
        <v>10/21/2020 18:47:00.675</v>
      </c>
      <c r="B4525" t="str">
        <f>"18:47:08.586"</f>
        <v>18:47:08.586</v>
      </c>
      <c r="C4525" t="str">
        <f>"18:47:08.286"</f>
        <v>18:47:08.286</v>
      </c>
      <c r="D4525" t="s">
        <v>1868</v>
      </c>
      <c r="E4525">
        <v>30.988934</v>
      </c>
      <c r="F4525" t="s">
        <v>1869</v>
      </c>
      <c r="G4525">
        <v>-89.855590000000007</v>
      </c>
      <c r="H4525">
        <v>1600</v>
      </c>
      <c r="I4525">
        <v>2</v>
      </c>
      <c r="J4525">
        <v>-157</v>
      </c>
      <c r="K4525">
        <v>-384</v>
      </c>
      <c r="L4525">
        <v>1200</v>
      </c>
      <c r="M4525" t="str">
        <f t="shared" si="443"/>
        <v xml:space="preserve">N35DC   </v>
      </c>
      <c r="N4525">
        <v>1</v>
      </c>
      <c r="O4525">
        <v>1700</v>
      </c>
    </row>
    <row r="4526" spans="1:15" x14ac:dyDescent="0.25">
      <c r="A4526" t="str">
        <f>"10/21/2020 18:47:00.675"</f>
        <v>10/21/2020 18:47:00.675</v>
      </c>
      <c r="B4526" t="str">
        <f>"18:47:08.586"</f>
        <v>18:47:08.586</v>
      </c>
      <c r="C4526" t="str">
        <f>"18:47:08.286"</f>
        <v>18:47:08.286</v>
      </c>
      <c r="D4526" t="s">
        <v>1868</v>
      </c>
      <c r="E4526">
        <v>30.988934</v>
      </c>
      <c r="F4526" t="s">
        <v>1869</v>
      </c>
      <c r="G4526">
        <v>-89.855590000000007</v>
      </c>
      <c r="H4526">
        <v>1600</v>
      </c>
      <c r="I4526">
        <v>2</v>
      </c>
      <c r="J4526">
        <v>-157</v>
      </c>
      <c r="K4526">
        <v>-384</v>
      </c>
      <c r="L4526">
        <v>1200</v>
      </c>
      <c r="M4526" t="str">
        <f t="shared" si="443"/>
        <v xml:space="preserve">N35DC   </v>
      </c>
      <c r="N4526">
        <v>1</v>
      </c>
      <c r="O4526">
        <v>1700</v>
      </c>
    </row>
    <row r="4527" spans="1:15" x14ac:dyDescent="0.25">
      <c r="A4527" t="str">
        <f>"10/21/2020 18:47:04.125"</f>
        <v>10/21/2020 18:47:04.125</v>
      </c>
      <c r="B4527" t="str">
        <f>"18:47:12.039"</f>
        <v>18:47:12.039</v>
      </c>
      <c r="C4527" t="str">
        <f>"18:47:11.739"</f>
        <v>18:47:11.739</v>
      </c>
      <c r="D4527" t="s">
        <v>1870</v>
      </c>
      <c r="E4527">
        <v>30.986445</v>
      </c>
      <c r="F4527" t="s">
        <v>1871</v>
      </c>
      <c r="G4527">
        <v>-89.855568000000005</v>
      </c>
      <c r="H4527">
        <v>1600</v>
      </c>
      <c r="I4527">
        <v>2</v>
      </c>
      <c r="J4527">
        <v>-157</v>
      </c>
      <c r="K4527">
        <v>-320</v>
      </c>
      <c r="L4527">
        <v>1200</v>
      </c>
      <c r="M4527" t="str">
        <f t="shared" si="443"/>
        <v xml:space="preserve">N35DC   </v>
      </c>
      <c r="N4527">
        <v>1</v>
      </c>
      <c r="O4527">
        <v>1700</v>
      </c>
    </row>
    <row r="4528" spans="1:15" x14ac:dyDescent="0.25">
      <c r="A4528" t="str">
        <f>"10/21/2020 18:47:04.579"</f>
        <v>10/21/2020 18:47:04.579</v>
      </c>
      <c r="B4528" t="str">
        <f>"18:47:12.531"</f>
        <v>18:47:12.531</v>
      </c>
      <c r="C4528" t="str">
        <f>"18:47:12.331"</f>
        <v>18:47:12.331</v>
      </c>
      <c r="D4528" t="s">
        <v>1872</v>
      </c>
      <c r="E4528">
        <v>30.986059000000001</v>
      </c>
      <c r="F4528" t="s">
        <v>1871</v>
      </c>
      <c r="G4528">
        <v>-89.855568000000005</v>
      </c>
      <c r="H4528">
        <v>1600</v>
      </c>
      <c r="I4528">
        <v>3</v>
      </c>
      <c r="J4528">
        <v>-157</v>
      </c>
      <c r="K4528">
        <v>-320</v>
      </c>
      <c r="L4528">
        <v>1200</v>
      </c>
      <c r="M4528" t="str">
        <f t="shared" si="443"/>
        <v xml:space="preserve">N35DC   </v>
      </c>
      <c r="N4528">
        <v>1</v>
      </c>
      <c r="O4528">
        <v>1675</v>
      </c>
    </row>
    <row r="4529" spans="1:15" x14ac:dyDescent="0.25">
      <c r="A4529" t="str">
        <f>"10/21/2020 18:47:04.579"</f>
        <v>10/21/2020 18:47:04.579</v>
      </c>
      <c r="B4529" t="str">
        <f>"18:47:12.531"</f>
        <v>18:47:12.531</v>
      </c>
      <c r="C4529" t="str">
        <f>"18:47:12.331"</f>
        <v>18:47:12.331</v>
      </c>
      <c r="D4529" t="s">
        <v>1872</v>
      </c>
      <c r="E4529">
        <v>30.986059000000001</v>
      </c>
      <c r="F4529" t="s">
        <v>1871</v>
      </c>
      <c r="G4529">
        <v>-89.855568000000005</v>
      </c>
      <c r="H4529">
        <v>1600</v>
      </c>
      <c r="I4529">
        <v>3</v>
      </c>
      <c r="J4529">
        <v>-157</v>
      </c>
      <c r="K4529">
        <v>-320</v>
      </c>
      <c r="L4529">
        <v>1200</v>
      </c>
      <c r="M4529" t="str">
        <f t="shared" si="443"/>
        <v xml:space="preserve">N35DC   </v>
      </c>
      <c r="N4529">
        <v>1</v>
      </c>
      <c r="O4529">
        <v>1675</v>
      </c>
    </row>
    <row r="4530" spans="1:15" x14ac:dyDescent="0.25">
      <c r="A4530" t="str">
        <f>"10/21/2020 18:47:04.579"</f>
        <v>10/21/2020 18:47:04.579</v>
      </c>
      <c r="B4530" t="str">
        <f>"18:47:12.531"</f>
        <v>18:47:12.531</v>
      </c>
      <c r="C4530" t="str">
        <f>"18:47:12.331"</f>
        <v>18:47:12.331</v>
      </c>
      <c r="D4530" t="s">
        <v>1872</v>
      </c>
      <c r="E4530">
        <v>30.986059000000001</v>
      </c>
      <c r="F4530" t="s">
        <v>1871</v>
      </c>
      <c r="G4530">
        <v>-89.855568000000005</v>
      </c>
      <c r="H4530">
        <v>1600</v>
      </c>
      <c r="I4530">
        <v>3</v>
      </c>
      <c r="J4530">
        <v>-157</v>
      </c>
      <c r="K4530">
        <v>-320</v>
      </c>
      <c r="L4530">
        <v>1200</v>
      </c>
      <c r="M4530" t="str">
        <f t="shared" si="443"/>
        <v xml:space="preserve">N35DC   </v>
      </c>
      <c r="N4530">
        <v>1</v>
      </c>
      <c r="O4530">
        <v>1675</v>
      </c>
    </row>
    <row r="4531" spans="1:15" x14ac:dyDescent="0.25">
      <c r="A4531" t="str">
        <f>"10/21/2020 18:47:04.579"</f>
        <v>10/21/2020 18:47:04.579</v>
      </c>
      <c r="B4531" t="str">
        <f>"18:47:12.531"</f>
        <v>18:47:12.531</v>
      </c>
      <c r="C4531" t="str">
        <f>"18:47:12.331"</f>
        <v>18:47:12.331</v>
      </c>
      <c r="D4531" t="s">
        <v>1872</v>
      </c>
      <c r="E4531">
        <v>30.986059000000001</v>
      </c>
      <c r="F4531" t="s">
        <v>1871</v>
      </c>
      <c r="G4531">
        <v>-89.855568000000005</v>
      </c>
      <c r="H4531">
        <v>1600</v>
      </c>
      <c r="I4531">
        <v>3</v>
      </c>
      <c r="J4531">
        <v>-157</v>
      </c>
      <c r="K4531">
        <v>-320</v>
      </c>
      <c r="L4531">
        <v>1200</v>
      </c>
      <c r="M4531" t="str">
        <f t="shared" si="443"/>
        <v xml:space="preserve">N35DC   </v>
      </c>
      <c r="N4531">
        <v>1</v>
      </c>
      <c r="O4531">
        <v>1675</v>
      </c>
    </row>
    <row r="4532" spans="1:15" x14ac:dyDescent="0.25">
      <c r="A4532" t="str">
        <f>"10/21/2020 18:47:05.080"</f>
        <v>10/21/2020 18:47:05.080</v>
      </c>
      <c r="B4532" t="str">
        <f>"18:47:12.969"</f>
        <v>18:47:12.969</v>
      </c>
      <c r="C4532" t="str">
        <f>"18:47:12.769"</f>
        <v>18:47:12.769</v>
      </c>
      <c r="D4532" t="s">
        <v>1873</v>
      </c>
      <c r="E4532">
        <v>30.985737</v>
      </c>
      <c r="F4532" t="s">
        <v>1874</v>
      </c>
      <c r="G4532">
        <v>-89.855525</v>
      </c>
      <c r="H4532">
        <v>1600</v>
      </c>
      <c r="I4532">
        <v>3</v>
      </c>
      <c r="J4532">
        <v>-157</v>
      </c>
      <c r="K4532">
        <v>-320</v>
      </c>
      <c r="L4532">
        <v>1200</v>
      </c>
      <c r="M4532" t="str">
        <f t="shared" si="443"/>
        <v xml:space="preserve">N35DC   </v>
      </c>
      <c r="N4532">
        <v>1</v>
      </c>
      <c r="O4532">
        <v>1675</v>
      </c>
    </row>
    <row r="4533" spans="1:15" x14ac:dyDescent="0.25">
      <c r="A4533" t="str">
        <f>"10/21/2020 18:47:05.548"</f>
        <v>10/21/2020 18:47:05.548</v>
      </c>
      <c r="B4533" t="str">
        <f>"18:47:13.492"</f>
        <v>18:47:13.492</v>
      </c>
      <c r="C4533" t="str">
        <f>"18:47:13.292"</f>
        <v>18:47:13.292</v>
      </c>
      <c r="D4533" t="s">
        <v>1875</v>
      </c>
      <c r="E4533">
        <v>30.985351000000001</v>
      </c>
      <c r="F4533" t="s">
        <v>1874</v>
      </c>
      <c r="G4533">
        <v>-89.855525</v>
      </c>
      <c r="H4533">
        <v>1600</v>
      </c>
      <c r="I4533">
        <v>3</v>
      </c>
      <c r="J4533">
        <v>-157</v>
      </c>
      <c r="K4533">
        <v>-320</v>
      </c>
      <c r="L4533">
        <v>1200</v>
      </c>
      <c r="M4533" t="str">
        <f t="shared" si="443"/>
        <v xml:space="preserve">N35DC   </v>
      </c>
      <c r="N4533">
        <v>1</v>
      </c>
      <c r="O4533">
        <v>1675</v>
      </c>
    </row>
    <row r="4534" spans="1:15" x14ac:dyDescent="0.25">
      <c r="A4534" t="str">
        <f>"10/21/2020 18:47:05.548"</f>
        <v>10/21/2020 18:47:05.548</v>
      </c>
      <c r="B4534" t="str">
        <f>"18:47:13.492"</f>
        <v>18:47:13.492</v>
      </c>
      <c r="C4534" t="str">
        <f>"18:47:13.292"</f>
        <v>18:47:13.292</v>
      </c>
      <c r="D4534" t="s">
        <v>1875</v>
      </c>
      <c r="E4534">
        <v>30.985351000000001</v>
      </c>
      <c r="F4534" t="s">
        <v>1874</v>
      </c>
      <c r="G4534">
        <v>-89.855525</v>
      </c>
      <c r="H4534">
        <v>1600</v>
      </c>
      <c r="I4534">
        <v>3</v>
      </c>
      <c r="J4534">
        <v>-157</v>
      </c>
      <c r="K4534">
        <v>-320</v>
      </c>
      <c r="L4534">
        <v>1200</v>
      </c>
      <c r="M4534" t="str">
        <f t="shared" si="443"/>
        <v xml:space="preserve">N35DC   </v>
      </c>
      <c r="N4534">
        <v>1</v>
      </c>
      <c r="O4534">
        <v>1675</v>
      </c>
    </row>
    <row r="4535" spans="1:15" x14ac:dyDescent="0.25">
      <c r="A4535" t="str">
        <f>"10/21/2020 18:47:05.548"</f>
        <v>10/21/2020 18:47:05.548</v>
      </c>
      <c r="B4535" t="str">
        <f>"18:47:13.492"</f>
        <v>18:47:13.492</v>
      </c>
      <c r="C4535" t="str">
        <f>"18:47:12.292"</f>
        <v>18:47:12.292</v>
      </c>
      <c r="D4535" t="s">
        <v>1875</v>
      </c>
      <c r="E4535">
        <v>30.985351000000001</v>
      </c>
      <c r="F4535" t="s">
        <v>1874</v>
      </c>
      <c r="G4535">
        <v>-89.855525</v>
      </c>
      <c r="H4535">
        <v>1600</v>
      </c>
      <c r="I4535">
        <v>3</v>
      </c>
      <c r="J4535">
        <v>-157</v>
      </c>
      <c r="K4535">
        <v>-320</v>
      </c>
      <c r="L4535">
        <v>1200</v>
      </c>
      <c r="M4535" t="str">
        <f t="shared" si="443"/>
        <v xml:space="preserve">N35DC   </v>
      </c>
      <c r="N4535">
        <v>1</v>
      </c>
      <c r="O4535">
        <v>1675</v>
      </c>
    </row>
    <row r="4536" spans="1:15" x14ac:dyDescent="0.25">
      <c r="A4536" t="str">
        <f>"10/21/2020 18:47:05.548"</f>
        <v>10/21/2020 18:47:05.548</v>
      </c>
      <c r="B4536" t="str">
        <f>"18:47:13.492"</f>
        <v>18:47:13.492</v>
      </c>
      <c r="C4536" t="str">
        <f>"18:47:13.292"</f>
        <v>18:47:13.292</v>
      </c>
      <c r="D4536" t="s">
        <v>1875</v>
      </c>
      <c r="E4536">
        <v>30.985351000000001</v>
      </c>
      <c r="F4536" t="s">
        <v>1874</v>
      </c>
      <c r="G4536">
        <v>-89.855525</v>
      </c>
      <c r="H4536">
        <v>1600</v>
      </c>
      <c r="I4536">
        <v>3</v>
      </c>
      <c r="J4536">
        <v>-157</v>
      </c>
      <c r="K4536">
        <v>-320</v>
      </c>
      <c r="L4536">
        <v>1200</v>
      </c>
      <c r="M4536" t="str">
        <f t="shared" si="443"/>
        <v xml:space="preserve">N35DC   </v>
      </c>
      <c r="N4536">
        <v>1</v>
      </c>
      <c r="O4536">
        <v>1675</v>
      </c>
    </row>
    <row r="4537" spans="1:15" x14ac:dyDescent="0.25">
      <c r="A4537" t="str">
        <f>"10/21/2020 18:47:07.675"</f>
        <v>10/21/2020 18:47:07.675</v>
      </c>
      <c r="B4537" t="str">
        <f>"18:47:15.625"</f>
        <v>18:47:15.625</v>
      </c>
      <c r="C4537" t="str">
        <f>"18:47:15.225"</f>
        <v>18:47:15.225</v>
      </c>
      <c r="D4537" t="s">
        <v>1876</v>
      </c>
      <c r="E4537">
        <v>30.983827000000002</v>
      </c>
      <c r="F4537" t="s">
        <v>1856</v>
      </c>
      <c r="G4537">
        <v>-89.855503999999996</v>
      </c>
      <c r="H4537">
        <v>1600</v>
      </c>
      <c r="I4537">
        <v>2</v>
      </c>
      <c r="J4537">
        <v>-157</v>
      </c>
      <c r="K4537">
        <v>-192</v>
      </c>
      <c r="L4537">
        <v>1200</v>
      </c>
      <c r="M4537" t="str">
        <f t="shared" si="443"/>
        <v xml:space="preserve">N35DC   </v>
      </c>
      <c r="N4537">
        <v>1</v>
      </c>
      <c r="O4537">
        <v>1675</v>
      </c>
    </row>
    <row r="4538" spans="1:15" x14ac:dyDescent="0.25">
      <c r="A4538" t="str">
        <f>"10/21/2020 18:47:07.675"</f>
        <v>10/21/2020 18:47:07.675</v>
      </c>
      <c r="B4538" t="str">
        <f>"18:47:15.625"</f>
        <v>18:47:15.625</v>
      </c>
      <c r="C4538" t="str">
        <f>"18:47:15.225"</f>
        <v>18:47:15.225</v>
      </c>
      <c r="D4538" t="s">
        <v>1876</v>
      </c>
      <c r="E4538">
        <v>30.983827000000002</v>
      </c>
      <c r="F4538" t="s">
        <v>1856</v>
      </c>
      <c r="G4538">
        <v>-89.855503999999996</v>
      </c>
      <c r="H4538">
        <v>1600</v>
      </c>
      <c r="I4538">
        <v>2</v>
      </c>
      <c r="J4538">
        <v>-157</v>
      </c>
      <c r="K4538">
        <v>-192</v>
      </c>
      <c r="L4538">
        <v>1200</v>
      </c>
      <c r="M4538" t="str">
        <f t="shared" si="443"/>
        <v xml:space="preserve">N35DC   </v>
      </c>
      <c r="N4538">
        <v>1</v>
      </c>
      <c r="O4538">
        <v>1675</v>
      </c>
    </row>
    <row r="4539" spans="1:15" x14ac:dyDescent="0.25">
      <c r="A4539" t="str">
        <f>"10/21/2020 18:47:07.675"</f>
        <v>10/21/2020 18:47:07.675</v>
      </c>
      <c r="B4539" t="str">
        <f>"18:47:15.625"</f>
        <v>18:47:15.625</v>
      </c>
      <c r="C4539" t="str">
        <f>"18:47:15.225"</f>
        <v>18:47:15.225</v>
      </c>
      <c r="D4539" t="s">
        <v>1876</v>
      </c>
      <c r="E4539">
        <v>30.983827000000002</v>
      </c>
      <c r="F4539" t="s">
        <v>1856</v>
      </c>
      <c r="G4539">
        <v>-89.855503999999996</v>
      </c>
      <c r="H4539">
        <v>1600</v>
      </c>
      <c r="I4539">
        <v>2</v>
      </c>
      <c r="J4539">
        <v>-157</v>
      </c>
      <c r="K4539">
        <v>-192</v>
      </c>
      <c r="L4539">
        <v>1200</v>
      </c>
      <c r="M4539" t="str">
        <f t="shared" si="443"/>
        <v xml:space="preserve">N35DC   </v>
      </c>
      <c r="N4539">
        <v>1</v>
      </c>
      <c r="O4539">
        <v>1675</v>
      </c>
    </row>
    <row r="4540" spans="1:15" x14ac:dyDescent="0.25">
      <c r="A4540" t="str">
        <f>"10/21/2020 18:47:08.520"</f>
        <v>10/21/2020 18:47:08.520</v>
      </c>
      <c r="B4540" t="str">
        <f>"18:47:16.477"</f>
        <v>18:47:16.477</v>
      </c>
      <c r="C4540" t="str">
        <f>"18:47:16.277"</f>
        <v>18:47:16.277</v>
      </c>
      <c r="D4540" t="s">
        <v>1877</v>
      </c>
      <c r="E4540">
        <v>30.983183</v>
      </c>
      <c r="F4540" t="s">
        <v>1856</v>
      </c>
      <c r="G4540">
        <v>-89.855503999999996</v>
      </c>
      <c r="H4540">
        <v>1600</v>
      </c>
      <c r="I4540">
        <v>2</v>
      </c>
      <c r="J4540">
        <v>-157</v>
      </c>
      <c r="K4540">
        <v>-256</v>
      </c>
      <c r="L4540">
        <v>1200</v>
      </c>
      <c r="M4540" t="str">
        <f t="shared" si="443"/>
        <v xml:space="preserve">N35DC   </v>
      </c>
      <c r="N4540">
        <v>1</v>
      </c>
      <c r="O4540">
        <v>1675</v>
      </c>
    </row>
    <row r="4541" spans="1:15" x14ac:dyDescent="0.25">
      <c r="A4541" t="str">
        <f>"10/21/2020 18:47:08.520"</f>
        <v>10/21/2020 18:47:08.520</v>
      </c>
      <c r="B4541" t="str">
        <f>"18:47:16.477"</f>
        <v>18:47:16.477</v>
      </c>
      <c r="C4541" t="str">
        <f>"18:47:16.277"</f>
        <v>18:47:16.277</v>
      </c>
      <c r="D4541" t="s">
        <v>1877</v>
      </c>
      <c r="E4541">
        <v>30.983183</v>
      </c>
      <c r="F4541" t="s">
        <v>1856</v>
      </c>
      <c r="G4541">
        <v>-89.855503999999996</v>
      </c>
      <c r="H4541">
        <v>1600</v>
      </c>
      <c r="I4541">
        <v>2</v>
      </c>
      <c r="J4541">
        <v>-157</v>
      </c>
      <c r="K4541">
        <v>-256</v>
      </c>
      <c r="L4541">
        <v>1200</v>
      </c>
      <c r="M4541" t="str">
        <f t="shared" si="443"/>
        <v xml:space="preserve">N35DC   </v>
      </c>
      <c r="N4541">
        <v>1</v>
      </c>
      <c r="O4541">
        <v>1675</v>
      </c>
    </row>
    <row r="4542" spans="1:15" x14ac:dyDescent="0.25">
      <c r="A4542" t="str">
        <f>"10/21/2020 18:47:08.520"</f>
        <v>10/21/2020 18:47:08.520</v>
      </c>
      <c r="B4542" t="str">
        <f>"18:47:16.477"</f>
        <v>18:47:16.477</v>
      </c>
      <c r="C4542" t="str">
        <f>"18:47:16.277"</f>
        <v>18:47:16.277</v>
      </c>
      <c r="D4542" t="s">
        <v>1877</v>
      </c>
      <c r="E4542">
        <v>30.983183</v>
      </c>
      <c r="F4542" t="s">
        <v>1856</v>
      </c>
      <c r="G4542">
        <v>-89.855503999999996</v>
      </c>
      <c r="H4542">
        <v>1600</v>
      </c>
      <c r="I4542">
        <v>2</v>
      </c>
      <c r="J4542">
        <v>-157</v>
      </c>
      <c r="K4542">
        <v>-256</v>
      </c>
      <c r="L4542">
        <v>1200</v>
      </c>
      <c r="M4542" t="str">
        <f t="shared" si="443"/>
        <v xml:space="preserve">N35DC   </v>
      </c>
      <c r="N4542">
        <v>1</v>
      </c>
      <c r="O4542">
        <v>1675</v>
      </c>
    </row>
    <row r="4543" spans="1:15" x14ac:dyDescent="0.25">
      <c r="A4543" t="str">
        <f>"10/21/2020 18:47:08.520"</f>
        <v>10/21/2020 18:47:08.520</v>
      </c>
      <c r="B4543" t="str">
        <f>"18:47:16.477"</f>
        <v>18:47:16.477</v>
      </c>
      <c r="C4543" t="str">
        <f>"18:47:16.277"</f>
        <v>18:47:16.277</v>
      </c>
      <c r="D4543" t="s">
        <v>1877</v>
      </c>
      <c r="E4543">
        <v>30.983183</v>
      </c>
      <c r="F4543" t="s">
        <v>1856</v>
      </c>
      <c r="G4543">
        <v>-89.855503999999996</v>
      </c>
      <c r="H4543">
        <v>1600</v>
      </c>
      <c r="I4543">
        <v>2</v>
      </c>
      <c r="J4543">
        <v>-157</v>
      </c>
      <c r="K4543">
        <v>-256</v>
      </c>
      <c r="L4543">
        <v>1200</v>
      </c>
      <c r="M4543" t="str">
        <f t="shared" si="443"/>
        <v xml:space="preserve">N35DC   </v>
      </c>
      <c r="N4543">
        <v>1</v>
      </c>
      <c r="O4543">
        <v>1675</v>
      </c>
    </row>
    <row r="4544" spans="1:15" x14ac:dyDescent="0.25">
      <c r="A4544" t="str">
        <f>"10/21/2020 18:47:11.525"</f>
        <v>10/21/2020 18:47:11.525</v>
      </c>
      <c r="B4544" t="str">
        <f>"18:47:19.445"</f>
        <v>18:47:19.445</v>
      </c>
      <c r="C4544" t="str">
        <f>"18:47:19.245"</f>
        <v>18:47:19.245</v>
      </c>
      <c r="D4544" t="s">
        <v>1878</v>
      </c>
      <c r="E4544">
        <v>30.981016</v>
      </c>
      <c r="F4544" t="s">
        <v>525</v>
      </c>
      <c r="G4544">
        <v>-89.855483000000007</v>
      </c>
      <c r="H4544">
        <v>1600</v>
      </c>
      <c r="I4544">
        <v>0</v>
      </c>
      <c r="J4544">
        <v>-156</v>
      </c>
      <c r="K4544">
        <v>-320</v>
      </c>
      <c r="L4544">
        <v>1200</v>
      </c>
      <c r="M4544" t="str">
        <f t="shared" si="443"/>
        <v xml:space="preserve">N35DC   </v>
      </c>
      <c r="N4544">
        <v>1</v>
      </c>
      <c r="O4544">
        <v>1650</v>
      </c>
    </row>
    <row r="4545" spans="1:15" x14ac:dyDescent="0.25">
      <c r="A4545" t="str">
        <f>"10/21/2020 18:47:11.525"</f>
        <v>10/21/2020 18:47:11.525</v>
      </c>
      <c r="B4545" t="str">
        <f>"18:47:19.445"</f>
        <v>18:47:19.445</v>
      </c>
      <c r="C4545" t="str">
        <f>"18:47:19.245"</f>
        <v>18:47:19.245</v>
      </c>
      <c r="D4545" t="s">
        <v>1878</v>
      </c>
      <c r="E4545">
        <v>30.981016</v>
      </c>
      <c r="F4545" t="s">
        <v>525</v>
      </c>
      <c r="G4545">
        <v>-89.855483000000007</v>
      </c>
      <c r="H4545">
        <v>1600</v>
      </c>
      <c r="I4545">
        <v>0</v>
      </c>
      <c r="J4545">
        <v>-156</v>
      </c>
      <c r="K4545">
        <v>-320</v>
      </c>
      <c r="L4545">
        <v>1200</v>
      </c>
      <c r="M4545" t="str">
        <f t="shared" si="443"/>
        <v xml:space="preserve">N35DC   </v>
      </c>
      <c r="N4545">
        <v>1</v>
      </c>
      <c r="O4545">
        <v>1650</v>
      </c>
    </row>
    <row r="4546" spans="1:15" x14ac:dyDescent="0.25">
      <c r="A4546" t="str">
        <f>"10/21/2020 18:47:11.525"</f>
        <v>10/21/2020 18:47:11.525</v>
      </c>
      <c r="B4546" t="str">
        <f>"18:47:19.445"</f>
        <v>18:47:19.445</v>
      </c>
      <c r="C4546" t="str">
        <f>"18:47:19.245"</f>
        <v>18:47:19.245</v>
      </c>
      <c r="D4546" t="s">
        <v>1878</v>
      </c>
      <c r="E4546">
        <v>30.981016</v>
      </c>
      <c r="F4546" t="s">
        <v>525</v>
      </c>
      <c r="G4546">
        <v>-89.855483000000007</v>
      </c>
      <c r="H4546">
        <v>1600</v>
      </c>
      <c r="I4546">
        <v>0</v>
      </c>
      <c r="J4546">
        <v>-156</v>
      </c>
      <c r="K4546">
        <v>-320</v>
      </c>
      <c r="L4546">
        <v>1200</v>
      </c>
      <c r="M4546" t="str">
        <f t="shared" si="443"/>
        <v xml:space="preserve">N35DC   </v>
      </c>
      <c r="N4546">
        <v>1</v>
      </c>
      <c r="O4546">
        <v>1650</v>
      </c>
    </row>
    <row r="4547" spans="1:15" x14ac:dyDescent="0.25">
      <c r="A4547" t="str">
        <f>"10/21/2020 18:47:11.525"</f>
        <v>10/21/2020 18:47:11.525</v>
      </c>
      <c r="B4547" t="str">
        <f>"18:47:19.445"</f>
        <v>18:47:19.445</v>
      </c>
      <c r="C4547" t="str">
        <f>"18:47:19.245"</f>
        <v>18:47:19.245</v>
      </c>
      <c r="D4547" t="s">
        <v>1878</v>
      </c>
      <c r="E4547">
        <v>30.981016</v>
      </c>
      <c r="F4547" t="s">
        <v>525</v>
      </c>
      <c r="G4547">
        <v>-89.855483000000007</v>
      </c>
      <c r="H4547">
        <v>1600</v>
      </c>
      <c r="I4547">
        <v>0</v>
      </c>
      <c r="J4547">
        <v>-156</v>
      </c>
      <c r="K4547">
        <v>-320</v>
      </c>
      <c r="L4547">
        <v>1200</v>
      </c>
      <c r="M4547" t="str">
        <f t="shared" si="443"/>
        <v xml:space="preserve">N35DC   </v>
      </c>
      <c r="N4547">
        <v>1</v>
      </c>
      <c r="O4547">
        <v>1650</v>
      </c>
    </row>
    <row r="4548" spans="1:15" x14ac:dyDescent="0.25">
      <c r="A4548" t="str">
        <f>"10/21/2020 18:47:12.661"</f>
        <v>10/21/2020 18:47:12.661</v>
      </c>
      <c r="B4548" t="str">
        <f>"18:47:20.555"</f>
        <v>18:47:20.555</v>
      </c>
      <c r="C4548" t="str">
        <f>"18:47:20.155"</f>
        <v>18:47:20.155</v>
      </c>
      <c r="D4548" t="s">
        <v>1879</v>
      </c>
      <c r="E4548">
        <v>30.980264999999999</v>
      </c>
      <c r="F4548" t="s">
        <v>1856</v>
      </c>
      <c r="G4548">
        <v>-89.855503999999996</v>
      </c>
      <c r="H4548">
        <v>1600</v>
      </c>
      <c r="I4548">
        <v>-1</v>
      </c>
      <c r="J4548">
        <v>-156</v>
      </c>
      <c r="K4548">
        <v>-256</v>
      </c>
      <c r="L4548">
        <v>1200</v>
      </c>
      <c r="M4548" t="str">
        <f t="shared" si="443"/>
        <v xml:space="preserve">N35DC   </v>
      </c>
      <c r="N4548">
        <v>1</v>
      </c>
      <c r="O4548">
        <v>1650</v>
      </c>
    </row>
    <row r="4549" spans="1:15" x14ac:dyDescent="0.25">
      <c r="A4549" t="str">
        <f>"10/21/2020 18:47:12.661"</f>
        <v>10/21/2020 18:47:12.661</v>
      </c>
      <c r="B4549" t="str">
        <f>"18:47:20.555"</f>
        <v>18:47:20.555</v>
      </c>
      <c r="C4549" t="str">
        <f>"18:47:20.155"</f>
        <v>18:47:20.155</v>
      </c>
      <c r="D4549" t="s">
        <v>1879</v>
      </c>
      <c r="E4549">
        <v>30.980264999999999</v>
      </c>
      <c r="F4549" t="s">
        <v>1856</v>
      </c>
      <c r="G4549">
        <v>-89.855503999999996</v>
      </c>
      <c r="H4549">
        <v>1600</v>
      </c>
      <c r="I4549">
        <v>-1</v>
      </c>
      <c r="J4549">
        <v>-156</v>
      </c>
      <c r="K4549">
        <v>-256</v>
      </c>
      <c r="L4549">
        <v>1200</v>
      </c>
      <c r="M4549" t="str">
        <f t="shared" si="443"/>
        <v xml:space="preserve">N35DC   </v>
      </c>
      <c r="N4549">
        <v>1</v>
      </c>
      <c r="O4549">
        <v>1650</v>
      </c>
    </row>
    <row r="4550" spans="1:15" x14ac:dyDescent="0.25">
      <c r="A4550" t="str">
        <f>"10/21/2020 18:47:12.661"</f>
        <v>10/21/2020 18:47:12.661</v>
      </c>
      <c r="B4550" t="str">
        <f>"18:47:20.555"</f>
        <v>18:47:20.555</v>
      </c>
      <c r="C4550" t="str">
        <f>"18:47:20.155"</f>
        <v>18:47:20.155</v>
      </c>
      <c r="D4550" t="s">
        <v>1879</v>
      </c>
      <c r="E4550">
        <v>30.980264999999999</v>
      </c>
      <c r="F4550" t="s">
        <v>1856</v>
      </c>
      <c r="G4550">
        <v>-89.855503999999996</v>
      </c>
      <c r="H4550">
        <v>1600</v>
      </c>
      <c r="I4550">
        <v>-1</v>
      </c>
      <c r="J4550">
        <v>-156</v>
      </c>
      <c r="K4550">
        <v>-256</v>
      </c>
      <c r="L4550">
        <v>1200</v>
      </c>
      <c r="M4550" t="str">
        <f t="shared" si="443"/>
        <v xml:space="preserve">N35DC   </v>
      </c>
      <c r="N4550">
        <v>1</v>
      </c>
      <c r="O4550">
        <v>1650</v>
      </c>
    </row>
    <row r="4551" spans="1:15" x14ac:dyDescent="0.25">
      <c r="A4551" t="str">
        <f>"10/21/2020 18:47:12.661"</f>
        <v>10/21/2020 18:47:12.661</v>
      </c>
      <c r="B4551" t="str">
        <f>"18:47:20.555"</f>
        <v>18:47:20.555</v>
      </c>
      <c r="C4551" t="str">
        <f>"18:47:20.155"</f>
        <v>18:47:20.155</v>
      </c>
      <c r="D4551" t="s">
        <v>1879</v>
      </c>
      <c r="E4551">
        <v>30.980264999999999</v>
      </c>
      <c r="F4551" t="s">
        <v>1856</v>
      </c>
      <c r="G4551">
        <v>-89.855503999999996</v>
      </c>
      <c r="H4551">
        <v>1600</v>
      </c>
      <c r="I4551">
        <v>-1</v>
      </c>
      <c r="J4551">
        <v>-156</v>
      </c>
      <c r="K4551">
        <v>-256</v>
      </c>
      <c r="L4551">
        <v>1200</v>
      </c>
      <c r="M4551" t="str">
        <f t="shared" ref="M4551:M4614" si="445">"N35DC   "</f>
        <v xml:space="preserve">N35DC   </v>
      </c>
      <c r="N4551">
        <v>1</v>
      </c>
      <c r="O4551">
        <v>1650</v>
      </c>
    </row>
    <row r="4552" spans="1:15" x14ac:dyDescent="0.25">
      <c r="A4552" t="str">
        <f>"10/21/2020 18:47:15.189"</f>
        <v>10/21/2020 18:47:15.189</v>
      </c>
      <c r="B4552" t="str">
        <f>"18:47:23.125"</f>
        <v>18:47:23.125</v>
      </c>
      <c r="C4552" t="str">
        <f>"18:47:22.825"</f>
        <v>18:47:22.825</v>
      </c>
      <c r="D4552" t="s">
        <v>1880</v>
      </c>
      <c r="E4552">
        <v>30.978376999999998</v>
      </c>
      <c r="F4552" t="s">
        <v>1874</v>
      </c>
      <c r="G4552">
        <v>-89.855525</v>
      </c>
      <c r="H4552">
        <v>1600</v>
      </c>
      <c r="I4552">
        <v>-3</v>
      </c>
      <c r="J4552">
        <v>-157</v>
      </c>
      <c r="K4552">
        <v>-320</v>
      </c>
      <c r="L4552">
        <v>1200</v>
      </c>
      <c r="M4552" t="str">
        <f t="shared" si="445"/>
        <v xml:space="preserve">N35DC   </v>
      </c>
      <c r="N4552">
        <v>1</v>
      </c>
      <c r="O4552">
        <v>1650</v>
      </c>
    </row>
    <row r="4553" spans="1:15" x14ac:dyDescent="0.25">
      <c r="A4553" t="str">
        <f>"10/21/2020 18:47:15.647"</f>
        <v>10/21/2020 18:47:15.647</v>
      </c>
      <c r="B4553" t="str">
        <f>"18:47:23.570"</f>
        <v>18:47:23.570</v>
      </c>
      <c r="C4553" t="str">
        <f>"18:47:23.270"</f>
        <v>18:47:23.270</v>
      </c>
      <c r="D4553" t="s">
        <v>1881</v>
      </c>
      <c r="E4553">
        <v>30.978012</v>
      </c>
      <c r="F4553" t="s">
        <v>1856</v>
      </c>
      <c r="G4553">
        <v>-89.855503999999996</v>
      </c>
      <c r="H4553">
        <v>1600</v>
      </c>
      <c r="I4553">
        <v>-4</v>
      </c>
      <c r="J4553">
        <v>-158</v>
      </c>
      <c r="K4553">
        <v>-192</v>
      </c>
      <c r="L4553">
        <v>1200</v>
      </c>
      <c r="M4553" t="str">
        <f t="shared" si="445"/>
        <v xml:space="preserve">N35DC   </v>
      </c>
      <c r="N4553">
        <v>1</v>
      </c>
      <c r="O4553">
        <v>1650</v>
      </c>
    </row>
    <row r="4554" spans="1:15" x14ac:dyDescent="0.25">
      <c r="A4554" t="str">
        <f>"10/21/2020 18:47:15.647"</f>
        <v>10/21/2020 18:47:15.647</v>
      </c>
      <c r="B4554" t="str">
        <f>"18:47:23.570"</f>
        <v>18:47:23.570</v>
      </c>
      <c r="C4554" t="str">
        <f>"18:47:23.270"</f>
        <v>18:47:23.270</v>
      </c>
      <c r="D4554" t="s">
        <v>1881</v>
      </c>
      <c r="E4554">
        <v>30.978012</v>
      </c>
      <c r="F4554" t="s">
        <v>1856</v>
      </c>
      <c r="G4554">
        <v>-89.855503999999996</v>
      </c>
      <c r="H4554">
        <v>1600</v>
      </c>
      <c r="I4554">
        <v>-4</v>
      </c>
      <c r="J4554">
        <v>-158</v>
      </c>
      <c r="K4554">
        <v>-192</v>
      </c>
      <c r="L4554">
        <v>1200</v>
      </c>
      <c r="M4554" t="str">
        <f t="shared" si="445"/>
        <v xml:space="preserve">N35DC   </v>
      </c>
      <c r="N4554">
        <v>1</v>
      </c>
      <c r="O4554">
        <v>1650</v>
      </c>
    </row>
    <row r="4555" spans="1:15" x14ac:dyDescent="0.25">
      <c r="A4555" t="str">
        <f>"10/21/2020 18:47:15.647"</f>
        <v>10/21/2020 18:47:15.647</v>
      </c>
      <c r="B4555" t="str">
        <f>"18:47:23.570"</f>
        <v>18:47:23.570</v>
      </c>
      <c r="C4555" t="str">
        <f>"18:47:23.270"</f>
        <v>18:47:23.270</v>
      </c>
      <c r="D4555" t="s">
        <v>1881</v>
      </c>
      <c r="E4555">
        <v>30.978012</v>
      </c>
      <c r="F4555" t="s">
        <v>1856</v>
      </c>
      <c r="G4555">
        <v>-89.855503999999996</v>
      </c>
      <c r="H4555">
        <v>1600</v>
      </c>
      <c r="I4555">
        <v>-4</v>
      </c>
      <c r="J4555">
        <v>-158</v>
      </c>
      <c r="K4555">
        <v>-192</v>
      </c>
      <c r="L4555">
        <v>1200</v>
      </c>
      <c r="M4555" t="str">
        <f t="shared" si="445"/>
        <v xml:space="preserve">N35DC   </v>
      </c>
      <c r="N4555">
        <v>1</v>
      </c>
      <c r="O4555">
        <v>1650</v>
      </c>
    </row>
    <row r="4556" spans="1:15" x14ac:dyDescent="0.25">
      <c r="A4556" t="str">
        <f>"10/21/2020 18:47:15.647"</f>
        <v>10/21/2020 18:47:15.647</v>
      </c>
      <c r="B4556" t="str">
        <f>"18:47:23.570"</f>
        <v>18:47:23.570</v>
      </c>
      <c r="C4556" t="str">
        <f>"18:47:22.770"</f>
        <v>18:47:22.770</v>
      </c>
      <c r="D4556" t="s">
        <v>1881</v>
      </c>
      <c r="E4556">
        <v>30.978012</v>
      </c>
      <c r="F4556" t="s">
        <v>1856</v>
      </c>
      <c r="G4556">
        <v>-89.855503999999996</v>
      </c>
      <c r="H4556">
        <v>1600</v>
      </c>
      <c r="I4556">
        <v>-3</v>
      </c>
      <c r="J4556">
        <v>-157</v>
      </c>
      <c r="K4556">
        <v>-320</v>
      </c>
      <c r="L4556">
        <v>1200</v>
      </c>
      <c r="M4556" t="str">
        <f t="shared" si="445"/>
        <v xml:space="preserve">N35DC   </v>
      </c>
      <c r="N4556">
        <v>1</v>
      </c>
      <c r="O4556">
        <v>1650</v>
      </c>
    </row>
    <row r="4557" spans="1:15" x14ac:dyDescent="0.25">
      <c r="A4557" t="str">
        <f>"10/21/2020 18:47:16.197"</f>
        <v>10/21/2020 18:47:16.197</v>
      </c>
      <c r="B4557" t="str">
        <f>"18:47:24.125"</f>
        <v>18:47:24.125</v>
      </c>
      <c r="C4557" t="str">
        <f>"18:47:23.725"</f>
        <v>18:47:23.725</v>
      </c>
      <c r="D4557" t="s">
        <v>1882</v>
      </c>
      <c r="E4557">
        <v>30.977647000000001</v>
      </c>
      <c r="F4557" t="s">
        <v>1871</v>
      </c>
      <c r="G4557">
        <v>-89.855568000000005</v>
      </c>
      <c r="H4557">
        <v>1600</v>
      </c>
      <c r="I4557">
        <v>-3</v>
      </c>
      <c r="J4557">
        <v>-158</v>
      </c>
      <c r="K4557">
        <v>-256</v>
      </c>
      <c r="L4557">
        <v>1200</v>
      </c>
      <c r="M4557" t="str">
        <f t="shared" si="445"/>
        <v xml:space="preserve">N35DC   </v>
      </c>
      <c r="N4557">
        <v>1</v>
      </c>
      <c r="O4557">
        <v>1650</v>
      </c>
    </row>
    <row r="4558" spans="1:15" x14ac:dyDescent="0.25">
      <c r="A4558" t="str">
        <f>"10/21/2020 18:47:18.478"</f>
        <v>10/21/2020 18:47:18.478</v>
      </c>
      <c r="B4558" t="str">
        <f>"18:47:26.406"</f>
        <v>18:47:26.406</v>
      </c>
      <c r="C4558" t="str">
        <f>"18:47:26.206"</f>
        <v>18:47:26.206</v>
      </c>
      <c r="D4558" t="s">
        <v>1883</v>
      </c>
      <c r="E4558">
        <v>30.975951999999999</v>
      </c>
      <c r="F4558" t="s">
        <v>1863</v>
      </c>
      <c r="G4558">
        <v>-89.855676000000003</v>
      </c>
      <c r="H4558">
        <v>1500</v>
      </c>
      <c r="I4558">
        <v>-8</v>
      </c>
      <c r="J4558">
        <v>-159</v>
      </c>
      <c r="K4558">
        <v>-512</v>
      </c>
      <c r="L4558">
        <v>1200</v>
      </c>
      <c r="M4558" t="str">
        <f t="shared" si="445"/>
        <v xml:space="preserve">N35DC   </v>
      </c>
      <c r="N4558">
        <v>1</v>
      </c>
      <c r="O4558">
        <v>1725</v>
      </c>
    </row>
    <row r="4559" spans="1:15" x14ac:dyDescent="0.25">
      <c r="A4559" t="str">
        <f>"10/21/2020 18:47:18.478"</f>
        <v>10/21/2020 18:47:18.478</v>
      </c>
      <c r="B4559" t="str">
        <f>"18:47:26.406"</f>
        <v>18:47:26.406</v>
      </c>
      <c r="C4559" t="str">
        <f>"18:47:26.206"</f>
        <v>18:47:26.206</v>
      </c>
      <c r="D4559" t="s">
        <v>1883</v>
      </c>
      <c r="E4559">
        <v>30.975951999999999</v>
      </c>
      <c r="F4559" t="s">
        <v>1863</v>
      </c>
      <c r="G4559">
        <v>-89.855676000000003</v>
      </c>
      <c r="H4559">
        <v>1500</v>
      </c>
      <c r="I4559">
        <v>-8</v>
      </c>
      <c r="J4559">
        <v>-159</v>
      </c>
      <c r="K4559">
        <v>-512</v>
      </c>
      <c r="L4559">
        <v>1200</v>
      </c>
      <c r="M4559" t="str">
        <f t="shared" si="445"/>
        <v xml:space="preserve">N35DC   </v>
      </c>
      <c r="N4559">
        <v>1</v>
      </c>
      <c r="O4559">
        <v>1725</v>
      </c>
    </row>
    <row r="4560" spans="1:15" x14ac:dyDescent="0.25">
      <c r="A4560" t="str">
        <f>"10/21/2020 18:47:18.478"</f>
        <v>10/21/2020 18:47:18.478</v>
      </c>
      <c r="B4560" t="str">
        <f>"18:47:26.406"</f>
        <v>18:47:26.406</v>
      </c>
      <c r="C4560" t="str">
        <f>"18:47:26.206"</f>
        <v>18:47:26.206</v>
      </c>
      <c r="D4560" t="s">
        <v>1883</v>
      </c>
      <c r="E4560">
        <v>30.975951999999999</v>
      </c>
      <c r="F4560" t="s">
        <v>1863</v>
      </c>
      <c r="G4560">
        <v>-89.855676000000003</v>
      </c>
      <c r="H4560">
        <v>1500</v>
      </c>
      <c r="I4560">
        <v>-8</v>
      </c>
      <c r="J4560">
        <v>-159</v>
      </c>
      <c r="K4560">
        <v>-512</v>
      </c>
      <c r="L4560">
        <v>1200</v>
      </c>
      <c r="M4560" t="str">
        <f t="shared" si="445"/>
        <v xml:space="preserve">N35DC   </v>
      </c>
      <c r="N4560">
        <v>1</v>
      </c>
      <c r="O4560">
        <v>1725</v>
      </c>
    </row>
    <row r="4561" spans="1:15" x14ac:dyDescent="0.25">
      <c r="A4561" t="str">
        <f>"10/21/2020 18:47:19.066"</f>
        <v>10/21/2020 18:47:19.066</v>
      </c>
      <c r="B4561" t="str">
        <f>"18:47:26.977"</f>
        <v>18:47:26.977</v>
      </c>
      <c r="C4561" t="str">
        <f>"18:47:26.777"</f>
        <v>18:47:26.777</v>
      </c>
      <c r="D4561" t="s">
        <v>1884</v>
      </c>
      <c r="E4561">
        <v>30.975480000000001</v>
      </c>
      <c r="F4561" t="s">
        <v>1858</v>
      </c>
      <c r="G4561">
        <v>-89.855632999999997</v>
      </c>
      <c r="H4561">
        <v>1500</v>
      </c>
      <c r="I4561">
        <v>-8</v>
      </c>
      <c r="J4561">
        <v>-159</v>
      </c>
      <c r="K4561">
        <v>-320</v>
      </c>
      <c r="L4561">
        <v>1200</v>
      </c>
      <c r="M4561" t="str">
        <f t="shared" si="445"/>
        <v xml:space="preserve">N35DC   </v>
      </c>
      <c r="N4561">
        <v>1</v>
      </c>
      <c r="O4561">
        <v>1625</v>
      </c>
    </row>
    <row r="4562" spans="1:15" x14ac:dyDescent="0.25">
      <c r="A4562" t="str">
        <f>"10/21/2020 18:47:19.540"</f>
        <v>10/21/2020 18:47:19.540</v>
      </c>
      <c r="B4562" t="str">
        <f>"18:47:27.453"</f>
        <v>18:47:27.453</v>
      </c>
      <c r="C4562" t="str">
        <f>"18:47:27.353"</f>
        <v>18:47:27.353</v>
      </c>
      <c r="D4562" t="s">
        <v>1885</v>
      </c>
      <c r="E4562">
        <v>30.975158</v>
      </c>
      <c r="F4562" t="s">
        <v>1886</v>
      </c>
      <c r="G4562">
        <v>-89.855697000000006</v>
      </c>
      <c r="H4562">
        <v>1500</v>
      </c>
      <c r="I4562">
        <v>-9</v>
      </c>
      <c r="J4562">
        <v>-159</v>
      </c>
      <c r="K4562">
        <v>-192</v>
      </c>
      <c r="L4562">
        <v>1200</v>
      </c>
      <c r="M4562" t="str">
        <f t="shared" si="445"/>
        <v xml:space="preserve">N35DC   </v>
      </c>
      <c r="N4562">
        <v>1</v>
      </c>
      <c r="O4562">
        <v>1625</v>
      </c>
    </row>
    <row r="4563" spans="1:15" x14ac:dyDescent="0.25">
      <c r="A4563" t="str">
        <f>"10/21/2020 18:47:19.540"</f>
        <v>10/21/2020 18:47:19.540</v>
      </c>
      <c r="B4563" t="str">
        <f>"18:47:27.453"</f>
        <v>18:47:27.453</v>
      </c>
      <c r="C4563" t="str">
        <f>"18:47:27.353"</f>
        <v>18:47:27.353</v>
      </c>
      <c r="D4563" t="s">
        <v>1885</v>
      </c>
      <c r="E4563">
        <v>30.975158</v>
      </c>
      <c r="F4563" t="s">
        <v>1886</v>
      </c>
      <c r="G4563">
        <v>-89.855697000000006</v>
      </c>
      <c r="H4563">
        <v>1500</v>
      </c>
      <c r="I4563">
        <v>-9</v>
      </c>
      <c r="J4563">
        <v>-159</v>
      </c>
      <c r="K4563">
        <v>-192</v>
      </c>
      <c r="L4563">
        <v>1200</v>
      </c>
      <c r="M4563" t="str">
        <f t="shared" si="445"/>
        <v xml:space="preserve">N35DC   </v>
      </c>
      <c r="N4563">
        <v>1</v>
      </c>
      <c r="O4563">
        <v>1625</v>
      </c>
    </row>
    <row r="4564" spans="1:15" x14ac:dyDescent="0.25">
      <c r="A4564" t="str">
        <f>"10/21/2020 18:47:19.540"</f>
        <v>10/21/2020 18:47:19.540</v>
      </c>
      <c r="B4564" t="str">
        <f>"18:47:27.453"</f>
        <v>18:47:27.453</v>
      </c>
      <c r="C4564" t="str">
        <f>"18:47:27.353"</f>
        <v>18:47:27.353</v>
      </c>
      <c r="D4564" t="s">
        <v>1885</v>
      </c>
      <c r="E4564">
        <v>30.975158</v>
      </c>
      <c r="F4564" t="s">
        <v>1886</v>
      </c>
      <c r="G4564">
        <v>-89.855697000000006</v>
      </c>
      <c r="H4564">
        <v>1500</v>
      </c>
      <c r="I4564">
        <v>-9</v>
      </c>
      <c r="J4564">
        <v>-159</v>
      </c>
      <c r="K4564">
        <v>-192</v>
      </c>
      <c r="L4564">
        <v>1200</v>
      </c>
      <c r="M4564" t="str">
        <f t="shared" si="445"/>
        <v xml:space="preserve">N35DC   </v>
      </c>
      <c r="N4564">
        <v>1</v>
      </c>
      <c r="O4564">
        <v>1625</v>
      </c>
    </row>
    <row r="4565" spans="1:15" x14ac:dyDescent="0.25">
      <c r="A4565" t="str">
        <f>"10/21/2020 18:47:22.620"</f>
        <v>10/21/2020 18:47:22.620</v>
      </c>
      <c r="B4565" t="str">
        <f>"18:47:30.547"</f>
        <v>18:47:30.547</v>
      </c>
      <c r="C4565" t="str">
        <f>"18:47:30.247"</f>
        <v>18:47:30.247</v>
      </c>
      <c r="D4565" t="s">
        <v>1887</v>
      </c>
      <c r="E4565">
        <v>30.972884000000001</v>
      </c>
      <c r="F4565" t="s">
        <v>684</v>
      </c>
      <c r="G4565">
        <v>-89.855890000000002</v>
      </c>
      <c r="H4565">
        <v>1500</v>
      </c>
      <c r="I4565">
        <v>-12</v>
      </c>
      <c r="J4565">
        <v>-159</v>
      </c>
      <c r="K4565">
        <v>-192</v>
      </c>
      <c r="L4565">
        <v>1200</v>
      </c>
      <c r="M4565" t="str">
        <f t="shared" si="445"/>
        <v xml:space="preserve">N35DC   </v>
      </c>
      <c r="N4565">
        <v>1</v>
      </c>
      <c r="O4565">
        <v>1600</v>
      </c>
    </row>
    <row r="4566" spans="1:15" x14ac:dyDescent="0.25">
      <c r="A4566" t="str">
        <f>"10/21/2020 18:47:22.620"</f>
        <v>10/21/2020 18:47:22.620</v>
      </c>
      <c r="B4566" t="str">
        <f>"18:47:30.547"</f>
        <v>18:47:30.547</v>
      </c>
      <c r="C4566" t="str">
        <f>"18:47:30.247"</f>
        <v>18:47:30.247</v>
      </c>
      <c r="D4566" t="s">
        <v>1887</v>
      </c>
      <c r="E4566">
        <v>30.972884000000001</v>
      </c>
      <c r="F4566" t="s">
        <v>684</v>
      </c>
      <c r="G4566">
        <v>-89.855890000000002</v>
      </c>
      <c r="H4566">
        <v>1500</v>
      </c>
      <c r="I4566">
        <v>-12</v>
      </c>
      <c r="J4566">
        <v>-159</v>
      </c>
      <c r="K4566">
        <v>-192</v>
      </c>
      <c r="L4566">
        <v>1200</v>
      </c>
      <c r="M4566" t="str">
        <f t="shared" si="445"/>
        <v xml:space="preserve">N35DC   </v>
      </c>
      <c r="N4566">
        <v>1</v>
      </c>
      <c r="O4566">
        <v>1600</v>
      </c>
    </row>
    <row r="4567" spans="1:15" x14ac:dyDescent="0.25">
      <c r="A4567" t="str">
        <f>"10/21/2020 18:47:22.620"</f>
        <v>10/21/2020 18:47:22.620</v>
      </c>
      <c r="B4567" t="str">
        <f>"18:47:30.547"</f>
        <v>18:47:30.547</v>
      </c>
      <c r="C4567" t="str">
        <f>"18:47:30.247"</f>
        <v>18:47:30.247</v>
      </c>
      <c r="D4567" t="s">
        <v>1887</v>
      </c>
      <c r="E4567">
        <v>30.972884000000001</v>
      </c>
      <c r="F4567" t="s">
        <v>684</v>
      </c>
      <c r="G4567">
        <v>-89.855890000000002</v>
      </c>
      <c r="H4567">
        <v>1500</v>
      </c>
      <c r="I4567">
        <v>-12</v>
      </c>
      <c r="J4567">
        <v>-159</v>
      </c>
      <c r="K4567">
        <v>-192</v>
      </c>
      <c r="L4567">
        <v>1200</v>
      </c>
      <c r="M4567" t="str">
        <f t="shared" si="445"/>
        <v xml:space="preserve">N35DC   </v>
      </c>
      <c r="N4567">
        <v>1</v>
      </c>
      <c r="O4567">
        <v>1600</v>
      </c>
    </row>
    <row r="4568" spans="1:15" x14ac:dyDescent="0.25">
      <c r="A4568" t="str">
        <f>"10/21/2020 18:47:22.620"</f>
        <v>10/21/2020 18:47:22.620</v>
      </c>
      <c r="B4568" t="str">
        <f>"18:47:30.547"</f>
        <v>18:47:30.547</v>
      </c>
      <c r="C4568" t="str">
        <f>"18:47:30.247"</f>
        <v>18:47:30.247</v>
      </c>
      <c r="D4568" t="s">
        <v>1887</v>
      </c>
      <c r="E4568">
        <v>30.972884000000001</v>
      </c>
      <c r="F4568" t="s">
        <v>684</v>
      </c>
      <c r="G4568">
        <v>-89.855890000000002</v>
      </c>
      <c r="H4568">
        <v>1500</v>
      </c>
      <c r="I4568">
        <v>-12</v>
      </c>
      <c r="J4568">
        <v>-159</v>
      </c>
      <c r="K4568">
        <v>-192</v>
      </c>
      <c r="L4568">
        <v>1200</v>
      </c>
      <c r="M4568" t="str">
        <f t="shared" si="445"/>
        <v xml:space="preserve">N35DC   </v>
      </c>
      <c r="N4568">
        <v>1</v>
      </c>
      <c r="O4568">
        <v>1600</v>
      </c>
    </row>
    <row r="4569" spans="1:15" x14ac:dyDescent="0.25">
      <c r="A4569" t="str">
        <f>"10/21/2020 18:47:22.620"</f>
        <v>10/21/2020 18:47:22.620</v>
      </c>
      <c r="B4569" t="str">
        <f>"18:47:30.547"</f>
        <v>18:47:30.547</v>
      </c>
      <c r="C4569" t="str">
        <f>"18:47:30.247"</f>
        <v>18:47:30.247</v>
      </c>
      <c r="D4569" t="s">
        <v>1887</v>
      </c>
      <c r="E4569">
        <v>30.972884000000001</v>
      </c>
      <c r="F4569" t="s">
        <v>684</v>
      </c>
      <c r="G4569">
        <v>-89.855890000000002</v>
      </c>
      <c r="H4569">
        <v>1500</v>
      </c>
      <c r="I4569">
        <v>-12</v>
      </c>
      <c r="J4569">
        <v>-159</v>
      </c>
      <c r="K4569">
        <v>-192</v>
      </c>
      <c r="L4569">
        <v>1200</v>
      </c>
      <c r="M4569" t="str">
        <f t="shared" si="445"/>
        <v xml:space="preserve">N35DC   </v>
      </c>
      <c r="N4569">
        <v>1</v>
      </c>
      <c r="O4569">
        <v>1600</v>
      </c>
    </row>
    <row r="4570" spans="1:15" x14ac:dyDescent="0.25">
      <c r="A4570" t="str">
        <f>"10/21/2020 18:47:26.584"</f>
        <v>10/21/2020 18:47:26.584</v>
      </c>
      <c r="B4570" t="str">
        <f>"18:47:34.523"</f>
        <v>18:47:34.523</v>
      </c>
      <c r="C4570" t="str">
        <f>"18:47:34.123"</f>
        <v>18:47:34.123</v>
      </c>
      <c r="D4570" t="s">
        <v>1888</v>
      </c>
      <c r="E4570">
        <v>30.969964999999998</v>
      </c>
      <c r="F4570" t="s">
        <v>1889</v>
      </c>
      <c r="G4570">
        <v>-89.856148000000005</v>
      </c>
      <c r="H4570">
        <v>1500</v>
      </c>
      <c r="I4570">
        <v>-15</v>
      </c>
      <c r="J4570">
        <v>-159</v>
      </c>
      <c r="K4570">
        <v>-192</v>
      </c>
      <c r="L4570">
        <v>1200</v>
      </c>
      <c r="M4570" t="str">
        <f t="shared" si="445"/>
        <v xml:space="preserve">N35DC   </v>
      </c>
      <c r="N4570">
        <v>1</v>
      </c>
      <c r="O4570">
        <v>1600</v>
      </c>
    </row>
    <row r="4571" spans="1:15" x14ac:dyDescent="0.25">
      <c r="A4571" t="str">
        <f>"10/21/2020 18:47:26.584"</f>
        <v>10/21/2020 18:47:26.584</v>
      </c>
      <c r="B4571" t="str">
        <f>"18:47:34.523"</f>
        <v>18:47:34.523</v>
      </c>
      <c r="C4571" t="str">
        <f>"18:47:34.123"</f>
        <v>18:47:34.123</v>
      </c>
      <c r="D4571" t="s">
        <v>1888</v>
      </c>
      <c r="E4571">
        <v>30.969964999999998</v>
      </c>
      <c r="F4571" t="s">
        <v>1889</v>
      </c>
      <c r="G4571">
        <v>-89.856148000000005</v>
      </c>
      <c r="H4571">
        <v>1500</v>
      </c>
      <c r="I4571">
        <v>-15</v>
      </c>
      <c r="J4571">
        <v>-159</v>
      </c>
      <c r="K4571">
        <v>-192</v>
      </c>
      <c r="L4571">
        <v>1200</v>
      </c>
      <c r="M4571" t="str">
        <f t="shared" si="445"/>
        <v xml:space="preserve">N35DC   </v>
      </c>
      <c r="N4571">
        <v>1</v>
      </c>
      <c r="O4571">
        <v>1600</v>
      </c>
    </row>
    <row r="4572" spans="1:15" x14ac:dyDescent="0.25">
      <c r="A4572" t="str">
        <f>"10/21/2020 18:47:26.584"</f>
        <v>10/21/2020 18:47:26.584</v>
      </c>
      <c r="B4572" t="str">
        <f>"18:47:34.523"</f>
        <v>18:47:34.523</v>
      </c>
      <c r="C4572" t="str">
        <f>"18:47:34.123"</f>
        <v>18:47:34.123</v>
      </c>
      <c r="D4572" t="s">
        <v>1888</v>
      </c>
      <c r="E4572">
        <v>30.969964999999998</v>
      </c>
      <c r="F4572" t="s">
        <v>1889</v>
      </c>
      <c r="G4572">
        <v>-89.856148000000005</v>
      </c>
      <c r="H4572">
        <v>1500</v>
      </c>
      <c r="I4572">
        <v>-15</v>
      </c>
      <c r="J4572">
        <v>-159</v>
      </c>
      <c r="K4572">
        <v>-192</v>
      </c>
      <c r="L4572">
        <v>1200</v>
      </c>
      <c r="M4572" t="str">
        <f t="shared" si="445"/>
        <v xml:space="preserve">N35DC   </v>
      </c>
      <c r="N4572">
        <v>1</v>
      </c>
      <c r="O4572">
        <v>1600</v>
      </c>
    </row>
    <row r="4573" spans="1:15" x14ac:dyDescent="0.25">
      <c r="A4573" t="str">
        <f>"10/21/2020 18:47:28.812"</f>
        <v>10/21/2020 18:47:28.812</v>
      </c>
      <c r="B4573" t="str">
        <f>"18:47:36.727"</f>
        <v>18:47:36.727</v>
      </c>
      <c r="C4573" t="str">
        <f>"18:47:36.327"</f>
        <v>18:47:36.327</v>
      </c>
      <c r="D4573" t="s">
        <v>1890</v>
      </c>
      <c r="E4573">
        <v>30.968312999999998</v>
      </c>
      <c r="F4573" t="s">
        <v>1891</v>
      </c>
      <c r="G4573">
        <v>-89.856362000000004</v>
      </c>
      <c r="H4573">
        <v>1500</v>
      </c>
      <c r="I4573">
        <v>-15</v>
      </c>
      <c r="J4573">
        <v>-159</v>
      </c>
      <c r="K4573">
        <v>-192</v>
      </c>
      <c r="L4573">
        <v>1200</v>
      </c>
      <c r="M4573" t="str">
        <f t="shared" si="445"/>
        <v xml:space="preserve">N35DC   </v>
      </c>
      <c r="N4573">
        <v>1</v>
      </c>
      <c r="O4573">
        <v>1575</v>
      </c>
    </row>
    <row r="4574" spans="1:15" x14ac:dyDescent="0.25">
      <c r="A4574" t="str">
        <f>"10/21/2020 18:47:28.812"</f>
        <v>10/21/2020 18:47:28.812</v>
      </c>
      <c r="B4574" t="str">
        <f>"18:47:36.727"</f>
        <v>18:47:36.727</v>
      </c>
      <c r="C4574" t="str">
        <f>"18:47:36.327"</f>
        <v>18:47:36.327</v>
      </c>
      <c r="D4574" t="s">
        <v>1890</v>
      </c>
      <c r="E4574">
        <v>30.968312999999998</v>
      </c>
      <c r="F4574" t="s">
        <v>1891</v>
      </c>
      <c r="G4574">
        <v>-89.856362000000004</v>
      </c>
      <c r="H4574">
        <v>1500</v>
      </c>
      <c r="I4574">
        <v>-15</v>
      </c>
      <c r="J4574">
        <v>-159</v>
      </c>
      <c r="K4574">
        <v>-192</v>
      </c>
      <c r="L4574">
        <v>1200</v>
      </c>
      <c r="M4574" t="str">
        <f t="shared" si="445"/>
        <v xml:space="preserve">N35DC   </v>
      </c>
      <c r="N4574">
        <v>1</v>
      </c>
      <c r="O4574">
        <v>1575</v>
      </c>
    </row>
    <row r="4575" spans="1:15" x14ac:dyDescent="0.25">
      <c r="A4575" t="str">
        <f>"10/21/2020 18:47:28.812"</f>
        <v>10/21/2020 18:47:28.812</v>
      </c>
      <c r="B4575" t="str">
        <f>"18:47:36.727"</f>
        <v>18:47:36.727</v>
      </c>
      <c r="C4575" t="str">
        <f>"18:47:36.327"</f>
        <v>18:47:36.327</v>
      </c>
      <c r="D4575" t="s">
        <v>1890</v>
      </c>
      <c r="E4575">
        <v>30.968312999999998</v>
      </c>
      <c r="F4575" t="s">
        <v>1891</v>
      </c>
      <c r="G4575">
        <v>-89.856362000000004</v>
      </c>
      <c r="H4575">
        <v>1500</v>
      </c>
      <c r="I4575">
        <v>-15</v>
      </c>
      <c r="J4575">
        <v>-159</v>
      </c>
      <c r="K4575">
        <v>-192</v>
      </c>
      <c r="L4575">
        <v>1200</v>
      </c>
      <c r="M4575" t="str">
        <f t="shared" si="445"/>
        <v xml:space="preserve">N35DC   </v>
      </c>
      <c r="N4575">
        <v>1</v>
      </c>
      <c r="O4575">
        <v>1575</v>
      </c>
    </row>
    <row r="4576" spans="1:15" x14ac:dyDescent="0.25">
      <c r="A4576" t="str">
        <f>"10/21/2020 18:47:31.238"</f>
        <v>10/21/2020 18:47:31.238</v>
      </c>
      <c r="B4576" t="str">
        <f>"18:47:39.141"</f>
        <v>18:47:39.141</v>
      </c>
      <c r="C4576" t="str">
        <f>"18:47:38.941"</f>
        <v>18:47:38.941</v>
      </c>
      <c r="D4576" t="s">
        <v>1892</v>
      </c>
      <c r="E4576">
        <v>30.966553999999999</v>
      </c>
      <c r="F4576" t="s">
        <v>1893</v>
      </c>
      <c r="G4576">
        <v>-89.856513000000007</v>
      </c>
      <c r="H4576">
        <v>1500</v>
      </c>
      <c r="I4576">
        <v>-14</v>
      </c>
      <c r="J4576">
        <v>-159</v>
      </c>
      <c r="K4576">
        <v>-192</v>
      </c>
      <c r="L4576">
        <v>1200</v>
      </c>
      <c r="M4576" t="str">
        <f t="shared" si="445"/>
        <v xml:space="preserve">N35DC   </v>
      </c>
      <c r="N4576">
        <v>1</v>
      </c>
      <c r="O4576">
        <v>1575</v>
      </c>
    </row>
    <row r="4577" spans="1:15" x14ac:dyDescent="0.25">
      <c r="A4577" t="str">
        <f>"10/21/2020 18:47:31.693"</f>
        <v>10/21/2020 18:47:31.693</v>
      </c>
      <c r="B4577" t="str">
        <f>"18:47:39.633"</f>
        <v>18:47:39.633</v>
      </c>
      <c r="C4577" t="str">
        <f>"18:47:39.533"</f>
        <v>18:47:39.533</v>
      </c>
      <c r="D4577" t="s">
        <v>1894</v>
      </c>
      <c r="E4577">
        <v>30.96621</v>
      </c>
      <c r="F4577" t="s">
        <v>446</v>
      </c>
      <c r="G4577">
        <v>-89.856577000000001</v>
      </c>
      <c r="H4577">
        <v>1500</v>
      </c>
      <c r="I4577">
        <v>-14</v>
      </c>
      <c r="J4577">
        <v>-159</v>
      </c>
      <c r="K4577">
        <v>-256</v>
      </c>
      <c r="L4577">
        <v>1200</v>
      </c>
      <c r="M4577" t="str">
        <f t="shared" si="445"/>
        <v xml:space="preserve">N35DC   </v>
      </c>
      <c r="N4577">
        <v>1</v>
      </c>
      <c r="O4577">
        <v>1575</v>
      </c>
    </row>
    <row r="4578" spans="1:15" x14ac:dyDescent="0.25">
      <c r="A4578" t="str">
        <f>"10/21/2020 18:47:31.693"</f>
        <v>10/21/2020 18:47:31.693</v>
      </c>
      <c r="B4578" t="str">
        <f>"18:47:39.633"</f>
        <v>18:47:39.633</v>
      </c>
      <c r="C4578" t="str">
        <f>"18:47:39.533"</f>
        <v>18:47:39.533</v>
      </c>
      <c r="D4578" t="s">
        <v>1894</v>
      </c>
      <c r="E4578">
        <v>30.96621</v>
      </c>
      <c r="F4578" t="s">
        <v>446</v>
      </c>
      <c r="G4578">
        <v>-89.856577000000001</v>
      </c>
      <c r="H4578">
        <v>1500</v>
      </c>
      <c r="I4578">
        <v>-14</v>
      </c>
      <c r="J4578">
        <v>-159</v>
      </c>
      <c r="K4578">
        <v>-256</v>
      </c>
      <c r="L4578">
        <v>1200</v>
      </c>
      <c r="M4578" t="str">
        <f t="shared" si="445"/>
        <v xml:space="preserve">N35DC   </v>
      </c>
      <c r="N4578">
        <v>1</v>
      </c>
      <c r="O4578">
        <v>1575</v>
      </c>
    </row>
    <row r="4579" spans="1:15" x14ac:dyDescent="0.25">
      <c r="A4579" t="str">
        <f>"10/21/2020 18:47:31.693"</f>
        <v>10/21/2020 18:47:31.693</v>
      </c>
      <c r="B4579" t="str">
        <f>"18:47:39.633"</f>
        <v>18:47:39.633</v>
      </c>
      <c r="C4579" t="str">
        <f>"18:47:39.533"</f>
        <v>18:47:39.533</v>
      </c>
      <c r="D4579" t="s">
        <v>1894</v>
      </c>
      <c r="E4579">
        <v>30.96621</v>
      </c>
      <c r="F4579" t="s">
        <v>446</v>
      </c>
      <c r="G4579">
        <v>-89.856577000000001</v>
      </c>
      <c r="H4579">
        <v>1500</v>
      </c>
      <c r="I4579">
        <v>-14</v>
      </c>
      <c r="J4579">
        <v>-159</v>
      </c>
      <c r="K4579">
        <v>-256</v>
      </c>
      <c r="L4579">
        <v>1200</v>
      </c>
      <c r="M4579" t="str">
        <f t="shared" si="445"/>
        <v xml:space="preserve">N35DC   </v>
      </c>
      <c r="N4579">
        <v>1</v>
      </c>
      <c r="O4579">
        <v>1575</v>
      </c>
    </row>
    <row r="4580" spans="1:15" x14ac:dyDescent="0.25">
      <c r="A4580" t="str">
        <f>"10/21/2020 18:47:33.662"</f>
        <v>10/21/2020 18:47:33.662</v>
      </c>
      <c r="B4580" t="str">
        <f>"18:47:41.617"</f>
        <v>18:47:41.617</v>
      </c>
      <c r="C4580" t="str">
        <f>"18:47:41.417"</f>
        <v>18:47:41.417</v>
      </c>
      <c r="D4580" t="s">
        <v>1895</v>
      </c>
      <c r="E4580">
        <v>30.964729999999999</v>
      </c>
      <c r="F4580" t="s">
        <v>1896</v>
      </c>
      <c r="G4580">
        <v>-89.856684000000001</v>
      </c>
      <c r="H4580">
        <v>1500</v>
      </c>
      <c r="I4580">
        <v>-13</v>
      </c>
      <c r="J4580">
        <v>-159</v>
      </c>
      <c r="K4580">
        <v>-192</v>
      </c>
      <c r="L4580">
        <v>1200</v>
      </c>
      <c r="M4580" t="str">
        <f t="shared" si="445"/>
        <v xml:space="preserve">N35DC   </v>
      </c>
      <c r="N4580">
        <v>1</v>
      </c>
      <c r="O4580">
        <v>1575</v>
      </c>
    </row>
    <row r="4581" spans="1:15" x14ac:dyDescent="0.25">
      <c r="A4581" t="str">
        <f>"10/21/2020 18:47:33.662"</f>
        <v>10/21/2020 18:47:33.662</v>
      </c>
      <c r="B4581" t="str">
        <f>"18:47:41.617"</f>
        <v>18:47:41.617</v>
      </c>
      <c r="C4581" t="str">
        <f>"18:47:41.417"</f>
        <v>18:47:41.417</v>
      </c>
      <c r="D4581" t="s">
        <v>1895</v>
      </c>
      <c r="E4581">
        <v>30.964729999999999</v>
      </c>
      <c r="F4581" t="s">
        <v>1896</v>
      </c>
      <c r="G4581">
        <v>-89.856684000000001</v>
      </c>
      <c r="H4581">
        <v>1500</v>
      </c>
      <c r="I4581">
        <v>-13</v>
      </c>
      <c r="J4581">
        <v>-159</v>
      </c>
      <c r="K4581">
        <v>-192</v>
      </c>
      <c r="L4581">
        <v>1200</v>
      </c>
      <c r="M4581" t="str">
        <f t="shared" si="445"/>
        <v xml:space="preserve">N35DC   </v>
      </c>
      <c r="N4581">
        <v>1</v>
      </c>
      <c r="O4581">
        <v>1575</v>
      </c>
    </row>
    <row r="4582" spans="1:15" x14ac:dyDescent="0.25">
      <c r="A4582" t="str">
        <f>"10/21/2020 18:47:33.662"</f>
        <v>10/21/2020 18:47:33.662</v>
      </c>
      <c r="B4582" t="str">
        <f>"18:47:41.617"</f>
        <v>18:47:41.617</v>
      </c>
      <c r="C4582" t="str">
        <f>"18:47:41.417"</f>
        <v>18:47:41.417</v>
      </c>
      <c r="D4582" t="s">
        <v>1895</v>
      </c>
      <c r="E4582">
        <v>30.964729999999999</v>
      </c>
      <c r="F4582" t="s">
        <v>1896</v>
      </c>
      <c r="G4582">
        <v>-89.856684000000001</v>
      </c>
      <c r="H4582">
        <v>1500</v>
      </c>
      <c r="I4582">
        <v>-13</v>
      </c>
      <c r="J4582">
        <v>-159</v>
      </c>
      <c r="K4582">
        <v>-192</v>
      </c>
      <c r="L4582">
        <v>1200</v>
      </c>
      <c r="M4582" t="str">
        <f t="shared" si="445"/>
        <v xml:space="preserve">N35DC   </v>
      </c>
      <c r="N4582">
        <v>1</v>
      </c>
      <c r="O4582">
        <v>1575</v>
      </c>
    </row>
    <row r="4583" spans="1:15" x14ac:dyDescent="0.25">
      <c r="A4583" t="str">
        <f>"10/21/2020 18:47:33.662"</f>
        <v>10/21/2020 18:47:33.662</v>
      </c>
      <c r="B4583" t="str">
        <f>"18:47:41.617"</f>
        <v>18:47:41.617</v>
      </c>
      <c r="C4583" t="str">
        <f>"18:47:41.417"</f>
        <v>18:47:41.417</v>
      </c>
      <c r="D4583" t="s">
        <v>1895</v>
      </c>
      <c r="E4583">
        <v>30.964729999999999</v>
      </c>
      <c r="F4583" t="s">
        <v>1896</v>
      </c>
      <c r="G4583">
        <v>-89.856684000000001</v>
      </c>
      <c r="H4583">
        <v>1500</v>
      </c>
      <c r="I4583">
        <v>-13</v>
      </c>
      <c r="J4583">
        <v>-159</v>
      </c>
      <c r="K4583">
        <v>-192</v>
      </c>
      <c r="L4583">
        <v>1200</v>
      </c>
      <c r="M4583" t="str">
        <f t="shared" si="445"/>
        <v xml:space="preserve">N35DC   </v>
      </c>
      <c r="N4583">
        <v>1</v>
      </c>
      <c r="O4583">
        <v>1575</v>
      </c>
    </row>
    <row r="4584" spans="1:15" x14ac:dyDescent="0.25">
      <c r="A4584" t="str">
        <f>"10/21/2020 18:47:35.802"</f>
        <v>10/21/2020 18:47:35.802</v>
      </c>
      <c r="B4584" t="str">
        <f>"18:47:43.758"</f>
        <v>18:47:43.758</v>
      </c>
      <c r="C4584" t="str">
        <f>"18:47:43.458"</f>
        <v>18:47:43.458</v>
      </c>
      <c r="D4584" t="s">
        <v>1897</v>
      </c>
      <c r="E4584">
        <v>30.963184999999999</v>
      </c>
      <c r="F4584" t="s">
        <v>1898</v>
      </c>
      <c r="G4584">
        <v>-89.856855999999993</v>
      </c>
      <c r="H4584">
        <v>1500</v>
      </c>
      <c r="I4584">
        <v>-10</v>
      </c>
      <c r="J4584">
        <v>-158</v>
      </c>
      <c r="K4584">
        <v>-192</v>
      </c>
      <c r="L4584">
        <v>1200</v>
      </c>
      <c r="M4584" t="str">
        <f t="shared" si="445"/>
        <v xml:space="preserve">N35DC   </v>
      </c>
      <c r="N4584">
        <v>1</v>
      </c>
      <c r="O4584">
        <v>1550</v>
      </c>
    </row>
    <row r="4585" spans="1:15" x14ac:dyDescent="0.25">
      <c r="A4585" t="str">
        <f>"10/21/2020 18:47:35.802"</f>
        <v>10/21/2020 18:47:35.802</v>
      </c>
      <c r="B4585" t="str">
        <f>"18:47:43.758"</f>
        <v>18:47:43.758</v>
      </c>
      <c r="C4585" t="str">
        <f>"18:47:43.458"</f>
        <v>18:47:43.458</v>
      </c>
      <c r="D4585" t="s">
        <v>1897</v>
      </c>
      <c r="E4585">
        <v>30.963184999999999</v>
      </c>
      <c r="F4585" t="s">
        <v>1898</v>
      </c>
      <c r="G4585">
        <v>-89.856855999999993</v>
      </c>
      <c r="H4585">
        <v>1500</v>
      </c>
      <c r="I4585">
        <v>-10</v>
      </c>
      <c r="J4585">
        <v>-158</v>
      </c>
      <c r="K4585">
        <v>-192</v>
      </c>
      <c r="L4585">
        <v>1200</v>
      </c>
      <c r="M4585" t="str">
        <f t="shared" si="445"/>
        <v xml:space="preserve">N35DC   </v>
      </c>
      <c r="N4585">
        <v>1</v>
      </c>
      <c r="O4585">
        <v>1550</v>
      </c>
    </row>
    <row r="4586" spans="1:15" x14ac:dyDescent="0.25">
      <c r="A4586" t="str">
        <f>"10/21/2020 18:47:35.802"</f>
        <v>10/21/2020 18:47:35.802</v>
      </c>
      <c r="B4586" t="str">
        <f>"18:47:43.758"</f>
        <v>18:47:43.758</v>
      </c>
      <c r="C4586" t="str">
        <f>"18:47:43.458"</f>
        <v>18:47:43.458</v>
      </c>
      <c r="D4586" t="s">
        <v>1897</v>
      </c>
      <c r="E4586">
        <v>30.963184999999999</v>
      </c>
      <c r="F4586" t="s">
        <v>1898</v>
      </c>
      <c r="G4586">
        <v>-89.856855999999993</v>
      </c>
      <c r="H4586">
        <v>1500</v>
      </c>
      <c r="I4586">
        <v>-10</v>
      </c>
      <c r="J4586">
        <v>-158</v>
      </c>
      <c r="K4586">
        <v>-192</v>
      </c>
      <c r="L4586">
        <v>1200</v>
      </c>
      <c r="M4586" t="str">
        <f t="shared" si="445"/>
        <v xml:space="preserve">N35DC   </v>
      </c>
      <c r="N4586">
        <v>1</v>
      </c>
      <c r="O4586">
        <v>1550</v>
      </c>
    </row>
    <row r="4587" spans="1:15" x14ac:dyDescent="0.25">
      <c r="A4587" t="str">
        <f>"10/21/2020 18:47:35.802"</f>
        <v>10/21/2020 18:47:35.802</v>
      </c>
      <c r="B4587" t="str">
        <f>"18:47:43.758"</f>
        <v>18:47:43.758</v>
      </c>
      <c r="C4587" t="str">
        <f>"18:47:43.458"</f>
        <v>18:47:43.458</v>
      </c>
      <c r="D4587" t="s">
        <v>1897</v>
      </c>
      <c r="E4587">
        <v>30.963184999999999</v>
      </c>
      <c r="F4587" t="s">
        <v>1898</v>
      </c>
      <c r="G4587">
        <v>-89.856855999999993</v>
      </c>
      <c r="H4587">
        <v>1500</v>
      </c>
      <c r="I4587">
        <v>-10</v>
      </c>
      <c r="J4587">
        <v>-158</v>
      </c>
      <c r="K4587">
        <v>-192</v>
      </c>
      <c r="L4587">
        <v>1200</v>
      </c>
      <c r="M4587" t="str">
        <f t="shared" si="445"/>
        <v xml:space="preserve">N35DC   </v>
      </c>
      <c r="N4587">
        <v>1</v>
      </c>
      <c r="O4587">
        <v>1550</v>
      </c>
    </row>
    <row r="4588" spans="1:15" x14ac:dyDescent="0.25">
      <c r="A4588" t="str">
        <f>"10/21/2020 18:47:35.802"</f>
        <v>10/21/2020 18:47:35.802</v>
      </c>
      <c r="B4588" t="str">
        <f>"18:47:43.758"</f>
        <v>18:47:43.758</v>
      </c>
      <c r="C4588" t="str">
        <f>"18:47:43.458"</f>
        <v>18:47:43.458</v>
      </c>
      <c r="D4588" t="s">
        <v>1897</v>
      </c>
      <c r="E4588">
        <v>30.963184999999999</v>
      </c>
      <c r="F4588" t="s">
        <v>1898</v>
      </c>
      <c r="G4588">
        <v>-89.856855999999993</v>
      </c>
      <c r="H4588">
        <v>1500</v>
      </c>
      <c r="I4588">
        <v>-10</v>
      </c>
      <c r="J4588">
        <v>-158</v>
      </c>
      <c r="K4588">
        <v>-192</v>
      </c>
      <c r="L4588">
        <v>1200</v>
      </c>
      <c r="M4588" t="str">
        <f t="shared" si="445"/>
        <v xml:space="preserve">N35DC   </v>
      </c>
      <c r="N4588">
        <v>1</v>
      </c>
      <c r="O4588">
        <v>1550</v>
      </c>
    </row>
    <row r="4589" spans="1:15" x14ac:dyDescent="0.25">
      <c r="A4589" t="str">
        <f>"10/21/2020 18:47:36.864"</f>
        <v>10/21/2020 18:47:36.864</v>
      </c>
      <c r="B4589" t="str">
        <f t="shared" ref="B4589:C4591" si="446">"18:47:44.813"</f>
        <v>18:47:44.813</v>
      </c>
      <c r="C4589" t="str">
        <f t="shared" si="446"/>
        <v>18:47:44.813</v>
      </c>
      <c r="D4589" t="s">
        <v>1454</v>
      </c>
      <c r="E4589">
        <v>30.962412</v>
      </c>
      <c r="F4589" t="s">
        <v>1898</v>
      </c>
      <c r="G4589">
        <v>-89.856855999999993</v>
      </c>
      <c r="H4589">
        <v>1500</v>
      </c>
      <c r="I4589">
        <v>-9</v>
      </c>
      <c r="J4589">
        <v>-158</v>
      </c>
      <c r="K4589">
        <v>-256</v>
      </c>
      <c r="L4589">
        <v>1200</v>
      </c>
      <c r="M4589" t="str">
        <f t="shared" si="445"/>
        <v xml:space="preserve">N35DC   </v>
      </c>
      <c r="N4589">
        <v>1</v>
      </c>
      <c r="O4589">
        <v>1550</v>
      </c>
    </row>
    <row r="4590" spans="1:15" x14ac:dyDescent="0.25">
      <c r="A4590" t="str">
        <f>"10/21/2020 18:47:36.864"</f>
        <v>10/21/2020 18:47:36.864</v>
      </c>
      <c r="B4590" t="str">
        <f t="shared" si="446"/>
        <v>18:47:44.813</v>
      </c>
      <c r="C4590" t="str">
        <f t="shared" si="446"/>
        <v>18:47:44.813</v>
      </c>
      <c r="D4590" t="s">
        <v>1454</v>
      </c>
      <c r="E4590">
        <v>30.962412</v>
      </c>
      <c r="F4590" t="s">
        <v>1898</v>
      </c>
      <c r="G4590">
        <v>-89.856855999999993</v>
      </c>
      <c r="H4590">
        <v>1500</v>
      </c>
      <c r="I4590">
        <v>-9</v>
      </c>
      <c r="J4590">
        <v>-158</v>
      </c>
      <c r="K4590">
        <v>-256</v>
      </c>
      <c r="L4590">
        <v>1200</v>
      </c>
      <c r="M4590" t="str">
        <f t="shared" si="445"/>
        <v xml:space="preserve">N35DC   </v>
      </c>
      <c r="N4590">
        <v>1</v>
      </c>
      <c r="O4590">
        <v>1550</v>
      </c>
    </row>
    <row r="4591" spans="1:15" x14ac:dyDescent="0.25">
      <c r="A4591" t="str">
        <f>"10/21/2020 18:47:36.864"</f>
        <v>10/21/2020 18:47:36.864</v>
      </c>
      <c r="B4591" t="str">
        <f t="shared" si="446"/>
        <v>18:47:44.813</v>
      </c>
      <c r="C4591" t="str">
        <f t="shared" si="446"/>
        <v>18:47:44.813</v>
      </c>
      <c r="D4591" t="s">
        <v>1454</v>
      </c>
      <c r="E4591">
        <v>30.962412</v>
      </c>
      <c r="F4591" t="s">
        <v>1898</v>
      </c>
      <c r="G4591">
        <v>-89.856855999999993</v>
      </c>
      <c r="H4591">
        <v>1500</v>
      </c>
      <c r="I4591">
        <v>-9</v>
      </c>
      <c r="J4591">
        <v>-158</v>
      </c>
      <c r="K4591">
        <v>-256</v>
      </c>
      <c r="L4591">
        <v>1200</v>
      </c>
      <c r="M4591" t="str">
        <f t="shared" si="445"/>
        <v xml:space="preserve">N35DC   </v>
      </c>
      <c r="N4591">
        <v>1</v>
      </c>
      <c r="O4591">
        <v>1550</v>
      </c>
    </row>
    <row r="4592" spans="1:15" x14ac:dyDescent="0.25">
      <c r="A4592" t="str">
        <f>"10/21/2020 18:47:37.432"</f>
        <v>10/21/2020 18:47:37.432</v>
      </c>
      <c r="B4592" t="str">
        <f>"18:47:45.320"</f>
        <v>18:47:45.320</v>
      </c>
      <c r="C4592" t="str">
        <f>"18:47:45.320"</f>
        <v>18:47:45.320</v>
      </c>
      <c r="D4592" t="s">
        <v>1899</v>
      </c>
      <c r="E4592">
        <v>30.962026000000002</v>
      </c>
      <c r="F4592" t="s">
        <v>1900</v>
      </c>
      <c r="G4592">
        <v>-89.856898999999999</v>
      </c>
      <c r="H4592">
        <v>1500</v>
      </c>
      <c r="I4592">
        <v>-9</v>
      </c>
      <c r="J4592">
        <v>-158</v>
      </c>
      <c r="K4592">
        <v>-192</v>
      </c>
      <c r="L4592">
        <v>1200</v>
      </c>
      <c r="M4592" t="str">
        <f t="shared" si="445"/>
        <v xml:space="preserve">N35DC   </v>
      </c>
      <c r="N4592">
        <v>1</v>
      </c>
      <c r="O4592">
        <v>1550</v>
      </c>
    </row>
    <row r="4593" spans="1:15" x14ac:dyDescent="0.25">
      <c r="A4593" t="str">
        <f>"10/21/2020 18:47:39.744"</f>
        <v>10/21/2020 18:47:39.744</v>
      </c>
      <c r="B4593" t="str">
        <f t="shared" ref="B4593:C4595" si="447">"18:47:47.672"</f>
        <v>18:47:47.672</v>
      </c>
      <c r="C4593" t="str">
        <f t="shared" si="447"/>
        <v>18:47:47.672</v>
      </c>
      <c r="D4593" t="s">
        <v>1901</v>
      </c>
      <c r="E4593">
        <v>30.960287999999998</v>
      </c>
      <c r="F4593" t="s">
        <v>1902</v>
      </c>
      <c r="G4593">
        <v>-89.857005999999998</v>
      </c>
      <c r="H4593">
        <v>1500</v>
      </c>
      <c r="I4593">
        <v>-7</v>
      </c>
      <c r="J4593">
        <v>-158</v>
      </c>
      <c r="K4593">
        <v>-256</v>
      </c>
      <c r="L4593">
        <v>1200</v>
      </c>
      <c r="M4593" t="str">
        <f t="shared" si="445"/>
        <v xml:space="preserve">N35DC   </v>
      </c>
      <c r="N4593">
        <v>1</v>
      </c>
      <c r="O4593">
        <v>1550</v>
      </c>
    </row>
    <row r="4594" spans="1:15" x14ac:dyDescent="0.25">
      <c r="A4594" t="str">
        <f>"10/21/2020 18:47:39.744"</f>
        <v>10/21/2020 18:47:39.744</v>
      </c>
      <c r="B4594" t="str">
        <f t="shared" si="447"/>
        <v>18:47:47.672</v>
      </c>
      <c r="C4594" t="str">
        <f t="shared" si="447"/>
        <v>18:47:47.672</v>
      </c>
      <c r="D4594" t="s">
        <v>1901</v>
      </c>
      <c r="E4594">
        <v>30.960287999999998</v>
      </c>
      <c r="F4594" t="s">
        <v>1902</v>
      </c>
      <c r="G4594">
        <v>-89.857005999999998</v>
      </c>
      <c r="H4594">
        <v>1500</v>
      </c>
      <c r="I4594">
        <v>-7</v>
      </c>
      <c r="J4594">
        <v>-158</v>
      </c>
      <c r="K4594">
        <v>-256</v>
      </c>
      <c r="L4594">
        <v>1200</v>
      </c>
      <c r="M4594" t="str">
        <f t="shared" si="445"/>
        <v xml:space="preserve">N35DC   </v>
      </c>
      <c r="N4594">
        <v>1</v>
      </c>
      <c r="O4594">
        <v>1550</v>
      </c>
    </row>
    <row r="4595" spans="1:15" x14ac:dyDescent="0.25">
      <c r="A4595" t="str">
        <f>"10/21/2020 18:47:39.744"</f>
        <v>10/21/2020 18:47:39.744</v>
      </c>
      <c r="B4595" t="str">
        <f t="shared" si="447"/>
        <v>18:47:47.672</v>
      </c>
      <c r="C4595" t="str">
        <f t="shared" si="447"/>
        <v>18:47:47.672</v>
      </c>
      <c r="D4595" t="s">
        <v>1901</v>
      </c>
      <c r="E4595">
        <v>30.960287999999998</v>
      </c>
      <c r="F4595" t="s">
        <v>1902</v>
      </c>
      <c r="G4595">
        <v>-89.857005999999998</v>
      </c>
      <c r="H4595">
        <v>1500</v>
      </c>
      <c r="I4595">
        <v>-7</v>
      </c>
      <c r="J4595">
        <v>-158</v>
      </c>
      <c r="K4595">
        <v>-256</v>
      </c>
      <c r="L4595">
        <v>1200</v>
      </c>
      <c r="M4595" t="str">
        <f t="shared" si="445"/>
        <v xml:space="preserve">N35DC   </v>
      </c>
      <c r="N4595">
        <v>1</v>
      </c>
      <c r="O4595">
        <v>1550</v>
      </c>
    </row>
    <row r="4596" spans="1:15" x14ac:dyDescent="0.25">
      <c r="A4596" t="str">
        <f>"10/21/2020 18:47:40.297"</f>
        <v>10/21/2020 18:47:40.297</v>
      </c>
      <c r="B4596" t="str">
        <f>"18:47:48.211"</f>
        <v>18:47:48.211</v>
      </c>
      <c r="C4596" t="str">
        <f>"18:47:47.711"</f>
        <v>18:47:47.711</v>
      </c>
      <c r="D4596" t="s">
        <v>1903</v>
      </c>
      <c r="E4596">
        <v>30.959902</v>
      </c>
      <c r="F4596" t="s">
        <v>1902</v>
      </c>
      <c r="G4596">
        <v>-89.857005999999998</v>
      </c>
      <c r="H4596">
        <v>1500</v>
      </c>
      <c r="I4596">
        <v>-7</v>
      </c>
      <c r="J4596">
        <v>-158</v>
      </c>
      <c r="K4596">
        <v>-256</v>
      </c>
      <c r="L4596">
        <v>1200</v>
      </c>
      <c r="M4596" t="str">
        <f t="shared" si="445"/>
        <v xml:space="preserve">N35DC   </v>
      </c>
      <c r="N4596">
        <v>1</v>
      </c>
      <c r="O4596">
        <v>1550</v>
      </c>
    </row>
    <row r="4597" spans="1:15" x14ac:dyDescent="0.25">
      <c r="A4597" t="str">
        <f>"10/21/2020 18:47:40.755"</f>
        <v>10/21/2020 18:47:40.755</v>
      </c>
      <c r="B4597" t="str">
        <f>"18:47:48.711"</f>
        <v>18:47:48.711</v>
      </c>
      <c r="C4597" t="str">
        <f>"18:47:48.311"</f>
        <v>18:47:48.311</v>
      </c>
      <c r="D4597" t="s">
        <v>1904</v>
      </c>
      <c r="E4597">
        <v>30.959516000000001</v>
      </c>
      <c r="F4597" t="s">
        <v>1905</v>
      </c>
      <c r="G4597">
        <v>-89.857069999999993</v>
      </c>
      <c r="H4597">
        <v>1500</v>
      </c>
      <c r="I4597">
        <v>-7</v>
      </c>
      <c r="J4597">
        <v>-158</v>
      </c>
      <c r="K4597">
        <v>-320</v>
      </c>
      <c r="L4597">
        <v>1200</v>
      </c>
      <c r="M4597" t="str">
        <f t="shared" si="445"/>
        <v xml:space="preserve">N35DC   </v>
      </c>
      <c r="N4597">
        <v>1</v>
      </c>
      <c r="O4597">
        <v>1550</v>
      </c>
    </row>
    <row r="4598" spans="1:15" x14ac:dyDescent="0.25">
      <c r="A4598" t="str">
        <f>"10/21/2020 18:47:40.755"</f>
        <v>10/21/2020 18:47:40.755</v>
      </c>
      <c r="B4598" t="str">
        <f>"18:47:48.711"</f>
        <v>18:47:48.711</v>
      </c>
      <c r="C4598" t="str">
        <f>"18:47:48.311"</f>
        <v>18:47:48.311</v>
      </c>
      <c r="D4598" t="s">
        <v>1904</v>
      </c>
      <c r="E4598">
        <v>30.959516000000001</v>
      </c>
      <c r="F4598" t="s">
        <v>1905</v>
      </c>
      <c r="G4598">
        <v>-89.857069999999993</v>
      </c>
      <c r="H4598">
        <v>1500</v>
      </c>
      <c r="I4598">
        <v>-7</v>
      </c>
      <c r="J4598">
        <v>-158</v>
      </c>
      <c r="K4598">
        <v>-320</v>
      </c>
      <c r="L4598">
        <v>1200</v>
      </c>
      <c r="M4598" t="str">
        <f t="shared" si="445"/>
        <v xml:space="preserve">N35DC   </v>
      </c>
      <c r="N4598">
        <v>1</v>
      </c>
      <c r="O4598">
        <v>1550</v>
      </c>
    </row>
    <row r="4599" spans="1:15" x14ac:dyDescent="0.25">
      <c r="A4599" t="str">
        <f>"10/21/2020 18:47:40.755"</f>
        <v>10/21/2020 18:47:40.755</v>
      </c>
      <c r="B4599" t="str">
        <f>"18:47:48.711"</f>
        <v>18:47:48.711</v>
      </c>
      <c r="C4599" t="str">
        <f>"18:47:48.311"</f>
        <v>18:47:48.311</v>
      </c>
      <c r="D4599" t="s">
        <v>1904</v>
      </c>
      <c r="E4599">
        <v>30.959516000000001</v>
      </c>
      <c r="F4599" t="s">
        <v>1905</v>
      </c>
      <c r="G4599">
        <v>-89.857069999999993</v>
      </c>
      <c r="H4599">
        <v>1500</v>
      </c>
      <c r="I4599">
        <v>-7</v>
      </c>
      <c r="J4599">
        <v>-158</v>
      </c>
      <c r="K4599">
        <v>-320</v>
      </c>
      <c r="L4599">
        <v>1200</v>
      </c>
      <c r="M4599" t="str">
        <f t="shared" si="445"/>
        <v xml:space="preserve">N35DC   </v>
      </c>
      <c r="N4599">
        <v>1</v>
      </c>
      <c r="O4599">
        <v>1550</v>
      </c>
    </row>
    <row r="4600" spans="1:15" x14ac:dyDescent="0.25">
      <c r="A4600" t="str">
        <f>"10/21/2020 18:47:43.782"</f>
        <v>10/21/2020 18:47:43.782</v>
      </c>
      <c r="B4600" t="str">
        <f>"18:47:51.711"</f>
        <v>18:47:51.711</v>
      </c>
      <c r="C4600" t="str">
        <f>"18:47:51.411"</f>
        <v>18:47:51.411</v>
      </c>
      <c r="D4600" t="s">
        <v>1906</v>
      </c>
      <c r="E4600">
        <v>30.957326999999999</v>
      </c>
      <c r="F4600" t="s">
        <v>1907</v>
      </c>
      <c r="G4600">
        <v>-89.857178000000005</v>
      </c>
      <c r="H4600">
        <v>1500</v>
      </c>
      <c r="I4600">
        <v>-9</v>
      </c>
      <c r="J4600">
        <v>-158</v>
      </c>
      <c r="K4600">
        <v>-320</v>
      </c>
      <c r="L4600">
        <v>1200</v>
      </c>
      <c r="M4600" t="str">
        <f t="shared" si="445"/>
        <v xml:space="preserve">N35DC   </v>
      </c>
      <c r="N4600">
        <v>1</v>
      </c>
      <c r="O4600">
        <v>1525</v>
      </c>
    </row>
    <row r="4601" spans="1:15" x14ac:dyDescent="0.25">
      <c r="A4601" t="str">
        <f>"10/21/2020 18:47:43.782"</f>
        <v>10/21/2020 18:47:43.782</v>
      </c>
      <c r="B4601" t="str">
        <f>"18:47:51.711"</f>
        <v>18:47:51.711</v>
      </c>
      <c r="C4601" t="str">
        <f>"18:47:51.411"</f>
        <v>18:47:51.411</v>
      </c>
      <c r="D4601" t="s">
        <v>1906</v>
      </c>
      <c r="E4601">
        <v>30.957326999999999</v>
      </c>
      <c r="F4601" t="s">
        <v>1907</v>
      </c>
      <c r="G4601">
        <v>-89.857178000000005</v>
      </c>
      <c r="H4601">
        <v>1500</v>
      </c>
      <c r="I4601">
        <v>-9</v>
      </c>
      <c r="J4601">
        <v>-158</v>
      </c>
      <c r="K4601">
        <v>-320</v>
      </c>
      <c r="L4601">
        <v>1200</v>
      </c>
      <c r="M4601" t="str">
        <f t="shared" si="445"/>
        <v xml:space="preserve">N35DC   </v>
      </c>
      <c r="N4601">
        <v>1</v>
      </c>
      <c r="O4601">
        <v>1525</v>
      </c>
    </row>
    <row r="4602" spans="1:15" x14ac:dyDescent="0.25">
      <c r="A4602" t="str">
        <f>"10/21/2020 18:47:43.782"</f>
        <v>10/21/2020 18:47:43.782</v>
      </c>
      <c r="B4602" t="str">
        <f>"18:47:51.711"</f>
        <v>18:47:51.711</v>
      </c>
      <c r="C4602" t="str">
        <f>"18:47:51.411"</f>
        <v>18:47:51.411</v>
      </c>
      <c r="D4602" t="s">
        <v>1906</v>
      </c>
      <c r="E4602">
        <v>30.957326999999999</v>
      </c>
      <c r="F4602" t="s">
        <v>1907</v>
      </c>
      <c r="G4602">
        <v>-89.857178000000005</v>
      </c>
      <c r="H4602">
        <v>1500</v>
      </c>
      <c r="I4602">
        <v>-9</v>
      </c>
      <c r="J4602">
        <v>-158</v>
      </c>
      <c r="K4602">
        <v>-320</v>
      </c>
      <c r="L4602">
        <v>1200</v>
      </c>
      <c r="M4602" t="str">
        <f t="shared" si="445"/>
        <v xml:space="preserve">N35DC   </v>
      </c>
      <c r="N4602">
        <v>1</v>
      </c>
      <c r="O4602">
        <v>1525</v>
      </c>
    </row>
    <row r="4603" spans="1:15" x14ac:dyDescent="0.25">
      <c r="A4603" t="str">
        <f>"10/21/2020 18:47:44.226"</f>
        <v>10/21/2020 18:47:44.226</v>
      </c>
      <c r="B4603" t="str">
        <f>"18:47:52.141"</f>
        <v>18:47:52.141</v>
      </c>
      <c r="C4603" t="str">
        <f>"18:47:51.841"</f>
        <v>18:47:51.841</v>
      </c>
      <c r="D4603" t="s">
        <v>1908</v>
      </c>
      <c r="E4603">
        <v>30.957004999999999</v>
      </c>
      <c r="F4603" t="s">
        <v>1907</v>
      </c>
      <c r="G4603">
        <v>-89.857178000000005</v>
      </c>
      <c r="H4603">
        <v>1400</v>
      </c>
      <c r="I4603">
        <v>-9</v>
      </c>
      <c r="J4603">
        <v>-158</v>
      </c>
      <c r="K4603">
        <v>-320</v>
      </c>
      <c r="L4603">
        <v>1200</v>
      </c>
      <c r="M4603" t="str">
        <f t="shared" si="445"/>
        <v xml:space="preserve">N35DC   </v>
      </c>
      <c r="N4603">
        <v>1</v>
      </c>
      <c r="O4603">
        <v>1625</v>
      </c>
    </row>
    <row r="4604" spans="1:15" x14ac:dyDescent="0.25">
      <c r="A4604" t="str">
        <f>"10/21/2020 18:47:46.442"</f>
        <v>10/21/2020 18:47:46.442</v>
      </c>
      <c r="B4604" t="str">
        <f>"18:47:54.305"</f>
        <v>18:47:54.305</v>
      </c>
      <c r="C4604" t="str">
        <f>"18:47:53.905"</f>
        <v>18:47:53.905</v>
      </c>
      <c r="D4604" t="s">
        <v>1909</v>
      </c>
      <c r="E4604">
        <v>30.955417000000001</v>
      </c>
      <c r="F4604" t="s">
        <v>523</v>
      </c>
      <c r="G4604">
        <v>-89.857285000000005</v>
      </c>
      <c r="H4604">
        <v>1400</v>
      </c>
      <c r="I4604">
        <v>-10</v>
      </c>
      <c r="J4604">
        <v>-158</v>
      </c>
      <c r="K4604">
        <v>-448</v>
      </c>
      <c r="L4604">
        <v>1200</v>
      </c>
      <c r="M4604" t="str">
        <f t="shared" si="445"/>
        <v xml:space="preserve">N35DC   </v>
      </c>
      <c r="N4604">
        <v>1</v>
      </c>
      <c r="O4604">
        <v>1500</v>
      </c>
    </row>
    <row r="4605" spans="1:15" x14ac:dyDescent="0.25">
      <c r="A4605" t="str">
        <f>"10/21/2020 18:47:46.862"</f>
        <v>10/21/2020 18:47:46.862</v>
      </c>
      <c r="B4605" t="str">
        <f>"18:47:54.766"</f>
        <v>18:47:54.766</v>
      </c>
      <c r="C4605" t="str">
        <f>"18:47:53.866"</f>
        <v>18:47:53.866</v>
      </c>
      <c r="D4605" t="s">
        <v>1910</v>
      </c>
      <c r="E4605">
        <v>30.955095</v>
      </c>
      <c r="F4605" t="s">
        <v>1911</v>
      </c>
      <c r="G4605">
        <v>-89.857348999999999</v>
      </c>
      <c r="H4605">
        <v>1400</v>
      </c>
      <c r="I4605">
        <v>-10</v>
      </c>
      <c r="J4605">
        <v>-158</v>
      </c>
      <c r="K4605">
        <v>-448</v>
      </c>
      <c r="L4605">
        <v>1200</v>
      </c>
      <c r="M4605" t="str">
        <f t="shared" si="445"/>
        <v xml:space="preserve">N35DC   </v>
      </c>
      <c r="N4605">
        <v>1</v>
      </c>
      <c r="O4605">
        <v>1500</v>
      </c>
    </row>
    <row r="4606" spans="1:15" x14ac:dyDescent="0.25">
      <c r="A4606" t="str">
        <f>"10/21/2020 18:47:46.862"</f>
        <v>10/21/2020 18:47:46.862</v>
      </c>
      <c r="B4606" t="str">
        <f>"18:47:54.766"</f>
        <v>18:47:54.766</v>
      </c>
      <c r="C4606" t="str">
        <f>"18:47:53.866"</f>
        <v>18:47:53.866</v>
      </c>
      <c r="D4606" t="s">
        <v>1910</v>
      </c>
      <c r="E4606">
        <v>30.955095</v>
      </c>
      <c r="F4606" t="s">
        <v>1911</v>
      </c>
      <c r="G4606">
        <v>-89.857348999999999</v>
      </c>
      <c r="H4606">
        <v>1400</v>
      </c>
      <c r="I4606">
        <v>-10</v>
      </c>
      <c r="J4606">
        <v>-158</v>
      </c>
      <c r="K4606">
        <v>-448</v>
      </c>
      <c r="L4606">
        <v>1200</v>
      </c>
      <c r="M4606" t="str">
        <f t="shared" si="445"/>
        <v xml:space="preserve">N35DC   </v>
      </c>
      <c r="N4606">
        <v>1</v>
      </c>
      <c r="O4606">
        <v>1500</v>
      </c>
    </row>
    <row r="4607" spans="1:15" x14ac:dyDescent="0.25">
      <c r="A4607" t="str">
        <f>"10/21/2020 18:47:46.862"</f>
        <v>10/21/2020 18:47:46.862</v>
      </c>
      <c r="B4607" t="str">
        <f>"18:47:54.766"</f>
        <v>18:47:54.766</v>
      </c>
      <c r="C4607" t="str">
        <f>"18:47:53.866"</f>
        <v>18:47:53.866</v>
      </c>
      <c r="D4607" t="s">
        <v>1910</v>
      </c>
      <c r="E4607">
        <v>30.955095</v>
      </c>
      <c r="F4607" t="s">
        <v>1911</v>
      </c>
      <c r="G4607">
        <v>-89.857348999999999</v>
      </c>
      <c r="H4607">
        <v>1400</v>
      </c>
      <c r="I4607">
        <v>-10</v>
      </c>
      <c r="J4607">
        <v>-158</v>
      </c>
      <c r="K4607">
        <v>-448</v>
      </c>
      <c r="L4607">
        <v>1200</v>
      </c>
      <c r="M4607" t="str">
        <f t="shared" si="445"/>
        <v xml:space="preserve">N35DC   </v>
      </c>
      <c r="N4607">
        <v>1</v>
      </c>
      <c r="O4607">
        <v>1500</v>
      </c>
    </row>
    <row r="4608" spans="1:15" x14ac:dyDescent="0.25">
      <c r="A4608" t="str">
        <f>"10/21/2020 18:47:49.884"</f>
        <v>10/21/2020 18:47:49.884</v>
      </c>
      <c r="B4608" t="str">
        <f>"18:47:57.828"</f>
        <v>18:47:57.828</v>
      </c>
      <c r="C4608" t="str">
        <f>"18:47:57.428"</f>
        <v>18:47:57.428</v>
      </c>
      <c r="D4608" t="s">
        <v>1912</v>
      </c>
      <c r="E4608">
        <v>30.952821</v>
      </c>
      <c r="F4608" t="s">
        <v>1913</v>
      </c>
      <c r="G4608">
        <v>-89.857500000000002</v>
      </c>
      <c r="H4608">
        <v>1400</v>
      </c>
      <c r="I4608">
        <v>-10</v>
      </c>
      <c r="J4608">
        <v>-158</v>
      </c>
      <c r="K4608">
        <v>-384</v>
      </c>
      <c r="L4608">
        <v>1200</v>
      </c>
      <c r="M4608" t="str">
        <f t="shared" si="445"/>
        <v xml:space="preserve">N35DC   </v>
      </c>
      <c r="N4608">
        <v>1</v>
      </c>
      <c r="O4608">
        <v>1475</v>
      </c>
    </row>
    <row r="4609" spans="1:15" x14ac:dyDescent="0.25">
      <c r="A4609" t="str">
        <f>"10/21/2020 18:47:49.884"</f>
        <v>10/21/2020 18:47:49.884</v>
      </c>
      <c r="B4609" t="str">
        <f>"18:47:57.828"</f>
        <v>18:47:57.828</v>
      </c>
      <c r="C4609" t="str">
        <f>"18:47:57.428"</f>
        <v>18:47:57.428</v>
      </c>
      <c r="D4609" t="s">
        <v>1912</v>
      </c>
      <c r="E4609">
        <v>30.952821</v>
      </c>
      <c r="F4609" t="s">
        <v>1913</v>
      </c>
      <c r="G4609">
        <v>-89.857500000000002</v>
      </c>
      <c r="H4609">
        <v>1400</v>
      </c>
      <c r="I4609">
        <v>-10</v>
      </c>
      <c r="J4609">
        <v>-158</v>
      </c>
      <c r="K4609">
        <v>-384</v>
      </c>
      <c r="L4609">
        <v>1200</v>
      </c>
      <c r="M4609" t="str">
        <f t="shared" si="445"/>
        <v xml:space="preserve">N35DC   </v>
      </c>
      <c r="N4609">
        <v>1</v>
      </c>
      <c r="O4609">
        <v>1475</v>
      </c>
    </row>
    <row r="4610" spans="1:15" x14ac:dyDescent="0.25">
      <c r="A4610" t="str">
        <f>"10/21/2020 18:47:49.884"</f>
        <v>10/21/2020 18:47:49.884</v>
      </c>
      <c r="B4610" t="str">
        <f>"18:47:57.828"</f>
        <v>18:47:57.828</v>
      </c>
      <c r="C4610" t="str">
        <f>"18:47:57.428"</f>
        <v>18:47:57.428</v>
      </c>
      <c r="D4610" t="s">
        <v>1912</v>
      </c>
      <c r="E4610">
        <v>30.952821</v>
      </c>
      <c r="F4610" t="s">
        <v>1913</v>
      </c>
      <c r="G4610">
        <v>-89.857500000000002</v>
      </c>
      <c r="H4610">
        <v>1400</v>
      </c>
      <c r="I4610">
        <v>-10</v>
      </c>
      <c r="J4610">
        <v>-158</v>
      </c>
      <c r="K4610">
        <v>-384</v>
      </c>
      <c r="L4610">
        <v>1200</v>
      </c>
      <c r="M4610" t="str">
        <f t="shared" si="445"/>
        <v xml:space="preserve">N35DC   </v>
      </c>
      <c r="N4610">
        <v>1</v>
      </c>
      <c r="O4610">
        <v>1475</v>
      </c>
    </row>
    <row r="4611" spans="1:15" x14ac:dyDescent="0.25">
      <c r="A4611" t="str">
        <f>"10/21/2020 18:47:49.884"</f>
        <v>10/21/2020 18:47:49.884</v>
      </c>
      <c r="B4611" t="str">
        <f>"18:47:57.828"</f>
        <v>18:47:57.828</v>
      </c>
      <c r="C4611" t="str">
        <f>"18:47:57.428"</f>
        <v>18:47:57.428</v>
      </c>
      <c r="D4611" t="s">
        <v>1912</v>
      </c>
      <c r="E4611">
        <v>30.952821</v>
      </c>
      <c r="F4611" t="s">
        <v>1913</v>
      </c>
      <c r="G4611">
        <v>-89.857500000000002</v>
      </c>
      <c r="H4611">
        <v>1400</v>
      </c>
      <c r="I4611">
        <v>-10</v>
      </c>
      <c r="J4611">
        <v>-158</v>
      </c>
      <c r="K4611">
        <v>-384</v>
      </c>
      <c r="L4611">
        <v>1200</v>
      </c>
      <c r="M4611" t="str">
        <f t="shared" si="445"/>
        <v xml:space="preserve">N35DC   </v>
      </c>
      <c r="N4611">
        <v>1</v>
      </c>
      <c r="O4611">
        <v>1475</v>
      </c>
    </row>
    <row r="4612" spans="1:15" x14ac:dyDescent="0.25">
      <c r="A4612" t="str">
        <f>"10/21/2020 18:47:50.863"</f>
        <v>10/21/2020 18:47:50.863</v>
      </c>
      <c r="B4612" t="str">
        <f>"18:47:58.789"</f>
        <v>18:47:58.789</v>
      </c>
      <c r="C4612" t="str">
        <f>"18:47:58.389"</f>
        <v>18:47:58.389</v>
      </c>
      <c r="D4612" t="s">
        <v>1914</v>
      </c>
      <c r="E4612">
        <v>30.952155999999999</v>
      </c>
      <c r="F4612" t="s">
        <v>1915</v>
      </c>
      <c r="G4612">
        <v>-89.857563999999996</v>
      </c>
      <c r="H4612">
        <v>1400</v>
      </c>
      <c r="I4612">
        <v>-10</v>
      </c>
      <c r="J4612">
        <v>-159</v>
      </c>
      <c r="K4612">
        <v>-384</v>
      </c>
      <c r="L4612">
        <v>1200</v>
      </c>
      <c r="M4612" t="str">
        <f t="shared" si="445"/>
        <v xml:space="preserve">N35DC   </v>
      </c>
      <c r="N4612">
        <v>1</v>
      </c>
      <c r="O4612">
        <v>1475</v>
      </c>
    </row>
    <row r="4613" spans="1:15" x14ac:dyDescent="0.25">
      <c r="A4613" t="str">
        <f>"10/21/2020 18:47:50.863"</f>
        <v>10/21/2020 18:47:50.863</v>
      </c>
      <c r="B4613" t="str">
        <f>"18:47:58.789"</f>
        <v>18:47:58.789</v>
      </c>
      <c r="C4613" t="str">
        <f>"18:47:58.389"</f>
        <v>18:47:58.389</v>
      </c>
      <c r="D4613" t="s">
        <v>1914</v>
      </c>
      <c r="E4613">
        <v>30.952155999999999</v>
      </c>
      <c r="F4613" t="s">
        <v>1915</v>
      </c>
      <c r="G4613">
        <v>-89.857563999999996</v>
      </c>
      <c r="H4613">
        <v>1400</v>
      </c>
      <c r="I4613">
        <v>-10</v>
      </c>
      <c r="J4613">
        <v>-159</v>
      </c>
      <c r="K4613">
        <v>-384</v>
      </c>
      <c r="L4613">
        <v>1200</v>
      </c>
      <c r="M4613" t="str">
        <f t="shared" si="445"/>
        <v xml:space="preserve">N35DC   </v>
      </c>
      <c r="N4613">
        <v>1</v>
      </c>
      <c r="O4613">
        <v>1475</v>
      </c>
    </row>
    <row r="4614" spans="1:15" x14ac:dyDescent="0.25">
      <c r="A4614" t="str">
        <f>"10/21/2020 18:47:50.863"</f>
        <v>10/21/2020 18:47:50.863</v>
      </c>
      <c r="B4614" t="str">
        <f>"18:47:58.789"</f>
        <v>18:47:58.789</v>
      </c>
      <c r="C4614" t="str">
        <f>"18:47:58.389"</f>
        <v>18:47:58.389</v>
      </c>
      <c r="D4614" t="s">
        <v>1914</v>
      </c>
      <c r="E4614">
        <v>30.952155999999999</v>
      </c>
      <c r="F4614" t="s">
        <v>1915</v>
      </c>
      <c r="G4614">
        <v>-89.857563999999996</v>
      </c>
      <c r="H4614">
        <v>1400</v>
      </c>
      <c r="I4614">
        <v>-10</v>
      </c>
      <c r="J4614">
        <v>-159</v>
      </c>
      <c r="K4614">
        <v>-384</v>
      </c>
      <c r="L4614">
        <v>1200</v>
      </c>
      <c r="M4614" t="str">
        <f t="shared" si="445"/>
        <v xml:space="preserve">N35DC   </v>
      </c>
      <c r="N4614">
        <v>1</v>
      </c>
      <c r="O4614">
        <v>1475</v>
      </c>
    </row>
    <row r="4615" spans="1:15" x14ac:dyDescent="0.25">
      <c r="A4615" t="str">
        <f>"10/21/2020 18:47:53.611"</f>
        <v>10/21/2020 18:47:53.611</v>
      </c>
      <c r="B4615" t="str">
        <f>"18:48:01.516"</f>
        <v>18:48:01.516</v>
      </c>
      <c r="C4615" t="str">
        <f>"18:48:01.416"</f>
        <v>18:48:01.416</v>
      </c>
      <c r="D4615" t="s">
        <v>1916</v>
      </c>
      <c r="E4615">
        <v>30.950116999999999</v>
      </c>
      <c r="F4615" t="s">
        <v>1917</v>
      </c>
      <c r="G4615">
        <v>-89.857736000000003</v>
      </c>
      <c r="H4615">
        <v>1400</v>
      </c>
      <c r="I4615">
        <v>-12</v>
      </c>
      <c r="J4615">
        <v>-160</v>
      </c>
      <c r="K4615">
        <v>-320</v>
      </c>
      <c r="L4615">
        <v>1200</v>
      </c>
      <c r="M4615" t="str">
        <f t="shared" ref="M4615:M4678" si="448">"N35DC   "</f>
        <v xml:space="preserve">N35DC   </v>
      </c>
      <c r="N4615">
        <v>1</v>
      </c>
      <c r="O4615">
        <v>1475</v>
      </c>
    </row>
    <row r="4616" spans="1:15" x14ac:dyDescent="0.25">
      <c r="A4616" t="str">
        <f>"10/21/2020 18:47:53.611"</f>
        <v>10/21/2020 18:47:53.611</v>
      </c>
      <c r="B4616" t="str">
        <f>"18:48:01.516"</f>
        <v>18:48:01.516</v>
      </c>
      <c r="C4616" t="str">
        <f>"18:48:01.416"</f>
        <v>18:48:01.416</v>
      </c>
      <c r="D4616" t="s">
        <v>1916</v>
      </c>
      <c r="E4616">
        <v>30.950116999999999</v>
      </c>
      <c r="F4616" t="s">
        <v>1917</v>
      </c>
      <c r="G4616">
        <v>-89.857736000000003</v>
      </c>
      <c r="H4616">
        <v>1400</v>
      </c>
      <c r="I4616">
        <v>-12</v>
      </c>
      <c r="J4616">
        <v>-160</v>
      </c>
      <c r="K4616">
        <v>-320</v>
      </c>
      <c r="L4616">
        <v>1200</v>
      </c>
      <c r="M4616" t="str">
        <f t="shared" si="448"/>
        <v xml:space="preserve">N35DC   </v>
      </c>
      <c r="N4616">
        <v>1</v>
      </c>
      <c r="O4616">
        <v>1475</v>
      </c>
    </row>
    <row r="4617" spans="1:15" x14ac:dyDescent="0.25">
      <c r="A4617" t="str">
        <f>"10/21/2020 18:47:53.611"</f>
        <v>10/21/2020 18:47:53.611</v>
      </c>
      <c r="B4617" t="str">
        <f>"18:48:01.516"</f>
        <v>18:48:01.516</v>
      </c>
      <c r="C4617" t="str">
        <f>"18:48:01.416"</f>
        <v>18:48:01.416</v>
      </c>
      <c r="D4617" t="s">
        <v>1916</v>
      </c>
      <c r="E4617">
        <v>30.950116999999999</v>
      </c>
      <c r="F4617" t="s">
        <v>1917</v>
      </c>
      <c r="G4617">
        <v>-89.857736000000003</v>
      </c>
      <c r="H4617">
        <v>1400</v>
      </c>
      <c r="I4617">
        <v>-12</v>
      </c>
      <c r="J4617">
        <v>-160</v>
      </c>
      <c r="K4617">
        <v>-320</v>
      </c>
      <c r="L4617">
        <v>1200</v>
      </c>
      <c r="M4617" t="str">
        <f t="shared" si="448"/>
        <v xml:space="preserve">N35DC   </v>
      </c>
      <c r="N4617">
        <v>1</v>
      </c>
      <c r="O4617">
        <v>1475</v>
      </c>
    </row>
    <row r="4618" spans="1:15" x14ac:dyDescent="0.25">
      <c r="A4618" t="str">
        <f>"10/21/2020 18:47:54.132"</f>
        <v>10/21/2020 18:47:54.132</v>
      </c>
      <c r="B4618" t="str">
        <f>"18:48:02.055"</f>
        <v>18:48:02.055</v>
      </c>
      <c r="C4618" t="str">
        <f>"18:48:01.855"</f>
        <v>18:48:01.855</v>
      </c>
      <c r="D4618" t="s">
        <v>1918</v>
      </c>
      <c r="E4618">
        <v>30.949731</v>
      </c>
      <c r="F4618" t="s">
        <v>1919</v>
      </c>
      <c r="G4618">
        <v>-89.857778999999994</v>
      </c>
      <c r="H4618">
        <v>1400</v>
      </c>
      <c r="I4618">
        <v>-10</v>
      </c>
      <c r="J4618">
        <v>-161</v>
      </c>
      <c r="K4618">
        <v>0</v>
      </c>
      <c r="L4618">
        <v>1200</v>
      </c>
      <c r="M4618" t="str">
        <f t="shared" si="448"/>
        <v xml:space="preserve">N35DC   </v>
      </c>
      <c r="N4618">
        <v>1</v>
      </c>
      <c r="O4618">
        <v>1450</v>
      </c>
    </row>
    <row r="4619" spans="1:15" x14ac:dyDescent="0.25">
      <c r="A4619" t="str">
        <f>"10/21/2020 18:47:54.718"</f>
        <v>10/21/2020 18:47:54.718</v>
      </c>
      <c r="B4619" t="str">
        <f>"18:48:02.641"</f>
        <v>18:48:02.641</v>
      </c>
      <c r="C4619" t="str">
        <f>"18:48:02.441"</f>
        <v>18:48:02.441</v>
      </c>
      <c r="D4619" t="s">
        <v>1920</v>
      </c>
      <c r="E4619">
        <v>30.949280000000002</v>
      </c>
      <c r="F4619" t="s">
        <v>1919</v>
      </c>
      <c r="G4619">
        <v>-89.857778999999994</v>
      </c>
      <c r="H4619">
        <v>1400</v>
      </c>
      <c r="I4619">
        <v>-10</v>
      </c>
      <c r="J4619">
        <v>-161</v>
      </c>
      <c r="K4619">
        <v>-192</v>
      </c>
      <c r="L4619">
        <v>1200</v>
      </c>
      <c r="M4619" t="str">
        <f t="shared" si="448"/>
        <v xml:space="preserve">N35DC   </v>
      </c>
      <c r="N4619">
        <v>1</v>
      </c>
      <c r="O4619">
        <v>1450</v>
      </c>
    </row>
    <row r="4620" spans="1:15" x14ac:dyDescent="0.25">
      <c r="A4620" t="str">
        <f>"10/21/2020 18:47:54.718"</f>
        <v>10/21/2020 18:47:54.718</v>
      </c>
      <c r="B4620" t="str">
        <f>"18:48:02.641"</f>
        <v>18:48:02.641</v>
      </c>
      <c r="C4620" t="str">
        <f>"18:48:02.441"</f>
        <v>18:48:02.441</v>
      </c>
      <c r="D4620" t="s">
        <v>1920</v>
      </c>
      <c r="E4620">
        <v>30.949280000000002</v>
      </c>
      <c r="F4620" t="s">
        <v>1919</v>
      </c>
      <c r="G4620">
        <v>-89.857778999999994</v>
      </c>
      <c r="H4620">
        <v>1400</v>
      </c>
      <c r="I4620">
        <v>-10</v>
      </c>
      <c r="J4620">
        <v>-161</v>
      </c>
      <c r="K4620">
        <v>-192</v>
      </c>
      <c r="L4620">
        <v>1200</v>
      </c>
      <c r="M4620" t="str">
        <f t="shared" si="448"/>
        <v xml:space="preserve">N35DC   </v>
      </c>
      <c r="N4620">
        <v>1</v>
      </c>
      <c r="O4620">
        <v>1450</v>
      </c>
    </row>
    <row r="4621" spans="1:15" x14ac:dyDescent="0.25">
      <c r="A4621" t="str">
        <f>"10/21/2020 18:47:54.718"</f>
        <v>10/21/2020 18:47:54.718</v>
      </c>
      <c r="B4621" t="str">
        <f>"18:48:02.641"</f>
        <v>18:48:02.641</v>
      </c>
      <c r="C4621" t="str">
        <f>"18:48:02.441"</f>
        <v>18:48:02.441</v>
      </c>
      <c r="D4621" t="s">
        <v>1920</v>
      </c>
      <c r="E4621">
        <v>30.949280000000002</v>
      </c>
      <c r="F4621" t="s">
        <v>1919</v>
      </c>
      <c r="G4621">
        <v>-89.857778999999994</v>
      </c>
      <c r="H4621">
        <v>1400</v>
      </c>
      <c r="I4621">
        <v>-10</v>
      </c>
      <c r="J4621">
        <v>-161</v>
      </c>
      <c r="K4621">
        <v>-192</v>
      </c>
      <c r="L4621">
        <v>1200</v>
      </c>
      <c r="M4621" t="str">
        <f t="shared" si="448"/>
        <v xml:space="preserve">N35DC   </v>
      </c>
      <c r="N4621">
        <v>1</v>
      </c>
      <c r="O4621">
        <v>1450</v>
      </c>
    </row>
    <row r="4622" spans="1:15" x14ac:dyDescent="0.25">
      <c r="A4622" t="str">
        <f>"10/21/2020 18:47:55.238"</f>
        <v>10/21/2020 18:47:55.238</v>
      </c>
      <c r="B4622" t="str">
        <f>"18:48:03.141"</f>
        <v>18:48:03.141</v>
      </c>
      <c r="C4622" t="str">
        <f>"18:48:02.841"</f>
        <v>18:48:02.841</v>
      </c>
      <c r="D4622" t="s">
        <v>1921</v>
      </c>
      <c r="E4622">
        <v>30.948915</v>
      </c>
      <c r="F4622" t="s">
        <v>1922</v>
      </c>
      <c r="G4622">
        <v>-89.857843000000003</v>
      </c>
      <c r="H4622">
        <v>1400</v>
      </c>
      <c r="I4622">
        <v>-10</v>
      </c>
      <c r="J4622">
        <v>-161</v>
      </c>
      <c r="K4622">
        <v>-448</v>
      </c>
      <c r="L4622">
        <v>1200</v>
      </c>
      <c r="M4622" t="str">
        <f t="shared" si="448"/>
        <v xml:space="preserve">N35DC   </v>
      </c>
      <c r="N4622">
        <v>1</v>
      </c>
      <c r="O4622">
        <v>1450</v>
      </c>
    </row>
    <row r="4623" spans="1:15" x14ac:dyDescent="0.25">
      <c r="A4623" t="str">
        <f>"10/21/2020 18:47:58.038"</f>
        <v>10/21/2020 18:47:58.038</v>
      </c>
      <c r="B4623" t="str">
        <f>"18:48:05.969"</f>
        <v>18:48:05.969</v>
      </c>
      <c r="C4623" t="str">
        <f>"18:48:05.869"</f>
        <v>18:48:05.869</v>
      </c>
      <c r="D4623" t="s">
        <v>1923</v>
      </c>
      <c r="E4623">
        <v>30.946791000000001</v>
      </c>
      <c r="F4623" t="s">
        <v>1924</v>
      </c>
      <c r="G4623">
        <v>-89.857992999999993</v>
      </c>
      <c r="H4623">
        <v>1400</v>
      </c>
      <c r="I4623">
        <v>-8</v>
      </c>
      <c r="J4623">
        <v>-161</v>
      </c>
      <c r="K4623">
        <v>-256</v>
      </c>
      <c r="L4623">
        <v>1200</v>
      </c>
      <c r="M4623" t="str">
        <f t="shared" si="448"/>
        <v xml:space="preserve">N35DC   </v>
      </c>
      <c r="N4623">
        <v>1</v>
      </c>
      <c r="O4623">
        <v>1425</v>
      </c>
    </row>
    <row r="4624" spans="1:15" x14ac:dyDescent="0.25">
      <c r="A4624" t="str">
        <f>"10/21/2020 18:47:58.038"</f>
        <v>10/21/2020 18:47:58.038</v>
      </c>
      <c r="B4624" t="str">
        <f>"18:48:05.969"</f>
        <v>18:48:05.969</v>
      </c>
      <c r="C4624" t="str">
        <f>"18:48:05.869"</f>
        <v>18:48:05.869</v>
      </c>
      <c r="D4624" t="s">
        <v>1923</v>
      </c>
      <c r="E4624">
        <v>30.946791000000001</v>
      </c>
      <c r="F4624" t="s">
        <v>1924</v>
      </c>
      <c r="G4624">
        <v>-89.857992999999993</v>
      </c>
      <c r="H4624">
        <v>1400</v>
      </c>
      <c r="I4624">
        <v>-8</v>
      </c>
      <c r="J4624">
        <v>-161</v>
      </c>
      <c r="K4624">
        <v>-256</v>
      </c>
      <c r="L4624">
        <v>1200</v>
      </c>
      <c r="M4624" t="str">
        <f t="shared" si="448"/>
        <v xml:space="preserve">N35DC   </v>
      </c>
      <c r="N4624">
        <v>1</v>
      </c>
      <c r="O4624">
        <v>1425</v>
      </c>
    </row>
    <row r="4625" spans="1:15" x14ac:dyDescent="0.25">
      <c r="A4625" t="str">
        <f>"10/21/2020 18:47:58.038"</f>
        <v>10/21/2020 18:47:58.038</v>
      </c>
      <c r="B4625" t="str">
        <f>"18:48:05.969"</f>
        <v>18:48:05.969</v>
      </c>
      <c r="C4625" t="str">
        <f>"18:48:05.869"</f>
        <v>18:48:05.869</v>
      </c>
      <c r="D4625" t="s">
        <v>1923</v>
      </c>
      <c r="E4625">
        <v>30.946791000000001</v>
      </c>
      <c r="F4625" t="s">
        <v>1924</v>
      </c>
      <c r="G4625">
        <v>-89.857992999999993</v>
      </c>
      <c r="H4625">
        <v>1400</v>
      </c>
      <c r="I4625">
        <v>-8</v>
      </c>
      <c r="J4625">
        <v>-161</v>
      </c>
      <c r="K4625">
        <v>-256</v>
      </c>
      <c r="L4625">
        <v>1200</v>
      </c>
      <c r="M4625" t="str">
        <f t="shared" si="448"/>
        <v xml:space="preserve">N35DC   </v>
      </c>
      <c r="N4625">
        <v>1</v>
      </c>
      <c r="O4625">
        <v>1425</v>
      </c>
    </row>
    <row r="4626" spans="1:15" x14ac:dyDescent="0.25">
      <c r="A4626" t="str">
        <f>"10/21/2020 18:47:58.503"</f>
        <v>10/21/2020 18:47:58.503</v>
      </c>
      <c r="B4626" t="str">
        <f>"18:48:06.406"</f>
        <v>18:48:06.406</v>
      </c>
      <c r="C4626" t="str">
        <f>"18:48:06.406"</f>
        <v>18:48:06.406</v>
      </c>
      <c r="D4626" t="s">
        <v>1925</v>
      </c>
      <c r="E4626">
        <v>30.946469</v>
      </c>
      <c r="F4626" t="s">
        <v>1924</v>
      </c>
      <c r="G4626">
        <v>-89.857992999999993</v>
      </c>
      <c r="H4626">
        <v>1400</v>
      </c>
      <c r="I4626">
        <v>-8</v>
      </c>
      <c r="J4626">
        <v>-161</v>
      </c>
      <c r="K4626">
        <v>-256</v>
      </c>
      <c r="L4626">
        <v>1200</v>
      </c>
      <c r="M4626" t="str">
        <f t="shared" si="448"/>
        <v xml:space="preserve">N35DC   </v>
      </c>
      <c r="N4626">
        <v>1</v>
      </c>
      <c r="O4626">
        <v>1425</v>
      </c>
    </row>
    <row r="4627" spans="1:15" x14ac:dyDescent="0.25">
      <c r="A4627" t="str">
        <f>"10/21/2020 18:47:58.995"</f>
        <v>10/21/2020 18:47:58.995</v>
      </c>
      <c r="B4627" t="str">
        <f>"18:48:06.898"</f>
        <v>18:48:06.898</v>
      </c>
      <c r="C4627" t="str">
        <f>"18:48:06.798"</f>
        <v>18:48:06.798</v>
      </c>
      <c r="D4627" t="s">
        <v>1926</v>
      </c>
      <c r="E4627">
        <v>30.946104999999999</v>
      </c>
      <c r="F4627" t="s">
        <v>1924</v>
      </c>
      <c r="G4627">
        <v>-89.857992999999993</v>
      </c>
      <c r="H4627">
        <v>1400</v>
      </c>
      <c r="I4627">
        <v>-9</v>
      </c>
      <c r="J4627">
        <v>-161</v>
      </c>
      <c r="K4627">
        <v>-320</v>
      </c>
      <c r="L4627">
        <v>1200</v>
      </c>
      <c r="M4627" t="str">
        <f t="shared" si="448"/>
        <v xml:space="preserve">N35DC   </v>
      </c>
      <c r="N4627">
        <v>1</v>
      </c>
      <c r="O4627">
        <v>1425</v>
      </c>
    </row>
    <row r="4628" spans="1:15" x14ac:dyDescent="0.25">
      <c r="A4628" t="str">
        <f>"10/21/2020 18:47:58.995"</f>
        <v>10/21/2020 18:47:58.995</v>
      </c>
      <c r="B4628" t="str">
        <f>"18:48:06.898"</f>
        <v>18:48:06.898</v>
      </c>
      <c r="C4628" t="str">
        <f>"18:48:06.798"</f>
        <v>18:48:06.798</v>
      </c>
      <c r="D4628" t="s">
        <v>1926</v>
      </c>
      <c r="E4628">
        <v>30.946104999999999</v>
      </c>
      <c r="F4628" t="s">
        <v>1924</v>
      </c>
      <c r="G4628">
        <v>-89.857992999999993</v>
      </c>
      <c r="H4628">
        <v>1400</v>
      </c>
      <c r="I4628">
        <v>-9</v>
      </c>
      <c r="J4628">
        <v>-161</v>
      </c>
      <c r="K4628">
        <v>-320</v>
      </c>
      <c r="L4628">
        <v>1200</v>
      </c>
      <c r="M4628" t="str">
        <f t="shared" si="448"/>
        <v xml:space="preserve">N35DC   </v>
      </c>
      <c r="N4628">
        <v>1</v>
      </c>
      <c r="O4628">
        <v>1425</v>
      </c>
    </row>
    <row r="4629" spans="1:15" x14ac:dyDescent="0.25">
      <c r="A4629" t="str">
        <f>"10/21/2020 18:47:58.995"</f>
        <v>10/21/2020 18:47:58.995</v>
      </c>
      <c r="B4629" t="str">
        <f>"18:48:06.898"</f>
        <v>18:48:06.898</v>
      </c>
      <c r="C4629" t="str">
        <f>"18:48:06.798"</f>
        <v>18:48:06.798</v>
      </c>
      <c r="D4629" t="s">
        <v>1926</v>
      </c>
      <c r="E4629">
        <v>30.946104999999999</v>
      </c>
      <c r="F4629" t="s">
        <v>1924</v>
      </c>
      <c r="G4629">
        <v>-89.857992999999993</v>
      </c>
      <c r="H4629">
        <v>1400</v>
      </c>
      <c r="I4629">
        <v>-9</v>
      </c>
      <c r="J4629">
        <v>-161</v>
      </c>
      <c r="K4629">
        <v>-320</v>
      </c>
      <c r="L4629">
        <v>1200</v>
      </c>
      <c r="M4629" t="str">
        <f t="shared" si="448"/>
        <v xml:space="preserve">N35DC   </v>
      </c>
      <c r="N4629">
        <v>1</v>
      </c>
      <c r="O4629">
        <v>1425</v>
      </c>
    </row>
    <row r="4630" spans="1:15" x14ac:dyDescent="0.25">
      <c r="A4630" t="str">
        <f>"10/21/2020 18:48:00.807"</f>
        <v>10/21/2020 18:48:00.807</v>
      </c>
      <c r="B4630" t="str">
        <f>"18:48:08.750"</f>
        <v>18:48:08.750</v>
      </c>
      <c r="C4630" t="str">
        <f>"18:48:08.650"</f>
        <v>18:48:08.650</v>
      </c>
      <c r="D4630" t="s">
        <v>1927</v>
      </c>
      <c r="E4630">
        <v>30.944710000000001</v>
      </c>
      <c r="F4630" t="s">
        <v>521</v>
      </c>
      <c r="G4630">
        <v>-89.858121999999995</v>
      </c>
      <c r="H4630">
        <v>1400</v>
      </c>
      <c r="I4630">
        <v>-9</v>
      </c>
      <c r="J4630">
        <v>-161</v>
      </c>
      <c r="K4630">
        <v>-448</v>
      </c>
      <c r="L4630">
        <v>1200</v>
      </c>
      <c r="M4630" t="str">
        <f t="shared" si="448"/>
        <v xml:space="preserve">N35DC   </v>
      </c>
      <c r="N4630">
        <v>1</v>
      </c>
      <c r="O4630">
        <v>1425</v>
      </c>
    </row>
    <row r="4631" spans="1:15" x14ac:dyDescent="0.25">
      <c r="A4631" t="str">
        <f>"10/21/2020 18:48:00.807"</f>
        <v>10/21/2020 18:48:00.807</v>
      </c>
      <c r="B4631" t="str">
        <f>"18:48:08.750"</f>
        <v>18:48:08.750</v>
      </c>
      <c r="C4631" t="str">
        <f>"18:48:08.650"</f>
        <v>18:48:08.650</v>
      </c>
      <c r="D4631" t="s">
        <v>1927</v>
      </c>
      <c r="E4631">
        <v>30.944710000000001</v>
      </c>
      <c r="F4631" t="s">
        <v>521</v>
      </c>
      <c r="G4631">
        <v>-89.858121999999995</v>
      </c>
      <c r="H4631">
        <v>1400</v>
      </c>
      <c r="I4631">
        <v>-9</v>
      </c>
      <c r="J4631">
        <v>-161</v>
      </c>
      <c r="K4631">
        <v>-448</v>
      </c>
      <c r="L4631">
        <v>1200</v>
      </c>
      <c r="M4631" t="str">
        <f t="shared" si="448"/>
        <v xml:space="preserve">N35DC   </v>
      </c>
      <c r="N4631">
        <v>1</v>
      </c>
      <c r="O4631">
        <v>1425</v>
      </c>
    </row>
    <row r="4632" spans="1:15" x14ac:dyDescent="0.25">
      <c r="A4632" t="str">
        <f>"10/21/2020 18:48:00.807"</f>
        <v>10/21/2020 18:48:00.807</v>
      </c>
      <c r="B4632" t="str">
        <f>"18:48:08.750"</f>
        <v>18:48:08.750</v>
      </c>
      <c r="C4632" t="str">
        <f>"18:48:08.650"</f>
        <v>18:48:08.650</v>
      </c>
      <c r="D4632" t="s">
        <v>1927</v>
      </c>
      <c r="E4632">
        <v>30.944710000000001</v>
      </c>
      <c r="F4632" t="s">
        <v>521</v>
      </c>
      <c r="G4632">
        <v>-89.858121999999995</v>
      </c>
      <c r="H4632">
        <v>1400</v>
      </c>
      <c r="I4632">
        <v>-9</v>
      </c>
      <c r="J4632">
        <v>-161</v>
      </c>
      <c r="K4632">
        <v>-448</v>
      </c>
      <c r="L4632">
        <v>1200</v>
      </c>
      <c r="M4632" t="str">
        <f t="shared" si="448"/>
        <v xml:space="preserve">N35DC   </v>
      </c>
      <c r="N4632">
        <v>1</v>
      </c>
      <c r="O4632">
        <v>1425</v>
      </c>
    </row>
    <row r="4633" spans="1:15" x14ac:dyDescent="0.25">
      <c r="A4633" t="str">
        <f>"10/21/2020 18:48:01.421"</f>
        <v>10/21/2020 18:48:01.421</v>
      </c>
      <c r="B4633" t="str">
        <f>"18:48:09.328"</f>
        <v>18:48:09.328</v>
      </c>
      <c r="C4633" t="str">
        <f>"18:48:09.028"</f>
        <v>18:48:09.028</v>
      </c>
      <c r="D4633" t="s">
        <v>1928</v>
      </c>
      <c r="E4633">
        <v>30.944281</v>
      </c>
      <c r="F4633" t="s">
        <v>1929</v>
      </c>
      <c r="G4633">
        <v>-89.858099999999993</v>
      </c>
      <c r="H4633">
        <v>1300</v>
      </c>
      <c r="I4633">
        <v>-9</v>
      </c>
      <c r="J4633">
        <v>-161</v>
      </c>
      <c r="K4633">
        <v>-384</v>
      </c>
      <c r="L4633">
        <v>1200</v>
      </c>
      <c r="M4633" t="str">
        <f t="shared" si="448"/>
        <v xml:space="preserve">N35DC   </v>
      </c>
      <c r="N4633">
        <v>1</v>
      </c>
      <c r="O4633">
        <v>1525</v>
      </c>
    </row>
    <row r="4634" spans="1:15" x14ac:dyDescent="0.25">
      <c r="A4634" t="str">
        <f>"10/21/2020 18:48:01.880"</f>
        <v>10/21/2020 18:48:01.880</v>
      </c>
      <c r="B4634" t="str">
        <f>"18:48:09.781"</f>
        <v>18:48:09.781</v>
      </c>
      <c r="C4634" t="str">
        <f>"18:48:09.481"</f>
        <v>18:48:09.481</v>
      </c>
      <c r="D4634" t="s">
        <v>1930</v>
      </c>
      <c r="E4634">
        <v>30.943916000000002</v>
      </c>
      <c r="F4634" t="s">
        <v>1931</v>
      </c>
      <c r="G4634">
        <v>-89.858165</v>
      </c>
      <c r="H4634">
        <v>1300</v>
      </c>
      <c r="I4634">
        <v>-8</v>
      </c>
      <c r="J4634">
        <v>-161</v>
      </c>
      <c r="K4634">
        <v>-384</v>
      </c>
      <c r="L4634">
        <v>1200</v>
      </c>
      <c r="M4634" t="str">
        <f t="shared" si="448"/>
        <v xml:space="preserve">N35DC   </v>
      </c>
      <c r="N4634">
        <v>1</v>
      </c>
      <c r="O4634">
        <v>1425</v>
      </c>
    </row>
    <row r="4635" spans="1:15" x14ac:dyDescent="0.25">
      <c r="A4635" t="str">
        <f>"10/21/2020 18:48:01.880"</f>
        <v>10/21/2020 18:48:01.880</v>
      </c>
      <c r="B4635" t="str">
        <f>"18:48:09.781"</f>
        <v>18:48:09.781</v>
      </c>
      <c r="C4635" t="str">
        <f>"18:48:09.481"</f>
        <v>18:48:09.481</v>
      </c>
      <c r="D4635" t="s">
        <v>1930</v>
      </c>
      <c r="E4635">
        <v>30.943916000000002</v>
      </c>
      <c r="F4635" t="s">
        <v>1931</v>
      </c>
      <c r="G4635">
        <v>-89.858165</v>
      </c>
      <c r="H4635">
        <v>1300</v>
      </c>
      <c r="I4635">
        <v>-8</v>
      </c>
      <c r="J4635">
        <v>-161</v>
      </c>
      <c r="K4635">
        <v>-384</v>
      </c>
      <c r="L4635">
        <v>1200</v>
      </c>
      <c r="M4635" t="str">
        <f t="shared" si="448"/>
        <v xml:space="preserve">N35DC   </v>
      </c>
      <c r="N4635">
        <v>1</v>
      </c>
      <c r="O4635">
        <v>1425</v>
      </c>
    </row>
    <row r="4636" spans="1:15" x14ac:dyDescent="0.25">
      <c r="A4636" t="str">
        <f>"10/21/2020 18:48:01.880"</f>
        <v>10/21/2020 18:48:01.880</v>
      </c>
      <c r="B4636" t="str">
        <f>"18:48:09.781"</f>
        <v>18:48:09.781</v>
      </c>
      <c r="C4636" t="str">
        <f>"18:48:09.481"</f>
        <v>18:48:09.481</v>
      </c>
      <c r="D4636" t="s">
        <v>1930</v>
      </c>
      <c r="E4636">
        <v>30.943916000000002</v>
      </c>
      <c r="F4636" t="s">
        <v>1931</v>
      </c>
      <c r="G4636">
        <v>-89.858165</v>
      </c>
      <c r="H4636">
        <v>1300</v>
      </c>
      <c r="I4636">
        <v>-8</v>
      </c>
      <c r="J4636">
        <v>-161</v>
      </c>
      <c r="K4636">
        <v>-384</v>
      </c>
      <c r="L4636">
        <v>1200</v>
      </c>
      <c r="M4636" t="str">
        <f t="shared" si="448"/>
        <v xml:space="preserve">N35DC   </v>
      </c>
      <c r="N4636">
        <v>1</v>
      </c>
      <c r="O4636">
        <v>1425</v>
      </c>
    </row>
    <row r="4637" spans="1:15" x14ac:dyDescent="0.25">
      <c r="A4637" t="str">
        <f>"10/21/2020 18:48:04.938"</f>
        <v>10/21/2020 18:48:04.938</v>
      </c>
      <c r="B4637" t="str">
        <f>"18:48:12.859"</f>
        <v>18:48:12.859</v>
      </c>
      <c r="C4637" t="str">
        <f>"18:48:12.559"</f>
        <v>18:48:12.559</v>
      </c>
      <c r="D4637" t="s">
        <v>1932</v>
      </c>
      <c r="E4637">
        <v>30.94162</v>
      </c>
      <c r="F4637" t="s">
        <v>1550</v>
      </c>
      <c r="G4637">
        <v>-89.858250999999996</v>
      </c>
      <c r="H4637">
        <v>1300</v>
      </c>
      <c r="I4637">
        <v>-5</v>
      </c>
      <c r="J4637">
        <v>-162</v>
      </c>
      <c r="K4637">
        <v>-256</v>
      </c>
      <c r="L4637">
        <v>1200</v>
      </c>
      <c r="M4637" t="str">
        <f t="shared" si="448"/>
        <v xml:space="preserve">N35DC   </v>
      </c>
      <c r="N4637">
        <v>1</v>
      </c>
      <c r="O4637">
        <v>1400</v>
      </c>
    </row>
    <row r="4638" spans="1:15" x14ac:dyDescent="0.25">
      <c r="A4638" t="str">
        <f>"10/21/2020 18:48:04.938"</f>
        <v>10/21/2020 18:48:04.938</v>
      </c>
      <c r="B4638" t="str">
        <f>"18:48:12.859"</f>
        <v>18:48:12.859</v>
      </c>
      <c r="C4638" t="str">
        <f>"18:48:12.559"</f>
        <v>18:48:12.559</v>
      </c>
      <c r="D4638" t="s">
        <v>1932</v>
      </c>
      <c r="E4638">
        <v>30.94162</v>
      </c>
      <c r="F4638" t="s">
        <v>1550</v>
      </c>
      <c r="G4638">
        <v>-89.858250999999996</v>
      </c>
      <c r="H4638">
        <v>1300</v>
      </c>
      <c r="I4638">
        <v>-5</v>
      </c>
      <c r="J4638">
        <v>-162</v>
      </c>
      <c r="K4638">
        <v>-256</v>
      </c>
      <c r="L4638">
        <v>1200</v>
      </c>
      <c r="M4638" t="str">
        <f t="shared" si="448"/>
        <v xml:space="preserve">N35DC   </v>
      </c>
      <c r="N4638">
        <v>1</v>
      </c>
      <c r="O4638">
        <v>1400</v>
      </c>
    </row>
    <row r="4639" spans="1:15" x14ac:dyDescent="0.25">
      <c r="A4639" t="str">
        <f>"10/21/2020 18:48:04.938"</f>
        <v>10/21/2020 18:48:04.938</v>
      </c>
      <c r="B4639" t="str">
        <f>"18:48:12.859"</f>
        <v>18:48:12.859</v>
      </c>
      <c r="C4639" t="str">
        <f>"18:48:12.559"</f>
        <v>18:48:12.559</v>
      </c>
      <c r="D4639" t="s">
        <v>1932</v>
      </c>
      <c r="E4639">
        <v>30.94162</v>
      </c>
      <c r="F4639" t="s">
        <v>1550</v>
      </c>
      <c r="G4639">
        <v>-89.858250999999996</v>
      </c>
      <c r="H4639">
        <v>1300</v>
      </c>
      <c r="I4639">
        <v>-5</v>
      </c>
      <c r="J4639">
        <v>-162</v>
      </c>
      <c r="K4639">
        <v>-256</v>
      </c>
      <c r="L4639">
        <v>1200</v>
      </c>
      <c r="M4639" t="str">
        <f t="shared" si="448"/>
        <v xml:space="preserve">N35DC   </v>
      </c>
      <c r="N4639">
        <v>1</v>
      </c>
      <c r="O4639">
        <v>1400</v>
      </c>
    </row>
    <row r="4640" spans="1:15" x14ac:dyDescent="0.25">
      <c r="A4640" t="str">
        <f>"10/21/2020 18:48:05.494"</f>
        <v>10/21/2020 18:48:05.494</v>
      </c>
      <c r="B4640" t="str">
        <f>"18:48:13.414"</f>
        <v>18:48:13.414</v>
      </c>
      <c r="C4640" t="str">
        <f>"18:48:13.014"</f>
        <v>18:48:13.014</v>
      </c>
      <c r="D4640" t="s">
        <v>1933</v>
      </c>
      <c r="E4640">
        <v>30.941168999999999</v>
      </c>
      <c r="F4640" t="s">
        <v>1934</v>
      </c>
      <c r="G4640">
        <v>-89.858228999999994</v>
      </c>
      <c r="H4640">
        <v>1300</v>
      </c>
      <c r="I4640">
        <v>-4</v>
      </c>
      <c r="J4640">
        <v>-162</v>
      </c>
      <c r="K4640">
        <v>-192</v>
      </c>
      <c r="L4640">
        <v>1200</v>
      </c>
      <c r="M4640" t="str">
        <f t="shared" si="448"/>
        <v xml:space="preserve">N35DC   </v>
      </c>
      <c r="N4640">
        <v>1</v>
      </c>
      <c r="O4640">
        <v>1400</v>
      </c>
    </row>
    <row r="4641" spans="1:15" x14ac:dyDescent="0.25">
      <c r="A4641" t="str">
        <f>"10/21/2020 18:48:05.946"</f>
        <v>10/21/2020 18:48:05.946</v>
      </c>
      <c r="B4641" t="str">
        <f>"18:48:13.859"</f>
        <v>18:48:13.859</v>
      </c>
      <c r="C4641" t="str">
        <f>"18:48:13.559"</f>
        <v>18:48:13.559</v>
      </c>
      <c r="D4641" t="s">
        <v>1935</v>
      </c>
      <c r="E4641">
        <v>30.940847000000002</v>
      </c>
      <c r="F4641" t="s">
        <v>1934</v>
      </c>
      <c r="G4641">
        <v>-89.858228999999994</v>
      </c>
      <c r="H4641">
        <v>1300</v>
      </c>
      <c r="I4641">
        <v>-4</v>
      </c>
      <c r="J4641">
        <v>-161</v>
      </c>
      <c r="K4641">
        <v>-128</v>
      </c>
      <c r="L4641">
        <v>1200</v>
      </c>
      <c r="M4641" t="str">
        <f t="shared" si="448"/>
        <v xml:space="preserve">N35DC   </v>
      </c>
      <c r="N4641">
        <v>1</v>
      </c>
      <c r="O4641">
        <v>1400</v>
      </c>
    </row>
    <row r="4642" spans="1:15" x14ac:dyDescent="0.25">
      <c r="A4642" t="str">
        <f>"10/21/2020 18:48:05.946"</f>
        <v>10/21/2020 18:48:05.946</v>
      </c>
      <c r="B4642" t="str">
        <f>"18:48:13.859"</f>
        <v>18:48:13.859</v>
      </c>
      <c r="C4642" t="str">
        <f>"18:48:13.559"</f>
        <v>18:48:13.559</v>
      </c>
      <c r="D4642" t="s">
        <v>1935</v>
      </c>
      <c r="E4642">
        <v>30.940847000000002</v>
      </c>
      <c r="F4642" t="s">
        <v>1934</v>
      </c>
      <c r="G4642">
        <v>-89.858228999999994</v>
      </c>
      <c r="H4642">
        <v>1300</v>
      </c>
      <c r="I4642">
        <v>-4</v>
      </c>
      <c r="J4642">
        <v>-161</v>
      </c>
      <c r="K4642">
        <v>-128</v>
      </c>
      <c r="L4642">
        <v>1200</v>
      </c>
      <c r="M4642" t="str">
        <f t="shared" si="448"/>
        <v xml:space="preserve">N35DC   </v>
      </c>
      <c r="N4642">
        <v>1</v>
      </c>
      <c r="O4642">
        <v>1400</v>
      </c>
    </row>
    <row r="4643" spans="1:15" x14ac:dyDescent="0.25">
      <c r="A4643" t="str">
        <f>"10/21/2020 18:48:05.946"</f>
        <v>10/21/2020 18:48:05.946</v>
      </c>
      <c r="B4643" t="str">
        <f>"18:48:13.859"</f>
        <v>18:48:13.859</v>
      </c>
      <c r="C4643" t="str">
        <f>"18:48:13.559"</f>
        <v>18:48:13.559</v>
      </c>
      <c r="D4643" t="s">
        <v>1935</v>
      </c>
      <c r="E4643">
        <v>30.940847000000002</v>
      </c>
      <c r="F4643" t="s">
        <v>1934</v>
      </c>
      <c r="G4643">
        <v>-89.858228999999994</v>
      </c>
      <c r="H4643">
        <v>1300</v>
      </c>
      <c r="I4643">
        <v>-4</v>
      </c>
      <c r="J4643">
        <v>-161</v>
      </c>
      <c r="K4643">
        <v>-128</v>
      </c>
      <c r="L4643">
        <v>1200</v>
      </c>
      <c r="M4643" t="str">
        <f t="shared" si="448"/>
        <v xml:space="preserve">N35DC   </v>
      </c>
      <c r="N4643">
        <v>1</v>
      </c>
      <c r="O4643">
        <v>1400</v>
      </c>
    </row>
    <row r="4644" spans="1:15" x14ac:dyDescent="0.25">
      <c r="A4644" t="str">
        <f>"10/21/2020 18:48:08.902"</f>
        <v>10/21/2020 18:48:08.902</v>
      </c>
      <c r="B4644" t="str">
        <f>"18:48:16.828"</f>
        <v>18:48:16.828</v>
      </c>
      <c r="C4644" t="str">
        <f>"18:48:16.428"</f>
        <v>18:48:16.428</v>
      </c>
      <c r="D4644" t="s">
        <v>1936</v>
      </c>
      <c r="E4644">
        <v>30.938637</v>
      </c>
      <c r="F4644" t="s">
        <v>1550</v>
      </c>
      <c r="G4644">
        <v>-89.858250999999996</v>
      </c>
      <c r="H4644">
        <v>1300</v>
      </c>
      <c r="I4644">
        <v>1</v>
      </c>
      <c r="J4644">
        <v>-160</v>
      </c>
      <c r="K4644">
        <v>128</v>
      </c>
      <c r="L4644">
        <v>1200</v>
      </c>
      <c r="M4644" t="str">
        <f t="shared" si="448"/>
        <v xml:space="preserve">N35DC   </v>
      </c>
      <c r="N4644">
        <v>1</v>
      </c>
      <c r="O4644">
        <v>1400</v>
      </c>
    </row>
    <row r="4645" spans="1:15" x14ac:dyDescent="0.25">
      <c r="A4645" t="str">
        <f>"10/21/2020 18:48:08.902"</f>
        <v>10/21/2020 18:48:08.902</v>
      </c>
      <c r="B4645" t="str">
        <f>"18:48:16.828"</f>
        <v>18:48:16.828</v>
      </c>
      <c r="C4645" t="str">
        <f>"18:48:16.428"</f>
        <v>18:48:16.428</v>
      </c>
      <c r="D4645" t="s">
        <v>1936</v>
      </c>
      <c r="E4645">
        <v>30.938637</v>
      </c>
      <c r="F4645" t="s">
        <v>1550</v>
      </c>
      <c r="G4645">
        <v>-89.858250999999996</v>
      </c>
      <c r="H4645">
        <v>1300</v>
      </c>
      <c r="I4645">
        <v>1</v>
      </c>
      <c r="J4645">
        <v>-160</v>
      </c>
      <c r="K4645">
        <v>128</v>
      </c>
      <c r="L4645">
        <v>1200</v>
      </c>
      <c r="M4645" t="str">
        <f t="shared" si="448"/>
        <v xml:space="preserve">N35DC   </v>
      </c>
      <c r="N4645">
        <v>1</v>
      </c>
      <c r="O4645">
        <v>1400</v>
      </c>
    </row>
    <row r="4646" spans="1:15" x14ac:dyDescent="0.25">
      <c r="A4646" t="str">
        <f>"10/21/2020 18:48:08.902"</f>
        <v>10/21/2020 18:48:08.902</v>
      </c>
      <c r="B4646" t="str">
        <f>"18:48:16.828"</f>
        <v>18:48:16.828</v>
      </c>
      <c r="C4646" t="str">
        <f>"18:48:16.428"</f>
        <v>18:48:16.428</v>
      </c>
      <c r="D4646" t="s">
        <v>1936</v>
      </c>
      <c r="E4646">
        <v>30.938637</v>
      </c>
      <c r="F4646" t="s">
        <v>1550</v>
      </c>
      <c r="G4646">
        <v>-89.858250999999996</v>
      </c>
      <c r="H4646">
        <v>1300</v>
      </c>
      <c r="I4646">
        <v>1</v>
      </c>
      <c r="J4646">
        <v>-160</v>
      </c>
      <c r="K4646">
        <v>128</v>
      </c>
      <c r="L4646">
        <v>1200</v>
      </c>
      <c r="M4646" t="str">
        <f t="shared" si="448"/>
        <v xml:space="preserve">N35DC   </v>
      </c>
      <c r="N4646">
        <v>1</v>
      </c>
      <c r="O4646">
        <v>1400</v>
      </c>
    </row>
    <row r="4647" spans="1:15" x14ac:dyDescent="0.25">
      <c r="A4647" t="str">
        <f>"10/21/2020 18:48:08.902"</f>
        <v>10/21/2020 18:48:08.902</v>
      </c>
      <c r="B4647" t="str">
        <f>"18:48:16.828"</f>
        <v>18:48:16.828</v>
      </c>
      <c r="C4647" t="str">
        <f>"18:48:16.428"</f>
        <v>18:48:16.428</v>
      </c>
      <c r="D4647" t="s">
        <v>1936</v>
      </c>
      <c r="E4647">
        <v>30.938637</v>
      </c>
      <c r="F4647" t="s">
        <v>1550</v>
      </c>
      <c r="G4647">
        <v>-89.858250999999996</v>
      </c>
      <c r="H4647">
        <v>1300</v>
      </c>
      <c r="I4647">
        <v>1</v>
      </c>
      <c r="J4647">
        <v>-160</v>
      </c>
      <c r="K4647">
        <v>128</v>
      </c>
      <c r="L4647">
        <v>1200</v>
      </c>
      <c r="M4647" t="str">
        <f t="shared" si="448"/>
        <v xml:space="preserve">N35DC   </v>
      </c>
      <c r="N4647">
        <v>1</v>
      </c>
      <c r="O4647">
        <v>1400</v>
      </c>
    </row>
    <row r="4648" spans="1:15" x14ac:dyDescent="0.25">
      <c r="A4648" t="str">
        <f>"10/21/2020 18:48:09.362"</f>
        <v>10/21/2020 18:48:09.362</v>
      </c>
      <c r="B4648" t="str">
        <f>"18:48:17.266"</f>
        <v>18:48:17.266</v>
      </c>
      <c r="C4648" t="str">
        <f>"18:48:16.966"</f>
        <v>18:48:16.966</v>
      </c>
      <c r="D4648" t="s">
        <v>1937</v>
      </c>
      <c r="E4648">
        <v>30.938314999999999</v>
      </c>
      <c r="F4648" t="s">
        <v>1550</v>
      </c>
      <c r="G4648">
        <v>-89.858250999999996</v>
      </c>
      <c r="H4648">
        <v>1300</v>
      </c>
      <c r="I4648">
        <v>1</v>
      </c>
      <c r="J4648">
        <v>-160</v>
      </c>
      <c r="K4648">
        <v>192</v>
      </c>
      <c r="L4648">
        <v>1200</v>
      </c>
      <c r="M4648" t="str">
        <f t="shared" si="448"/>
        <v xml:space="preserve">N35DC   </v>
      </c>
      <c r="N4648">
        <v>1</v>
      </c>
      <c r="O4648">
        <v>1400</v>
      </c>
    </row>
    <row r="4649" spans="1:15" x14ac:dyDescent="0.25">
      <c r="A4649" t="str">
        <f>"10/21/2020 18:48:11.877"</f>
        <v>10/21/2020 18:48:11.877</v>
      </c>
      <c r="B4649" t="str">
        <f>"18:48:19.797"</f>
        <v>18:48:19.797</v>
      </c>
      <c r="C4649" t="str">
        <f>"18:48:19.497"</f>
        <v>18:48:19.497</v>
      </c>
      <c r="D4649" t="s">
        <v>1938</v>
      </c>
      <c r="E4649">
        <v>30.93647</v>
      </c>
      <c r="F4649" t="s">
        <v>1934</v>
      </c>
      <c r="G4649">
        <v>-89.858228999999994</v>
      </c>
      <c r="H4649">
        <v>1300</v>
      </c>
      <c r="I4649">
        <v>4</v>
      </c>
      <c r="J4649">
        <v>-158</v>
      </c>
      <c r="K4649">
        <v>320</v>
      </c>
      <c r="L4649">
        <v>1200</v>
      </c>
      <c r="M4649" t="str">
        <f t="shared" si="448"/>
        <v xml:space="preserve">N35DC   </v>
      </c>
      <c r="N4649">
        <v>1</v>
      </c>
      <c r="O4649">
        <v>1400</v>
      </c>
    </row>
    <row r="4650" spans="1:15" x14ac:dyDescent="0.25">
      <c r="A4650" t="str">
        <f>"10/21/2020 18:48:12.438"</f>
        <v>10/21/2020 18:48:12.438</v>
      </c>
      <c r="B4650" t="str">
        <f>"18:48:20.367"</f>
        <v>18:48:20.367</v>
      </c>
      <c r="C4650" t="str">
        <f>"18:48:20.067"</f>
        <v>18:48:20.067</v>
      </c>
      <c r="D4650" t="s">
        <v>1939</v>
      </c>
      <c r="E4650">
        <v>30.936062</v>
      </c>
      <c r="F4650" t="s">
        <v>1934</v>
      </c>
      <c r="G4650">
        <v>-89.858228999999994</v>
      </c>
      <c r="H4650">
        <v>1300</v>
      </c>
      <c r="I4650">
        <v>4</v>
      </c>
      <c r="J4650">
        <v>-157</v>
      </c>
      <c r="K4650">
        <v>448</v>
      </c>
      <c r="L4650">
        <v>1200</v>
      </c>
      <c r="M4650" t="str">
        <f t="shared" si="448"/>
        <v xml:space="preserve">N35DC   </v>
      </c>
      <c r="N4650">
        <v>1</v>
      </c>
      <c r="O4650">
        <v>1400</v>
      </c>
    </row>
    <row r="4651" spans="1:15" x14ac:dyDescent="0.25">
      <c r="A4651" t="str">
        <f>"10/21/2020 18:48:12.438"</f>
        <v>10/21/2020 18:48:12.438</v>
      </c>
      <c r="B4651" t="str">
        <f>"18:48:20.367"</f>
        <v>18:48:20.367</v>
      </c>
      <c r="C4651" t="str">
        <f>"18:48:20.067"</f>
        <v>18:48:20.067</v>
      </c>
      <c r="D4651" t="s">
        <v>1939</v>
      </c>
      <c r="E4651">
        <v>30.936062</v>
      </c>
      <c r="F4651" t="s">
        <v>1934</v>
      </c>
      <c r="G4651">
        <v>-89.858228999999994</v>
      </c>
      <c r="H4651">
        <v>1300</v>
      </c>
      <c r="I4651">
        <v>4</v>
      </c>
      <c r="J4651">
        <v>-157</v>
      </c>
      <c r="K4651">
        <v>448</v>
      </c>
      <c r="L4651">
        <v>1200</v>
      </c>
      <c r="M4651" t="str">
        <f t="shared" si="448"/>
        <v xml:space="preserve">N35DC   </v>
      </c>
      <c r="N4651">
        <v>1</v>
      </c>
      <c r="O4651">
        <v>1400</v>
      </c>
    </row>
    <row r="4652" spans="1:15" x14ac:dyDescent="0.25">
      <c r="A4652" t="str">
        <f>"10/21/2020 18:48:12.438"</f>
        <v>10/21/2020 18:48:12.438</v>
      </c>
      <c r="B4652" t="str">
        <f>"18:48:20.367"</f>
        <v>18:48:20.367</v>
      </c>
      <c r="C4652" t="str">
        <f>"18:48:20.067"</f>
        <v>18:48:20.067</v>
      </c>
      <c r="D4652" t="s">
        <v>1939</v>
      </c>
      <c r="E4652">
        <v>30.936062</v>
      </c>
      <c r="F4652" t="s">
        <v>1934</v>
      </c>
      <c r="G4652">
        <v>-89.858228999999994</v>
      </c>
      <c r="H4652">
        <v>1300</v>
      </c>
      <c r="I4652">
        <v>4</v>
      </c>
      <c r="J4652">
        <v>-157</v>
      </c>
      <c r="K4652">
        <v>448</v>
      </c>
      <c r="L4652">
        <v>1200</v>
      </c>
      <c r="M4652" t="str">
        <f t="shared" si="448"/>
        <v xml:space="preserve">N35DC   </v>
      </c>
      <c r="N4652">
        <v>1</v>
      </c>
      <c r="O4652">
        <v>1400</v>
      </c>
    </row>
    <row r="4653" spans="1:15" x14ac:dyDescent="0.25">
      <c r="A4653" t="str">
        <f>"10/21/2020 18:48:12.438"</f>
        <v>10/21/2020 18:48:12.438</v>
      </c>
      <c r="B4653" t="str">
        <f>"18:48:20.367"</f>
        <v>18:48:20.367</v>
      </c>
      <c r="C4653" t="str">
        <f>"18:48:20.067"</f>
        <v>18:48:20.067</v>
      </c>
      <c r="D4653" t="s">
        <v>1939</v>
      </c>
      <c r="E4653">
        <v>30.936062</v>
      </c>
      <c r="F4653" t="s">
        <v>1934</v>
      </c>
      <c r="G4653">
        <v>-89.858228999999994</v>
      </c>
      <c r="H4653">
        <v>1300</v>
      </c>
      <c r="I4653">
        <v>4</v>
      </c>
      <c r="J4653">
        <v>-157</v>
      </c>
      <c r="K4653">
        <v>448</v>
      </c>
      <c r="L4653">
        <v>1200</v>
      </c>
      <c r="M4653" t="str">
        <f t="shared" si="448"/>
        <v xml:space="preserve">N35DC   </v>
      </c>
      <c r="N4653">
        <v>1</v>
      </c>
      <c r="O4653">
        <v>1400</v>
      </c>
    </row>
    <row r="4654" spans="1:15" x14ac:dyDescent="0.25">
      <c r="A4654" t="str">
        <f t="shared" ref="A4654:A4659" si="449">"10/21/2020 18:48:13.311"</f>
        <v>10/21/2020 18:48:13.311</v>
      </c>
      <c r="B4654" t="str">
        <f t="shared" ref="B4654:B4659" si="450">"18:48:21.242"</f>
        <v>18:48:21.242</v>
      </c>
      <c r="C4654" t="str">
        <f t="shared" ref="C4654:C4659" si="451">"18:48:21.042"</f>
        <v>18:48:21.042</v>
      </c>
      <c r="D4654" t="s">
        <v>1940</v>
      </c>
      <c r="E4654">
        <v>30.93544</v>
      </c>
      <c r="F4654" t="s">
        <v>1941</v>
      </c>
      <c r="G4654">
        <v>-89.858208000000005</v>
      </c>
      <c r="H4654">
        <v>1300</v>
      </c>
      <c r="I4654">
        <v>4</v>
      </c>
      <c r="J4654">
        <v>-157</v>
      </c>
      <c r="K4654">
        <v>384</v>
      </c>
      <c r="L4654">
        <v>1200</v>
      </c>
      <c r="M4654" t="str">
        <f t="shared" si="448"/>
        <v xml:space="preserve">N35DC   </v>
      </c>
      <c r="N4654">
        <v>1</v>
      </c>
      <c r="O4654">
        <v>1425</v>
      </c>
    </row>
    <row r="4655" spans="1:15" x14ac:dyDescent="0.25">
      <c r="A4655" t="str">
        <f t="shared" si="449"/>
        <v>10/21/2020 18:48:13.311</v>
      </c>
      <c r="B4655" t="str">
        <f t="shared" si="450"/>
        <v>18:48:21.242</v>
      </c>
      <c r="C4655" t="str">
        <f t="shared" si="451"/>
        <v>18:48:21.042</v>
      </c>
      <c r="D4655" t="s">
        <v>1940</v>
      </c>
      <c r="E4655">
        <v>30.93544</v>
      </c>
      <c r="F4655" t="s">
        <v>1941</v>
      </c>
      <c r="G4655">
        <v>-89.858208000000005</v>
      </c>
      <c r="H4655">
        <v>1300</v>
      </c>
      <c r="I4655">
        <v>4</v>
      </c>
      <c r="J4655">
        <v>-157</v>
      </c>
      <c r="K4655">
        <v>384</v>
      </c>
      <c r="L4655">
        <v>1200</v>
      </c>
      <c r="M4655" t="str">
        <f t="shared" si="448"/>
        <v xml:space="preserve">N35DC   </v>
      </c>
      <c r="N4655">
        <v>1</v>
      </c>
      <c r="O4655">
        <v>1425</v>
      </c>
    </row>
    <row r="4656" spans="1:15" x14ac:dyDescent="0.25">
      <c r="A4656" t="str">
        <f t="shared" si="449"/>
        <v>10/21/2020 18:48:13.311</v>
      </c>
      <c r="B4656" t="str">
        <f t="shared" si="450"/>
        <v>18:48:21.242</v>
      </c>
      <c r="C4656" t="str">
        <f t="shared" si="451"/>
        <v>18:48:21.042</v>
      </c>
      <c r="D4656" t="s">
        <v>1940</v>
      </c>
      <c r="E4656">
        <v>30.93544</v>
      </c>
      <c r="F4656" t="s">
        <v>1941</v>
      </c>
      <c r="G4656">
        <v>-89.858208000000005</v>
      </c>
      <c r="H4656">
        <v>1300</v>
      </c>
      <c r="I4656">
        <v>4</v>
      </c>
      <c r="J4656">
        <v>-157</v>
      </c>
      <c r="K4656">
        <v>384</v>
      </c>
      <c r="L4656">
        <v>1200</v>
      </c>
      <c r="M4656" t="str">
        <f t="shared" si="448"/>
        <v xml:space="preserve">N35DC   </v>
      </c>
      <c r="N4656">
        <v>1</v>
      </c>
      <c r="O4656">
        <v>1425</v>
      </c>
    </row>
    <row r="4657" spans="1:15" x14ac:dyDescent="0.25">
      <c r="A4657" t="str">
        <f t="shared" si="449"/>
        <v>10/21/2020 18:48:13.311</v>
      </c>
      <c r="B4657" t="str">
        <f t="shared" si="450"/>
        <v>18:48:21.242</v>
      </c>
      <c r="C4657" t="str">
        <f t="shared" si="451"/>
        <v>18:48:21.042</v>
      </c>
      <c r="D4657" t="s">
        <v>1940</v>
      </c>
      <c r="E4657">
        <v>30.93544</v>
      </c>
      <c r="F4657" t="s">
        <v>1941</v>
      </c>
      <c r="G4657">
        <v>-89.858208000000005</v>
      </c>
      <c r="H4657">
        <v>1300</v>
      </c>
      <c r="I4657">
        <v>4</v>
      </c>
      <c r="J4657">
        <v>-157</v>
      </c>
      <c r="K4657">
        <v>384</v>
      </c>
      <c r="L4657">
        <v>1200</v>
      </c>
      <c r="M4657" t="str">
        <f t="shared" si="448"/>
        <v xml:space="preserve">N35DC   </v>
      </c>
      <c r="N4657">
        <v>1</v>
      </c>
      <c r="O4657">
        <v>1425</v>
      </c>
    </row>
    <row r="4658" spans="1:15" x14ac:dyDescent="0.25">
      <c r="A4658" t="str">
        <f t="shared" si="449"/>
        <v>10/21/2020 18:48:13.311</v>
      </c>
      <c r="B4658" t="str">
        <f t="shared" si="450"/>
        <v>18:48:21.242</v>
      </c>
      <c r="C4658" t="str">
        <f t="shared" si="451"/>
        <v>18:48:21.042</v>
      </c>
      <c r="D4658" t="s">
        <v>1940</v>
      </c>
      <c r="E4658">
        <v>30.93544</v>
      </c>
      <c r="F4658" t="s">
        <v>1941</v>
      </c>
      <c r="G4658">
        <v>-89.858208000000005</v>
      </c>
      <c r="H4658">
        <v>1300</v>
      </c>
      <c r="I4658">
        <v>4</v>
      </c>
      <c r="J4658">
        <v>-157</v>
      </c>
      <c r="K4658">
        <v>384</v>
      </c>
      <c r="L4658">
        <v>1200</v>
      </c>
      <c r="M4658" t="str">
        <f t="shared" si="448"/>
        <v xml:space="preserve">N35DC   </v>
      </c>
      <c r="N4658">
        <v>1</v>
      </c>
      <c r="O4658">
        <v>1425</v>
      </c>
    </row>
    <row r="4659" spans="1:15" x14ac:dyDescent="0.25">
      <c r="A4659" t="str">
        <f t="shared" si="449"/>
        <v>10/21/2020 18:48:13.311</v>
      </c>
      <c r="B4659" t="str">
        <f t="shared" si="450"/>
        <v>18:48:21.242</v>
      </c>
      <c r="C4659" t="str">
        <f t="shared" si="451"/>
        <v>18:48:21.042</v>
      </c>
      <c r="D4659" t="s">
        <v>1940</v>
      </c>
      <c r="E4659">
        <v>30.93544</v>
      </c>
      <c r="F4659" t="s">
        <v>1941</v>
      </c>
      <c r="G4659">
        <v>-89.858208000000005</v>
      </c>
      <c r="H4659">
        <v>1300</v>
      </c>
      <c r="I4659">
        <v>4</v>
      </c>
      <c r="J4659">
        <v>-157</v>
      </c>
      <c r="K4659">
        <v>384</v>
      </c>
      <c r="L4659">
        <v>1200</v>
      </c>
      <c r="M4659" t="str">
        <f t="shared" si="448"/>
        <v xml:space="preserve">N35DC   </v>
      </c>
      <c r="N4659">
        <v>1</v>
      </c>
      <c r="O4659">
        <v>1425</v>
      </c>
    </row>
    <row r="4660" spans="1:15" x14ac:dyDescent="0.25">
      <c r="A4660" t="str">
        <f>"10/21/2020 18:48:14.262"</f>
        <v>10/21/2020 18:48:14.262</v>
      </c>
      <c r="B4660" t="str">
        <f>"18:48:22.219"</f>
        <v>18:48:22.219</v>
      </c>
      <c r="C4660" t="str">
        <f>"18:48:22.019"</f>
        <v>18:48:22.019</v>
      </c>
      <c r="D4660" t="s">
        <v>1942</v>
      </c>
      <c r="E4660">
        <v>30.934753000000001</v>
      </c>
      <c r="F4660" t="s">
        <v>1931</v>
      </c>
      <c r="G4660">
        <v>-89.858165</v>
      </c>
      <c r="H4660">
        <v>1400</v>
      </c>
      <c r="I4660">
        <v>4</v>
      </c>
      <c r="J4660">
        <v>-156</v>
      </c>
      <c r="K4660">
        <v>192</v>
      </c>
      <c r="L4660">
        <v>1200</v>
      </c>
      <c r="M4660" t="str">
        <f t="shared" si="448"/>
        <v xml:space="preserve">N35DC   </v>
      </c>
      <c r="N4660">
        <v>1</v>
      </c>
      <c r="O4660">
        <v>1425</v>
      </c>
    </row>
    <row r="4661" spans="1:15" x14ac:dyDescent="0.25">
      <c r="A4661" t="str">
        <f>"10/21/2020 18:48:14.262"</f>
        <v>10/21/2020 18:48:14.262</v>
      </c>
      <c r="B4661" t="str">
        <f>"18:48:22.219"</f>
        <v>18:48:22.219</v>
      </c>
      <c r="C4661" t="str">
        <f>"18:48:22.019"</f>
        <v>18:48:22.019</v>
      </c>
      <c r="D4661" t="s">
        <v>1942</v>
      </c>
      <c r="E4661">
        <v>30.934753000000001</v>
      </c>
      <c r="F4661" t="s">
        <v>1931</v>
      </c>
      <c r="G4661">
        <v>-89.858165</v>
      </c>
      <c r="H4661">
        <v>1400</v>
      </c>
      <c r="I4661">
        <v>4</v>
      </c>
      <c r="J4661">
        <v>-156</v>
      </c>
      <c r="K4661">
        <v>192</v>
      </c>
      <c r="L4661">
        <v>1200</v>
      </c>
      <c r="M4661" t="str">
        <f t="shared" si="448"/>
        <v xml:space="preserve">N35DC   </v>
      </c>
      <c r="N4661">
        <v>1</v>
      </c>
      <c r="O4661">
        <v>1425</v>
      </c>
    </row>
    <row r="4662" spans="1:15" x14ac:dyDescent="0.25">
      <c r="A4662" t="str">
        <f>"10/21/2020 18:48:14.262"</f>
        <v>10/21/2020 18:48:14.262</v>
      </c>
      <c r="B4662" t="str">
        <f>"18:48:22.219"</f>
        <v>18:48:22.219</v>
      </c>
      <c r="C4662" t="str">
        <f>"18:48:22.019"</f>
        <v>18:48:22.019</v>
      </c>
      <c r="D4662" t="s">
        <v>1942</v>
      </c>
      <c r="E4662">
        <v>30.934753000000001</v>
      </c>
      <c r="F4662" t="s">
        <v>1931</v>
      </c>
      <c r="G4662">
        <v>-89.858165</v>
      </c>
      <c r="H4662">
        <v>1400</v>
      </c>
      <c r="I4662">
        <v>4</v>
      </c>
      <c r="J4662">
        <v>-156</v>
      </c>
      <c r="K4662">
        <v>192</v>
      </c>
      <c r="L4662">
        <v>1200</v>
      </c>
      <c r="M4662" t="str">
        <f t="shared" si="448"/>
        <v xml:space="preserve">N35DC   </v>
      </c>
      <c r="N4662">
        <v>1</v>
      </c>
      <c r="O4662">
        <v>1425</v>
      </c>
    </row>
    <row r="4663" spans="1:15" x14ac:dyDescent="0.25">
      <c r="A4663" t="str">
        <f>"10/21/2020 18:48:14.262"</f>
        <v>10/21/2020 18:48:14.262</v>
      </c>
      <c r="B4663" t="str">
        <f>"18:48:22.219"</f>
        <v>18:48:22.219</v>
      </c>
      <c r="C4663" t="str">
        <f>"18:48:22.019"</f>
        <v>18:48:22.019</v>
      </c>
      <c r="D4663" t="s">
        <v>1942</v>
      </c>
      <c r="E4663">
        <v>30.934753000000001</v>
      </c>
      <c r="F4663" t="s">
        <v>1931</v>
      </c>
      <c r="G4663">
        <v>-89.858165</v>
      </c>
      <c r="H4663">
        <v>1400</v>
      </c>
      <c r="I4663">
        <v>4</v>
      </c>
      <c r="J4663">
        <v>-156</v>
      </c>
      <c r="K4663">
        <v>192</v>
      </c>
      <c r="L4663">
        <v>1200</v>
      </c>
      <c r="M4663" t="str">
        <f t="shared" si="448"/>
        <v xml:space="preserve">N35DC   </v>
      </c>
      <c r="N4663">
        <v>1</v>
      </c>
      <c r="O4663">
        <v>1425</v>
      </c>
    </row>
    <row r="4664" spans="1:15" x14ac:dyDescent="0.25">
      <c r="A4664" t="str">
        <f t="shared" ref="A4664:A4669" si="452">"10/21/2020 18:48:17.463"</f>
        <v>10/21/2020 18:48:17.463</v>
      </c>
      <c r="B4664" t="str">
        <f t="shared" ref="B4664:B4669" si="453">"18:48:25.383"</f>
        <v>18:48:25.383</v>
      </c>
      <c r="C4664" t="str">
        <f t="shared" ref="C4664:C4669" si="454">"18:48:24.983"</f>
        <v>18:48:24.983</v>
      </c>
      <c r="D4664" t="s">
        <v>1943</v>
      </c>
      <c r="E4664">
        <v>30.932435999999999</v>
      </c>
      <c r="F4664" t="s">
        <v>1931</v>
      </c>
      <c r="G4664">
        <v>-89.858165</v>
      </c>
      <c r="H4664">
        <v>1400</v>
      </c>
      <c r="I4664">
        <v>1</v>
      </c>
      <c r="J4664">
        <v>-156</v>
      </c>
      <c r="K4664">
        <v>128</v>
      </c>
      <c r="L4664">
        <v>1200</v>
      </c>
      <c r="M4664" t="str">
        <f t="shared" si="448"/>
        <v xml:space="preserve">N35DC   </v>
      </c>
      <c r="N4664">
        <v>1</v>
      </c>
      <c r="O4664">
        <v>1425</v>
      </c>
    </row>
    <row r="4665" spans="1:15" x14ac:dyDescent="0.25">
      <c r="A4665" t="str">
        <f t="shared" si="452"/>
        <v>10/21/2020 18:48:17.463</v>
      </c>
      <c r="B4665" t="str">
        <f t="shared" si="453"/>
        <v>18:48:25.383</v>
      </c>
      <c r="C4665" t="str">
        <f t="shared" si="454"/>
        <v>18:48:24.983</v>
      </c>
      <c r="D4665" t="s">
        <v>1943</v>
      </c>
      <c r="E4665">
        <v>30.932435999999999</v>
      </c>
      <c r="F4665" t="s">
        <v>1931</v>
      </c>
      <c r="G4665">
        <v>-89.858165</v>
      </c>
      <c r="H4665">
        <v>1400</v>
      </c>
      <c r="I4665">
        <v>1</v>
      </c>
      <c r="J4665">
        <v>-156</v>
      </c>
      <c r="K4665">
        <v>128</v>
      </c>
      <c r="L4665">
        <v>1200</v>
      </c>
      <c r="M4665" t="str">
        <f t="shared" si="448"/>
        <v xml:space="preserve">N35DC   </v>
      </c>
      <c r="N4665">
        <v>1</v>
      </c>
      <c r="O4665">
        <v>1425</v>
      </c>
    </row>
    <row r="4666" spans="1:15" x14ac:dyDescent="0.25">
      <c r="A4666" t="str">
        <f t="shared" si="452"/>
        <v>10/21/2020 18:48:17.463</v>
      </c>
      <c r="B4666" t="str">
        <f t="shared" si="453"/>
        <v>18:48:25.383</v>
      </c>
      <c r="C4666" t="str">
        <f t="shared" si="454"/>
        <v>18:48:24.983</v>
      </c>
      <c r="D4666" t="s">
        <v>1943</v>
      </c>
      <c r="E4666">
        <v>30.932435999999999</v>
      </c>
      <c r="F4666" t="s">
        <v>1931</v>
      </c>
      <c r="G4666">
        <v>-89.858165</v>
      </c>
      <c r="H4666">
        <v>1400</v>
      </c>
      <c r="I4666">
        <v>1</v>
      </c>
      <c r="J4666">
        <v>-156</v>
      </c>
      <c r="K4666">
        <v>128</v>
      </c>
      <c r="L4666">
        <v>1200</v>
      </c>
      <c r="M4666" t="str">
        <f t="shared" si="448"/>
        <v xml:space="preserve">N35DC   </v>
      </c>
      <c r="N4666">
        <v>1</v>
      </c>
      <c r="O4666">
        <v>1425</v>
      </c>
    </row>
    <row r="4667" spans="1:15" x14ac:dyDescent="0.25">
      <c r="A4667" t="str">
        <f t="shared" si="452"/>
        <v>10/21/2020 18:48:17.463</v>
      </c>
      <c r="B4667" t="str">
        <f t="shared" si="453"/>
        <v>18:48:25.383</v>
      </c>
      <c r="C4667" t="str">
        <f t="shared" si="454"/>
        <v>18:48:24.983</v>
      </c>
      <c r="D4667" t="s">
        <v>1943</v>
      </c>
      <c r="E4667">
        <v>30.932435999999999</v>
      </c>
      <c r="F4667" t="s">
        <v>1931</v>
      </c>
      <c r="G4667">
        <v>-89.858165</v>
      </c>
      <c r="H4667">
        <v>1400</v>
      </c>
      <c r="I4667">
        <v>1</v>
      </c>
      <c r="J4667">
        <v>-156</v>
      </c>
      <c r="K4667">
        <v>128</v>
      </c>
      <c r="L4667">
        <v>1200</v>
      </c>
      <c r="M4667" t="str">
        <f t="shared" si="448"/>
        <v xml:space="preserve">N35DC   </v>
      </c>
      <c r="N4667">
        <v>1</v>
      </c>
      <c r="O4667">
        <v>1425</v>
      </c>
    </row>
    <row r="4668" spans="1:15" x14ac:dyDescent="0.25">
      <c r="A4668" t="str">
        <f t="shared" si="452"/>
        <v>10/21/2020 18:48:17.463</v>
      </c>
      <c r="B4668" t="str">
        <f t="shared" si="453"/>
        <v>18:48:25.383</v>
      </c>
      <c r="C4668" t="str">
        <f t="shared" si="454"/>
        <v>18:48:24.983</v>
      </c>
      <c r="D4668" t="s">
        <v>1943</v>
      </c>
      <c r="E4668">
        <v>30.932435999999999</v>
      </c>
      <c r="F4668" t="s">
        <v>1931</v>
      </c>
      <c r="G4668">
        <v>-89.858165</v>
      </c>
      <c r="H4668">
        <v>1400</v>
      </c>
      <c r="I4668">
        <v>1</v>
      </c>
      <c r="J4668">
        <v>-156</v>
      </c>
      <c r="K4668">
        <v>128</v>
      </c>
      <c r="L4668">
        <v>1200</v>
      </c>
      <c r="M4668" t="str">
        <f t="shared" si="448"/>
        <v xml:space="preserve">N35DC   </v>
      </c>
      <c r="N4668">
        <v>1</v>
      </c>
      <c r="O4668">
        <v>1425</v>
      </c>
    </row>
    <row r="4669" spans="1:15" x14ac:dyDescent="0.25">
      <c r="A4669" t="str">
        <f t="shared" si="452"/>
        <v>10/21/2020 18:48:17.463</v>
      </c>
      <c r="B4669" t="str">
        <f t="shared" si="453"/>
        <v>18:48:25.383</v>
      </c>
      <c r="C4669" t="str">
        <f t="shared" si="454"/>
        <v>18:48:24.983</v>
      </c>
      <c r="D4669" t="s">
        <v>1943</v>
      </c>
      <c r="E4669">
        <v>30.932435999999999</v>
      </c>
      <c r="F4669" t="s">
        <v>1931</v>
      </c>
      <c r="G4669">
        <v>-89.858165</v>
      </c>
      <c r="H4669">
        <v>1400</v>
      </c>
      <c r="I4669">
        <v>1</v>
      </c>
      <c r="J4669">
        <v>-156</v>
      </c>
      <c r="K4669">
        <v>128</v>
      </c>
      <c r="L4669">
        <v>1200</v>
      </c>
      <c r="M4669" t="str">
        <f t="shared" si="448"/>
        <v xml:space="preserve">N35DC   </v>
      </c>
      <c r="N4669">
        <v>1</v>
      </c>
      <c r="O4669">
        <v>1425</v>
      </c>
    </row>
    <row r="4670" spans="1:15" x14ac:dyDescent="0.25">
      <c r="A4670" t="str">
        <f t="shared" ref="A4670:A4675" si="455">"10/21/2020 18:48:18.529"</f>
        <v>10/21/2020 18:48:18.529</v>
      </c>
      <c r="B4670" t="str">
        <f t="shared" ref="B4670:B4675" si="456">"18:48:26.461"</f>
        <v>18:48:26.461</v>
      </c>
      <c r="C4670" t="str">
        <f>"18:48:26.161"</f>
        <v>18:48:26.161</v>
      </c>
      <c r="D4670" t="s">
        <v>1944</v>
      </c>
      <c r="E4670">
        <v>30.931642</v>
      </c>
      <c r="F4670" t="s">
        <v>1945</v>
      </c>
      <c r="G4670">
        <v>-89.858142999999998</v>
      </c>
      <c r="H4670">
        <v>1400</v>
      </c>
      <c r="I4670">
        <v>0</v>
      </c>
      <c r="J4670">
        <v>-156</v>
      </c>
      <c r="K4670">
        <v>0</v>
      </c>
      <c r="L4670">
        <v>1200</v>
      </c>
      <c r="M4670" t="str">
        <f t="shared" si="448"/>
        <v xml:space="preserve">N35DC   </v>
      </c>
      <c r="N4670">
        <v>1</v>
      </c>
      <c r="O4670">
        <v>1425</v>
      </c>
    </row>
    <row r="4671" spans="1:15" x14ac:dyDescent="0.25">
      <c r="A4671" t="str">
        <f t="shared" si="455"/>
        <v>10/21/2020 18:48:18.529</v>
      </c>
      <c r="B4671" t="str">
        <f t="shared" si="456"/>
        <v>18:48:26.461</v>
      </c>
      <c r="C4671" t="str">
        <f>"18:48:25.561"</f>
        <v>18:48:25.561</v>
      </c>
      <c r="D4671" t="s">
        <v>1944</v>
      </c>
      <c r="E4671">
        <v>30.931642</v>
      </c>
      <c r="F4671" t="s">
        <v>1945</v>
      </c>
      <c r="G4671">
        <v>-89.858142999999998</v>
      </c>
      <c r="H4671">
        <v>1400</v>
      </c>
      <c r="I4671">
        <v>1</v>
      </c>
      <c r="J4671">
        <v>-156</v>
      </c>
      <c r="K4671">
        <v>64</v>
      </c>
      <c r="L4671">
        <v>1200</v>
      </c>
      <c r="M4671" t="str">
        <f t="shared" si="448"/>
        <v xml:space="preserve">N35DC   </v>
      </c>
      <c r="N4671">
        <v>1</v>
      </c>
      <c r="O4671">
        <v>1425</v>
      </c>
    </row>
    <row r="4672" spans="1:15" x14ac:dyDescent="0.25">
      <c r="A4672" t="str">
        <f t="shared" si="455"/>
        <v>10/21/2020 18:48:18.529</v>
      </c>
      <c r="B4672" t="str">
        <f t="shared" si="456"/>
        <v>18:48:26.461</v>
      </c>
      <c r="C4672" t="str">
        <f>"18:48:25.561"</f>
        <v>18:48:25.561</v>
      </c>
      <c r="D4672" t="s">
        <v>1944</v>
      </c>
      <c r="E4672">
        <v>30.931642</v>
      </c>
      <c r="F4672" t="s">
        <v>1945</v>
      </c>
      <c r="G4672">
        <v>-89.858142999999998</v>
      </c>
      <c r="H4672">
        <v>1400</v>
      </c>
      <c r="I4672">
        <v>1</v>
      </c>
      <c r="J4672">
        <v>-156</v>
      </c>
      <c r="K4672">
        <v>64</v>
      </c>
      <c r="L4672">
        <v>1200</v>
      </c>
      <c r="M4672" t="str">
        <f t="shared" si="448"/>
        <v xml:space="preserve">N35DC   </v>
      </c>
      <c r="N4672">
        <v>1</v>
      </c>
      <c r="O4672">
        <v>1425</v>
      </c>
    </row>
    <row r="4673" spans="1:15" x14ac:dyDescent="0.25">
      <c r="A4673" t="str">
        <f t="shared" si="455"/>
        <v>10/21/2020 18:48:18.529</v>
      </c>
      <c r="B4673" t="str">
        <f t="shared" si="456"/>
        <v>18:48:26.461</v>
      </c>
      <c r="C4673" t="str">
        <f>"18:48:25.561"</f>
        <v>18:48:25.561</v>
      </c>
      <c r="D4673" t="s">
        <v>1944</v>
      </c>
      <c r="E4673">
        <v>30.931642</v>
      </c>
      <c r="F4673" t="s">
        <v>1945</v>
      </c>
      <c r="G4673">
        <v>-89.858142999999998</v>
      </c>
      <c r="H4673">
        <v>1400</v>
      </c>
      <c r="I4673">
        <v>1</v>
      </c>
      <c r="J4673">
        <v>-156</v>
      </c>
      <c r="K4673">
        <v>64</v>
      </c>
      <c r="L4673">
        <v>1200</v>
      </c>
      <c r="M4673" t="str">
        <f t="shared" si="448"/>
        <v xml:space="preserve">N35DC   </v>
      </c>
      <c r="N4673">
        <v>1</v>
      </c>
      <c r="O4673">
        <v>1425</v>
      </c>
    </row>
    <row r="4674" spans="1:15" x14ac:dyDescent="0.25">
      <c r="A4674" t="str">
        <f t="shared" si="455"/>
        <v>10/21/2020 18:48:18.529</v>
      </c>
      <c r="B4674" t="str">
        <f t="shared" si="456"/>
        <v>18:48:26.461</v>
      </c>
      <c r="C4674" t="str">
        <f>"18:48:25.561"</f>
        <v>18:48:25.561</v>
      </c>
      <c r="D4674" t="s">
        <v>1944</v>
      </c>
      <c r="E4674">
        <v>30.931642</v>
      </c>
      <c r="F4674" t="s">
        <v>1945</v>
      </c>
      <c r="G4674">
        <v>-89.858142999999998</v>
      </c>
      <c r="H4674">
        <v>1400</v>
      </c>
      <c r="I4674">
        <v>1</v>
      </c>
      <c r="J4674">
        <v>-156</v>
      </c>
      <c r="K4674">
        <v>64</v>
      </c>
      <c r="L4674">
        <v>1200</v>
      </c>
      <c r="M4674" t="str">
        <f t="shared" si="448"/>
        <v xml:space="preserve">N35DC   </v>
      </c>
      <c r="N4674">
        <v>1</v>
      </c>
      <c r="O4674">
        <v>1425</v>
      </c>
    </row>
    <row r="4675" spans="1:15" x14ac:dyDescent="0.25">
      <c r="A4675" t="str">
        <f t="shared" si="455"/>
        <v>10/21/2020 18:48:18.529</v>
      </c>
      <c r="B4675" t="str">
        <f t="shared" si="456"/>
        <v>18:48:26.461</v>
      </c>
      <c r="C4675" t="str">
        <f>"18:48:25.561"</f>
        <v>18:48:25.561</v>
      </c>
      <c r="D4675" t="s">
        <v>1944</v>
      </c>
      <c r="E4675">
        <v>30.931642</v>
      </c>
      <c r="F4675" t="s">
        <v>1945</v>
      </c>
      <c r="G4675">
        <v>-89.858142999999998</v>
      </c>
      <c r="H4675">
        <v>1400</v>
      </c>
      <c r="I4675">
        <v>1</v>
      </c>
      <c r="J4675">
        <v>-156</v>
      </c>
      <c r="K4675">
        <v>64</v>
      </c>
      <c r="L4675">
        <v>1200</v>
      </c>
      <c r="M4675" t="str">
        <f t="shared" si="448"/>
        <v xml:space="preserve">N35DC   </v>
      </c>
      <c r="N4675">
        <v>1</v>
      </c>
      <c r="O4675">
        <v>1425</v>
      </c>
    </row>
    <row r="4676" spans="1:15" x14ac:dyDescent="0.25">
      <c r="A4676" t="str">
        <f>"10/21/2020 18:48:21.410"</f>
        <v>10/21/2020 18:48:21.410</v>
      </c>
      <c r="B4676" t="str">
        <f>"18:48:29.367"</f>
        <v>18:48:29.367</v>
      </c>
      <c r="C4676" t="str">
        <f>"18:48:28.967"</f>
        <v>18:48:28.967</v>
      </c>
      <c r="D4676" t="s">
        <v>1371</v>
      </c>
      <c r="E4676">
        <v>30.929538999999998</v>
      </c>
      <c r="F4676" t="s">
        <v>1931</v>
      </c>
      <c r="G4676">
        <v>-89.858165</v>
      </c>
      <c r="H4676">
        <v>1400</v>
      </c>
      <c r="I4676">
        <v>-3</v>
      </c>
      <c r="J4676">
        <v>-155</v>
      </c>
      <c r="K4676">
        <v>-64</v>
      </c>
      <c r="L4676">
        <v>1200</v>
      </c>
      <c r="M4676" t="str">
        <f t="shared" si="448"/>
        <v xml:space="preserve">N35DC   </v>
      </c>
      <c r="N4676">
        <v>1</v>
      </c>
      <c r="O4676">
        <v>1425</v>
      </c>
    </row>
    <row r="4677" spans="1:15" x14ac:dyDescent="0.25">
      <c r="A4677" t="str">
        <f>"10/21/2020 18:48:21.410"</f>
        <v>10/21/2020 18:48:21.410</v>
      </c>
      <c r="B4677" t="str">
        <f>"18:48:29.367"</f>
        <v>18:48:29.367</v>
      </c>
      <c r="C4677" t="str">
        <f>"18:48:28.967"</f>
        <v>18:48:28.967</v>
      </c>
      <c r="D4677" t="s">
        <v>1371</v>
      </c>
      <c r="E4677">
        <v>30.929538999999998</v>
      </c>
      <c r="F4677" t="s">
        <v>1931</v>
      </c>
      <c r="G4677">
        <v>-89.858165</v>
      </c>
      <c r="H4677">
        <v>1400</v>
      </c>
      <c r="I4677">
        <v>-3</v>
      </c>
      <c r="J4677">
        <v>-155</v>
      </c>
      <c r="K4677">
        <v>-64</v>
      </c>
      <c r="L4677">
        <v>1200</v>
      </c>
      <c r="M4677" t="str">
        <f t="shared" si="448"/>
        <v xml:space="preserve">N35DC   </v>
      </c>
      <c r="N4677">
        <v>1</v>
      </c>
      <c r="O4677">
        <v>1425</v>
      </c>
    </row>
    <row r="4678" spans="1:15" x14ac:dyDescent="0.25">
      <c r="A4678" t="str">
        <f>"10/21/2020 18:48:21.410"</f>
        <v>10/21/2020 18:48:21.410</v>
      </c>
      <c r="B4678" t="str">
        <f>"18:48:29.367"</f>
        <v>18:48:29.367</v>
      </c>
      <c r="C4678" t="str">
        <f>"18:48:28.967"</f>
        <v>18:48:28.967</v>
      </c>
      <c r="D4678" t="s">
        <v>1371</v>
      </c>
      <c r="E4678">
        <v>30.929538999999998</v>
      </c>
      <c r="F4678" t="s">
        <v>1931</v>
      </c>
      <c r="G4678">
        <v>-89.858165</v>
      </c>
      <c r="H4678">
        <v>1400</v>
      </c>
      <c r="I4678">
        <v>-3</v>
      </c>
      <c r="J4678">
        <v>-155</v>
      </c>
      <c r="K4678">
        <v>-64</v>
      </c>
      <c r="L4678">
        <v>1200</v>
      </c>
      <c r="M4678" t="str">
        <f t="shared" si="448"/>
        <v xml:space="preserve">N35DC   </v>
      </c>
      <c r="N4678">
        <v>1</v>
      </c>
      <c r="O4678">
        <v>1425</v>
      </c>
    </row>
    <row r="4679" spans="1:15" x14ac:dyDescent="0.25">
      <c r="A4679" t="str">
        <f>"10/21/2020 18:48:21.410"</f>
        <v>10/21/2020 18:48:21.410</v>
      </c>
      <c r="B4679" t="str">
        <f>"18:48:29.367"</f>
        <v>18:48:29.367</v>
      </c>
      <c r="C4679" t="str">
        <f>"18:48:28.967"</f>
        <v>18:48:28.967</v>
      </c>
      <c r="D4679" t="s">
        <v>1371</v>
      </c>
      <c r="E4679">
        <v>30.929538999999998</v>
      </c>
      <c r="F4679" t="s">
        <v>1931</v>
      </c>
      <c r="G4679">
        <v>-89.858165</v>
      </c>
      <c r="H4679">
        <v>1400</v>
      </c>
      <c r="I4679">
        <v>-3</v>
      </c>
      <c r="J4679">
        <v>-155</v>
      </c>
      <c r="K4679">
        <v>-64</v>
      </c>
      <c r="L4679">
        <v>1200</v>
      </c>
      <c r="M4679" t="str">
        <f t="shared" ref="M4679:M4742" si="457">"N35DC   "</f>
        <v xml:space="preserve">N35DC   </v>
      </c>
      <c r="N4679">
        <v>1</v>
      </c>
      <c r="O4679">
        <v>1425</v>
      </c>
    </row>
    <row r="4680" spans="1:15" x14ac:dyDescent="0.25">
      <c r="A4680" t="str">
        <f>"10/21/2020 18:48:21.410"</f>
        <v>10/21/2020 18:48:21.410</v>
      </c>
      <c r="B4680" t="str">
        <f>"18:48:29.367"</f>
        <v>18:48:29.367</v>
      </c>
      <c r="C4680" t="str">
        <f>"18:48:28.967"</f>
        <v>18:48:28.967</v>
      </c>
      <c r="D4680" t="s">
        <v>1371</v>
      </c>
      <c r="E4680">
        <v>30.929538999999998</v>
      </c>
      <c r="F4680" t="s">
        <v>1931</v>
      </c>
      <c r="G4680">
        <v>-89.858165</v>
      </c>
      <c r="H4680">
        <v>1400</v>
      </c>
      <c r="I4680">
        <v>-3</v>
      </c>
      <c r="J4680">
        <v>-155</v>
      </c>
      <c r="K4680">
        <v>-64</v>
      </c>
      <c r="L4680">
        <v>1200</v>
      </c>
      <c r="M4680" t="str">
        <f t="shared" si="457"/>
        <v xml:space="preserve">N35DC   </v>
      </c>
      <c r="N4680">
        <v>1</v>
      </c>
      <c r="O4680">
        <v>1425</v>
      </c>
    </row>
    <row r="4681" spans="1:15" x14ac:dyDescent="0.25">
      <c r="A4681" t="str">
        <f t="shared" ref="A4681:A4686" si="458">"10/21/2020 18:48:22.521"</f>
        <v>10/21/2020 18:48:22.521</v>
      </c>
      <c r="B4681" t="str">
        <f t="shared" ref="B4681:B4686" si="459">"18:48:30.461"</f>
        <v>18:48:30.461</v>
      </c>
      <c r="C4681" t="str">
        <f>"18:48:29.961"</f>
        <v>18:48:29.961</v>
      </c>
      <c r="D4681" t="s">
        <v>1946</v>
      </c>
      <c r="E4681">
        <v>30.928767000000001</v>
      </c>
      <c r="F4681" t="s">
        <v>1941</v>
      </c>
      <c r="G4681">
        <v>-89.858208000000005</v>
      </c>
      <c r="H4681">
        <v>1400</v>
      </c>
      <c r="I4681">
        <v>-3</v>
      </c>
      <c r="J4681">
        <v>-155</v>
      </c>
      <c r="K4681">
        <v>-128</v>
      </c>
      <c r="L4681">
        <v>1200</v>
      </c>
      <c r="M4681" t="str">
        <f t="shared" si="457"/>
        <v xml:space="preserve">N35DC   </v>
      </c>
      <c r="N4681">
        <v>1</v>
      </c>
      <c r="O4681">
        <v>1425</v>
      </c>
    </row>
    <row r="4682" spans="1:15" x14ac:dyDescent="0.25">
      <c r="A4682" t="str">
        <f t="shared" si="458"/>
        <v>10/21/2020 18:48:22.521</v>
      </c>
      <c r="B4682" t="str">
        <f t="shared" si="459"/>
        <v>18:48:30.461</v>
      </c>
      <c r="C4682" t="str">
        <f>"18:48:29.961"</f>
        <v>18:48:29.961</v>
      </c>
      <c r="D4682" t="s">
        <v>1946</v>
      </c>
      <c r="E4682">
        <v>30.928767000000001</v>
      </c>
      <c r="F4682" t="s">
        <v>1941</v>
      </c>
      <c r="G4682">
        <v>-89.858208000000005</v>
      </c>
      <c r="H4682">
        <v>1400</v>
      </c>
      <c r="I4682">
        <v>-3</v>
      </c>
      <c r="J4682">
        <v>-155</v>
      </c>
      <c r="K4682">
        <v>-128</v>
      </c>
      <c r="L4682">
        <v>1200</v>
      </c>
      <c r="M4682" t="str">
        <f t="shared" si="457"/>
        <v xml:space="preserve">N35DC   </v>
      </c>
      <c r="N4682">
        <v>1</v>
      </c>
      <c r="O4682">
        <v>1425</v>
      </c>
    </row>
    <row r="4683" spans="1:15" x14ac:dyDescent="0.25">
      <c r="A4683" t="str">
        <f t="shared" si="458"/>
        <v>10/21/2020 18:48:22.521</v>
      </c>
      <c r="B4683" t="str">
        <f t="shared" si="459"/>
        <v>18:48:30.461</v>
      </c>
      <c r="C4683" t="str">
        <f>"18:48:29.961"</f>
        <v>18:48:29.961</v>
      </c>
      <c r="D4683" t="s">
        <v>1946</v>
      </c>
      <c r="E4683">
        <v>30.928767000000001</v>
      </c>
      <c r="F4683" t="s">
        <v>1941</v>
      </c>
      <c r="G4683">
        <v>-89.858208000000005</v>
      </c>
      <c r="H4683">
        <v>1400</v>
      </c>
      <c r="I4683">
        <v>-3</v>
      </c>
      <c r="J4683">
        <v>-155</v>
      </c>
      <c r="K4683">
        <v>-128</v>
      </c>
      <c r="L4683">
        <v>1200</v>
      </c>
      <c r="M4683" t="str">
        <f t="shared" si="457"/>
        <v xml:space="preserve">N35DC   </v>
      </c>
      <c r="N4683">
        <v>1</v>
      </c>
      <c r="O4683">
        <v>1425</v>
      </c>
    </row>
    <row r="4684" spans="1:15" x14ac:dyDescent="0.25">
      <c r="A4684" t="str">
        <f t="shared" si="458"/>
        <v>10/21/2020 18:48:22.521</v>
      </c>
      <c r="B4684" t="str">
        <f t="shared" si="459"/>
        <v>18:48:30.461</v>
      </c>
      <c r="C4684" t="str">
        <f>"18:48:29.961"</f>
        <v>18:48:29.961</v>
      </c>
      <c r="D4684" t="s">
        <v>1946</v>
      </c>
      <c r="E4684">
        <v>30.928767000000001</v>
      </c>
      <c r="F4684" t="s">
        <v>1941</v>
      </c>
      <c r="G4684">
        <v>-89.858208000000005</v>
      </c>
      <c r="H4684">
        <v>1400</v>
      </c>
      <c r="I4684">
        <v>-3</v>
      </c>
      <c r="J4684">
        <v>-155</v>
      </c>
      <c r="K4684">
        <v>-128</v>
      </c>
      <c r="L4684">
        <v>1200</v>
      </c>
      <c r="M4684" t="str">
        <f t="shared" si="457"/>
        <v xml:space="preserve">N35DC   </v>
      </c>
      <c r="N4684">
        <v>1</v>
      </c>
      <c r="O4684">
        <v>1425</v>
      </c>
    </row>
    <row r="4685" spans="1:15" x14ac:dyDescent="0.25">
      <c r="A4685" t="str">
        <f t="shared" si="458"/>
        <v>10/21/2020 18:48:22.521</v>
      </c>
      <c r="B4685" t="str">
        <f t="shared" si="459"/>
        <v>18:48:30.461</v>
      </c>
      <c r="C4685" t="str">
        <f>"18:48:29.061"</f>
        <v>18:48:29.061</v>
      </c>
      <c r="D4685" t="s">
        <v>1946</v>
      </c>
      <c r="E4685">
        <v>30.928767000000001</v>
      </c>
      <c r="F4685" t="s">
        <v>1941</v>
      </c>
      <c r="G4685">
        <v>-89.858208000000005</v>
      </c>
      <c r="H4685">
        <v>1400</v>
      </c>
      <c r="I4685">
        <v>-3</v>
      </c>
      <c r="J4685">
        <v>-155</v>
      </c>
      <c r="K4685">
        <v>-64</v>
      </c>
      <c r="L4685">
        <v>1200</v>
      </c>
      <c r="M4685" t="str">
        <f t="shared" si="457"/>
        <v xml:space="preserve">N35DC   </v>
      </c>
      <c r="N4685">
        <v>1</v>
      </c>
      <c r="O4685">
        <v>1425</v>
      </c>
    </row>
    <row r="4686" spans="1:15" x14ac:dyDescent="0.25">
      <c r="A4686" t="str">
        <f t="shared" si="458"/>
        <v>10/21/2020 18:48:22.521</v>
      </c>
      <c r="B4686" t="str">
        <f t="shared" si="459"/>
        <v>18:48:30.461</v>
      </c>
      <c r="C4686" t="str">
        <f>"18:48:29.961"</f>
        <v>18:48:29.961</v>
      </c>
      <c r="D4686" t="s">
        <v>1946</v>
      </c>
      <c r="E4686">
        <v>30.928767000000001</v>
      </c>
      <c r="F4686" t="s">
        <v>1941</v>
      </c>
      <c r="G4686">
        <v>-89.858208000000005</v>
      </c>
      <c r="H4686">
        <v>1400</v>
      </c>
      <c r="I4686">
        <v>-3</v>
      </c>
      <c r="J4686">
        <v>-155</v>
      </c>
      <c r="K4686">
        <v>-128</v>
      </c>
      <c r="L4686">
        <v>1200</v>
      </c>
      <c r="M4686" t="str">
        <f t="shared" si="457"/>
        <v xml:space="preserve">N35DC   </v>
      </c>
      <c r="N4686">
        <v>1</v>
      </c>
      <c r="O4686">
        <v>1425</v>
      </c>
    </row>
    <row r="4687" spans="1:15" x14ac:dyDescent="0.25">
      <c r="A4687" t="str">
        <f>"10/21/2020 18:48:23.580"</f>
        <v>10/21/2020 18:48:23.580</v>
      </c>
      <c r="B4687" t="str">
        <f>"18:48:31.500"</f>
        <v>18:48:31.500</v>
      </c>
      <c r="C4687" t="str">
        <f>"18:48:31.100"</f>
        <v>18:48:31.100</v>
      </c>
      <c r="D4687" t="s">
        <v>1947</v>
      </c>
      <c r="E4687">
        <v>30.927994000000002</v>
      </c>
      <c r="F4687" t="s">
        <v>1934</v>
      </c>
      <c r="G4687">
        <v>-89.858228999999994</v>
      </c>
      <c r="H4687">
        <v>1400</v>
      </c>
      <c r="I4687">
        <v>-3</v>
      </c>
      <c r="J4687">
        <v>-156</v>
      </c>
      <c r="K4687">
        <v>-128</v>
      </c>
      <c r="L4687">
        <v>1200</v>
      </c>
      <c r="M4687" t="str">
        <f t="shared" si="457"/>
        <v xml:space="preserve">N35DC   </v>
      </c>
      <c r="N4687">
        <v>1</v>
      </c>
      <c r="O4687">
        <v>1425</v>
      </c>
    </row>
    <row r="4688" spans="1:15" x14ac:dyDescent="0.25">
      <c r="A4688" t="str">
        <f>"10/21/2020 18:48:23.580"</f>
        <v>10/21/2020 18:48:23.580</v>
      </c>
      <c r="B4688" t="str">
        <f>"18:48:31.500"</f>
        <v>18:48:31.500</v>
      </c>
      <c r="C4688" t="str">
        <f>"18:48:31.200"</f>
        <v>18:48:31.200</v>
      </c>
      <c r="D4688" t="s">
        <v>1947</v>
      </c>
      <c r="E4688">
        <v>30.927994000000002</v>
      </c>
      <c r="F4688" t="s">
        <v>1934</v>
      </c>
      <c r="G4688">
        <v>-89.858228999999994</v>
      </c>
      <c r="H4688">
        <v>1400</v>
      </c>
      <c r="I4688">
        <v>-3</v>
      </c>
      <c r="J4688">
        <v>-156</v>
      </c>
      <c r="K4688">
        <v>-128</v>
      </c>
      <c r="L4688">
        <v>1200</v>
      </c>
      <c r="M4688" t="str">
        <f t="shared" si="457"/>
        <v xml:space="preserve">N35DC   </v>
      </c>
      <c r="N4688">
        <v>1</v>
      </c>
      <c r="O4688">
        <v>1425</v>
      </c>
    </row>
    <row r="4689" spans="1:15" x14ac:dyDescent="0.25">
      <c r="A4689" t="str">
        <f>"10/21/2020 18:48:23.580"</f>
        <v>10/21/2020 18:48:23.580</v>
      </c>
      <c r="B4689" t="str">
        <f>"18:48:31.500"</f>
        <v>18:48:31.500</v>
      </c>
      <c r="C4689" t="str">
        <f>"18:48:30.600"</f>
        <v>18:48:30.600</v>
      </c>
      <c r="D4689" t="s">
        <v>1947</v>
      </c>
      <c r="E4689">
        <v>30.927994000000002</v>
      </c>
      <c r="F4689" t="s">
        <v>1934</v>
      </c>
      <c r="G4689">
        <v>-89.858228999999994</v>
      </c>
      <c r="H4689">
        <v>1400</v>
      </c>
      <c r="I4689">
        <v>-3</v>
      </c>
      <c r="J4689">
        <v>-155</v>
      </c>
      <c r="K4689">
        <v>-128</v>
      </c>
      <c r="L4689">
        <v>1200</v>
      </c>
      <c r="M4689" t="str">
        <f t="shared" si="457"/>
        <v xml:space="preserve">N35DC   </v>
      </c>
      <c r="N4689">
        <v>1</v>
      </c>
      <c r="O4689">
        <v>1425</v>
      </c>
    </row>
    <row r="4690" spans="1:15" x14ac:dyDescent="0.25">
      <c r="A4690" t="str">
        <f>"10/21/2020 18:48:23.580"</f>
        <v>10/21/2020 18:48:23.580</v>
      </c>
      <c r="B4690" t="str">
        <f>"18:48:31.500"</f>
        <v>18:48:31.500</v>
      </c>
      <c r="C4690" t="str">
        <f>"18:48:31.200"</f>
        <v>18:48:31.200</v>
      </c>
      <c r="D4690" t="s">
        <v>1947</v>
      </c>
      <c r="E4690">
        <v>30.927994000000002</v>
      </c>
      <c r="F4690" t="s">
        <v>1934</v>
      </c>
      <c r="G4690">
        <v>-89.858228999999994</v>
      </c>
      <c r="H4690">
        <v>1400</v>
      </c>
      <c r="I4690">
        <v>-3</v>
      </c>
      <c r="J4690">
        <v>-156</v>
      </c>
      <c r="K4690">
        <v>-128</v>
      </c>
      <c r="L4690">
        <v>1200</v>
      </c>
      <c r="M4690" t="str">
        <f t="shared" si="457"/>
        <v xml:space="preserve">N35DC   </v>
      </c>
      <c r="N4690">
        <v>1</v>
      </c>
      <c r="O4690">
        <v>1425</v>
      </c>
    </row>
    <row r="4691" spans="1:15" x14ac:dyDescent="0.25">
      <c r="A4691" t="str">
        <f>"10/21/2020 18:48:23.580"</f>
        <v>10/21/2020 18:48:23.580</v>
      </c>
      <c r="B4691" t="str">
        <f>"18:48:31.500"</f>
        <v>18:48:31.500</v>
      </c>
      <c r="C4691" t="str">
        <f>"18:48:31.100"</f>
        <v>18:48:31.100</v>
      </c>
      <c r="D4691" t="s">
        <v>1947</v>
      </c>
      <c r="E4691">
        <v>30.927994000000002</v>
      </c>
      <c r="F4691" t="s">
        <v>1934</v>
      </c>
      <c r="G4691">
        <v>-89.858228999999994</v>
      </c>
      <c r="H4691">
        <v>1400</v>
      </c>
      <c r="I4691">
        <v>-3</v>
      </c>
      <c r="J4691">
        <v>-156</v>
      </c>
      <c r="K4691">
        <v>-128</v>
      </c>
      <c r="L4691">
        <v>1200</v>
      </c>
      <c r="M4691" t="str">
        <f t="shared" si="457"/>
        <v xml:space="preserve">N35DC   </v>
      </c>
      <c r="N4691">
        <v>1</v>
      </c>
      <c r="O4691">
        <v>1425</v>
      </c>
    </row>
    <row r="4692" spans="1:15" x14ac:dyDescent="0.25">
      <c r="A4692" t="str">
        <f>"10/21/2020 18:48:26.368"</f>
        <v>10/21/2020 18:48:26.368</v>
      </c>
      <c r="B4692" t="str">
        <f>"18:48:34.320"</f>
        <v>18:48:34.320</v>
      </c>
      <c r="C4692" t="str">
        <f>"18:48:34.220"</f>
        <v>18:48:34.220</v>
      </c>
      <c r="D4692" t="s">
        <v>1948</v>
      </c>
      <c r="E4692">
        <v>30.925999000000001</v>
      </c>
      <c r="F4692" t="s">
        <v>1949</v>
      </c>
      <c r="G4692">
        <v>-89.858271999999999</v>
      </c>
      <c r="H4692">
        <v>1300</v>
      </c>
      <c r="I4692">
        <v>-4</v>
      </c>
      <c r="J4692">
        <v>-155</v>
      </c>
      <c r="K4692">
        <v>-384</v>
      </c>
      <c r="L4692">
        <v>1200</v>
      </c>
      <c r="M4692" t="str">
        <f t="shared" si="457"/>
        <v xml:space="preserve">N35DC   </v>
      </c>
      <c r="N4692">
        <v>1</v>
      </c>
      <c r="O4692">
        <v>1400</v>
      </c>
    </row>
    <row r="4693" spans="1:15" x14ac:dyDescent="0.25">
      <c r="A4693" t="str">
        <f>"10/21/2020 18:48:26.368"</f>
        <v>10/21/2020 18:48:26.368</v>
      </c>
      <c r="B4693" t="str">
        <f>"18:48:34.320"</f>
        <v>18:48:34.320</v>
      </c>
      <c r="C4693" t="str">
        <f>"18:48:34.220"</f>
        <v>18:48:34.220</v>
      </c>
      <c r="D4693" t="s">
        <v>1948</v>
      </c>
      <c r="E4693">
        <v>30.925999000000001</v>
      </c>
      <c r="F4693" t="s">
        <v>1949</v>
      </c>
      <c r="G4693">
        <v>-89.858271999999999</v>
      </c>
      <c r="H4693">
        <v>1300</v>
      </c>
      <c r="I4693">
        <v>-4</v>
      </c>
      <c r="J4693">
        <v>-155</v>
      </c>
      <c r="K4693">
        <v>-384</v>
      </c>
      <c r="L4693">
        <v>1200</v>
      </c>
      <c r="M4693" t="str">
        <f t="shared" si="457"/>
        <v xml:space="preserve">N35DC   </v>
      </c>
      <c r="N4693">
        <v>1</v>
      </c>
      <c r="O4693">
        <v>1400</v>
      </c>
    </row>
    <row r="4694" spans="1:15" x14ac:dyDescent="0.25">
      <c r="A4694" t="str">
        <f>"10/21/2020 18:48:26.368"</f>
        <v>10/21/2020 18:48:26.368</v>
      </c>
      <c r="B4694" t="str">
        <f>"18:48:34.320"</f>
        <v>18:48:34.320</v>
      </c>
      <c r="C4694" t="str">
        <f>"18:48:34.220"</f>
        <v>18:48:34.220</v>
      </c>
      <c r="D4694" t="s">
        <v>1948</v>
      </c>
      <c r="E4694">
        <v>30.925999000000001</v>
      </c>
      <c r="F4694" t="s">
        <v>1949</v>
      </c>
      <c r="G4694">
        <v>-89.858271999999999</v>
      </c>
      <c r="H4694">
        <v>1300</v>
      </c>
      <c r="I4694">
        <v>-4</v>
      </c>
      <c r="J4694">
        <v>-155</v>
      </c>
      <c r="K4694">
        <v>-384</v>
      </c>
      <c r="L4694">
        <v>1200</v>
      </c>
      <c r="M4694" t="str">
        <f t="shared" si="457"/>
        <v xml:space="preserve">N35DC   </v>
      </c>
      <c r="N4694">
        <v>1</v>
      </c>
      <c r="O4694">
        <v>1400</v>
      </c>
    </row>
    <row r="4695" spans="1:15" x14ac:dyDescent="0.25">
      <c r="A4695" t="str">
        <f>"10/21/2020 18:48:26.368"</f>
        <v>10/21/2020 18:48:26.368</v>
      </c>
      <c r="B4695" t="str">
        <f>"18:48:34.320"</f>
        <v>18:48:34.320</v>
      </c>
      <c r="C4695" t="str">
        <f>"18:48:34.220"</f>
        <v>18:48:34.220</v>
      </c>
      <c r="D4695" t="s">
        <v>1948</v>
      </c>
      <c r="E4695">
        <v>30.925999000000001</v>
      </c>
      <c r="F4695" t="s">
        <v>1949</v>
      </c>
      <c r="G4695">
        <v>-89.858271999999999</v>
      </c>
      <c r="H4695">
        <v>1300</v>
      </c>
      <c r="I4695">
        <v>-4</v>
      </c>
      <c r="J4695">
        <v>-155</v>
      </c>
      <c r="K4695">
        <v>-384</v>
      </c>
      <c r="L4695">
        <v>1200</v>
      </c>
      <c r="M4695" t="str">
        <f t="shared" si="457"/>
        <v xml:space="preserve">N35DC   </v>
      </c>
      <c r="N4695">
        <v>1</v>
      </c>
      <c r="O4695">
        <v>1400</v>
      </c>
    </row>
    <row r="4696" spans="1:15" x14ac:dyDescent="0.25">
      <c r="A4696" t="str">
        <f>"10/21/2020 18:48:26.368"</f>
        <v>10/21/2020 18:48:26.368</v>
      </c>
      <c r="B4696" t="str">
        <f>"18:48:34.320"</f>
        <v>18:48:34.320</v>
      </c>
      <c r="C4696" t="str">
        <f>"18:48:34.220"</f>
        <v>18:48:34.220</v>
      </c>
      <c r="D4696" t="s">
        <v>1948</v>
      </c>
      <c r="E4696">
        <v>30.925999000000001</v>
      </c>
      <c r="F4696" t="s">
        <v>1949</v>
      </c>
      <c r="G4696">
        <v>-89.858271999999999</v>
      </c>
      <c r="H4696">
        <v>1300</v>
      </c>
      <c r="I4696">
        <v>-4</v>
      </c>
      <c r="J4696">
        <v>-155</v>
      </c>
      <c r="K4696">
        <v>-384</v>
      </c>
      <c r="L4696">
        <v>1200</v>
      </c>
      <c r="M4696" t="str">
        <f t="shared" si="457"/>
        <v xml:space="preserve">N35DC   </v>
      </c>
      <c r="N4696">
        <v>1</v>
      </c>
      <c r="O4696">
        <v>1400</v>
      </c>
    </row>
    <row r="4697" spans="1:15" x14ac:dyDescent="0.25">
      <c r="A4697" t="str">
        <f>"10/21/2020 18:48:26.925"</f>
        <v>10/21/2020 18:48:26.925</v>
      </c>
      <c r="B4697" t="str">
        <f>"18:48:34.859"</f>
        <v>18:48:34.859</v>
      </c>
      <c r="C4697" t="str">
        <f>"18:48:34.759"</f>
        <v>18:48:34.759</v>
      </c>
      <c r="D4697" t="s">
        <v>1950</v>
      </c>
      <c r="E4697">
        <v>30.925591000000001</v>
      </c>
      <c r="F4697" t="s">
        <v>1550</v>
      </c>
      <c r="G4697">
        <v>-89.858250999999996</v>
      </c>
      <c r="H4697">
        <v>1300</v>
      </c>
      <c r="I4697">
        <v>-5</v>
      </c>
      <c r="J4697">
        <v>-155</v>
      </c>
      <c r="K4697">
        <v>-320</v>
      </c>
      <c r="L4697">
        <v>1200</v>
      </c>
      <c r="M4697" t="str">
        <f t="shared" si="457"/>
        <v xml:space="preserve">N35DC   </v>
      </c>
      <c r="N4697">
        <v>1</v>
      </c>
      <c r="O4697">
        <v>1400</v>
      </c>
    </row>
    <row r="4698" spans="1:15" x14ac:dyDescent="0.25">
      <c r="A4698" t="str">
        <f>"10/21/2020 18:48:27.348"</f>
        <v>10/21/2020 18:48:27.348</v>
      </c>
      <c r="B4698" t="str">
        <f>"18:48:35.313"</f>
        <v>18:48:35.313</v>
      </c>
      <c r="C4698" t="str">
        <f>"18:48:35.113"</f>
        <v>18:48:35.113</v>
      </c>
      <c r="D4698" t="s">
        <v>1951</v>
      </c>
      <c r="E4698">
        <v>30.925269</v>
      </c>
      <c r="F4698" t="s">
        <v>1550</v>
      </c>
      <c r="G4698">
        <v>-89.858250999999996</v>
      </c>
      <c r="H4698">
        <v>1300</v>
      </c>
      <c r="I4698">
        <v>-4</v>
      </c>
      <c r="J4698">
        <v>-155</v>
      </c>
      <c r="K4698">
        <v>-192</v>
      </c>
      <c r="L4698">
        <v>1200</v>
      </c>
      <c r="M4698" t="str">
        <f t="shared" si="457"/>
        <v xml:space="preserve">N35DC   </v>
      </c>
      <c r="N4698">
        <v>1</v>
      </c>
      <c r="O4698">
        <v>1400</v>
      </c>
    </row>
    <row r="4699" spans="1:15" x14ac:dyDescent="0.25">
      <c r="A4699" t="str">
        <f>"10/21/2020 18:48:27.348"</f>
        <v>10/21/2020 18:48:27.348</v>
      </c>
      <c r="B4699" t="str">
        <f>"18:48:35.313"</f>
        <v>18:48:35.313</v>
      </c>
      <c r="C4699" t="str">
        <f>"18:48:35.113"</f>
        <v>18:48:35.113</v>
      </c>
      <c r="D4699" t="s">
        <v>1951</v>
      </c>
      <c r="E4699">
        <v>30.925269</v>
      </c>
      <c r="F4699" t="s">
        <v>1550</v>
      </c>
      <c r="G4699">
        <v>-89.858250999999996</v>
      </c>
      <c r="H4699">
        <v>1300</v>
      </c>
      <c r="I4699">
        <v>-4</v>
      </c>
      <c r="J4699">
        <v>-155</v>
      </c>
      <c r="K4699">
        <v>-192</v>
      </c>
      <c r="L4699">
        <v>1200</v>
      </c>
      <c r="M4699" t="str">
        <f t="shared" si="457"/>
        <v xml:space="preserve">N35DC   </v>
      </c>
      <c r="N4699">
        <v>1</v>
      </c>
      <c r="O4699">
        <v>1400</v>
      </c>
    </row>
    <row r="4700" spans="1:15" x14ac:dyDescent="0.25">
      <c r="A4700" t="str">
        <f>"10/21/2020 18:48:27.348"</f>
        <v>10/21/2020 18:48:27.348</v>
      </c>
      <c r="B4700" t="str">
        <f>"18:48:35.313"</f>
        <v>18:48:35.313</v>
      </c>
      <c r="C4700" t="str">
        <f>"18:48:35.113"</f>
        <v>18:48:35.113</v>
      </c>
      <c r="D4700" t="s">
        <v>1951</v>
      </c>
      <c r="E4700">
        <v>30.925269</v>
      </c>
      <c r="F4700" t="s">
        <v>1550</v>
      </c>
      <c r="G4700">
        <v>-89.858250999999996</v>
      </c>
      <c r="H4700">
        <v>1300</v>
      </c>
      <c r="I4700">
        <v>-4</v>
      </c>
      <c r="J4700">
        <v>-155</v>
      </c>
      <c r="K4700">
        <v>-192</v>
      </c>
      <c r="L4700">
        <v>1200</v>
      </c>
      <c r="M4700" t="str">
        <f t="shared" si="457"/>
        <v xml:space="preserve">N35DC   </v>
      </c>
      <c r="N4700">
        <v>1</v>
      </c>
      <c r="O4700">
        <v>1400</v>
      </c>
    </row>
    <row r="4701" spans="1:15" x14ac:dyDescent="0.25">
      <c r="A4701" t="str">
        <f>"10/21/2020 18:48:27.348"</f>
        <v>10/21/2020 18:48:27.348</v>
      </c>
      <c r="B4701" t="str">
        <f>"18:48:35.313"</f>
        <v>18:48:35.313</v>
      </c>
      <c r="C4701" t="str">
        <f>"18:48:35.113"</f>
        <v>18:48:35.113</v>
      </c>
      <c r="D4701" t="s">
        <v>1951</v>
      </c>
      <c r="E4701">
        <v>30.925269</v>
      </c>
      <c r="F4701" t="s">
        <v>1550</v>
      </c>
      <c r="G4701">
        <v>-89.858250999999996</v>
      </c>
      <c r="H4701">
        <v>1300</v>
      </c>
      <c r="I4701">
        <v>-4</v>
      </c>
      <c r="J4701">
        <v>-155</v>
      </c>
      <c r="K4701">
        <v>-192</v>
      </c>
      <c r="L4701">
        <v>1200</v>
      </c>
      <c r="M4701" t="str">
        <f t="shared" si="457"/>
        <v xml:space="preserve">N35DC   </v>
      </c>
      <c r="N4701">
        <v>1</v>
      </c>
      <c r="O4701">
        <v>1400</v>
      </c>
    </row>
    <row r="4702" spans="1:15" x14ac:dyDescent="0.25">
      <c r="A4702" t="str">
        <f>"10/21/2020 18:48:27.348"</f>
        <v>10/21/2020 18:48:27.348</v>
      </c>
      <c r="B4702" t="str">
        <f>"18:48:35.313"</f>
        <v>18:48:35.313</v>
      </c>
      <c r="C4702" t="str">
        <f>"18:48:35.113"</f>
        <v>18:48:35.113</v>
      </c>
      <c r="D4702" t="s">
        <v>1951</v>
      </c>
      <c r="E4702">
        <v>30.925269</v>
      </c>
      <c r="F4702" t="s">
        <v>1550</v>
      </c>
      <c r="G4702">
        <v>-89.858250999999996</v>
      </c>
      <c r="H4702">
        <v>1300</v>
      </c>
      <c r="I4702">
        <v>-4</v>
      </c>
      <c r="J4702">
        <v>-155</v>
      </c>
      <c r="K4702">
        <v>-192</v>
      </c>
      <c r="L4702">
        <v>1200</v>
      </c>
      <c r="M4702" t="str">
        <f t="shared" si="457"/>
        <v xml:space="preserve">N35DC   </v>
      </c>
      <c r="N4702">
        <v>1</v>
      </c>
      <c r="O4702">
        <v>1400</v>
      </c>
    </row>
    <row r="4703" spans="1:15" x14ac:dyDescent="0.25">
      <c r="A4703" t="str">
        <f>"10/21/2020 18:48:30.530"</f>
        <v>10/21/2020 18:48:30.530</v>
      </c>
      <c r="B4703" t="str">
        <f>"18:48:38.445"</f>
        <v>18:48:38.445</v>
      </c>
      <c r="C4703" t="str">
        <f>"18:48:38.145"</f>
        <v>18:48:38.145</v>
      </c>
      <c r="D4703" t="s">
        <v>1952</v>
      </c>
      <c r="E4703">
        <v>30.923037999999998</v>
      </c>
      <c r="F4703" t="s">
        <v>1953</v>
      </c>
      <c r="G4703">
        <v>-89.858357999999996</v>
      </c>
      <c r="H4703">
        <v>1300</v>
      </c>
      <c r="I4703">
        <v>-5</v>
      </c>
      <c r="J4703">
        <v>-153</v>
      </c>
      <c r="K4703">
        <v>-64</v>
      </c>
      <c r="L4703">
        <v>1200</v>
      </c>
      <c r="M4703" t="str">
        <f t="shared" si="457"/>
        <v xml:space="preserve">N35DC   </v>
      </c>
      <c r="N4703">
        <v>1</v>
      </c>
      <c r="O4703">
        <v>1400</v>
      </c>
    </row>
    <row r="4704" spans="1:15" x14ac:dyDescent="0.25">
      <c r="A4704" t="str">
        <f>"10/21/2020 18:48:30.530"</f>
        <v>10/21/2020 18:48:30.530</v>
      </c>
      <c r="B4704" t="str">
        <f>"18:48:38.445"</f>
        <v>18:48:38.445</v>
      </c>
      <c r="C4704" t="str">
        <f>"18:48:38.145"</f>
        <v>18:48:38.145</v>
      </c>
      <c r="D4704" t="s">
        <v>1952</v>
      </c>
      <c r="E4704">
        <v>30.923037999999998</v>
      </c>
      <c r="F4704" t="s">
        <v>1953</v>
      </c>
      <c r="G4704">
        <v>-89.858357999999996</v>
      </c>
      <c r="H4704">
        <v>1300</v>
      </c>
      <c r="I4704">
        <v>-5</v>
      </c>
      <c r="J4704">
        <v>-153</v>
      </c>
      <c r="K4704">
        <v>-64</v>
      </c>
      <c r="L4704">
        <v>1200</v>
      </c>
      <c r="M4704" t="str">
        <f t="shared" si="457"/>
        <v xml:space="preserve">N35DC   </v>
      </c>
      <c r="N4704">
        <v>1</v>
      </c>
      <c r="O4704">
        <v>1400</v>
      </c>
    </row>
    <row r="4705" spans="1:15" x14ac:dyDescent="0.25">
      <c r="A4705" t="str">
        <f>"10/21/2020 18:48:30.530"</f>
        <v>10/21/2020 18:48:30.530</v>
      </c>
      <c r="B4705" t="str">
        <f>"18:48:38.445"</f>
        <v>18:48:38.445</v>
      </c>
      <c r="C4705" t="str">
        <f>"18:48:38.145"</f>
        <v>18:48:38.145</v>
      </c>
      <c r="D4705" t="s">
        <v>1952</v>
      </c>
      <c r="E4705">
        <v>30.923037999999998</v>
      </c>
      <c r="F4705" t="s">
        <v>1953</v>
      </c>
      <c r="G4705">
        <v>-89.858357999999996</v>
      </c>
      <c r="H4705">
        <v>1300</v>
      </c>
      <c r="I4705">
        <v>-5</v>
      </c>
      <c r="J4705">
        <v>-153</v>
      </c>
      <c r="K4705">
        <v>-64</v>
      </c>
      <c r="L4705">
        <v>1200</v>
      </c>
      <c r="M4705" t="str">
        <f t="shared" si="457"/>
        <v xml:space="preserve">N35DC   </v>
      </c>
      <c r="N4705">
        <v>1</v>
      </c>
      <c r="O4705">
        <v>1400</v>
      </c>
    </row>
    <row r="4706" spans="1:15" x14ac:dyDescent="0.25">
      <c r="A4706" t="str">
        <f>"10/21/2020 18:48:30.530"</f>
        <v>10/21/2020 18:48:30.530</v>
      </c>
      <c r="B4706" t="str">
        <f>"18:48:38.445"</f>
        <v>18:48:38.445</v>
      </c>
      <c r="C4706" t="str">
        <f>"18:48:38.145"</f>
        <v>18:48:38.145</v>
      </c>
      <c r="D4706" t="s">
        <v>1952</v>
      </c>
      <c r="E4706">
        <v>30.923037999999998</v>
      </c>
      <c r="F4706" t="s">
        <v>1953</v>
      </c>
      <c r="G4706">
        <v>-89.858357999999996</v>
      </c>
      <c r="H4706">
        <v>1300</v>
      </c>
      <c r="I4706">
        <v>-5</v>
      </c>
      <c r="J4706">
        <v>-153</v>
      </c>
      <c r="K4706">
        <v>-64</v>
      </c>
      <c r="L4706">
        <v>1200</v>
      </c>
      <c r="M4706" t="str">
        <f t="shared" si="457"/>
        <v xml:space="preserve">N35DC   </v>
      </c>
      <c r="N4706">
        <v>1</v>
      </c>
      <c r="O4706">
        <v>1400</v>
      </c>
    </row>
    <row r="4707" spans="1:15" x14ac:dyDescent="0.25">
      <c r="A4707" t="str">
        <f>"10/21/2020 18:48:30.530"</f>
        <v>10/21/2020 18:48:30.530</v>
      </c>
      <c r="B4707" t="str">
        <f>"18:48:38.445"</f>
        <v>18:48:38.445</v>
      </c>
      <c r="C4707" t="str">
        <f>"18:48:38.145"</f>
        <v>18:48:38.145</v>
      </c>
      <c r="D4707" t="s">
        <v>1952</v>
      </c>
      <c r="E4707">
        <v>30.923037999999998</v>
      </c>
      <c r="F4707" t="s">
        <v>1953</v>
      </c>
      <c r="G4707">
        <v>-89.858357999999996</v>
      </c>
      <c r="H4707">
        <v>1300</v>
      </c>
      <c r="I4707">
        <v>-5</v>
      </c>
      <c r="J4707">
        <v>-153</v>
      </c>
      <c r="K4707">
        <v>-64</v>
      </c>
      <c r="L4707">
        <v>1200</v>
      </c>
      <c r="M4707" t="str">
        <f t="shared" si="457"/>
        <v xml:space="preserve">N35DC   </v>
      </c>
      <c r="N4707">
        <v>1</v>
      </c>
      <c r="O4707">
        <v>1400</v>
      </c>
    </row>
    <row r="4708" spans="1:15" x14ac:dyDescent="0.25">
      <c r="A4708" t="str">
        <f>"10/21/2020 18:48:30.994"</f>
        <v>10/21/2020 18:48:30.994</v>
      </c>
      <c r="B4708" t="str">
        <f>"18:48:38.922"</f>
        <v>18:48:38.922</v>
      </c>
      <c r="C4708" t="str">
        <f>"18:48:38.722"</f>
        <v>18:48:38.722</v>
      </c>
      <c r="D4708" t="s">
        <v>1954</v>
      </c>
      <c r="E4708">
        <v>30.922716000000001</v>
      </c>
      <c r="F4708" t="s">
        <v>1955</v>
      </c>
      <c r="G4708">
        <v>-89.858422000000004</v>
      </c>
      <c r="H4708">
        <v>1300</v>
      </c>
      <c r="I4708">
        <v>-5</v>
      </c>
      <c r="J4708">
        <v>-153</v>
      </c>
      <c r="K4708">
        <v>0</v>
      </c>
      <c r="L4708">
        <v>1200</v>
      </c>
      <c r="M4708" t="str">
        <f t="shared" si="457"/>
        <v xml:space="preserve">N35DC   </v>
      </c>
      <c r="N4708">
        <v>1</v>
      </c>
      <c r="O4708">
        <v>1400</v>
      </c>
    </row>
    <row r="4709" spans="1:15" x14ac:dyDescent="0.25">
      <c r="A4709" t="str">
        <f>"10/21/2020 18:48:31.592"</f>
        <v>10/21/2020 18:48:31.592</v>
      </c>
      <c r="B4709" t="str">
        <f>"18:48:39.508"</f>
        <v>18:48:39.508</v>
      </c>
      <c r="C4709" t="str">
        <f>"18:48:39.308"</f>
        <v>18:48:39.308</v>
      </c>
      <c r="D4709" t="s">
        <v>1956</v>
      </c>
      <c r="E4709">
        <v>30.922287000000001</v>
      </c>
      <c r="F4709" t="s">
        <v>1957</v>
      </c>
      <c r="G4709">
        <v>-89.858378999999999</v>
      </c>
      <c r="H4709">
        <v>1300</v>
      </c>
      <c r="I4709">
        <v>-6</v>
      </c>
      <c r="J4709">
        <v>-153</v>
      </c>
      <c r="K4709">
        <v>0</v>
      </c>
      <c r="L4709">
        <v>1200</v>
      </c>
      <c r="M4709" t="str">
        <f t="shared" si="457"/>
        <v xml:space="preserve">N35DC   </v>
      </c>
      <c r="N4709">
        <v>1</v>
      </c>
      <c r="O4709">
        <v>1400</v>
      </c>
    </row>
    <row r="4710" spans="1:15" x14ac:dyDescent="0.25">
      <c r="A4710" t="str">
        <f>"10/21/2020 18:48:31.592"</f>
        <v>10/21/2020 18:48:31.592</v>
      </c>
      <c r="B4710" t="str">
        <f>"18:48:39.508"</f>
        <v>18:48:39.508</v>
      </c>
      <c r="C4710" t="str">
        <f>"18:48:39.308"</f>
        <v>18:48:39.308</v>
      </c>
      <c r="D4710" t="s">
        <v>1956</v>
      </c>
      <c r="E4710">
        <v>30.922287000000001</v>
      </c>
      <c r="F4710" t="s">
        <v>1957</v>
      </c>
      <c r="G4710">
        <v>-89.858378999999999</v>
      </c>
      <c r="H4710">
        <v>1300</v>
      </c>
      <c r="I4710">
        <v>-6</v>
      </c>
      <c r="J4710">
        <v>-153</v>
      </c>
      <c r="K4710">
        <v>0</v>
      </c>
      <c r="L4710">
        <v>1200</v>
      </c>
      <c r="M4710" t="str">
        <f t="shared" si="457"/>
        <v xml:space="preserve">N35DC   </v>
      </c>
      <c r="N4710">
        <v>1</v>
      </c>
      <c r="O4710">
        <v>1400</v>
      </c>
    </row>
    <row r="4711" spans="1:15" x14ac:dyDescent="0.25">
      <c r="A4711" t="str">
        <f>"10/21/2020 18:48:31.592"</f>
        <v>10/21/2020 18:48:31.592</v>
      </c>
      <c r="B4711" t="str">
        <f>"18:48:39.508"</f>
        <v>18:48:39.508</v>
      </c>
      <c r="C4711" t="str">
        <f>"18:48:39.308"</f>
        <v>18:48:39.308</v>
      </c>
      <c r="D4711" t="s">
        <v>1956</v>
      </c>
      <c r="E4711">
        <v>30.922287000000001</v>
      </c>
      <c r="F4711" t="s">
        <v>1957</v>
      </c>
      <c r="G4711">
        <v>-89.858378999999999</v>
      </c>
      <c r="H4711">
        <v>1300</v>
      </c>
      <c r="I4711">
        <v>-6</v>
      </c>
      <c r="J4711">
        <v>-153</v>
      </c>
      <c r="K4711">
        <v>0</v>
      </c>
      <c r="L4711">
        <v>1200</v>
      </c>
      <c r="M4711" t="str">
        <f t="shared" si="457"/>
        <v xml:space="preserve">N35DC   </v>
      </c>
      <c r="N4711">
        <v>1</v>
      </c>
      <c r="O4711">
        <v>1400</v>
      </c>
    </row>
    <row r="4712" spans="1:15" x14ac:dyDescent="0.25">
      <c r="A4712" t="str">
        <f>"10/21/2020 18:48:31.592"</f>
        <v>10/21/2020 18:48:31.592</v>
      </c>
      <c r="B4712" t="str">
        <f>"18:48:39.508"</f>
        <v>18:48:39.508</v>
      </c>
      <c r="C4712" t="str">
        <f>"18:48:39.308"</f>
        <v>18:48:39.308</v>
      </c>
      <c r="D4712" t="s">
        <v>1956</v>
      </c>
      <c r="E4712">
        <v>30.922287000000001</v>
      </c>
      <c r="F4712" t="s">
        <v>1957</v>
      </c>
      <c r="G4712">
        <v>-89.858378999999999</v>
      </c>
      <c r="H4712">
        <v>1300</v>
      </c>
      <c r="I4712">
        <v>-6</v>
      </c>
      <c r="J4712">
        <v>-153</v>
      </c>
      <c r="K4712">
        <v>0</v>
      </c>
      <c r="L4712">
        <v>1200</v>
      </c>
      <c r="M4712" t="str">
        <f t="shared" si="457"/>
        <v xml:space="preserve">N35DC   </v>
      </c>
      <c r="N4712">
        <v>1</v>
      </c>
      <c r="O4712">
        <v>1400</v>
      </c>
    </row>
    <row r="4713" spans="1:15" x14ac:dyDescent="0.25">
      <c r="A4713" t="str">
        <f>"10/21/2020 18:48:31.592"</f>
        <v>10/21/2020 18:48:31.592</v>
      </c>
      <c r="B4713" t="str">
        <f>"18:48:39.508"</f>
        <v>18:48:39.508</v>
      </c>
      <c r="C4713" t="str">
        <f>"18:48:39.308"</f>
        <v>18:48:39.308</v>
      </c>
      <c r="D4713" t="s">
        <v>1956</v>
      </c>
      <c r="E4713">
        <v>30.922287000000001</v>
      </c>
      <c r="F4713" t="s">
        <v>1957</v>
      </c>
      <c r="G4713">
        <v>-89.858378999999999</v>
      </c>
      <c r="H4713">
        <v>1300</v>
      </c>
      <c r="I4713">
        <v>-6</v>
      </c>
      <c r="J4713">
        <v>-153</v>
      </c>
      <c r="K4713">
        <v>0</v>
      </c>
      <c r="L4713">
        <v>1200</v>
      </c>
      <c r="M4713" t="str">
        <f t="shared" si="457"/>
        <v xml:space="preserve">N35DC   </v>
      </c>
      <c r="N4713">
        <v>1</v>
      </c>
      <c r="O4713">
        <v>1400</v>
      </c>
    </row>
    <row r="4714" spans="1:15" x14ac:dyDescent="0.25">
      <c r="A4714" t="str">
        <f>"10/21/2020 18:48:34.528"</f>
        <v>10/21/2020 18:48:34.528</v>
      </c>
      <c r="B4714" t="str">
        <f>"18:48:42.445"</f>
        <v>18:48:42.445</v>
      </c>
      <c r="C4714" t="str">
        <f>"18:48:42.245"</f>
        <v>18:48:42.245</v>
      </c>
      <c r="D4714" t="s">
        <v>1958</v>
      </c>
      <c r="E4714">
        <v>30.920204999999999</v>
      </c>
      <c r="F4714" t="s">
        <v>1959</v>
      </c>
      <c r="G4714">
        <v>-89.858530000000002</v>
      </c>
      <c r="H4714">
        <v>1300</v>
      </c>
      <c r="I4714">
        <v>-9</v>
      </c>
      <c r="J4714">
        <v>-153</v>
      </c>
      <c r="K4714">
        <v>-192</v>
      </c>
      <c r="L4714">
        <v>1200</v>
      </c>
      <c r="M4714" t="str">
        <f t="shared" si="457"/>
        <v xml:space="preserve">N35DC   </v>
      </c>
      <c r="N4714">
        <v>1</v>
      </c>
      <c r="O4714">
        <v>1400</v>
      </c>
    </row>
    <row r="4715" spans="1:15" x14ac:dyDescent="0.25">
      <c r="A4715" t="str">
        <f>"10/21/2020 18:48:34.528"</f>
        <v>10/21/2020 18:48:34.528</v>
      </c>
      <c r="B4715" t="str">
        <f>"18:48:42.445"</f>
        <v>18:48:42.445</v>
      </c>
      <c r="C4715" t="str">
        <f>"18:48:42.245"</f>
        <v>18:48:42.245</v>
      </c>
      <c r="D4715" t="s">
        <v>1958</v>
      </c>
      <c r="E4715">
        <v>30.920204999999999</v>
      </c>
      <c r="F4715" t="s">
        <v>1959</v>
      </c>
      <c r="G4715">
        <v>-89.858530000000002</v>
      </c>
      <c r="H4715">
        <v>1300</v>
      </c>
      <c r="I4715">
        <v>-9</v>
      </c>
      <c r="J4715">
        <v>-153</v>
      </c>
      <c r="K4715">
        <v>-192</v>
      </c>
      <c r="L4715">
        <v>1200</v>
      </c>
      <c r="M4715" t="str">
        <f t="shared" si="457"/>
        <v xml:space="preserve">N35DC   </v>
      </c>
      <c r="N4715">
        <v>1</v>
      </c>
      <c r="O4715">
        <v>1400</v>
      </c>
    </row>
    <row r="4716" spans="1:15" x14ac:dyDescent="0.25">
      <c r="A4716" t="str">
        <f>"10/21/2020 18:48:34.528"</f>
        <v>10/21/2020 18:48:34.528</v>
      </c>
      <c r="B4716" t="str">
        <f>"18:48:42.445"</f>
        <v>18:48:42.445</v>
      </c>
      <c r="C4716" t="str">
        <f>"18:48:42.245"</f>
        <v>18:48:42.245</v>
      </c>
      <c r="D4716" t="s">
        <v>1958</v>
      </c>
      <c r="E4716">
        <v>30.920204999999999</v>
      </c>
      <c r="F4716" t="s">
        <v>1959</v>
      </c>
      <c r="G4716">
        <v>-89.858530000000002</v>
      </c>
      <c r="H4716">
        <v>1300</v>
      </c>
      <c r="I4716">
        <v>-9</v>
      </c>
      <c r="J4716">
        <v>-153</v>
      </c>
      <c r="K4716">
        <v>-192</v>
      </c>
      <c r="L4716">
        <v>1200</v>
      </c>
      <c r="M4716" t="str">
        <f t="shared" si="457"/>
        <v xml:space="preserve">N35DC   </v>
      </c>
      <c r="N4716">
        <v>1</v>
      </c>
      <c r="O4716">
        <v>1400</v>
      </c>
    </row>
    <row r="4717" spans="1:15" x14ac:dyDescent="0.25">
      <c r="A4717" t="str">
        <f>"10/21/2020 18:48:34.528"</f>
        <v>10/21/2020 18:48:34.528</v>
      </c>
      <c r="B4717" t="str">
        <f>"18:48:42.445"</f>
        <v>18:48:42.445</v>
      </c>
      <c r="C4717" t="str">
        <f>"18:48:42.245"</f>
        <v>18:48:42.245</v>
      </c>
      <c r="D4717" t="s">
        <v>1958</v>
      </c>
      <c r="E4717">
        <v>30.920204999999999</v>
      </c>
      <c r="F4717" t="s">
        <v>1959</v>
      </c>
      <c r="G4717">
        <v>-89.858530000000002</v>
      </c>
      <c r="H4717">
        <v>1300</v>
      </c>
      <c r="I4717">
        <v>-9</v>
      </c>
      <c r="J4717">
        <v>-153</v>
      </c>
      <c r="K4717">
        <v>-192</v>
      </c>
      <c r="L4717">
        <v>1200</v>
      </c>
      <c r="M4717" t="str">
        <f t="shared" si="457"/>
        <v xml:space="preserve">N35DC   </v>
      </c>
      <c r="N4717">
        <v>1</v>
      </c>
      <c r="O4717">
        <v>1400</v>
      </c>
    </row>
    <row r="4718" spans="1:15" x14ac:dyDescent="0.25">
      <c r="A4718" t="str">
        <f>"10/21/2020 18:48:34.528"</f>
        <v>10/21/2020 18:48:34.528</v>
      </c>
      <c r="B4718" t="str">
        <f>"18:48:42.445"</f>
        <v>18:48:42.445</v>
      </c>
      <c r="C4718" t="str">
        <f>"18:48:42.245"</f>
        <v>18:48:42.245</v>
      </c>
      <c r="D4718" t="s">
        <v>1958</v>
      </c>
      <c r="E4718">
        <v>30.920204999999999</v>
      </c>
      <c r="F4718" t="s">
        <v>1959</v>
      </c>
      <c r="G4718">
        <v>-89.858530000000002</v>
      </c>
      <c r="H4718">
        <v>1300</v>
      </c>
      <c r="I4718">
        <v>-9</v>
      </c>
      <c r="J4718">
        <v>-153</v>
      </c>
      <c r="K4718">
        <v>-192</v>
      </c>
      <c r="L4718">
        <v>1200</v>
      </c>
      <c r="M4718" t="str">
        <f t="shared" si="457"/>
        <v xml:space="preserve">N35DC   </v>
      </c>
      <c r="N4718">
        <v>1</v>
      </c>
      <c r="O4718">
        <v>1400</v>
      </c>
    </row>
    <row r="4719" spans="1:15" x14ac:dyDescent="0.25">
      <c r="A4719" t="str">
        <f>"10/21/2020 18:48:34.913"</f>
        <v>10/21/2020 18:48:34.913</v>
      </c>
      <c r="B4719" t="str">
        <f>"18:48:42.852"</f>
        <v>18:48:42.852</v>
      </c>
      <c r="C4719" t="str">
        <f>"18:48:42.752"</f>
        <v>18:48:42.752</v>
      </c>
      <c r="D4719" t="s">
        <v>1960</v>
      </c>
      <c r="E4719">
        <v>30.919926</v>
      </c>
      <c r="F4719" t="s">
        <v>1959</v>
      </c>
      <c r="G4719">
        <v>-89.858530000000002</v>
      </c>
      <c r="H4719">
        <v>1300</v>
      </c>
      <c r="I4719">
        <v>-10</v>
      </c>
      <c r="J4719">
        <v>-153</v>
      </c>
      <c r="K4719">
        <v>-256</v>
      </c>
      <c r="L4719">
        <v>1200</v>
      </c>
      <c r="M4719" t="str">
        <f t="shared" si="457"/>
        <v xml:space="preserve">N35DC   </v>
      </c>
      <c r="N4719">
        <v>1</v>
      </c>
      <c r="O4719">
        <v>1400</v>
      </c>
    </row>
    <row r="4720" spans="1:15" x14ac:dyDescent="0.25">
      <c r="A4720" t="str">
        <f>"10/21/2020 18:48:35.439"</f>
        <v>10/21/2020 18:48:35.439</v>
      </c>
      <c r="B4720" t="str">
        <f>"18:48:43.391"</f>
        <v>18:48:43.391</v>
      </c>
      <c r="C4720" t="str">
        <f>"18:48:43.191"</f>
        <v>18:48:43.191</v>
      </c>
      <c r="D4720" t="s">
        <v>1961</v>
      </c>
      <c r="E4720">
        <v>30.919540000000001</v>
      </c>
      <c r="F4720" t="s">
        <v>1962</v>
      </c>
      <c r="G4720">
        <v>-89.858551000000006</v>
      </c>
      <c r="H4720">
        <v>1300</v>
      </c>
      <c r="I4720">
        <v>-11</v>
      </c>
      <c r="J4720">
        <v>-152</v>
      </c>
      <c r="K4720">
        <v>-320</v>
      </c>
      <c r="L4720">
        <v>1200</v>
      </c>
      <c r="M4720" t="str">
        <f t="shared" si="457"/>
        <v xml:space="preserve">N35DC   </v>
      </c>
      <c r="N4720">
        <v>1</v>
      </c>
      <c r="O4720">
        <v>1400</v>
      </c>
    </row>
    <row r="4721" spans="1:15" x14ac:dyDescent="0.25">
      <c r="A4721" t="str">
        <f>"10/21/2020 18:48:35.439"</f>
        <v>10/21/2020 18:48:35.439</v>
      </c>
      <c r="B4721" t="str">
        <f>"18:48:43.391"</f>
        <v>18:48:43.391</v>
      </c>
      <c r="C4721" t="str">
        <f>"18:48:43.191"</f>
        <v>18:48:43.191</v>
      </c>
      <c r="D4721" t="s">
        <v>1961</v>
      </c>
      <c r="E4721">
        <v>30.919540000000001</v>
      </c>
      <c r="F4721" t="s">
        <v>1962</v>
      </c>
      <c r="G4721">
        <v>-89.858551000000006</v>
      </c>
      <c r="H4721">
        <v>1300</v>
      </c>
      <c r="I4721">
        <v>-11</v>
      </c>
      <c r="J4721">
        <v>-152</v>
      </c>
      <c r="K4721">
        <v>-320</v>
      </c>
      <c r="L4721">
        <v>1200</v>
      </c>
      <c r="M4721" t="str">
        <f t="shared" si="457"/>
        <v xml:space="preserve">N35DC   </v>
      </c>
      <c r="N4721">
        <v>1</v>
      </c>
      <c r="O4721">
        <v>1400</v>
      </c>
    </row>
    <row r="4722" spans="1:15" x14ac:dyDescent="0.25">
      <c r="A4722" t="str">
        <f>"10/21/2020 18:48:35.439"</f>
        <v>10/21/2020 18:48:35.439</v>
      </c>
      <c r="B4722" t="str">
        <f>"18:48:43.391"</f>
        <v>18:48:43.391</v>
      </c>
      <c r="C4722" t="str">
        <f>"18:48:43.191"</f>
        <v>18:48:43.191</v>
      </c>
      <c r="D4722" t="s">
        <v>1961</v>
      </c>
      <c r="E4722">
        <v>30.919540000000001</v>
      </c>
      <c r="F4722" t="s">
        <v>1962</v>
      </c>
      <c r="G4722">
        <v>-89.858551000000006</v>
      </c>
      <c r="H4722">
        <v>1300</v>
      </c>
      <c r="I4722">
        <v>-11</v>
      </c>
      <c r="J4722">
        <v>-152</v>
      </c>
      <c r="K4722">
        <v>-320</v>
      </c>
      <c r="L4722">
        <v>1200</v>
      </c>
      <c r="M4722" t="str">
        <f t="shared" si="457"/>
        <v xml:space="preserve">N35DC   </v>
      </c>
      <c r="N4722">
        <v>1</v>
      </c>
      <c r="O4722">
        <v>1400</v>
      </c>
    </row>
    <row r="4723" spans="1:15" x14ac:dyDescent="0.25">
      <c r="A4723" t="str">
        <f>"10/21/2020 18:48:35.439"</f>
        <v>10/21/2020 18:48:35.439</v>
      </c>
      <c r="B4723" t="str">
        <f>"18:48:43.391"</f>
        <v>18:48:43.391</v>
      </c>
      <c r="C4723" t="str">
        <f>"18:48:43.191"</f>
        <v>18:48:43.191</v>
      </c>
      <c r="D4723" t="s">
        <v>1961</v>
      </c>
      <c r="E4723">
        <v>30.919540000000001</v>
      </c>
      <c r="F4723" t="s">
        <v>1962</v>
      </c>
      <c r="G4723">
        <v>-89.858551000000006</v>
      </c>
      <c r="H4723">
        <v>1300</v>
      </c>
      <c r="I4723">
        <v>-11</v>
      </c>
      <c r="J4723">
        <v>-152</v>
      </c>
      <c r="K4723">
        <v>-320</v>
      </c>
      <c r="L4723">
        <v>1200</v>
      </c>
      <c r="M4723" t="str">
        <f t="shared" si="457"/>
        <v xml:space="preserve">N35DC   </v>
      </c>
      <c r="N4723">
        <v>1</v>
      </c>
      <c r="O4723">
        <v>1400</v>
      </c>
    </row>
    <row r="4724" spans="1:15" x14ac:dyDescent="0.25">
      <c r="A4724" t="str">
        <f>"10/21/2020 18:48:36.019"</f>
        <v>10/21/2020 18:48:36.019</v>
      </c>
      <c r="B4724" t="str">
        <f>"18:48:43.945"</f>
        <v>18:48:43.945</v>
      </c>
      <c r="C4724" t="str">
        <f>"18:48:43.645"</f>
        <v>18:48:43.645</v>
      </c>
      <c r="D4724" t="s">
        <v>1963</v>
      </c>
      <c r="E4724">
        <v>30.919153999999999</v>
      </c>
      <c r="F4724" t="s">
        <v>1964</v>
      </c>
      <c r="G4724">
        <v>-89.858615</v>
      </c>
      <c r="H4724">
        <v>1300</v>
      </c>
      <c r="I4724">
        <v>-13</v>
      </c>
      <c r="J4724">
        <v>-152</v>
      </c>
      <c r="K4724">
        <v>-320</v>
      </c>
      <c r="L4724">
        <v>1200</v>
      </c>
      <c r="M4724" t="str">
        <f t="shared" si="457"/>
        <v xml:space="preserve">N35DC   </v>
      </c>
      <c r="N4724">
        <v>1</v>
      </c>
      <c r="O4724">
        <v>1400</v>
      </c>
    </row>
    <row r="4725" spans="1:15" x14ac:dyDescent="0.25">
      <c r="A4725" t="str">
        <f>"10/21/2020 18:48:36.585"</f>
        <v>10/21/2020 18:48:36.585</v>
      </c>
      <c r="B4725" t="str">
        <f>"18:48:44.531"</f>
        <v>18:48:44.531</v>
      </c>
      <c r="C4725" t="str">
        <f>"18:48:44.231"</f>
        <v>18:48:44.231</v>
      </c>
      <c r="D4725" t="s">
        <v>1965</v>
      </c>
      <c r="E4725">
        <v>30.918724999999998</v>
      </c>
      <c r="F4725" t="s">
        <v>1966</v>
      </c>
      <c r="G4725">
        <v>-89.858680000000007</v>
      </c>
      <c r="H4725">
        <v>1300</v>
      </c>
      <c r="I4725">
        <v>-14</v>
      </c>
      <c r="J4725">
        <v>-152</v>
      </c>
      <c r="K4725">
        <v>-320</v>
      </c>
      <c r="L4725">
        <v>1200</v>
      </c>
      <c r="M4725" t="str">
        <f t="shared" si="457"/>
        <v xml:space="preserve">N35DC   </v>
      </c>
      <c r="N4725">
        <v>1</v>
      </c>
      <c r="O4725">
        <v>1375</v>
      </c>
    </row>
    <row r="4726" spans="1:15" x14ac:dyDescent="0.25">
      <c r="A4726" t="str">
        <f>"10/21/2020 18:48:36.585"</f>
        <v>10/21/2020 18:48:36.585</v>
      </c>
      <c r="B4726" t="str">
        <f>"18:48:44.531"</f>
        <v>18:48:44.531</v>
      </c>
      <c r="C4726" t="str">
        <f>"18:48:44.231"</f>
        <v>18:48:44.231</v>
      </c>
      <c r="D4726" t="s">
        <v>1965</v>
      </c>
      <c r="E4726">
        <v>30.918724999999998</v>
      </c>
      <c r="F4726" t="s">
        <v>1966</v>
      </c>
      <c r="G4726">
        <v>-89.858680000000007</v>
      </c>
      <c r="H4726">
        <v>1300</v>
      </c>
      <c r="I4726">
        <v>-14</v>
      </c>
      <c r="J4726">
        <v>-152</v>
      </c>
      <c r="K4726">
        <v>-320</v>
      </c>
      <c r="L4726">
        <v>1200</v>
      </c>
      <c r="M4726" t="str">
        <f t="shared" si="457"/>
        <v xml:space="preserve">N35DC   </v>
      </c>
      <c r="N4726">
        <v>1</v>
      </c>
      <c r="O4726">
        <v>1375</v>
      </c>
    </row>
    <row r="4727" spans="1:15" x14ac:dyDescent="0.25">
      <c r="A4727" t="str">
        <f>"10/21/2020 18:48:36.585"</f>
        <v>10/21/2020 18:48:36.585</v>
      </c>
      <c r="B4727" t="str">
        <f>"18:48:44.531"</f>
        <v>18:48:44.531</v>
      </c>
      <c r="C4727" t="str">
        <f>"18:48:44.231"</f>
        <v>18:48:44.231</v>
      </c>
      <c r="D4727" t="s">
        <v>1965</v>
      </c>
      <c r="E4727">
        <v>30.918724999999998</v>
      </c>
      <c r="F4727" t="s">
        <v>1966</v>
      </c>
      <c r="G4727">
        <v>-89.858680000000007</v>
      </c>
      <c r="H4727">
        <v>1300</v>
      </c>
      <c r="I4727">
        <v>-14</v>
      </c>
      <c r="J4727">
        <v>-152</v>
      </c>
      <c r="K4727">
        <v>-320</v>
      </c>
      <c r="L4727">
        <v>1200</v>
      </c>
      <c r="M4727" t="str">
        <f t="shared" si="457"/>
        <v xml:space="preserve">N35DC   </v>
      </c>
      <c r="N4727">
        <v>1</v>
      </c>
      <c r="O4727">
        <v>1375</v>
      </c>
    </row>
    <row r="4728" spans="1:15" x14ac:dyDescent="0.25">
      <c r="A4728" t="str">
        <f>"10/21/2020 18:48:36.585"</f>
        <v>10/21/2020 18:48:36.585</v>
      </c>
      <c r="B4728" t="str">
        <f>"18:48:44.531"</f>
        <v>18:48:44.531</v>
      </c>
      <c r="C4728" t="str">
        <f>"18:48:44.231"</f>
        <v>18:48:44.231</v>
      </c>
      <c r="D4728" t="s">
        <v>1965</v>
      </c>
      <c r="E4728">
        <v>30.918724999999998</v>
      </c>
      <c r="F4728" t="s">
        <v>1966</v>
      </c>
      <c r="G4728">
        <v>-89.858680000000007</v>
      </c>
      <c r="H4728">
        <v>1300</v>
      </c>
      <c r="I4728">
        <v>-14</v>
      </c>
      <c r="J4728">
        <v>-152</v>
      </c>
      <c r="K4728">
        <v>-320</v>
      </c>
      <c r="L4728">
        <v>1200</v>
      </c>
      <c r="M4728" t="str">
        <f t="shared" si="457"/>
        <v xml:space="preserve">N35DC   </v>
      </c>
      <c r="N4728">
        <v>1</v>
      </c>
      <c r="O4728">
        <v>1375</v>
      </c>
    </row>
    <row r="4729" spans="1:15" x14ac:dyDescent="0.25">
      <c r="A4729" t="str">
        <f>"10/21/2020 18:48:36.585"</f>
        <v>10/21/2020 18:48:36.585</v>
      </c>
      <c r="B4729" t="str">
        <f>"18:48:44.531"</f>
        <v>18:48:44.531</v>
      </c>
      <c r="C4729" t="str">
        <f>"18:48:44.231"</f>
        <v>18:48:44.231</v>
      </c>
      <c r="D4729" t="s">
        <v>1965</v>
      </c>
      <c r="E4729">
        <v>30.918724999999998</v>
      </c>
      <c r="F4729" t="s">
        <v>1966</v>
      </c>
      <c r="G4729">
        <v>-89.858680000000007</v>
      </c>
      <c r="H4729">
        <v>1300</v>
      </c>
      <c r="I4729">
        <v>-14</v>
      </c>
      <c r="J4729">
        <v>-152</v>
      </c>
      <c r="K4729">
        <v>-320</v>
      </c>
      <c r="L4729">
        <v>1200</v>
      </c>
      <c r="M4729" t="str">
        <f t="shared" si="457"/>
        <v xml:space="preserve">N35DC   </v>
      </c>
      <c r="N4729">
        <v>1</v>
      </c>
      <c r="O4729">
        <v>1375</v>
      </c>
    </row>
    <row r="4730" spans="1:15" x14ac:dyDescent="0.25">
      <c r="A4730" t="str">
        <f>"10/21/2020 18:48:39.677"</f>
        <v>10/21/2020 18:48:39.677</v>
      </c>
      <c r="B4730" t="str">
        <f>"18:48:47.625"</f>
        <v>18:48:47.625</v>
      </c>
      <c r="C4730" t="str">
        <f>"18:48:47.225"</f>
        <v>18:48:47.225</v>
      </c>
      <c r="D4730" t="s">
        <v>1967</v>
      </c>
      <c r="E4730">
        <v>30.916578999999999</v>
      </c>
      <c r="F4730" t="s">
        <v>1968</v>
      </c>
      <c r="G4730">
        <v>-89.859002000000004</v>
      </c>
      <c r="H4730">
        <v>1300</v>
      </c>
      <c r="I4730">
        <v>-25</v>
      </c>
      <c r="J4730">
        <v>-150</v>
      </c>
      <c r="K4730">
        <v>-128</v>
      </c>
      <c r="L4730">
        <v>1200</v>
      </c>
      <c r="M4730" t="str">
        <f t="shared" si="457"/>
        <v xml:space="preserve">N35DC   </v>
      </c>
      <c r="N4730">
        <v>1</v>
      </c>
      <c r="O4730">
        <v>1375</v>
      </c>
    </row>
    <row r="4731" spans="1:15" x14ac:dyDescent="0.25">
      <c r="A4731" t="str">
        <f>"10/21/2020 18:48:39.677"</f>
        <v>10/21/2020 18:48:39.677</v>
      </c>
      <c r="B4731" t="str">
        <f>"18:48:47.625"</f>
        <v>18:48:47.625</v>
      </c>
      <c r="C4731" t="str">
        <f>"18:48:47.225"</f>
        <v>18:48:47.225</v>
      </c>
      <c r="D4731" t="s">
        <v>1967</v>
      </c>
      <c r="E4731">
        <v>30.916578999999999</v>
      </c>
      <c r="F4731" t="s">
        <v>1968</v>
      </c>
      <c r="G4731">
        <v>-89.859002000000004</v>
      </c>
      <c r="H4731">
        <v>1300</v>
      </c>
      <c r="I4731">
        <v>-25</v>
      </c>
      <c r="J4731">
        <v>-150</v>
      </c>
      <c r="K4731">
        <v>-128</v>
      </c>
      <c r="L4731">
        <v>1200</v>
      </c>
      <c r="M4731" t="str">
        <f t="shared" si="457"/>
        <v xml:space="preserve">N35DC   </v>
      </c>
      <c r="N4731">
        <v>1</v>
      </c>
      <c r="O4731">
        <v>1375</v>
      </c>
    </row>
    <row r="4732" spans="1:15" x14ac:dyDescent="0.25">
      <c r="A4732" t="str">
        <f>"10/21/2020 18:48:39.677"</f>
        <v>10/21/2020 18:48:39.677</v>
      </c>
      <c r="B4732" t="str">
        <f>"18:48:47.625"</f>
        <v>18:48:47.625</v>
      </c>
      <c r="C4732" t="str">
        <f>"18:48:47.225"</f>
        <v>18:48:47.225</v>
      </c>
      <c r="D4732" t="s">
        <v>1967</v>
      </c>
      <c r="E4732">
        <v>30.916578999999999</v>
      </c>
      <c r="F4732" t="s">
        <v>1968</v>
      </c>
      <c r="G4732">
        <v>-89.859002000000004</v>
      </c>
      <c r="H4732">
        <v>1300</v>
      </c>
      <c r="I4732">
        <v>-25</v>
      </c>
      <c r="J4732">
        <v>-150</v>
      </c>
      <c r="K4732">
        <v>-128</v>
      </c>
      <c r="L4732">
        <v>1200</v>
      </c>
      <c r="M4732" t="str">
        <f t="shared" si="457"/>
        <v xml:space="preserve">N35DC   </v>
      </c>
      <c r="N4732">
        <v>1</v>
      </c>
      <c r="O4732">
        <v>1375</v>
      </c>
    </row>
    <row r="4733" spans="1:15" x14ac:dyDescent="0.25">
      <c r="A4733" t="str">
        <f>"10/21/2020 18:48:39.677"</f>
        <v>10/21/2020 18:48:39.677</v>
      </c>
      <c r="B4733" t="str">
        <f>"18:48:47.625"</f>
        <v>18:48:47.625</v>
      </c>
      <c r="C4733" t="str">
        <f>"18:48:47.225"</f>
        <v>18:48:47.225</v>
      </c>
      <c r="D4733" t="s">
        <v>1967</v>
      </c>
      <c r="E4733">
        <v>30.916578999999999</v>
      </c>
      <c r="F4733" t="s">
        <v>1968</v>
      </c>
      <c r="G4733">
        <v>-89.859002000000004</v>
      </c>
      <c r="H4733">
        <v>1300</v>
      </c>
      <c r="I4733">
        <v>-25</v>
      </c>
      <c r="J4733">
        <v>-150</v>
      </c>
      <c r="K4733">
        <v>-128</v>
      </c>
      <c r="L4733">
        <v>1200</v>
      </c>
      <c r="M4733" t="str">
        <f t="shared" si="457"/>
        <v xml:space="preserve">N35DC   </v>
      </c>
      <c r="N4733">
        <v>1</v>
      </c>
      <c r="O4733">
        <v>1375</v>
      </c>
    </row>
    <row r="4734" spans="1:15" x14ac:dyDescent="0.25">
      <c r="A4734" t="str">
        <f>"10/21/2020 18:48:40.637"</f>
        <v>10/21/2020 18:48:40.637</v>
      </c>
      <c r="B4734" t="str">
        <f>"18:48:48.586"</f>
        <v>18:48:48.586</v>
      </c>
      <c r="C4734" t="str">
        <f>"18:48:48.286"</f>
        <v>18:48:48.286</v>
      </c>
      <c r="D4734" t="s">
        <v>1969</v>
      </c>
      <c r="E4734">
        <v>30.915891999999999</v>
      </c>
      <c r="F4734" t="s">
        <v>1970</v>
      </c>
      <c r="G4734">
        <v>-89.859216000000004</v>
      </c>
      <c r="H4734">
        <v>1300</v>
      </c>
      <c r="I4734">
        <v>-29</v>
      </c>
      <c r="J4734">
        <v>-149</v>
      </c>
      <c r="K4734">
        <v>0</v>
      </c>
      <c r="L4734">
        <v>1200</v>
      </c>
      <c r="M4734" t="str">
        <f t="shared" si="457"/>
        <v xml:space="preserve">N35DC   </v>
      </c>
      <c r="N4734">
        <v>1</v>
      </c>
      <c r="O4734">
        <v>1375</v>
      </c>
    </row>
    <row r="4735" spans="1:15" x14ac:dyDescent="0.25">
      <c r="A4735" t="str">
        <f>"10/21/2020 18:48:40.637"</f>
        <v>10/21/2020 18:48:40.637</v>
      </c>
      <c r="B4735" t="str">
        <f>"18:48:48.586"</f>
        <v>18:48:48.586</v>
      </c>
      <c r="C4735" t="str">
        <f>"18:48:48.286"</f>
        <v>18:48:48.286</v>
      </c>
      <c r="D4735" t="s">
        <v>1969</v>
      </c>
      <c r="E4735">
        <v>30.915891999999999</v>
      </c>
      <c r="F4735" t="s">
        <v>1970</v>
      </c>
      <c r="G4735">
        <v>-89.859216000000004</v>
      </c>
      <c r="H4735">
        <v>1300</v>
      </c>
      <c r="I4735">
        <v>-29</v>
      </c>
      <c r="J4735">
        <v>-149</v>
      </c>
      <c r="K4735">
        <v>0</v>
      </c>
      <c r="L4735">
        <v>1200</v>
      </c>
      <c r="M4735" t="str">
        <f t="shared" si="457"/>
        <v xml:space="preserve">N35DC   </v>
      </c>
      <c r="N4735">
        <v>1</v>
      </c>
      <c r="O4735">
        <v>1375</v>
      </c>
    </row>
    <row r="4736" spans="1:15" x14ac:dyDescent="0.25">
      <c r="A4736" t="str">
        <f>"10/21/2020 18:48:40.637"</f>
        <v>10/21/2020 18:48:40.637</v>
      </c>
      <c r="B4736" t="str">
        <f>"18:48:48.586"</f>
        <v>18:48:48.586</v>
      </c>
      <c r="C4736" t="str">
        <f>"18:48:48.286"</f>
        <v>18:48:48.286</v>
      </c>
      <c r="D4736" t="s">
        <v>1969</v>
      </c>
      <c r="E4736">
        <v>30.915891999999999</v>
      </c>
      <c r="F4736" t="s">
        <v>1970</v>
      </c>
      <c r="G4736">
        <v>-89.859216000000004</v>
      </c>
      <c r="H4736">
        <v>1300</v>
      </c>
      <c r="I4736">
        <v>-29</v>
      </c>
      <c r="J4736">
        <v>-149</v>
      </c>
      <c r="K4736">
        <v>0</v>
      </c>
      <c r="L4736">
        <v>1200</v>
      </c>
      <c r="M4736" t="str">
        <f t="shared" si="457"/>
        <v xml:space="preserve">N35DC   </v>
      </c>
      <c r="N4736">
        <v>1</v>
      </c>
      <c r="O4736">
        <v>1375</v>
      </c>
    </row>
    <row r="4737" spans="1:15" x14ac:dyDescent="0.25">
      <c r="A4737" t="str">
        <f>"10/21/2020 18:48:40.637"</f>
        <v>10/21/2020 18:48:40.637</v>
      </c>
      <c r="B4737" t="str">
        <f>"18:48:48.586"</f>
        <v>18:48:48.586</v>
      </c>
      <c r="C4737" t="str">
        <f>"18:48:48.286"</f>
        <v>18:48:48.286</v>
      </c>
      <c r="D4737" t="s">
        <v>1969</v>
      </c>
      <c r="E4737">
        <v>30.915891999999999</v>
      </c>
      <c r="F4737" t="s">
        <v>1970</v>
      </c>
      <c r="G4737">
        <v>-89.859216000000004</v>
      </c>
      <c r="H4737">
        <v>1300</v>
      </c>
      <c r="I4737">
        <v>-29</v>
      </c>
      <c r="J4737">
        <v>-149</v>
      </c>
      <c r="K4737">
        <v>0</v>
      </c>
      <c r="L4737">
        <v>1200</v>
      </c>
      <c r="M4737" t="str">
        <f t="shared" si="457"/>
        <v xml:space="preserve">N35DC   </v>
      </c>
      <c r="N4737">
        <v>1</v>
      </c>
      <c r="O4737">
        <v>1375</v>
      </c>
    </row>
    <row r="4738" spans="1:15" x14ac:dyDescent="0.25">
      <c r="A4738" t="str">
        <f>"10/21/2020 18:48:40.637"</f>
        <v>10/21/2020 18:48:40.637</v>
      </c>
      <c r="B4738" t="str">
        <f>"18:48:48.586"</f>
        <v>18:48:48.586</v>
      </c>
      <c r="C4738" t="str">
        <f>"18:48:48.286"</f>
        <v>18:48:48.286</v>
      </c>
      <c r="D4738" t="s">
        <v>1969</v>
      </c>
      <c r="E4738">
        <v>30.915891999999999</v>
      </c>
      <c r="F4738" t="s">
        <v>1970</v>
      </c>
      <c r="G4738">
        <v>-89.859216000000004</v>
      </c>
      <c r="H4738">
        <v>1300</v>
      </c>
      <c r="I4738">
        <v>-29</v>
      </c>
      <c r="J4738">
        <v>-149</v>
      </c>
      <c r="K4738">
        <v>0</v>
      </c>
      <c r="L4738">
        <v>1200</v>
      </c>
      <c r="M4738" t="str">
        <f t="shared" si="457"/>
        <v xml:space="preserve">N35DC   </v>
      </c>
      <c r="N4738">
        <v>1</v>
      </c>
      <c r="O4738">
        <v>1375</v>
      </c>
    </row>
    <row r="4739" spans="1:15" x14ac:dyDescent="0.25">
      <c r="A4739" t="str">
        <f>"10/21/2020 18:48:41.598"</f>
        <v>10/21/2020 18:48:41.598</v>
      </c>
      <c r="B4739" t="str">
        <f t="shared" ref="B4739:C4742" si="460">"18:48:49.539"</f>
        <v>18:48:49.539</v>
      </c>
      <c r="C4739" t="str">
        <f t="shared" si="460"/>
        <v>18:48:49.539</v>
      </c>
      <c r="D4739" t="s">
        <v>1971</v>
      </c>
      <c r="E4739">
        <v>30.915247999999998</v>
      </c>
      <c r="F4739" t="s">
        <v>1972</v>
      </c>
      <c r="G4739">
        <v>-89.859324000000001</v>
      </c>
      <c r="H4739">
        <v>1300</v>
      </c>
      <c r="I4739">
        <v>-32</v>
      </c>
      <c r="J4739">
        <v>-147</v>
      </c>
      <c r="K4739">
        <v>192</v>
      </c>
      <c r="L4739">
        <v>1200</v>
      </c>
      <c r="M4739" t="str">
        <f t="shared" si="457"/>
        <v xml:space="preserve">N35DC   </v>
      </c>
      <c r="N4739">
        <v>1</v>
      </c>
      <c r="O4739">
        <v>1375</v>
      </c>
    </row>
    <row r="4740" spans="1:15" x14ac:dyDescent="0.25">
      <c r="A4740" t="str">
        <f>"10/21/2020 18:48:41.598"</f>
        <v>10/21/2020 18:48:41.598</v>
      </c>
      <c r="B4740" t="str">
        <f t="shared" si="460"/>
        <v>18:48:49.539</v>
      </c>
      <c r="C4740" t="str">
        <f t="shared" si="460"/>
        <v>18:48:49.539</v>
      </c>
      <c r="D4740" t="s">
        <v>1971</v>
      </c>
      <c r="E4740">
        <v>30.915247999999998</v>
      </c>
      <c r="F4740" t="s">
        <v>1972</v>
      </c>
      <c r="G4740">
        <v>-89.859324000000001</v>
      </c>
      <c r="H4740">
        <v>1300</v>
      </c>
      <c r="I4740">
        <v>-32</v>
      </c>
      <c r="J4740">
        <v>-147</v>
      </c>
      <c r="K4740">
        <v>192</v>
      </c>
      <c r="L4740">
        <v>1200</v>
      </c>
      <c r="M4740" t="str">
        <f t="shared" si="457"/>
        <v xml:space="preserve">N35DC   </v>
      </c>
      <c r="N4740">
        <v>1</v>
      </c>
      <c r="O4740">
        <v>1375</v>
      </c>
    </row>
    <row r="4741" spans="1:15" x14ac:dyDescent="0.25">
      <c r="A4741" t="str">
        <f>"10/21/2020 18:48:41.598"</f>
        <v>10/21/2020 18:48:41.598</v>
      </c>
      <c r="B4741" t="str">
        <f t="shared" si="460"/>
        <v>18:48:49.539</v>
      </c>
      <c r="C4741" t="str">
        <f t="shared" si="460"/>
        <v>18:48:49.539</v>
      </c>
      <c r="D4741" t="s">
        <v>1971</v>
      </c>
      <c r="E4741">
        <v>30.915247999999998</v>
      </c>
      <c r="F4741" t="s">
        <v>1972</v>
      </c>
      <c r="G4741">
        <v>-89.859324000000001</v>
      </c>
      <c r="H4741">
        <v>1300</v>
      </c>
      <c r="I4741">
        <v>-32</v>
      </c>
      <c r="J4741">
        <v>-147</v>
      </c>
      <c r="K4741">
        <v>192</v>
      </c>
      <c r="L4741">
        <v>1200</v>
      </c>
      <c r="M4741" t="str">
        <f t="shared" si="457"/>
        <v xml:space="preserve">N35DC   </v>
      </c>
      <c r="N4741">
        <v>1</v>
      </c>
      <c r="O4741">
        <v>1375</v>
      </c>
    </row>
    <row r="4742" spans="1:15" x14ac:dyDescent="0.25">
      <c r="A4742" t="str">
        <f>"10/21/2020 18:48:41.598"</f>
        <v>10/21/2020 18:48:41.598</v>
      </c>
      <c r="B4742" t="str">
        <f t="shared" si="460"/>
        <v>18:48:49.539</v>
      </c>
      <c r="C4742" t="str">
        <f t="shared" si="460"/>
        <v>18:48:49.539</v>
      </c>
      <c r="D4742" t="s">
        <v>1971</v>
      </c>
      <c r="E4742">
        <v>30.915247999999998</v>
      </c>
      <c r="F4742" t="s">
        <v>1972</v>
      </c>
      <c r="G4742">
        <v>-89.859324000000001</v>
      </c>
      <c r="H4742">
        <v>1300</v>
      </c>
      <c r="I4742">
        <v>-32</v>
      </c>
      <c r="J4742">
        <v>-147</v>
      </c>
      <c r="K4742">
        <v>192</v>
      </c>
      <c r="L4742">
        <v>1200</v>
      </c>
      <c r="M4742" t="str">
        <f t="shared" si="457"/>
        <v xml:space="preserve">N35DC   </v>
      </c>
      <c r="N4742">
        <v>1</v>
      </c>
      <c r="O4742">
        <v>1375</v>
      </c>
    </row>
    <row r="4743" spans="1:15" x14ac:dyDescent="0.25">
      <c r="A4743" t="str">
        <f t="shared" ref="A4743:A4748" si="461">"10/21/2020 18:48:44.674"</f>
        <v>10/21/2020 18:48:44.674</v>
      </c>
      <c r="B4743" t="str">
        <f t="shared" ref="B4743:B4748" si="462">"18:48:52.602"</f>
        <v>18:48:52.602</v>
      </c>
      <c r="C4743" t="str">
        <f t="shared" ref="C4743:C4748" si="463">"18:48:52.102"</f>
        <v>18:48:52.102</v>
      </c>
      <c r="D4743" t="s">
        <v>1973</v>
      </c>
      <c r="E4743">
        <v>30.913209999999999</v>
      </c>
      <c r="F4743" t="s">
        <v>1974</v>
      </c>
      <c r="G4743">
        <v>-89.859924000000007</v>
      </c>
      <c r="H4743">
        <v>1300</v>
      </c>
      <c r="I4743">
        <v>-36</v>
      </c>
      <c r="J4743">
        <v>-145</v>
      </c>
      <c r="K4743">
        <v>384</v>
      </c>
      <c r="L4743">
        <v>1200</v>
      </c>
      <c r="M4743" t="str">
        <f t="shared" ref="M4743:M4806" si="464">"N35DC   "</f>
        <v xml:space="preserve">N35DC   </v>
      </c>
      <c r="N4743">
        <v>1</v>
      </c>
      <c r="O4743">
        <v>1400</v>
      </c>
    </row>
    <row r="4744" spans="1:15" x14ac:dyDescent="0.25">
      <c r="A4744" t="str">
        <f t="shared" si="461"/>
        <v>10/21/2020 18:48:44.674</v>
      </c>
      <c r="B4744" t="str">
        <f t="shared" si="462"/>
        <v>18:48:52.602</v>
      </c>
      <c r="C4744" t="str">
        <f t="shared" si="463"/>
        <v>18:48:52.102</v>
      </c>
      <c r="D4744" t="s">
        <v>1973</v>
      </c>
      <c r="E4744">
        <v>30.913209999999999</v>
      </c>
      <c r="F4744" t="s">
        <v>1974</v>
      </c>
      <c r="G4744">
        <v>-89.859924000000007</v>
      </c>
      <c r="H4744">
        <v>1300</v>
      </c>
      <c r="I4744">
        <v>-36</v>
      </c>
      <c r="J4744">
        <v>-145</v>
      </c>
      <c r="K4744">
        <v>384</v>
      </c>
      <c r="L4744">
        <v>1200</v>
      </c>
      <c r="M4744" t="str">
        <f t="shared" si="464"/>
        <v xml:space="preserve">N35DC   </v>
      </c>
      <c r="N4744">
        <v>1</v>
      </c>
      <c r="O4744">
        <v>1400</v>
      </c>
    </row>
    <row r="4745" spans="1:15" x14ac:dyDescent="0.25">
      <c r="A4745" t="str">
        <f t="shared" si="461"/>
        <v>10/21/2020 18:48:44.674</v>
      </c>
      <c r="B4745" t="str">
        <f t="shared" si="462"/>
        <v>18:48:52.602</v>
      </c>
      <c r="C4745" t="str">
        <f t="shared" si="463"/>
        <v>18:48:52.102</v>
      </c>
      <c r="D4745" t="s">
        <v>1973</v>
      </c>
      <c r="E4745">
        <v>30.913209999999999</v>
      </c>
      <c r="F4745" t="s">
        <v>1974</v>
      </c>
      <c r="G4745">
        <v>-89.859924000000007</v>
      </c>
      <c r="H4745">
        <v>1300</v>
      </c>
      <c r="I4745">
        <v>-36</v>
      </c>
      <c r="J4745">
        <v>-145</v>
      </c>
      <c r="K4745">
        <v>384</v>
      </c>
      <c r="L4745">
        <v>1200</v>
      </c>
      <c r="M4745" t="str">
        <f t="shared" si="464"/>
        <v xml:space="preserve">N35DC   </v>
      </c>
      <c r="N4745">
        <v>1</v>
      </c>
      <c r="O4745">
        <v>1400</v>
      </c>
    </row>
    <row r="4746" spans="1:15" x14ac:dyDescent="0.25">
      <c r="A4746" t="str">
        <f t="shared" si="461"/>
        <v>10/21/2020 18:48:44.674</v>
      </c>
      <c r="B4746" t="str">
        <f t="shared" si="462"/>
        <v>18:48:52.602</v>
      </c>
      <c r="C4746" t="str">
        <f t="shared" si="463"/>
        <v>18:48:52.102</v>
      </c>
      <c r="D4746" t="s">
        <v>1973</v>
      </c>
      <c r="E4746">
        <v>30.913209999999999</v>
      </c>
      <c r="F4746" t="s">
        <v>1974</v>
      </c>
      <c r="G4746">
        <v>-89.859924000000007</v>
      </c>
      <c r="H4746">
        <v>1300</v>
      </c>
      <c r="I4746">
        <v>-36</v>
      </c>
      <c r="J4746">
        <v>-145</v>
      </c>
      <c r="K4746">
        <v>384</v>
      </c>
      <c r="L4746">
        <v>1200</v>
      </c>
      <c r="M4746" t="str">
        <f t="shared" si="464"/>
        <v xml:space="preserve">N35DC   </v>
      </c>
      <c r="N4746">
        <v>1</v>
      </c>
      <c r="O4746">
        <v>1400</v>
      </c>
    </row>
    <row r="4747" spans="1:15" x14ac:dyDescent="0.25">
      <c r="A4747" t="str">
        <f t="shared" si="461"/>
        <v>10/21/2020 18:48:44.674</v>
      </c>
      <c r="B4747" t="str">
        <f t="shared" si="462"/>
        <v>18:48:52.602</v>
      </c>
      <c r="C4747" t="str">
        <f t="shared" si="463"/>
        <v>18:48:52.102</v>
      </c>
      <c r="D4747" t="s">
        <v>1973</v>
      </c>
      <c r="E4747">
        <v>30.913209999999999</v>
      </c>
      <c r="F4747" t="s">
        <v>1974</v>
      </c>
      <c r="G4747">
        <v>-89.859924000000007</v>
      </c>
      <c r="H4747">
        <v>1300</v>
      </c>
      <c r="I4747">
        <v>-36</v>
      </c>
      <c r="J4747">
        <v>-145</v>
      </c>
      <c r="K4747">
        <v>384</v>
      </c>
      <c r="L4747">
        <v>1200</v>
      </c>
      <c r="M4747" t="str">
        <f t="shared" si="464"/>
        <v xml:space="preserve">N35DC   </v>
      </c>
      <c r="N4747">
        <v>1</v>
      </c>
      <c r="O4747">
        <v>1400</v>
      </c>
    </row>
    <row r="4748" spans="1:15" x14ac:dyDescent="0.25">
      <c r="A4748" t="str">
        <f t="shared" si="461"/>
        <v>10/21/2020 18:48:44.674</v>
      </c>
      <c r="B4748" t="str">
        <f t="shared" si="462"/>
        <v>18:48:52.602</v>
      </c>
      <c r="C4748" t="str">
        <f t="shared" si="463"/>
        <v>18:48:52.102</v>
      </c>
      <c r="D4748" t="s">
        <v>1973</v>
      </c>
      <c r="E4748">
        <v>30.913209999999999</v>
      </c>
      <c r="F4748" t="s">
        <v>1974</v>
      </c>
      <c r="G4748">
        <v>-89.859924000000007</v>
      </c>
      <c r="H4748">
        <v>1300</v>
      </c>
      <c r="I4748">
        <v>-36</v>
      </c>
      <c r="J4748">
        <v>-145</v>
      </c>
      <c r="K4748">
        <v>384</v>
      </c>
      <c r="L4748">
        <v>1200</v>
      </c>
      <c r="M4748" t="str">
        <f t="shared" si="464"/>
        <v xml:space="preserve">N35DC   </v>
      </c>
      <c r="N4748">
        <v>1</v>
      </c>
      <c r="O4748">
        <v>1400</v>
      </c>
    </row>
    <row r="4749" spans="1:15" x14ac:dyDescent="0.25">
      <c r="A4749" t="str">
        <f>"10/21/2020 18:48:45.646"</f>
        <v>10/21/2020 18:48:45.646</v>
      </c>
      <c r="B4749" t="str">
        <f>"18:48:53.531"</f>
        <v>18:48:53.531</v>
      </c>
      <c r="C4749" t="str">
        <f>"18:48:53.131"</f>
        <v>18:48:53.131</v>
      </c>
      <c r="D4749" t="s">
        <v>1331</v>
      </c>
      <c r="E4749">
        <v>30.912545000000001</v>
      </c>
      <c r="F4749" t="s">
        <v>1975</v>
      </c>
      <c r="G4749">
        <v>-89.860095999999999</v>
      </c>
      <c r="H4749">
        <v>1300</v>
      </c>
      <c r="I4749">
        <v>-38</v>
      </c>
      <c r="J4749">
        <v>-144</v>
      </c>
      <c r="K4749">
        <v>384</v>
      </c>
      <c r="L4749">
        <v>1200</v>
      </c>
      <c r="M4749" t="str">
        <f t="shared" si="464"/>
        <v xml:space="preserve">N35DC   </v>
      </c>
      <c r="N4749">
        <v>1</v>
      </c>
      <c r="O4749">
        <v>1400</v>
      </c>
    </row>
    <row r="4750" spans="1:15" x14ac:dyDescent="0.25">
      <c r="A4750" t="str">
        <f>"10/21/2020 18:48:45.646"</f>
        <v>10/21/2020 18:48:45.646</v>
      </c>
      <c r="B4750" t="str">
        <f>"18:48:53.531"</f>
        <v>18:48:53.531</v>
      </c>
      <c r="C4750" t="str">
        <f>"18:48:53.231"</f>
        <v>18:48:53.231</v>
      </c>
      <c r="D4750" t="s">
        <v>1331</v>
      </c>
      <c r="E4750">
        <v>30.912545000000001</v>
      </c>
      <c r="F4750" t="s">
        <v>1975</v>
      </c>
      <c r="G4750">
        <v>-89.860095999999999</v>
      </c>
      <c r="H4750">
        <v>1300</v>
      </c>
      <c r="I4750">
        <v>-38</v>
      </c>
      <c r="J4750">
        <v>-144</v>
      </c>
      <c r="K4750">
        <v>384</v>
      </c>
      <c r="L4750">
        <v>1200</v>
      </c>
      <c r="M4750" t="str">
        <f t="shared" si="464"/>
        <v xml:space="preserve">N35DC   </v>
      </c>
      <c r="N4750">
        <v>1</v>
      </c>
      <c r="O4750">
        <v>1400</v>
      </c>
    </row>
    <row r="4751" spans="1:15" x14ac:dyDescent="0.25">
      <c r="A4751" t="str">
        <f>"10/21/2020 18:48:45.646"</f>
        <v>10/21/2020 18:48:45.646</v>
      </c>
      <c r="B4751" t="str">
        <f>"18:48:53.531"</f>
        <v>18:48:53.531</v>
      </c>
      <c r="C4751" t="str">
        <f>"18:48:53.131"</f>
        <v>18:48:53.131</v>
      </c>
      <c r="D4751" t="s">
        <v>1331</v>
      </c>
      <c r="E4751">
        <v>30.912545000000001</v>
      </c>
      <c r="F4751" t="s">
        <v>1975</v>
      </c>
      <c r="G4751">
        <v>-89.860095999999999</v>
      </c>
      <c r="H4751">
        <v>1300</v>
      </c>
      <c r="I4751">
        <v>-38</v>
      </c>
      <c r="J4751">
        <v>-144</v>
      </c>
      <c r="K4751">
        <v>384</v>
      </c>
      <c r="L4751">
        <v>1200</v>
      </c>
      <c r="M4751" t="str">
        <f t="shared" si="464"/>
        <v xml:space="preserve">N35DC   </v>
      </c>
      <c r="N4751">
        <v>1</v>
      </c>
      <c r="O4751">
        <v>1400</v>
      </c>
    </row>
    <row r="4752" spans="1:15" x14ac:dyDescent="0.25">
      <c r="A4752" t="str">
        <f>"10/21/2020 18:48:45.646"</f>
        <v>10/21/2020 18:48:45.646</v>
      </c>
      <c r="B4752" t="str">
        <f>"18:48:53.531"</f>
        <v>18:48:53.531</v>
      </c>
      <c r="C4752" t="str">
        <f>"18:48:53.231"</f>
        <v>18:48:53.231</v>
      </c>
      <c r="D4752" t="s">
        <v>1331</v>
      </c>
      <c r="E4752">
        <v>30.912545000000001</v>
      </c>
      <c r="F4752" t="s">
        <v>1975</v>
      </c>
      <c r="G4752">
        <v>-89.860095999999999</v>
      </c>
      <c r="H4752">
        <v>1300</v>
      </c>
      <c r="I4752">
        <v>-38</v>
      </c>
      <c r="J4752">
        <v>-144</v>
      </c>
      <c r="K4752">
        <v>384</v>
      </c>
      <c r="L4752">
        <v>1200</v>
      </c>
      <c r="M4752" t="str">
        <f t="shared" si="464"/>
        <v xml:space="preserve">N35DC   </v>
      </c>
      <c r="N4752">
        <v>1</v>
      </c>
      <c r="O4752">
        <v>1400</v>
      </c>
    </row>
    <row r="4753" spans="1:15" x14ac:dyDescent="0.25">
      <c r="A4753" t="str">
        <f>"10/21/2020 18:48:45.646"</f>
        <v>10/21/2020 18:48:45.646</v>
      </c>
      <c r="B4753" t="str">
        <f>"18:48:53.531"</f>
        <v>18:48:53.531</v>
      </c>
      <c r="C4753" t="str">
        <f>"18:48:53.131"</f>
        <v>18:48:53.131</v>
      </c>
      <c r="D4753" t="s">
        <v>1331</v>
      </c>
      <c r="E4753">
        <v>30.912545000000001</v>
      </c>
      <c r="F4753" t="s">
        <v>1975</v>
      </c>
      <c r="G4753">
        <v>-89.860095999999999</v>
      </c>
      <c r="H4753">
        <v>1300</v>
      </c>
      <c r="I4753">
        <v>-38</v>
      </c>
      <c r="J4753">
        <v>-144</v>
      </c>
      <c r="K4753">
        <v>384</v>
      </c>
      <c r="L4753">
        <v>1200</v>
      </c>
      <c r="M4753" t="str">
        <f t="shared" si="464"/>
        <v xml:space="preserve">N35DC   </v>
      </c>
      <c r="N4753">
        <v>1</v>
      </c>
      <c r="O4753">
        <v>1400</v>
      </c>
    </row>
    <row r="4754" spans="1:15" x14ac:dyDescent="0.25">
      <c r="A4754" t="str">
        <f>"10/21/2020 18:48:48.566"</f>
        <v>10/21/2020 18:48:48.566</v>
      </c>
      <c r="B4754" t="str">
        <f>"18:48:56.484"</f>
        <v>18:48:56.484</v>
      </c>
      <c r="C4754" t="str">
        <f>"18:48:56.184"</f>
        <v>18:48:56.184</v>
      </c>
      <c r="D4754" t="s">
        <v>1976</v>
      </c>
      <c r="E4754">
        <v>30.910634999999999</v>
      </c>
      <c r="F4754" t="s">
        <v>1977</v>
      </c>
      <c r="G4754">
        <v>-89.860740000000007</v>
      </c>
      <c r="H4754">
        <v>1300</v>
      </c>
      <c r="I4754">
        <v>-40</v>
      </c>
      <c r="J4754">
        <v>-141</v>
      </c>
      <c r="K4754">
        <v>192</v>
      </c>
      <c r="L4754">
        <v>1200</v>
      </c>
      <c r="M4754" t="str">
        <f t="shared" si="464"/>
        <v xml:space="preserve">N35DC   </v>
      </c>
      <c r="N4754">
        <v>1</v>
      </c>
      <c r="O4754">
        <v>1400</v>
      </c>
    </row>
    <row r="4755" spans="1:15" x14ac:dyDescent="0.25">
      <c r="A4755" t="str">
        <f>"10/21/2020 18:48:48.566"</f>
        <v>10/21/2020 18:48:48.566</v>
      </c>
      <c r="B4755" t="str">
        <f>"18:48:56.484"</f>
        <v>18:48:56.484</v>
      </c>
      <c r="C4755" t="str">
        <f>"18:48:56.184"</f>
        <v>18:48:56.184</v>
      </c>
      <c r="D4755" t="s">
        <v>1976</v>
      </c>
      <c r="E4755">
        <v>30.910634999999999</v>
      </c>
      <c r="F4755" t="s">
        <v>1977</v>
      </c>
      <c r="G4755">
        <v>-89.860740000000007</v>
      </c>
      <c r="H4755">
        <v>1300</v>
      </c>
      <c r="I4755">
        <v>-40</v>
      </c>
      <c r="J4755">
        <v>-141</v>
      </c>
      <c r="K4755">
        <v>192</v>
      </c>
      <c r="L4755">
        <v>1200</v>
      </c>
      <c r="M4755" t="str">
        <f t="shared" si="464"/>
        <v xml:space="preserve">N35DC   </v>
      </c>
      <c r="N4755">
        <v>1</v>
      </c>
      <c r="O4755">
        <v>1400</v>
      </c>
    </row>
    <row r="4756" spans="1:15" x14ac:dyDescent="0.25">
      <c r="A4756" t="str">
        <f>"10/21/2020 18:48:48.566"</f>
        <v>10/21/2020 18:48:48.566</v>
      </c>
      <c r="B4756" t="str">
        <f>"18:48:56.484"</f>
        <v>18:48:56.484</v>
      </c>
      <c r="C4756" t="str">
        <f>"18:48:56.184"</f>
        <v>18:48:56.184</v>
      </c>
      <c r="D4756" t="s">
        <v>1976</v>
      </c>
      <c r="E4756">
        <v>30.910634999999999</v>
      </c>
      <c r="F4756" t="s">
        <v>1977</v>
      </c>
      <c r="G4756">
        <v>-89.860740000000007</v>
      </c>
      <c r="H4756">
        <v>1300</v>
      </c>
      <c r="I4756">
        <v>-40</v>
      </c>
      <c r="J4756">
        <v>-141</v>
      </c>
      <c r="K4756">
        <v>192</v>
      </c>
      <c r="L4756">
        <v>1200</v>
      </c>
      <c r="M4756" t="str">
        <f t="shared" si="464"/>
        <v xml:space="preserve">N35DC   </v>
      </c>
      <c r="N4756">
        <v>1</v>
      </c>
      <c r="O4756">
        <v>1400</v>
      </c>
    </row>
    <row r="4757" spans="1:15" x14ac:dyDescent="0.25">
      <c r="A4757" t="str">
        <f>"10/21/2020 18:48:48.566"</f>
        <v>10/21/2020 18:48:48.566</v>
      </c>
      <c r="B4757" t="str">
        <f>"18:48:56.484"</f>
        <v>18:48:56.484</v>
      </c>
      <c r="C4757" t="str">
        <f>"18:48:56.184"</f>
        <v>18:48:56.184</v>
      </c>
      <c r="D4757" t="s">
        <v>1976</v>
      </c>
      <c r="E4757">
        <v>30.910634999999999</v>
      </c>
      <c r="F4757" t="s">
        <v>1977</v>
      </c>
      <c r="G4757">
        <v>-89.860740000000007</v>
      </c>
      <c r="H4757">
        <v>1300</v>
      </c>
      <c r="I4757">
        <v>-40</v>
      </c>
      <c r="J4757">
        <v>-141</v>
      </c>
      <c r="K4757">
        <v>192</v>
      </c>
      <c r="L4757">
        <v>1200</v>
      </c>
      <c r="M4757" t="str">
        <f t="shared" si="464"/>
        <v xml:space="preserve">N35DC   </v>
      </c>
      <c r="N4757">
        <v>1</v>
      </c>
      <c r="O4757">
        <v>1400</v>
      </c>
    </row>
    <row r="4758" spans="1:15" x14ac:dyDescent="0.25">
      <c r="A4758" t="str">
        <f>"10/21/2020 18:48:48.566"</f>
        <v>10/21/2020 18:48:48.566</v>
      </c>
      <c r="B4758" t="str">
        <f>"18:48:56.484"</f>
        <v>18:48:56.484</v>
      </c>
      <c r="C4758" t="str">
        <f>"18:48:56.184"</f>
        <v>18:48:56.184</v>
      </c>
      <c r="D4758" t="s">
        <v>1976</v>
      </c>
      <c r="E4758">
        <v>30.910634999999999</v>
      </c>
      <c r="F4758" t="s">
        <v>1977</v>
      </c>
      <c r="G4758">
        <v>-89.860740000000007</v>
      </c>
      <c r="H4758">
        <v>1300</v>
      </c>
      <c r="I4758">
        <v>-40</v>
      </c>
      <c r="J4758">
        <v>-141</v>
      </c>
      <c r="K4758">
        <v>192</v>
      </c>
      <c r="L4758">
        <v>1200</v>
      </c>
      <c r="M4758" t="str">
        <f t="shared" si="464"/>
        <v xml:space="preserve">N35DC   </v>
      </c>
      <c r="N4758">
        <v>1</v>
      </c>
      <c r="O4758">
        <v>1400</v>
      </c>
    </row>
    <row r="4759" spans="1:15" x14ac:dyDescent="0.25">
      <c r="A4759" t="str">
        <f>"10/21/2020 18:48:49.044"</f>
        <v>10/21/2020 18:48:49.044</v>
      </c>
      <c r="B4759" t="str">
        <f>"18:48:57.000"</f>
        <v>18:48:57.000</v>
      </c>
      <c r="C4759" t="str">
        <f>"18:48:56.600"</f>
        <v>18:48:56.600</v>
      </c>
      <c r="D4759" t="s">
        <v>1978</v>
      </c>
      <c r="E4759">
        <v>30.910312999999999</v>
      </c>
      <c r="F4759" t="s">
        <v>1544</v>
      </c>
      <c r="G4759">
        <v>-89.860867999999996</v>
      </c>
      <c r="H4759">
        <v>1300</v>
      </c>
      <c r="I4759">
        <v>-40</v>
      </c>
      <c r="J4759">
        <v>-140</v>
      </c>
      <c r="K4759">
        <v>128</v>
      </c>
      <c r="L4759">
        <v>1200</v>
      </c>
      <c r="M4759" t="str">
        <f t="shared" si="464"/>
        <v xml:space="preserve">N35DC   </v>
      </c>
      <c r="N4759">
        <v>1</v>
      </c>
      <c r="O4759">
        <v>1400</v>
      </c>
    </row>
    <row r="4760" spans="1:15" x14ac:dyDescent="0.25">
      <c r="A4760" t="str">
        <f>"10/21/2020 18:48:49.478"</f>
        <v>10/21/2020 18:48:49.478</v>
      </c>
      <c r="B4760" t="str">
        <f>"18:48:57.414"</f>
        <v>18:48:57.414</v>
      </c>
      <c r="C4760" t="str">
        <f>"18:48:57.214"</f>
        <v>18:48:57.214</v>
      </c>
      <c r="D4760" t="s">
        <v>1979</v>
      </c>
      <c r="E4760">
        <v>30.910034</v>
      </c>
      <c r="F4760" t="s">
        <v>1980</v>
      </c>
      <c r="G4760">
        <v>-89.860975999999994</v>
      </c>
      <c r="H4760">
        <v>1300</v>
      </c>
      <c r="I4760">
        <v>-40</v>
      </c>
      <c r="J4760">
        <v>-140</v>
      </c>
      <c r="K4760">
        <v>256</v>
      </c>
      <c r="L4760">
        <v>1200</v>
      </c>
      <c r="M4760" t="str">
        <f t="shared" si="464"/>
        <v xml:space="preserve">N35DC   </v>
      </c>
      <c r="N4760">
        <v>1</v>
      </c>
      <c r="O4760">
        <v>1400</v>
      </c>
    </row>
    <row r="4761" spans="1:15" x14ac:dyDescent="0.25">
      <c r="A4761" t="str">
        <f>"10/21/2020 18:48:49.478"</f>
        <v>10/21/2020 18:48:49.478</v>
      </c>
      <c r="B4761" t="str">
        <f>"18:48:57.414"</f>
        <v>18:48:57.414</v>
      </c>
      <c r="C4761" t="str">
        <f>"18:48:57.214"</f>
        <v>18:48:57.214</v>
      </c>
      <c r="D4761" t="s">
        <v>1979</v>
      </c>
      <c r="E4761">
        <v>30.910034</v>
      </c>
      <c r="F4761" t="s">
        <v>1980</v>
      </c>
      <c r="G4761">
        <v>-89.860975999999994</v>
      </c>
      <c r="H4761">
        <v>1300</v>
      </c>
      <c r="I4761">
        <v>-40</v>
      </c>
      <c r="J4761">
        <v>-140</v>
      </c>
      <c r="K4761">
        <v>256</v>
      </c>
      <c r="L4761">
        <v>1200</v>
      </c>
      <c r="M4761" t="str">
        <f t="shared" si="464"/>
        <v xml:space="preserve">N35DC   </v>
      </c>
      <c r="N4761">
        <v>1</v>
      </c>
      <c r="O4761">
        <v>1400</v>
      </c>
    </row>
    <row r="4762" spans="1:15" x14ac:dyDescent="0.25">
      <c r="A4762" t="str">
        <f>"10/21/2020 18:48:49.478"</f>
        <v>10/21/2020 18:48:49.478</v>
      </c>
      <c r="B4762" t="str">
        <f>"18:48:57.414"</f>
        <v>18:48:57.414</v>
      </c>
      <c r="C4762" t="str">
        <f>"18:48:57.214"</f>
        <v>18:48:57.214</v>
      </c>
      <c r="D4762" t="s">
        <v>1979</v>
      </c>
      <c r="E4762">
        <v>30.910034</v>
      </c>
      <c r="F4762" t="s">
        <v>1980</v>
      </c>
      <c r="G4762">
        <v>-89.860975999999994</v>
      </c>
      <c r="H4762">
        <v>1300</v>
      </c>
      <c r="I4762">
        <v>-40</v>
      </c>
      <c r="J4762">
        <v>-140</v>
      </c>
      <c r="K4762">
        <v>256</v>
      </c>
      <c r="L4762">
        <v>1200</v>
      </c>
      <c r="M4762" t="str">
        <f t="shared" si="464"/>
        <v xml:space="preserve">N35DC   </v>
      </c>
      <c r="N4762">
        <v>1</v>
      </c>
      <c r="O4762">
        <v>1400</v>
      </c>
    </row>
    <row r="4763" spans="1:15" x14ac:dyDescent="0.25">
      <c r="A4763" t="str">
        <f>"10/21/2020 18:48:49.478"</f>
        <v>10/21/2020 18:48:49.478</v>
      </c>
      <c r="B4763" t="str">
        <f>"18:48:57.414"</f>
        <v>18:48:57.414</v>
      </c>
      <c r="C4763" t="str">
        <f>"18:48:57.214"</f>
        <v>18:48:57.214</v>
      </c>
      <c r="D4763" t="s">
        <v>1979</v>
      </c>
      <c r="E4763">
        <v>30.910034</v>
      </c>
      <c r="F4763" t="s">
        <v>1980</v>
      </c>
      <c r="G4763">
        <v>-89.860975999999994</v>
      </c>
      <c r="H4763">
        <v>1300</v>
      </c>
      <c r="I4763">
        <v>-40</v>
      </c>
      <c r="J4763">
        <v>-140</v>
      </c>
      <c r="K4763">
        <v>256</v>
      </c>
      <c r="L4763">
        <v>1200</v>
      </c>
      <c r="M4763" t="str">
        <f t="shared" si="464"/>
        <v xml:space="preserve">N35DC   </v>
      </c>
      <c r="N4763">
        <v>1</v>
      </c>
      <c r="O4763">
        <v>1400</v>
      </c>
    </row>
    <row r="4764" spans="1:15" x14ac:dyDescent="0.25">
      <c r="A4764" t="str">
        <f>"10/21/2020 18:48:49.478"</f>
        <v>10/21/2020 18:48:49.478</v>
      </c>
      <c r="B4764" t="str">
        <f>"18:48:57.414"</f>
        <v>18:48:57.414</v>
      </c>
      <c r="C4764" t="str">
        <f>"18:48:57.214"</f>
        <v>18:48:57.214</v>
      </c>
      <c r="D4764" t="s">
        <v>1979</v>
      </c>
      <c r="E4764">
        <v>30.910034</v>
      </c>
      <c r="F4764" t="s">
        <v>1980</v>
      </c>
      <c r="G4764">
        <v>-89.860975999999994</v>
      </c>
      <c r="H4764">
        <v>1300</v>
      </c>
      <c r="I4764">
        <v>-40</v>
      </c>
      <c r="J4764">
        <v>-140</v>
      </c>
      <c r="K4764">
        <v>256</v>
      </c>
      <c r="L4764">
        <v>1200</v>
      </c>
      <c r="M4764" t="str">
        <f t="shared" si="464"/>
        <v xml:space="preserve">N35DC   </v>
      </c>
      <c r="N4764">
        <v>1</v>
      </c>
      <c r="O4764">
        <v>1400</v>
      </c>
    </row>
    <row r="4765" spans="1:15" x14ac:dyDescent="0.25">
      <c r="A4765" t="str">
        <f>"10/21/2020 18:48:50.103"</f>
        <v>10/21/2020 18:48:50.103</v>
      </c>
      <c r="B4765" t="str">
        <f>"18:48:58.000"</f>
        <v>18:48:58.000</v>
      </c>
      <c r="C4765" t="str">
        <f>"18:48:57.700"</f>
        <v>18:48:57.700</v>
      </c>
      <c r="D4765" t="s">
        <v>1981</v>
      </c>
      <c r="E4765">
        <v>30.909669000000001</v>
      </c>
      <c r="F4765" t="s">
        <v>1982</v>
      </c>
      <c r="G4765">
        <v>-89.861062000000004</v>
      </c>
      <c r="H4765">
        <v>1300</v>
      </c>
      <c r="I4765">
        <v>-41</v>
      </c>
      <c r="J4765">
        <v>-139</v>
      </c>
      <c r="K4765">
        <v>192</v>
      </c>
      <c r="L4765">
        <v>1200</v>
      </c>
      <c r="M4765" t="str">
        <f t="shared" si="464"/>
        <v xml:space="preserve">N35DC   </v>
      </c>
      <c r="N4765">
        <v>1</v>
      </c>
      <c r="O4765">
        <v>1425</v>
      </c>
    </row>
    <row r="4766" spans="1:15" x14ac:dyDescent="0.25">
      <c r="A4766" t="str">
        <f>"10/21/2020 18:48:50.592"</f>
        <v>10/21/2020 18:48:50.592</v>
      </c>
      <c r="B4766" t="str">
        <f>"18:48:58.539"</f>
        <v>18:48:58.539</v>
      </c>
      <c r="C4766" t="str">
        <f>"18:48:58.239"</f>
        <v>18:48:58.239</v>
      </c>
      <c r="D4766" t="s">
        <v>1983</v>
      </c>
      <c r="E4766">
        <v>30.909305</v>
      </c>
      <c r="F4766" t="s">
        <v>1984</v>
      </c>
      <c r="G4766">
        <v>-89.861211999999995</v>
      </c>
      <c r="H4766">
        <v>1300</v>
      </c>
      <c r="I4766">
        <v>-41</v>
      </c>
      <c r="J4766">
        <v>-139</v>
      </c>
      <c r="K4766">
        <v>192</v>
      </c>
      <c r="L4766">
        <v>1200</v>
      </c>
      <c r="M4766" t="str">
        <f t="shared" si="464"/>
        <v xml:space="preserve">N35DC   </v>
      </c>
      <c r="N4766">
        <v>1</v>
      </c>
      <c r="O4766">
        <v>1425</v>
      </c>
    </row>
    <row r="4767" spans="1:15" x14ac:dyDescent="0.25">
      <c r="A4767" t="str">
        <f>"10/21/2020 18:48:50.592"</f>
        <v>10/21/2020 18:48:50.592</v>
      </c>
      <c r="B4767" t="str">
        <f>"18:48:58.539"</f>
        <v>18:48:58.539</v>
      </c>
      <c r="C4767" t="str">
        <f>"18:48:58.239"</f>
        <v>18:48:58.239</v>
      </c>
      <c r="D4767" t="s">
        <v>1983</v>
      </c>
      <c r="E4767">
        <v>30.909305</v>
      </c>
      <c r="F4767" t="s">
        <v>1984</v>
      </c>
      <c r="G4767">
        <v>-89.861211999999995</v>
      </c>
      <c r="H4767">
        <v>1300</v>
      </c>
      <c r="I4767">
        <v>-41</v>
      </c>
      <c r="J4767">
        <v>-139</v>
      </c>
      <c r="K4767">
        <v>192</v>
      </c>
      <c r="L4767">
        <v>1200</v>
      </c>
      <c r="M4767" t="str">
        <f t="shared" si="464"/>
        <v xml:space="preserve">N35DC   </v>
      </c>
      <c r="N4767">
        <v>1</v>
      </c>
      <c r="O4767">
        <v>1425</v>
      </c>
    </row>
    <row r="4768" spans="1:15" x14ac:dyDescent="0.25">
      <c r="A4768" t="str">
        <f>"10/21/2020 18:48:50.592"</f>
        <v>10/21/2020 18:48:50.592</v>
      </c>
      <c r="B4768" t="str">
        <f>"18:48:58.539"</f>
        <v>18:48:58.539</v>
      </c>
      <c r="C4768" t="str">
        <f>"18:48:58.239"</f>
        <v>18:48:58.239</v>
      </c>
      <c r="D4768" t="s">
        <v>1983</v>
      </c>
      <c r="E4768">
        <v>30.909305</v>
      </c>
      <c r="F4768" t="s">
        <v>1984</v>
      </c>
      <c r="G4768">
        <v>-89.861211999999995</v>
      </c>
      <c r="H4768">
        <v>1300</v>
      </c>
      <c r="I4768">
        <v>-41</v>
      </c>
      <c r="J4768">
        <v>-139</v>
      </c>
      <c r="K4768">
        <v>192</v>
      </c>
      <c r="L4768">
        <v>1200</v>
      </c>
      <c r="M4768" t="str">
        <f t="shared" si="464"/>
        <v xml:space="preserve">N35DC   </v>
      </c>
      <c r="N4768">
        <v>1</v>
      </c>
      <c r="O4768">
        <v>1425</v>
      </c>
    </row>
    <row r="4769" spans="1:15" x14ac:dyDescent="0.25">
      <c r="A4769" t="str">
        <f>"10/21/2020 18:48:50.592"</f>
        <v>10/21/2020 18:48:50.592</v>
      </c>
      <c r="B4769" t="str">
        <f>"18:48:58.539"</f>
        <v>18:48:58.539</v>
      </c>
      <c r="C4769" t="str">
        <f>"18:48:58.239"</f>
        <v>18:48:58.239</v>
      </c>
      <c r="D4769" t="s">
        <v>1983</v>
      </c>
      <c r="E4769">
        <v>30.909305</v>
      </c>
      <c r="F4769" t="s">
        <v>1984</v>
      </c>
      <c r="G4769">
        <v>-89.861211999999995</v>
      </c>
      <c r="H4769">
        <v>1300</v>
      </c>
      <c r="I4769">
        <v>-41</v>
      </c>
      <c r="J4769">
        <v>-139</v>
      </c>
      <c r="K4769">
        <v>192</v>
      </c>
      <c r="L4769">
        <v>1200</v>
      </c>
      <c r="M4769" t="str">
        <f t="shared" si="464"/>
        <v xml:space="preserve">N35DC   </v>
      </c>
      <c r="N4769">
        <v>1</v>
      </c>
      <c r="O4769">
        <v>1425</v>
      </c>
    </row>
    <row r="4770" spans="1:15" x14ac:dyDescent="0.25">
      <c r="A4770" t="str">
        <f>"10/21/2020 18:48:50.592"</f>
        <v>10/21/2020 18:48:50.592</v>
      </c>
      <c r="B4770" t="str">
        <f>"18:48:58.539"</f>
        <v>18:48:58.539</v>
      </c>
      <c r="C4770" t="str">
        <f>"18:48:58.239"</f>
        <v>18:48:58.239</v>
      </c>
      <c r="D4770" t="s">
        <v>1983</v>
      </c>
      <c r="E4770">
        <v>30.909305</v>
      </c>
      <c r="F4770" t="s">
        <v>1984</v>
      </c>
      <c r="G4770">
        <v>-89.861211999999995</v>
      </c>
      <c r="H4770">
        <v>1300</v>
      </c>
      <c r="I4770">
        <v>-41</v>
      </c>
      <c r="J4770">
        <v>-139</v>
      </c>
      <c r="K4770">
        <v>192</v>
      </c>
      <c r="L4770">
        <v>1200</v>
      </c>
      <c r="M4770" t="str">
        <f t="shared" si="464"/>
        <v xml:space="preserve">N35DC   </v>
      </c>
      <c r="N4770">
        <v>1</v>
      </c>
      <c r="O4770">
        <v>1425</v>
      </c>
    </row>
    <row r="4771" spans="1:15" x14ac:dyDescent="0.25">
      <c r="A4771" t="str">
        <f>"10/21/2020 18:48:53.652"</f>
        <v>10/21/2020 18:48:53.652</v>
      </c>
      <c r="B4771" t="str">
        <f>"18:49:01.633"</f>
        <v>18:49:01.633</v>
      </c>
      <c r="C4771" t="str">
        <f>"18:49:01.333"</f>
        <v>18:49:01.333</v>
      </c>
      <c r="D4771" t="s">
        <v>1985</v>
      </c>
      <c r="E4771">
        <v>30.907330999999999</v>
      </c>
      <c r="F4771" t="s">
        <v>1986</v>
      </c>
      <c r="G4771">
        <v>-89.861919999999998</v>
      </c>
      <c r="H4771">
        <v>1400</v>
      </c>
      <c r="I4771">
        <v>-43</v>
      </c>
      <c r="J4771">
        <v>-137</v>
      </c>
      <c r="K4771">
        <v>128</v>
      </c>
      <c r="L4771">
        <v>1200</v>
      </c>
      <c r="M4771" t="str">
        <f t="shared" si="464"/>
        <v xml:space="preserve">N35DC   </v>
      </c>
      <c r="N4771">
        <v>1</v>
      </c>
      <c r="O4771">
        <v>1425</v>
      </c>
    </row>
    <row r="4772" spans="1:15" x14ac:dyDescent="0.25">
      <c r="A4772" t="str">
        <f>"10/21/2020 18:48:53.652"</f>
        <v>10/21/2020 18:48:53.652</v>
      </c>
      <c r="B4772" t="str">
        <f>"18:49:01.633"</f>
        <v>18:49:01.633</v>
      </c>
      <c r="C4772" t="str">
        <f>"18:49:01.333"</f>
        <v>18:49:01.333</v>
      </c>
      <c r="D4772" t="s">
        <v>1985</v>
      </c>
      <c r="E4772">
        <v>30.907330999999999</v>
      </c>
      <c r="F4772" t="s">
        <v>1986</v>
      </c>
      <c r="G4772">
        <v>-89.861919999999998</v>
      </c>
      <c r="H4772">
        <v>1400</v>
      </c>
      <c r="I4772">
        <v>-43</v>
      </c>
      <c r="J4772">
        <v>-137</v>
      </c>
      <c r="K4772">
        <v>128</v>
      </c>
      <c r="L4772">
        <v>1200</v>
      </c>
      <c r="M4772" t="str">
        <f t="shared" si="464"/>
        <v xml:space="preserve">N35DC   </v>
      </c>
      <c r="N4772">
        <v>1</v>
      </c>
      <c r="O4772">
        <v>1425</v>
      </c>
    </row>
    <row r="4773" spans="1:15" x14ac:dyDescent="0.25">
      <c r="A4773" t="str">
        <f>"10/21/2020 18:48:53.652"</f>
        <v>10/21/2020 18:48:53.652</v>
      </c>
      <c r="B4773" t="str">
        <f>"18:49:01.633"</f>
        <v>18:49:01.633</v>
      </c>
      <c r="C4773" t="str">
        <f>"18:49:01.333"</f>
        <v>18:49:01.333</v>
      </c>
      <c r="D4773" t="s">
        <v>1985</v>
      </c>
      <c r="E4773">
        <v>30.907330999999999</v>
      </c>
      <c r="F4773" t="s">
        <v>1986</v>
      </c>
      <c r="G4773">
        <v>-89.861919999999998</v>
      </c>
      <c r="H4773">
        <v>1400</v>
      </c>
      <c r="I4773">
        <v>-43</v>
      </c>
      <c r="J4773">
        <v>-137</v>
      </c>
      <c r="K4773">
        <v>128</v>
      </c>
      <c r="L4773">
        <v>1200</v>
      </c>
      <c r="M4773" t="str">
        <f t="shared" si="464"/>
        <v xml:space="preserve">N35DC   </v>
      </c>
      <c r="N4773">
        <v>1</v>
      </c>
      <c r="O4773">
        <v>1425</v>
      </c>
    </row>
    <row r="4774" spans="1:15" x14ac:dyDescent="0.25">
      <c r="A4774" t="str">
        <f>"10/21/2020 18:48:53.652"</f>
        <v>10/21/2020 18:48:53.652</v>
      </c>
      <c r="B4774" t="str">
        <f>"18:49:01.633"</f>
        <v>18:49:01.633</v>
      </c>
      <c r="C4774" t="str">
        <f>"18:49:01.333"</f>
        <v>18:49:01.333</v>
      </c>
      <c r="D4774" t="s">
        <v>1985</v>
      </c>
      <c r="E4774">
        <v>30.907330999999999</v>
      </c>
      <c r="F4774" t="s">
        <v>1986</v>
      </c>
      <c r="G4774">
        <v>-89.861919999999998</v>
      </c>
      <c r="H4774">
        <v>1400</v>
      </c>
      <c r="I4774">
        <v>-43</v>
      </c>
      <c r="J4774">
        <v>-137</v>
      </c>
      <c r="K4774">
        <v>128</v>
      </c>
      <c r="L4774">
        <v>1200</v>
      </c>
      <c r="M4774" t="str">
        <f t="shared" si="464"/>
        <v xml:space="preserve">N35DC   </v>
      </c>
      <c r="N4774">
        <v>1</v>
      </c>
      <c r="O4774">
        <v>1425</v>
      </c>
    </row>
    <row r="4775" spans="1:15" x14ac:dyDescent="0.25">
      <c r="A4775" t="str">
        <f>"10/21/2020 18:48:54.185"</f>
        <v>10/21/2020 18:48:54.185</v>
      </c>
      <c r="B4775" t="str">
        <f>"18:49:02.109"</f>
        <v>18:49:02.109</v>
      </c>
      <c r="C4775" t="str">
        <f>"18:49:01.709"</f>
        <v>18:49:01.709</v>
      </c>
      <c r="D4775" t="s">
        <v>1987</v>
      </c>
      <c r="E4775">
        <v>30.907008999999999</v>
      </c>
      <c r="F4775" t="s">
        <v>1988</v>
      </c>
      <c r="G4775">
        <v>-89.862026999999998</v>
      </c>
      <c r="H4775">
        <v>1400</v>
      </c>
      <c r="I4775">
        <v>-43</v>
      </c>
      <c r="J4775">
        <v>-137</v>
      </c>
      <c r="K4775">
        <v>64</v>
      </c>
      <c r="L4775">
        <v>1200</v>
      </c>
      <c r="M4775" t="str">
        <f t="shared" si="464"/>
        <v xml:space="preserve">N35DC   </v>
      </c>
      <c r="N4775">
        <v>1</v>
      </c>
      <c r="O4775">
        <v>1425</v>
      </c>
    </row>
    <row r="4776" spans="1:15" x14ac:dyDescent="0.25">
      <c r="A4776" t="str">
        <f>"10/21/2020 18:48:54.585"</f>
        <v>10/21/2020 18:48:54.585</v>
      </c>
      <c r="B4776" t="str">
        <f>"18:49:02.531"</f>
        <v>18:49:02.531</v>
      </c>
      <c r="C4776" t="str">
        <f>"18:49:02.231"</f>
        <v>18:49:02.231</v>
      </c>
      <c r="D4776" t="s">
        <v>1989</v>
      </c>
      <c r="E4776">
        <v>30.906794000000001</v>
      </c>
      <c r="F4776" t="s">
        <v>1990</v>
      </c>
      <c r="G4776">
        <v>-89.862133999999998</v>
      </c>
      <c r="H4776">
        <v>1400</v>
      </c>
      <c r="I4776">
        <v>-44</v>
      </c>
      <c r="J4776">
        <v>-136</v>
      </c>
      <c r="K4776">
        <v>64</v>
      </c>
      <c r="L4776">
        <v>1200</v>
      </c>
      <c r="M4776" t="str">
        <f t="shared" si="464"/>
        <v xml:space="preserve">N35DC   </v>
      </c>
      <c r="N4776">
        <v>1</v>
      </c>
      <c r="O4776">
        <v>1425</v>
      </c>
    </row>
    <row r="4777" spans="1:15" x14ac:dyDescent="0.25">
      <c r="A4777" t="str">
        <f>"10/21/2020 18:48:54.585"</f>
        <v>10/21/2020 18:48:54.585</v>
      </c>
      <c r="B4777" t="str">
        <f>"18:49:02.531"</f>
        <v>18:49:02.531</v>
      </c>
      <c r="C4777" t="str">
        <f>"18:49:02.231"</f>
        <v>18:49:02.231</v>
      </c>
      <c r="D4777" t="s">
        <v>1989</v>
      </c>
      <c r="E4777">
        <v>30.906794000000001</v>
      </c>
      <c r="F4777" t="s">
        <v>1990</v>
      </c>
      <c r="G4777">
        <v>-89.862133999999998</v>
      </c>
      <c r="H4777">
        <v>1400</v>
      </c>
      <c r="I4777">
        <v>-44</v>
      </c>
      <c r="J4777">
        <v>-136</v>
      </c>
      <c r="K4777">
        <v>64</v>
      </c>
      <c r="L4777">
        <v>1200</v>
      </c>
      <c r="M4777" t="str">
        <f t="shared" si="464"/>
        <v xml:space="preserve">N35DC   </v>
      </c>
      <c r="N4777">
        <v>1</v>
      </c>
      <c r="O4777">
        <v>1425</v>
      </c>
    </row>
    <row r="4778" spans="1:15" x14ac:dyDescent="0.25">
      <c r="A4778" t="str">
        <f>"10/21/2020 18:48:54.585"</f>
        <v>10/21/2020 18:48:54.585</v>
      </c>
      <c r="B4778" t="str">
        <f>"18:49:02.531"</f>
        <v>18:49:02.531</v>
      </c>
      <c r="C4778" t="str">
        <f>"18:49:02.231"</f>
        <v>18:49:02.231</v>
      </c>
      <c r="D4778" t="s">
        <v>1989</v>
      </c>
      <c r="E4778">
        <v>30.906794000000001</v>
      </c>
      <c r="F4778" t="s">
        <v>1990</v>
      </c>
      <c r="G4778">
        <v>-89.862133999999998</v>
      </c>
      <c r="H4778">
        <v>1400</v>
      </c>
      <c r="I4778">
        <v>-44</v>
      </c>
      <c r="J4778">
        <v>-136</v>
      </c>
      <c r="K4778">
        <v>64</v>
      </c>
      <c r="L4778">
        <v>1200</v>
      </c>
      <c r="M4778" t="str">
        <f t="shared" si="464"/>
        <v xml:space="preserve">N35DC   </v>
      </c>
      <c r="N4778">
        <v>1</v>
      </c>
      <c r="O4778">
        <v>1425</v>
      </c>
    </row>
    <row r="4779" spans="1:15" x14ac:dyDescent="0.25">
      <c r="A4779" t="str">
        <f>"10/21/2020 18:48:54.585"</f>
        <v>10/21/2020 18:48:54.585</v>
      </c>
      <c r="B4779" t="str">
        <f>"18:49:02.531"</f>
        <v>18:49:02.531</v>
      </c>
      <c r="C4779" t="str">
        <f>"18:49:02.231"</f>
        <v>18:49:02.231</v>
      </c>
      <c r="D4779" t="s">
        <v>1989</v>
      </c>
      <c r="E4779">
        <v>30.906794000000001</v>
      </c>
      <c r="F4779" t="s">
        <v>1990</v>
      </c>
      <c r="G4779">
        <v>-89.862133999999998</v>
      </c>
      <c r="H4779">
        <v>1400</v>
      </c>
      <c r="I4779">
        <v>-44</v>
      </c>
      <c r="J4779">
        <v>-136</v>
      </c>
      <c r="K4779">
        <v>64</v>
      </c>
      <c r="L4779">
        <v>1200</v>
      </c>
      <c r="M4779" t="str">
        <f t="shared" si="464"/>
        <v xml:space="preserve">N35DC   </v>
      </c>
      <c r="N4779">
        <v>1</v>
      </c>
      <c r="O4779">
        <v>1425</v>
      </c>
    </row>
    <row r="4780" spans="1:15" x14ac:dyDescent="0.25">
      <c r="A4780" t="str">
        <f>"10/21/2020 18:48:54.585"</f>
        <v>10/21/2020 18:48:54.585</v>
      </c>
      <c r="B4780" t="str">
        <f>"18:49:02.531"</f>
        <v>18:49:02.531</v>
      </c>
      <c r="C4780" t="str">
        <f>"18:49:02.231"</f>
        <v>18:49:02.231</v>
      </c>
      <c r="D4780" t="s">
        <v>1989</v>
      </c>
      <c r="E4780">
        <v>30.906794000000001</v>
      </c>
      <c r="F4780" t="s">
        <v>1990</v>
      </c>
      <c r="G4780">
        <v>-89.862133999999998</v>
      </c>
      <c r="H4780">
        <v>1400</v>
      </c>
      <c r="I4780">
        <v>-44</v>
      </c>
      <c r="J4780">
        <v>-136</v>
      </c>
      <c r="K4780">
        <v>64</v>
      </c>
      <c r="L4780">
        <v>1200</v>
      </c>
      <c r="M4780" t="str">
        <f t="shared" si="464"/>
        <v xml:space="preserve">N35DC   </v>
      </c>
      <c r="N4780">
        <v>1</v>
      </c>
      <c r="O4780">
        <v>1425</v>
      </c>
    </row>
    <row r="4781" spans="1:15" x14ac:dyDescent="0.25">
      <c r="A4781" t="str">
        <f t="shared" ref="A4781:A4786" si="465">"10/21/2020 18:48:55.655"</f>
        <v>10/21/2020 18:48:55.655</v>
      </c>
      <c r="B4781" t="str">
        <f t="shared" ref="B4781:C4786" si="466">"18:49:03.609"</f>
        <v>18:49:03.609</v>
      </c>
      <c r="C4781" t="str">
        <f t="shared" si="466"/>
        <v>18:49:03.609</v>
      </c>
      <c r="D4781" t="s">
        <v>1991</v>
      </c>
      <c r="E4781">
        <v>30.906106999999999</v>
      </c>
      <c r="F4781" t="s">
        <v>1992</v>
      </c>
      <c r="G4781">
        <v>-89.862348999999995</v>
      </c>
      <c r="H4781">
        <v>1400</v>
      </c>
      <c r="I4781">
        <v>-45</v>
      </c>
      <c r="J4781">
        <v>-136</v>
      </c>
      <c r="K4781">
        <v>0</v>
      </c>
      <c r="L4781">
        <v>1200</v>
      </c>
      <c r="M4781" t="str">
        <f t="shared" si="464"/>
        <v xml:space="preserve">N35DC   </v>
      </c>
      <c r="N4781">
        <v>1</v>
      </c>
      <c r="O4781">
        <v>1425</v>
      </c>
    </row>
    <row r="4782" spans="1:15" x14ac:dyDescent="0.25">
      <c r="A4782" t="str">
        <f t="shared" si="465"/>
        <v>10/21/2020 18:48:55.655</v>
      </c>
      <c r="B4782" t="str">
        <f t="shared" si="466"/>
        <v>18:49:03.609</v>
      </c>
      <c r="C4782" t="str">
        <f t="shared" si="466"/>
        <v>18:49:03.609</v>
      </c>
      <c r="D4782" t="s">
        <v>1991</v>
      </c>
      <c r="E4782">
        <v>30.906106999999999</v>
      </c>
      <c r="F4782" t="s">
        <v>1992</v>
      </c>
      <c r="G4782">
        <v>-89.862348999999995</v>
      </c>
      <c r="H4782">
        <v>1400</v>
      </c>
      <c r="I4782">
        <v>-45</v>
      </c>
      <c r="J4782">
        <v>-136</v>
      </c>
      <c r="K4782">
        <v>0</v>
      </c>
      <c r="L4782">
        <v>1200</v>
      </c>
      <c r="M4782" t="str">
        <f t="shared" si="464"/>
        <v xml:space="preserve">N35DC   </v>
      </c>
      <c r="N4782">
        <v>1</v>
      </c>
      <c r="O4782">
        <v>1425</v>
      </c>
    </row>
    <row r="4783" spans="1:15" x14ac:dyDescent="0.25">
      <c r="A4783" t="str">
        <f t="shared" si="465"/>
        <v>10/21/2020 18:48:55.655</v>
      </c>
      <c r="B4783" t="str">
        <f t="shared" si="466"/>
        <v>18:49:03.609</v>
      </c>
      <c r="C4783" t="str">
        <f t="shared" si="466"/>
        <v>18:49:03.609</v>
      </c>
      <c r="D4783" t="s">
        <v>1991</v>
      </c>
      <c r="E4783">
        <v>30.906106999999999</v>
      </c>
      <c r="F4783" t="s">
        <v>1992</v>
      </c>
      <c r="G4783">
        <v>-89.862348999999995</v>
      </c>
      <c r="H4783">
        <v>1400</v>
      </c>
      <c r="I4783">
        <v>-45</v>
      </c>
      <c r="J4783">
        <v>-136</v>
      </c>
      <c r="K4783">
        <v>0</v>
      </c>
      <c r="L4783">
        <v>1200</v>
      </c>
      <c r="M4783" t="str">
        <f t="shared" si="464"/>
        <v xml:space="preserve">N35DC   </v>
      </c>
      <c r="N4783">
        <v>1</v>
      </c>
      <c r="O4783">
        <v>1425</v>
      </c>
    </row>
    <row r="4784" spans="1:15" x14ac:dyDescent="0.25">
      <c r="A4784" t="str">
        <f t="shared" si="465"/>
        <v>10/21/2020 18:48:55.655</v>
      </c>
      <c r="B4784" t="str">
        <f t="shared" si="466"/>
        <v>18:49:03.609</v>
      </c>
      <c r="C4784" t="str">
        <f t="shared" si="466"/>
        <v>18:49:03.609</v>
      </c>
      <c r="D4784" t="s">
        <v>1991</v>
      </c>
      <c r="E4784">
        <v>30.906106999999999</v>
      </c>
      <c r="F4784" t="s">
        <v>1992</v>
      </c>
      <c r="G4784">
        <v>-89.862348999999995</v>
      </c>
      <c r="H4784">
        <v>1400</v>
      </c>
      <c r="I4784">
        <v>-45</v>
      </c>
      <c r="J4784">
        <v>-136</v>
      </c>
      <c r="K4784">
        <v>0</v>
      </c>
      <c r="L4784">
        <v>1200</v>
      </c>
      <c r="M4784" t="str">
        <f t="shared" si="464"/>
        <v xml:space="preserve">N35DC   </v>
      </c>
      <c r="N4784">
        <v>1</v>
      </c>
      <c r="O4784">
        <v>1425</v>
      </c>
    </row>
    <row r="4785" spans="1:15" x14ac:dyDescent="0.25">
      <c r="A4785" t="str">
        <f t="shared" si="465"/>
        <v>10/21/2020 18:48:55.655</v>
      </c>
      <c r="B4785" t="str">
        <f t="shared" si="466"/>
        <v>18:49:03.609</v>
      </c>
      <c r="C4785" t="str">
        <f t="shared" si="466"/>
        <v>18:49:03.609</v>
      </c>
      <c r="D4785" t="s">
        <v>1991</v>
      </c>
      <c r="E4785">
        <v>30.906106999999999</v>
      </c>
      <c r="F4785" t="s">
        <v>1992</v>
      </c>
      <c r="G4785">
        <v>-89.862348999999995</v>
      </c>
      <c r="H4785">
        <v>1400</v>
      </c>
      <c r="I4785">
        <v>-45</v>
      </c>
      <c r="J4785">
        <v>-136</v>
      </c>
      <c r="K4785">
        <v>0</v>
      </c>
      <c r="L4785">
        <v>1200</v>
      </c>
      <c r="M4785" t="str">
        <f t="shared" si="464"/>
        <v xml:space="preserve">N35DC   </v>
      </c>
      <c r="N4785">
        <v>1</v>
      </c>
      <c r="O4785">
        <v>1425</v>
      </c>
    </row>
    <row r="4786" spans="1:15" x14ac:dyDescent="0.25">
      <c r="A4786" t="str">
        <f t="shared" si="465"/>
        <v>10/21/2020 18:48:55.655</v>
      </c>
      <c r="B4786" t="str">
        <f t="shared" si="466"/>
        <v>18:49:03.609</v>
      </c>
      <c r="C4786" t="str">
        <f t="shared" si="466"/>
        <v>18:49:03.609</v>
      </c>
      <c r="D4786" t="s">
        <v>1991</v>
      </c>
      <c r="E4786">
        <v>30.906106999999999</v>
      </c>
      <c r="F4786" t="s">
        <v>1992</v>
      </c>
      <c r="G4786">
        <v>-89.862348999999995</v>
      </c>
      <c r="H4786">
        <v>1400</v>
      </c>
      <c r="I4786">
        <v>-45</v>
      </c>
      <c r="J4786">
        <v>-136</v>
      </c>
      <c r="K4786">
        <v>0</v>
      </c>
      <c r="L4786">
        <v>1200</v>
      </c>
      <c r="M4786" t="str">
        <f t="shared" si="464"/>
        <v xml:space="preserve">N35DC   </v>
      </c>
      <c r="N4786">
        <v>1</v>
      </c>
      <c r="O4786">
        <v>1425</v>
      </c>
    </row>
    <row r="4787" spans="1:15" x14ac:dyDescent="0.25">
      <c r="A4787" t="str">
        <f>"10/21/2020 18:48:58.729"</f>
        <v>10/21/2020 18:48:58.729</v>
      </c>
      <c r="B4787" t="str">
        <f>"18:49:06.656"</f>
        <v>18:49:06.656</v>
      </c>
      <c r="C4787" t="str">
        <f>"18:49:06.256"</f>
        <v>18:49:06.256</v>
      </c>
      <c r="D4787" t="s">
        <v>1299</v>
      </c>
      <c r="E4787">
        <v>30.904176</v>
      </c>
      <c r="F4787" t="s">
        <v>1777</v>
      </c>
      <c r="G4787">
        <v>-89.863100000000003</v>
      </c>
      <c r="H4787">
        <v>1400</v>
      </c>
      <c r="I4787">
        <v>-47</v>
      </c>
      <c r="J4787">
        <v>-135</v>
      </c>
      <c r="K4787">
        <v>-128</v>
      </c>
      <c r="L4787">
        <v>1200</v>
      </c>
      <c r="M4787" t="str">
        <f t="shared" si="464"/>
        <v xml:space="preserve">N35DC   </v>
      </c>
      <c r="N4787">
        <v>1</v>
      </c>
      <c r="O4787">
        <v>1425</v>
      </c>
    </row>
    <row r="4788" spans="1:15" x14ac:dyDescent="0.25">
      <c r="A4788" t="str">
        <f>"10/21/2020 18:48:58.729"</f>
        <v>10/21/2020 18:48:58.729</v>
      </c>
      <c r="B4788" t="str">
        <f>"18:49:06.656"</f>
        <v>18:49:06.656</v>
      </c>
      <c r="C4788" t="str">
        <f>"18:49:06.256"</f>
        <v>18:49:06.256</v>
      </c>
      <c r="D4788" t="s">
        <v>1299</v>
      </c>
      <c r="E4788">
        <v>30.904176</v>
      </c>
      <c r="F4788" t="s">
        <v>1777</v>
      </c>
      <c r="G4788">
        <v>-89.863100000000003</v>
      </c>
      <c r="H4788">
        <v>1400</v>
      </c>
      <c r="I4788">
        <v>-47</v>
      </c>
      <c r="J4788">
        <v>-135</v>
      </c>
      <c r="K4788">
        <v>-128</v>
      </c>
      <c r="L4788">
        <v>1200</v>
      </c>
      <c r="M4788" t="str">
        <f t="shared" si="464"/>
        <v xml:space="preserve">N35DC   </v>
      </c>
      <c r="N4788">
        <v>1</v>
      </c>
      <c r="O4788">
        <v>1425</v>
      </c>
    </row>
    <row r="4789" spans="1:15" x14ac:dyDescent="0.25">
      <c r="A4789" t="str">
        <f>"10/21/2020 18:48:58.729"</f>
        <v>10/21/2020 18:48:58.729</v>
      </c>
      <c r="B4789" t="str">
        <f>"18:49:06.656"</f>
        <v>18:49:06.656</v>
      </c>
      <c r="C4789" t="str">
        <f>"18:49:06.256"</f>
        <v>18:49:06.256</v>
      </c>
      <c r="D4789" t="s">
        <v>1299</v>
      </c>
      <c r="E4789">
        <v>30.904176</v>
      </c>
      <c r="F4789" t="s">
        <v>1777</v>
      </c>
      <c r="G4789">
        <v>-89.863100000000003</v>
      </c>
      <c r="H4789">
        <v>1400</v>
      </c>
      <c r="I4789">
        <v>-47</v>
      </c>
      <c r="J4789">
        <v>-135</v>
      </c>
      <c r="K4789">
        <v>-128</v>
      </c>
      <c r="L4789">
        <v>1200</v>
      </c>
      <c r="M4789" t="str">
        <f t="shared" si="464"/>
        <v xml:space="preserve">N35DC   </v>
      </c>
      <c r="N4789">
        <v>1</v>
      </c>
      <c r="O4789">
        <v>1425</v>
      </c>
    </row>
    <row r="4790" spans="1:15" x14ac:dyDescent="0.25">
      <c r="A4790" t="str">
        <f>"10/21/2020 18:48:58.729"</f>
        <v>10/21/2020 18:48:58.729</v>
      </c>
      <c r="B4790" t="str">
        <f>"18:49:06.656"</f>
        <v>18:49:06.656</v>
      </c>
      <c r="C4790" t="str">
        <f>"18:49:06.256"</f>
        <v>18:49:06.256</v>
      </c>
      <c r="D4790" t="s">
        <v>1299</v>
      </c>
      <c r="E4790">
        <v>30.904176</v>
      </c>
      <c r="F4790" t="s">
        <v>1777</v>
      </c>
      <c r="G4790">
        <v>-89.863100000000003</v>
      </c>
      <c r="H4790">
        <v>1400</v>
      </c>
      <c r="I4790">
        <v>-47</v>
      </c>
      <c r="J4790">
        <v>-135</v>
      </c>
      <c r="K4790">
        <v>-128</v>
      </c>
      <c r="L4790">
        <v>1200</v>
      </c>
      <c r="M4790" t="str">
        <f t="shared" si="464"/>
        <v xml:space="preserve">N35DC   </v>
      </c>
      <c r="N4790">
        <v>1</v>
      </c>
      <c r="O4790">
        <v>1425</v>
      </c>
    </row>
    <row r="4791" spans="1:15" x14ac:dyDescent="0.25">
      <c r="A4791" t="str">
        <f>"10/21/2020 18:48:58.729"</f>
        <v>10/21/2020 18:48:58.729</v>
      </c>
      <c r="B4791" t="str">
        <f>"18:49:06.656"</f>
        <v>18:49:06.656</v>
      </c>
      <c r="C4791" t="str">
        <f>"18:49:06.256"</f>
        <v>18:49:06.256</v>
      </c>
      <c r="D4791" t="s">
        <v>1299</v>
      </c>
      <c r="E4791">
        <v>30.904176</v>
      </c>
      <c r="F4791" t="s">
        <v>1777</v>
      </c>
      <c r="G4791">
        <v>-89.863100000000003</v>
      </c>
      <c r="H4791">
        <v>1400</v>
      </c>
      <c r="I4791">
        <v>-47</v>
      </c>
      <c r="J4791">
        <v>-135</v>
      </c>
      <c r="K4791">
        <v>-128</v>
      </c>
      <c r="L4791">
        <v>1200</v>
      </c>
      <c r="M4791" t="str">
        <f t="shared" si="464"/>
        <v xml:space="preserve">N35DC   </v>
      </c>
      <c r="N4791">
        <v>1</v>
      </c>
      <c r="O4791">
        <v>1425</v>
      </c>
    </row>
    <row r="4792" spans="1:15" x14ac:dyDescent="0.25">
      <c r="A4792" t="str">
        <f>"10/21/2020 18:49:01.710"</f>
        <v>10/21/2020 18:49:01.710</v>
      </c>
      <c r="B4792" t="str">
        <f>"18:49:09.656"</f>
        <v>18:49:09.656</v>
      </c>
      <c r="C4792" t="str">
        <f>"18:49:09.256"</f>
        <v>18:49:09.256</v>
      </c>
      <c r="D4792" t="s">
        <v>1993</v>
      </c>
      <c r="E4792">
        <v>30.902287999999999</v>
      </c>
      <c r="F4792" t="s">
        <v>1994</v>
      </c>
      <c r="G4792">
        <v>-89.863915000000006</v>
      </c>
      <c r="H4792">
        <v>1300</v>
      </c>
      <c r="I4792">
        <v>-49</v>
      </c>
      <c r="J4792">
        <v>-134</v>
      </c>
      <c r="K4792">
        <v>-64</v>
      </c>
      <c r="L4792">
        <v>1200</v>
      </c>
      <c r="M4792" t="str">
        <f t="shared" si="464"/>
        <v xml:space="preserve">N35DC   </v>
      </c>
      <c r="N4792">
        <v>1</v>
      </c>
      <c r="O4792">
        <v>1425</v>
      </c>
    </row>
    <row r="4793" spans="1:15" x14ac:dyDescent="0.25">
      <c r="A4793" t="str">
        <f>"10/21/2020 18:49:01.710"</f>
        <v>10/21/2020 18:49:01.710</v>
      </c>
      <c r="B4793" t="str">
        <f>"18:49:09.656"</f>
        <v>18:49:09.656</v>
      </c>
      <c r="C4793" t="str">
        <f>"18:49:09.256"</f>
        <v>18:49:09.256</v>
      </c>
      <c r="D4793" t="s">
        <v>1993</v>
      </c>
      <c r="E4793">
        <v>30.902287999999999</v>
      </c>
      <c r="F4793" t="s">
        <v>1994</v>
      </c>
      <c r="G4793">
        <v>-89.863915000000006</v>
      </c>
      <c r="H4793">
        <v>1300</v>
      </c>
      <c r="I4793">
        <v>-49</v>
      </c>
      <c r="J4793">
        <v>-134</v>
      </c>
      <c r="K4793">
        <v>-64</v>
      </c>
      <c r="L4793">
        <v>1200</v>
      </c>
      <c r="M4793" t="str">
        <f t="shared" si="464"/>
        <v xml:space="preserve">N35DC   </v>
      </c>
      <c r="N4793">
        <v>1</v>
      </c>
      <c r="O4793">
        <v>1425</v>
      </c>
    </row>
    <row r="4794" spans="1:15" x14ac:dyDescent="0.25">
      <c r="A4794" t="str">
        <f>"10/21/2020 18:49:01.710"</f>
        <v>10/21/2020 18:49:01.710</v>
      </c>
      <c r="B4794" t="str">
        <f>"18:49:09.656"</f>
        <v>18:49:09.656</v>
      </c>
      <c r="C4794" t="str">
        <f>"18:49:09.256"</f>
        <v>18:49:09.256</v>
      </c>
      <c r="D4794" t="s">
        <v>1993</v>
      </c>
      <c r="E4794">
        <v>30.902287999999999</v>
      </c>
      <c r="F4794" t="s">
        <v>1994</v>
      </c>
      <c r="G4794">
        <v>-89.863915000000006</v>
      </c>
      <c r="H4794">
        <v>1300</v>
      </c>
      <c r="I4794">
        <v>-49</v>
      </c>
      <c r="J4794">
        <v>-134</v>
      </c>
      <c r="K4794">
        <v>-64</v>
      </c>
      <c r="L4794">
        <v>1200</v>
      </c>
      <c r="M4794" t="str">
        <f t="shared" si="464"/>
        <v xml:space="preserve">N35DC   </v>
      </c>
      <c r="N4794">
        <v>1</v>
      </c>
      <c r="O4794">
        <v>1425</v>
      </c>
    </row>
    <row r="4795" spans="1:15" x14ac:dyDescent="0.25">
      <c r="A4795" t="str">
        <f>"10/21/2020 18:49:01.710"</f>
        <v>10/21/2020 18:49:01.710</v>
      </c>
      <c r="B4795" t="str">
        <f>"18:49:09.656"</f>
        <v>18:49:09.656</v>
      </c>
      <c r="C4795" t="str">
        <f>"18:49:09.256"</f>
        <v>18:49:09.256</v>
      </c>
      <c r="D4795" t="s">
        <v>1993</v>
      </c>
      <c r="E4795">
        <v>30.902287999999999</v>
      </c>
      <c r="F4795" t="s">
        <v>1994</v>
      </c>
      <c r="G4795">
        <v>-89.863915000000006</v>
      </c>
      <c r="H4795">
        <v>1300</v>
      </c>
      <c r="I4795">
        <v>-49</v>
      </c>
      <c r="J4795">
        <v>-134</v>
      </c>
      <c r="K4795">
        <v>-64</v>
      </c>
      <c r="L4795">
        <v>1200</v>
      </c>
      <c r="M4795" t="str">
        <f t="shared" si="464"/>
        <v xml:space="preserve">N35DC   </v>
      </c>
      <c r="N4795">
        <v>1</v>
      </c>
      <c r="O4795">
        <v>1525</v>
      </c>
    </row>
    <row r="4796" spans="1:15" x14ac:dyDescent="0.25">
      <c r="A4796" t="str">
        <f>"10/21/2020 18:49:01.710"</f>
        <v>10/21/2020 18:49:01.710</v>
      </c>
      <c r="B4796" t="str">
        <f>"18:49:09.656"</f>
        <v>18:49:09.656</v>
      </c>
      <c r="C4796" t="str">
        <f>"18:49:09.256"</f>
        <v>18:49:09.256</v>
      </c>
      <c r="D4796" t="s">
        <v>1993</v>
      </c>
      <c r="E4796">
        <v>30.902287999999999</v>
      </c>
      <c r="F4796" t="s">
        <v>1994</v>
      </c>
      <c r="G4796">
        <v>-89.863915000000006</v>
      </c>
      <c r="H4796">
        <v>1300</v>
      </c>
      <c r="I4796">
        <v>-49</v>
      </c>
      <c r="J4796">
        <v>-134</v>
      </c>
      <c r="K4796">
        <v>-64</v>
      </c>
      <c r="L4796">
        <v>1200</v>
      </c>
      <c r="M4796" t="str">
        <f t="shared" si="464"/>
        <v xml:space="preserve">N35DC   </v>
      </c>
      <c r="N4796">
        <v>1</v>
      </c>
      <c r="O4796">
        <v>1425</v>
      </c>
    </row>
    <row r="4797" spans="1:15" x14ac:dyDescent="0.25">
      <c r="A4797" t="str">
        <f>"10/21/2020 18:49:05.868"</f>
        <v>10/21/2020 18:49:05.868</v>
      </c>
      <c r="B4797" t="str">
        <f>"18:49:13.828"</f>
        <v>18:49:13.828</v>
      </c>
      <c r="C4797" t="str">
        <f>"18:49:13.428"</f>
        <v>18:49:13.428</v>
      </c>
      <c r="D4797" t="s">
        <v>1995</v>
      </c>
      <c r="E4797">
        <v>30.899756</v>
      </c>
      <c r="F4797" t="s">
        <v>1996</v>
      </c>
      <c r="G4797">
        <v>-89.865031000000002</v>
      </c>
      <c r="H4797">
        <v>1300</v>
      </c>
      <c r="I4797">
        <v>-52</v>
      </c>
      <c r="J4797">
        <v>-132</v>
      </c>
      <c r="K4797">
        <v>-64</v>
      </c>
      <c r="L4797">
        <v>1200</v>
      </c>
      <c r="M4797" t="str">
        <f t="shared" si="464"/>
        <v xml:space="preserve">N35DC   </v>
      </c>
      <c r="N4797">
        <v>1</v>
      </c>
      <c r="O4797">
        <v>1425</v>
      </c>
    </row>
    <row r="4798" spans="1:15" x14ac:dyDescent="0.25">
      <c r="A4798" t="str">
        <f>"10/21/2020 18:49:05.868"</f>
        <v>10/21/2020 18:49:05.868</v>
      </c>
      <c r="B4798" t="str">
        <f>"18:49:13.828"</f>
        <v>18:49:13.828</v>
      </c>
      <c r="C4798" t="str">
        <f>"18:49:13.428"</f>
        <v>18:49:13.428</v>
      </c>
      <c r="D4798" t="s">
        <v>1995</v>
      </c>
      <c r="E4798">
        <v>30.899756</v>
      </c>
      <c r="F4798" t="s">
        <v>1996</v>
      </c>
      <c r="G4798">
        <v>-89.865031000000002</v>
      </c>
      <c r="H4798">
        <v>1300</v>
      </c>
      <c r="I4798">
        <v>-52</v>
      </c>
      <c r="J4798">
        <v>-132</v>
      </c>
      <c r="K4798">
        <v>-64</v>
      </c>
      <c r="L4798">
        <v>1200</v>
      </c>
      <c r="M4798" t="str">
        <f t="shared" si="464"/>
        <v xml:space="preserve">N35DC   </v>
      </c>
      <c r="N4798">
        <v>1</v>
      </c>
      <c r="O4798">
        <v>1425</v>
      </c>
    </row>
    <row r="4799" spans="1:15" x14ac:dyDescent="0.25">
      <c r="A4799" t="str">
        <f>"10/21/2020 18:49:05.868"</f>
        <v>10/21/2020 18:49:05.868</v>
      </c>
      <c r="B4799" t="str">
        <f>"18:49:13.828"</f>
        <v>18:49:13.828</v>
      </c>
      <c r="C4799" t="str">
        <f>"18:49:13.428"</f>
        <v>18:49:13.428</v>
      </c>
      <c r="D4799" t="s">
        <v>1995</v>
      </c>
      <c r="E4799">
        <v>30.899756</v>
      </c>
      <c r="F4799" t="s">
        <v>1996</v>
      </c>
      <c r="G4799">
        <v>-89.865031000000002</v>
      </c>
      <c r="H4799">
        <v>1300</v>
      </c>
      <c r="I4799">
        <v>-52</v>
      </c>
      <c r="J4799">
        <v>-132</v>
      </c>
      <c r="K4799">
        <v>-64</v>
      </c>
      <c r="L4799">
        <v>1200</v>
      </c>
      <c r="M4799" t="str">
        <f t="shared" si="464"/>
        <v xml:space="preserve">N35DC   </v>
      </c>
      <c r="N4799">
        <v>1</v>
      </c>
      <c r="O4799">
        <v>1425</v>
      </c>
    </row>
    <row r="4800" spans="1:15" x14ac:dyDescent="0.25">
      <c r="A4800" t="str">
        <f>"10/21/2020 18:49:05.868"</f>
        <v>10/21/2020 18:49:05.868</v>
      </c>
      <c r="B4800" t="str">
        <f>"18:49:13.828"</f>
        <v>18:49:13.828</v>
      </c>
      <c r="C4800" t="str">
        <f>"18:49:13.428"</f>
        <v>18:49:13.428</v>
      </c>
      <c r="D4800" t="s">
        <v>1995</v>
      </c>
      <c r="E4800">
        <v>30.899756</v>
      </c>
      <c r="F4800" t="s">
        <v>1996</v>
      </c>
      <c r="G4800">
        <v>-89.865031000000002</v>
      </c>
      <c r="H4800">
        <v>1300</v>
      </c>
      <c r="I4800">
        <v>-52</v>
      </c>
      <c r="J4800">
        <v>-132</v>
      </c>
      <c r="K4800">
        <v>-64</v>
      </c>
      <c r="L4800">
        <v>1200</v>
      </c>
      <c r="M4800" t="str">
        <f t="shared" si="464"/>
        <v xml:space="preserve">N35DC   </v>
      </c>
      <c r="N4800">
        <v>1</v>
      </c>
      <c r="O4800">
        <v>1425</v>
      </c>
    </row>
    <row r="4801" spans="1:15" x14ac:dyDescent="0.25">
      <c r="A4801" t="str">
        <f>"10/21/2020 18:49:05.868"</f>
        <v>10/21/2020 18:49:05.868</v>
      </c>
      <c r="B4801" t="str">
        <f>"18:49:13.828"</f>
        <v>18:49:13.828</v>
      </c>
      <c r="C4801" t="str">
        <f>"18:49:13.428"</f>
        <v>18:49:13.428</v>
      </c>
      <c r="D4801" t="s">
        <v>1995</v>
      </c>
      <c r="E4801">
        <v>30.899756</v>
      </c>
      <c r="F4801" t="s">
        <v>1996</v>
      </c>
      <c r="G4801">
        <v>-89.865031000000002</v>
      </c>
      <c r="H4801">
        <v>1300</v>
      </c>
      <c r="I4801">
        <v>-52</v>
      </c>
      <c r="J4801">
        <v>-132</v>
      </c>
      <c r="K4801">
        <v>-64</v>
      </c>
      <c r="L4801">
        <v>1200</v>
      </c>
      <c r="M4801" t="str">
        <f t="shared" si="464"/>
        <v xml:space="preserve">N35DC   </v>
      </c>
      <c r="N4801">
        <v>1</v>
      </c>
      <c r="O4801">
        <v>1425</v>
      </c>
    </row>
    <row r="4802" spans="1:15" x14ac:dyDescent="0.25">
      <c r="A4802" t="str">
        <f>"10/21/2020 18:49:06.333"</f>
        <v>10/21/2020 18:49:06.333</v>
      </c>
      <c r="B4802" t="str">
        <f>"18:49:14.258"</f>
        <v>18:49:14.258</v>
      </c>
      <c r="C4802" t="str">
        <f>"18:49:13.958"</f>
        <v>18:49:13.958</v>
      </c>
      <c r="D4802" t="s">
        <v>1997</v>
      </c>
      <c r="E4802">
        <v>30.899477000000001</v>
      </c>
      <c r="F4802" t="s">
        <v>1536</v>
      </c>
      <c r="G4802">
        <v>-89.865138999999999</v>
      </c>
      <c r="H4802">
        <v>1300</v>
      </c>
      <c r="I4802">
        <v>-52</v>
      </c>
      <c r="J4802">
        <v>-132</v>
      </c>
      <c r="K4802">
        <v>0</v>
      </c>
      <c r="L4802">
        <v>1200</v>
      </c>
      <c r="M4802" t="str">
        <f t="shared" si="464"/>
        <v xml:space="preserve">N35DC   </v>
      </c>
      <c r="N4802">
        <v>1</v>
      </c>
      <c r="O4802">
        <v>1425</v>
      </c>
    </row>
    <row r="4803" spans="1:15" x14ac:dyDescent="0.25">
      <c r="A4803" t="str">
        <f>"10/21/2020 18:49:06.798"</f>
        <v>10/21/2020 18:49:06.798</v>
      </c>
      <c r="B4803" t="str">
        <f>"18:49:14.742"</f>
        <v>18:49:14.742</v>
      </c>
      <c r="C4803" t="str">
        <f>"18:49:14.342"</f>
        <v>18:49:14.342</v>
      </c>
      <c r="D4803" t="s">
        <v>1998</v>
      </c>
      <c r="E4803">
        <v>30.899197999999998</v>
      </c>
      <c r="F4803" t="s">
        <v>1145</v>
      </c>
      <c r="G4803">
        <v>-89.865309999999994</v>
      </c>
      <c r="H4803">
        <v>1300</v>
      </c>
      <c r="I4803">
        <v>-53</v>
      </c>
      <c r="J4803">
        <v>-132</v>
      </c>
      <c r="K4803">
        <v>0</v>
      </c>
      <c r="L4803">
        <v>1200</v>
      </c>
      <c r="M4803" t="str">
        <f t="shared" si="464"/>
        <v xml:space="preserve">N35DC   </v>
      </c>
      <c r="N4803">
        <v>1</v>
      </c>
      <c r="O4803">
        <v>1425</v>
      </c>
    </row>
    <row r="4804" spans="1:15" x14ac:dyDescent="0.25">
      <c r="A4804" t="str">
        <f>"10/21/2020 18:49:06.798"</f>
        <v>10/21/2020 18:49:06.798</v>
      </c>
      <c r="B4804" t="str">
        <f>"18:49:14.742"</f>
        <v>18:49:14.742</v>
      </c>
      <c r="C4804" t="str">
        <f>"18:49:14.342"</f>
        <v>18:49:14.342</v>
      </c>
      <c r="D4804" t="s">
        <v>1998</v>
      </c>
      <c r="E4804">
        <v>30.899197999999998</v>
      </c>
      <c r="F4804" t="s">
        <v>1145</v>
      </c>
      <c r="G4804">
        <v>-89.865309999999994</v>
      </c>
      <c r="H4804">
        <v>1300</v>
      </c>
      <c r="I4804">
        <v>-53</v>
      </c>
      <c r="J4804">
        <v>-132</v>
      </c>
      <c r="K4804">
        <v>0</v>
      </c>
      <c r="L4804">
        <v>1200</v>
      </c>
      <c r="M4804" t="str">
        <f t="shared" si="464"/>
        <v xml:space="preserve">N35DC   </v>
      </c>
      <c r="N4804">
        <v>1</v>
      </c>
      <c r="O4804">
        <v>1425</v>
      </c>
    </row>
    <row r="4805" spans="1:15" x14ac:dyDescent="0.25">
      <c r="A4805" t="str">
        <f>"10/21/2020 18:49:06.798"</f>
        <v>10/21/2020 18:49:06.798</v>
      </c>
      <c r="B4805" t="str">
        <f>"18:49:14.742"</f>
        <v>18:49:14.742</v>
      </c>
      <c r="C4805" t="str">
        <f>"18:49:14.342"</f>
        <v>18:49:14.342</v>
      </c>
      <c r="D4805" t="s">
        <v>1998</v>
      </c>
      <c r="E4805">
        <v>30.899197999999998</v>
      </c>
      <c r="F4805" t="s">
        <v>1145</v>
      </c>
      <c r="G4805">
        <v>-89.865309999999994</v>
      </c>
      <c r="H4805">
        <v>1300</v>
      </c>
      <c r="I4805">
        <v>-53</v>
      </c>
      <c r="J4805">
        <v>-132</v>
      </c>
      <c r="K4805">
        <v>0</v>
      </c>
      <c r="L4805">
        <v>1200</v>
      </c>
      <c r="M4805" t="str">
        <f t="shared" si="464"/>
        <v xml:space="preserve">N35DC   </v>
      </c>
      <c r="N4805">
        <v>1</v>
      </c>
      <c r="O4805">
        <v>1425</v>
      </c>
    </row>
    <row r="4806" spans="1:15" x14ac:dyDescent="0.25">
      <c r="A4806" t="str">
        <f>"10/21/2020 18:49:06.798"</f>
        <v>10/21/2020 18:49:06.798</v>
      </c>
      <c r="B4806" t="str">
        <f>"18:49:14.742"</f>
        <v>18:49:14.742</v>
      </c>
      <c r="C4806" t="str">
        <f>"18:49:13.442"</f>
        <v>18:49:13.442</v>
      </c>
      <c r="D4806" t="s">
        <v>1998</v>
      </c>
      <c r="E4806">
        <v>30.899197999999998</v>
      </c>
      <c r="F4806" t="s">
        <v>1145</v>
      </c>
      <c r="G4806">
        <v>-89.865309999999994</v>
      </c>
      <c r="H4806">
        <v>1300</v>
      </c>
      <c r="I4806">
        <v>-52</v>
      </c>
      <c r="J4806">
        <v>-132</v>
      </c>
      <c r="K4806">
        <v>-64</v>
      </c>
      <c r="L4806">
        <v>1200</v>
      </c>
      <c r="M4806" t="str">
        <f t="shared" si="464"/>
        <v xml:space="preserve">N35DC   </v>
      </c>
      <c r="N4806">
        <v>1</v>
      </c>
      <c r="O4806">
        <v>1425</v>
      </c>
    </row>
    <row r="4807" spans="1:15" x14ac:dyDescent="0.25">
      <c r="A4807" t="str">
        <f>"10/21/2020 18:49:06.798"</f>
        <v>10/21/2020 18:49:06.798</v>
      </c>
      <c r="B4807" t="str">
        <f>"18:49:14.742"</f>
        <v>18:49:14.742</v>
      </c>
      <c r="C4807" t="str">
        <f>"18:49:14.342"</f>
        <v>18:49:14.342</v>
      </c>
      <c r="D4807" t="s">
        <v>1998</v>
      </c>
      <c r="E4807">
        <v>30.899197999999998</v>
      </c>
      <c r="F4807" t="s">
        <v>1145</v>
      </c>
      <c r="G4807">
        <v>-89.865309999999994</v>
      </c>
      <c r="H4807">
        <v>1300</v>
      </c>
      <c r="I4807">
        <v>-53</v>
      </c>
      <c r="J4807">
        <v>-132</v>
      </c>
      <c r="K4807">
        <v>0</v>
      </c>
      <c r="L4807">
        <v>1200</v>
      </c>
      <c r="M4807" t="str">
        <f t="shared" ref="M4807:M4870" si="467">"N35DC   "</f>
        <v xml:space="preserve">N35DC   </v>
      </c>
      <c r="N4807">
        <v>1</v>
      </c>
      <c r="O4807">
        <v>1425</v>
      </c>
    </row>
    <row r="4808" spans="1:15" x14ac:dyDescent="0.25">
      <c r="A4808" t="str">
        <f>"10/21/2020 18:49:08.736"</f>
        <v>10/21/2020 18:49:08.736</v>
      </c>
      <c r="B4808" t="str">
        <f>"18:49:16.648"</f>
        <v>18:49:16.648</v>
      </c>
      <c r="C4808" t="str">
        <f>"18:49:16.348"</f>
        <v>18:49:16.348</v>
      </c>
      <c r="D4808" t="s">
        <v>1999</v>
      </c>
      <c r="E4808">
        <v>30.897974999999999</v>
      </c>
      <c r="F4808" t="s">
        <v>698</v>
      </c>
      <c r="G4808">
        <v>-89.865847000000002</v>
      </c>
      <c r="H4808">
        <v>1300</v>
      </c>
      <c r="I4808">
        <v>-53</v>
      </c>
      <c r="J4808">
        <v>-132</v>
      </c>
      <c r="K4808">
        <v>0</v>
      </c>
      <c r="L4808">
        <v>1200</v>
      </c>
      <c r="M4808" t="str">
        <f t="shared" si="467"/>
        <v xml:space="preserve">N35DC   </v>
      </c>
      <c r="N4808">
        <v>1</v>
      </c>
      <c r="O4808">
        <v>1425</v>
      </c>
    </row>
    <row r="4809" spans="1:15" x14ac:dyDescent="0.25">
      <c r="A4809" t="str">
        <f>"10/21/2020 18:49:08.736"</f>
        <v>10/21/2020 18:49:08.736</v>
      </c>
      <c r="B4809" t="str">
        <f>"18:49:16.648"</f>
        <v>18:49:16.648</v>
      </c>
      <c r="C4809" t="str">
        <f>"18:49:16.348"</f>
        <v>18:49:16.348</v>
      </c>
      <c r="D4809" t="s">
        <v>1999</v>
      </c>
      <c r="E4809">
        <v>30.897974999999999</v>
      </c>
      <c r="F4809" t="s">
        <v>698</v>
      </c>
      <c r="G4809">
        <v>-89.865847000000002</v>
      </c>
      <c r="H4809">
        <v>1300</v>
      </c>
      <c r="I4809">
        <v>-53</v>
      </c>
      <c r="J4809">
        <v>-132</v>
      </c>
      <c r="K4809">
        <v>0</v>
      </c>
      <c r="L4809">
        <v>1200</v>
      </c>
      <c r="M4809" t="str">
        <f t="shared" si="467"/>
        <v xml:space="preserve">N35DC   </v>
      </c>
      <c r="N4809">
        <v>1</v>
      </c>
      <c r="O4809">
        <v>1425</v>
      </c>
    </row>
    <row r="4810" spans="1:15" x14ac:dyDescent="0.25">
      <c r="A4810" t="str">
        <f>"10/21/2020 18:49:08.736"</f>
        <v>10/21/2020 18:49:08.736</v>
      </c>
      <c r="B4810" t="str">
        <f>"18:49:16.648"</f>
        <v>18:49:16.648</v>
      </c>
      <c r="C4810" t="str">
        <f>"18:49:16.348"</f>
        <v>18:49:16.348</v>
      </c>
      <c r="D4810" t="s">
        <v>1999</v>
      </c>
      <c r="E4810">
        <v>30.897974999999999</v>
      </c>
      <c r="F4810" t="s">
        <v>698</v>
      </c>
      <c r="G4810">
        <v>-89.865847000000002</v>
      </c>
      <c r="H4810">
        <v>1300</v>
      </c>
      <c r="I4810">
        <v>-53</v>
      </c>
      <c r="J4810">
        <v>-132</v>
      </c>
      <c r="K4810">
        <v>0</v>
      </c>
      <c r="L4810">
        <v>1200</v>
      </c>
      <c r="M4810" t="str">
        <f t="shared" si="467"/>
        <v xml:space="preserve">N35DC   </v>
      </c>
      <c r="N4810">
        <v>1</v>
      </c>
      <c r="O4810">
        <v>1425</v>
      </c>
    </row>
    <row r="4811" spans="1:15" x14ac:dyDescent="0.25">
      <c r="A4811" t="str">
        <f>"10/21/2020 18:49:08.736"</f>
        <v>10/21/2020 18:49:08.736</v>
      </c>
      <c r="B4811" t="str">
        <f>"18:49:16.648"</f>
        <v>18:49:16.648</v>
      </c>
      <c r="C4811" t="str">
        <f>"18:49:16.348"</f>
        <v>18:49:16.348</v>
      </c>
      <c r="D4811" t="s">
        <v>1999</v>
      </c>
      <c r="E4811">
        <v>30.897974999999999</v>
      </c>
      <c r="F4811" t="s">
        <v>698</v>
      </c>
      <c r="G4811">
        <v>-89.865847000000002</v>
      </c>
      <c r="H4811">
        <v>1300</v>
      </c>
      <c r="I4811">
        <v>-53</v>
      </c>
      <c r="J4811">
        <v>-132</v>
      </c>
      <c r="K4811">
        <v>0</v>
      </c>
      <c r="L4811">
        <v>1200</v>
      </c>
      <c r="M4811" t="str">
        <f t="shared" si="467"/>
        <v xml:space="preserve">N35DC   </v>
      </c>
      <c r="N4811">
        <v>1</v>
      </c>
      <c r="O4811">
        <v>1425</v>
      </c>
    </row>
    <row r="4812" spans="1:15" x14ac:dyDescent="0.25">
      <c r="A4812" t="str">
        <f>"10/21/2020 18:49:08.736"</f>
        <v>10/21/2020 18:49:08.736</v>
      </c>
      <c r="B4812" t="str">
        <f>"18:49:16.648"</f>
        <v>18:49:16.648</v>
      </c>
      <c r="C4812" t="str">
        <f>"18:49:16.348"</f>
        <v>18:49:16.348</v>
      </c>
      <c r="D4812" t="s">
        <v>1999</v>
      </c>
      <c r="E4812">
        <v>30.897974999999999</v>
      </c>
      <c r="F4812" t="s">
        <v>698</v>
      </c>
      <c r="G4812">
        <v>-89.865847000000002</v>
      </c>
      <c r="H4812">
        <v>1300</v>
      </c>
      <c r="I4812">
        <v>-53</v>
      </c>
      <c r="J4812">
        <v>-132</v>
      </c>
      <c r="K4812">
        <v>0</v>
      </c>
      <c r="L4812">
        <v>1200</v>
      </c>
      <c r="M4812" t="str">
        <f t="shared" si="467"/>
        <v xml:space="preserve">N35DC   </v>
      </c>
      <c r="N4812">
        <v>1</v>
      </c>
      <c r="O4812">
        <v>1425</v>
      </c>
    </row>
    <row r="4813" spans="1:15" x14ac:dyDescent="0.25">
      <c r="A4813" t="str">
        <f>"10/21/2020 18:49:09.301"</f>
        <v>10/21/2020 18:49:09.301</v>
      </c>
      <c r="B4813" t="str">
        <f>"18:49:17.227"</f>
        <v>18:49:17.227</v>
      </c>
      <c r="C4813" t="str">
        <f>"18:49:17.027"</f>
        <v>18:49:17.027</v>
      </c>
      <c r="D4813" t="s">
        <v>2000</v>
      </c>
      <c r="E4813">
        <v>30.897675</v>
      </c>
      <c r="F4813" t="s">
        <v>2001</v>
      </c>
      <c r="G4813">
        <v>-89.866017999999997</v>
      </c>
      <c r="H4813">
        <v>1300</v>
      </c>
      <c r="I4813">
        <v>-54</v>
      </c>
      <c r="J4813">
        <v>-132</v>
      </c>
      <c r="K4813">
        <v>64</v>
      </c>
      <c r="L4813">
        <v>1200</v>
      </c>
      <c r="M4813" t="str">
        <f t="shared" si="467"/>
        <v xml:space="preserve">N35DC   </v>
      </c>
      <c r="N4813">
        <v>1</v>
      </c>
      <c r="O4813">
        <v>1425</v>
      </c>
    </row>
    <row r="4814" spans="1:15" x14ac:dyDescent="0.25">
      <c r="A4814" t="str">
        <f>"10/21/2020 18:49:09.768"</f>
        <v>10/21/2020 18:49:09.768</v>
      </c>
      <c r="B4814" t="str">
        <f>"18:49:17.742"</f>
        <v>18:49:17.742</v>
      </c>
      <c r="C4814" t="str">
        <f>"18:49:17.342"</f>
        <v>18:49:17.342</v>
      </c>
      <c r="D4814" t="s">
        <v>2002</v>
      </c>
      <c r="E4814">
        <v>30.897352999999999</v>
      </c>
      <c r="F4814" t="s">
        <v>2003</v>
      </c>
      <c r="G4814">
        <v>-89.866168000000002</v>
      </c>
      <c r="H4814">
        <v>1300</v>
      </c>
      <c r="I4814">
        <v>-54</v>
      </c>
      <c r="J4814">
        <v>-131</v>
      </c>
      <c r="K4814">
        <v>64</v>
      </c>
      <c r="L4814">
        <v>1200</v>
      </c>
      <c r="M4814" t="str">
        <f t="shared" si="467"/>
        <v xml:space="preserve">N35DC   </v>
      </c>
      <c r="N4814">
        <v>1</v>
      </c>
      <c r="O4814">
        <v>1425</v>
      </c>
    </row>
    <row r="4815" spans="1:15" x14ac:dyDescent="0.25">
      <c r="A4815" t="str">
        <f>"10/21/2020 18:49:09.768"</f>
        <v>10/21/2020 18:49:09.768</v>
      </c>
      <c r="B4815" t="str">
        <f>"18:49:17.742"</f>
        <v>18:49:17.742</v>
      </c>
      <c r="C4815" t="str">
        <f>"18:49:17.342"</f>
        <v>18:49:17.342</v>
      </c>
      <c r="D4815" t="s">
        <v>2002</v>
      </c>
      <c r="E4815">
        <v>30.897352999999999</v>
      </c>
      <c r="F4815" t="s">
        <v>2003</v>
      </c>
      <c r="G4815">
        <v>-89.866168000000002</v>
      </c>
      <c r="H4815">
        <v>1300</v>
      </c>
      <c r="I4815">
        <v>-54</v>
      </c>
      <c r="J4815">
        <v>-131</v>
      </c>
      <c r="K4815">
        <v>64</v>
      </c>
      <c r="L4815">
        <v>1200</v>
      </c>
      <c r="M4815" t="str">
        <f t="shared" si="467"/>
        <v xml:space="preserve">N35DC   </v>
      </c>
      <c r="N4815">
        <v>1</v>
      </c>
      <c r="O4815">
        <v>1425</v>
      </c>
    </row>
    <row r="4816" spans="1:15" x14ac:dyDescent="0.25">
      <c r="A4816" t="str">
        <f>"10/21/2020 18:49:09.768"</f>
        <v>10/21/2020 18:49:09.768</v>
      </c>
      <c r="B4816" t="str">
        <f>"18:49:17.742"</f>
        <v>18:49:17.742</v>
      </c>
      <c r="C4816" t="str">
        <f>"18:49:17.342"</f>
        <v>18:49:17.342</v>
      </c>
      <c r="D4816" t="s">
        <v>2002</v>
      </c>
      <c r="E4816">
        <v>30.897352999999999</v>
      </c>
      <c r="F4816" t="s">
        <v>2003</v>
      </c>
      <c r="G4816">
        <v>-89.866168000000002</v>
      </c>
      <c r="H4816">
        <v>1300</v>
      </c>
      <c r="I4816">
        <v>-54</v>
      </c>
      <c r="J4816">
        <v>-131</v>
      </c>
      <c r="K4816">
        <v>64</v>
      </c>
      <c r="L4816">
        <v>1200</v>
      </c>
      <c r="M4816" t="str">
        <f t="shared" si="467"/>
        <v xml:space="preserve">N35DC   </v>
      </c>
      <c r="N4816">
        <v>1</v>
      </c>
      <c r="O4816">
        <v>1425</v>
      </c>
    </row>
    <row r="4817" spans="1:15" x14ac:dyDescent="0.25">
      <c r="A4817" t="str">
        <f>"10/21/2020 18:49:09.768"</f>
        <v>10/21/2020 18:49:09.768</v>
      </c>
      <c r="B4817" t="str">
        <f>"18:49:17.742"</f>
        <v>18:49:17.742</v>
      </c>
      <c r="C4817" t="str">
        <f>"18:49:17.342"</f>
        <v>18:49:17.342</v>
      </c>
      <c r="D4817" t="s">
        <v>2002</v>
      </c>
      <c r="E4817">
        <v>30.897352999999999</v>
      </c>
      <c r="F4817" t="s">
        <v>2003</v>
      </c>
      <c r="G4817">
        <v>-89.866168000000002</v>
      </c>
      <c r="H4817">
        <v>1300</v>
      </c>
      <c r="I4817">
        <v>-54</v>
      </c>
      <c r="J4817">
        <v>-131</v>
      </c>
      <c r="K4817">
        <v>64</v>
      </c>
      <c r="L4817">
        <v>1200</v>
      </c>
      <c r="M4817" t="str">
        <f t="shared" si="467"/>
        <v xml:space="preserve">N35DC   </v>
      </c>
      <c r="N4817">
        <v>1</v>
      </c>
      <c r="O4817">
        <v>1425</v>
      </c>
    </row>
    <row r="4818" spans="1:15" x14ac:dyDescent="0.25">
      <c r="A4818" t="str">
        <f>"10/21/2020 18:49:09.768"</f>
        <v>10/21/2020 18:49:09.768</v>
      </c>
      <c r="B4818" t="str">
        <f>"18:49:17.742"</f>
        <v>18:49:17.742</v>
      </c>
      <c r="C4818" t="str">
        <f>"18:49:16.942"</f>
        <v>18:49:16.942</v>
      </c>
      <c r="D4818" t="s">
        <v>2002</v>
      </c>
      <c r="E4818">
        <v>30.897352999999999</v>
      </c>
      <c r="F4818" t="s">
        <v>2003</v>
      </c>
      <c r="G4818">
        <v>-89.866168000000002</v>
      </c>
      <c r="H4818">
        <v>1300</v>
      </c>
      <c r="I4818">
        <v>-54</v>
      </c>
      <c r="J4818">
        <v>-132</v>
      </c>
      <c r="K4818">
        <v>64</v>
      </c>
      <c r="L4818">
        <v>1200</v>
      </c>
      <c r="M4818" t="str">
        <f t="shared" si="467"/>
        <v xml:space="preserve">N35DC   </v>
      </c>
      <c r="N4818">
        <v>1</v>
      </c>
      <c r="O4818">
        <v>1425</v>
      </c>
    </row>
    <row r="4819" spans="1:15" x14ac:dyDescent="0.25">
      <c r="A4819" t="str">
        <f>"10/21/2020 18:49:10.759"</f>
        <v>10/21/2020 18:49:10.759</v>
      </c>
      <c r="B4819" t="str">
        <f>"18:49:18.688"</f>
        <v>18:49:18.688</v>
      </c>
      <c r="C4819" t="str">
        <f>"18:49:18.387"</f>
        <v>18:49:18.387</v>
      </c>
      <c r="D4819" t="s">
        <v>2004</v>
      </c>
      <c r="E4819">
        <v>30.896773</v>
      </c>
      <c r="F4819" t="s">
        <v>2005</v>
      </c>
      <c r="G4819">
        <v>-89.866468999999995</v>
      </c>
      <c r="H4819">
        <v>1300</v>
      </c>
      <c r="I4819">
        <v>-54</v>
      </c>
      <c r="J4819">
        <v>-131</v>
      </c>
      <c r="K4819">
        <v>-64</v>
      </c>
      <c r="L4819">
        <v>1200</v>
      </c>
      <c r="M4819" t="str">
        <f t="shared" si="467"/>
        <v xml:space="preserve">N35DC   </v>
      </c>
      <c r="N4819">
        <v>1</v>
      </c>
      <c r="O4819">
        <v>1425</v>
      </c>
    </row>
    <row r="4820" spans="1:15" x14ac:dyDescent="0.25">
      <c r="A4820" t="str">
        <f>"10/21/2020 18:49:10.759"</f>
        <v>10/21/2020 18:49:10.759</v>
      </c>
      <c r="B4820" t="str">
        <f>"18:49:18.688"</f>
        <v>18:49:18.688</v>
      </c>
      <c r="C4820" t="str">
        <f>"18:49:18.387"</f>
        <v>18:49:18.387</v>
      </c>
      <c r="D4820" t="s">
        <v>2004</v>
      </c>
      <c r="E4820">
        <v>30.896773</v>
      </c>
      <c r="F4820" t="s">
        <v>2005</v>
      </c>
      <c r="G4820">
        <v>-89.866468999999995</v>
      </c>
      <c r="H4820">
        <v>1300</v>
      </c>
      <c r="I4820">
        <v>-54</v>
      </c>
      <c r="J4820">
        <v>-131</v>
      </c>
      <c r="K4820">
        <v>-64</v>
      </c>
      <c r="L4820">
        <v>1200</v>
      </c>
      <c r="M4820" t="str">
        <f t="shared" si="467"/>
        <v xml:space="preserve">N35DC   </v>
      </c>
      <c r="N4820">
        <v>1</v>
      </c>
      <c r="O4820">
        <v>1425</v>
      </c>
    </row>
    <row r="4821" spans="1:15" x14ac:dyDescent="0.25">
      <c r="A4821" t="str">
        <f>"10/21/2020 18:49:10.759"</f>
        <v>10/21/2020 18:49:10.759</v>
      </c>
      <c r="B4821" t="str">
        <f>"18:49:18.688"</f>
        <v>18:49:18.688</v>
      </c>
      <c r="C4821" t="str">
        <f>"18:49:18.387"</f>
        <v>18:49:18.387</v>
      </c>
      <c r="D4821" t="s">
        <v>2004</v>
      </c>
      <c r="E4821">
        <v>30.896773</v>
      </c>
      <c r="F4821" t="s">
        <v>2005</v>
      </c>
      <c r="G4821">
        <v>-89.866468999999995</v>
      </c>
      <c r="H4821">
        <v>1300</v>
      </c>
      <c r="I4821">
        <v>-54</v>
      </c>
      <c r="J4821">
        <v>-131</v>
      </c>
      <c r="K4821">
        <v>-64</v>
      </c>
      <c r="L4821">
        <v>1200</v>
      </c>
      <c r="M4821" t="str">
        <f t="shared" si="467"/>
        <v xml:space="preserve">N35DC   </v>
      </c>
      <c r="N4821">
        <v>1</v>
      </c>
      <c r="O4821">
        <v>1425</v>
      </c>
    </row>
    <row r="4822" spans="1:15" x14ac:dyDescent="0.25">
      <c r="A4822" t="str">
        <f>"10/21/2020 18:49:10.759"</f>
        <v>10/21/2020 18:49:10.759</v>
      </c>
      <c r="B4822" t="str">
        <f>"18:49:18.688"</f>
        <v>18:49:18.688</v>
      </c>
      <c r="C4822" t="str">
        <f>"18:49:18.387"</f>
        <v>18:49:18.387</v>
      </c>
      <c r="D4822" t="s">
        <v>2004</v>
      </c>
      <c r="E4822">
        <v>30.896773</v>
      </c>
      <c r="F4822" t="s">
        <v>2005</v>
      </c>
      <c r="G4822">
        <v>-89.866468999999995</v>
      </c>
      <c r="H4822">
        <v>1300</v>
      </c>
      <c r="I4822">
        <v>-54</v>
      </c>
      <c r="J4822">
        <v>-131</v>
      </c>
      <c r="K4822">
        <v>-64</v>
      </c>
      <c r="L4822">
        <v>1200</v>
      </c>
      <c r="M4822" t="str">
        <f t="shared" si="467"/>
        <v xml:space="preserve">N35DC   </v>
      </c>
      <c r="N4822">
        <v>1</v>
      </c>
      <c r="O4822">
        <v>1425</v>
      </c>
    </row>
    <row r="4823" spans="1:15" x14ac:dyDescent="0.25">
      <c r="A4823" t="str">
        <f>"10/21/2020 18:49:10.759"</f>
        <v>10/21/2020 18:49:10.759</v>
      </c>
      <c r="B4823" t="str">
        <f>"18:49:18.688"</f>
        <v>18:49:18.688</v>
      </c>
      <c r="C4823" t="str">
        <f>"18:49:18.387"</f>
        <v>18:49:18.387</v>
      </c>
      <c r="D4823" t="s">
        <v>2004</v>
      </c>
      <c r="E4823">
        <v>30.896773</v>
      </c>
      <c r="F4823" t="s">
        <v>2005</v>
      </c>
      <c r="G4823">
        <v>-89.866468999999995</v>
      </c>
      <c r="H4823">
        <v>1300</v>
      </c>
      <c r="I4823">
        <v>-54</v>
      </c>
      <c r="J4823">
        <v>-131</v>
      </c>
      <c r="K4823">
        <v>-64</v>
      </c>
      <c r="L4823">
        <v>1200</v>
      </c>
      <c r="M4823" t="str">
        <f t="shared" si="467"/>
        <v xml:space="preserve">N35DC   </v>
      </c>
      <c r="N4823">
        <v>1</v>
      </c>
      <c r="O4823">
        <v>1425</v>
      </c>
    </row>
    <row r="4824" spans="1:15" x14ac:dyDescent="0.25">
      <c r="A4824" t="str">
        <f t="shared" ref="A4824:A4829" si="468">"10/21/2020 18:49:13.793"</f>
        <v>10/21/2020 18:49:13.793</v>
      </c>
      <c r="B4824" t="str">
        <f t="shared" ref="B4824:B4829" si="469">"18:49:21.711"</f>
        <v>18:49:21.711</v>
      </c>
      <c r="C4824" t="str">
        <f t="shared" ref="C4824:C4829" si="470">"18:49:21.511"</f>
        <v>18:49:21.511</v>
      </c>
      <c r="D4824" t="s">
        <v>2006</v>
      </c>
      <c r="E4824">
        <v>30.894928</v>
      </c>
      <c r="F4824" t="s">
        <v>1125</v>
      </c>
      <c r="G4824">
        <v>-89.867349000000004</v>
      </c>
      <c r="H4824">
        <v>1300</v>
      </c>
      <c r="I4824">
        <v>-55</v>
      </c>
      <c r="J4824">
        <v>-129</v>
      </c>
      <c r="K4824">
        <v>192</v>
      </c>
      <c r="L4824">
        <v>1200</v>
      </c>
      <c r="M4824" t="str">
        <f t="shared" si="467"/>
        <v xml:space="preserve">N35DC   </v>
      </c>
      <c r="N4824">
        <v>1</v>
      </c>
      <c r="O4824">
        <v>1425</v>
      </c>
    </row>
    <row r="4825" spans="1:15" x14ac:dyDescent="0.25">
      <c r="A4825" t="str">
        <f t="shared" si="468"/>
        <v>10/21/2020 18:49:13.793</v>
      </c>
      <c r="B4825" t="str">
        <f t="shared" si="469"/>
        <v>18:49:21.711</v>
      </c>
      <c r="C4825" t="str">
        <f t="shared" si="470"/>
        <v>18:49:21.511</v>
      </c>
      <c r="D4825" t="s">
        <v>2006</v>
      </c>
      <c r="E4825">
        <v>30.894928</v>
      </c>
      <c r="F4825" t="s">
        <v>1125</v>
      </c>
      <c r="G4825">
        <v>-89.867349000000004</v>
      </c>
      <c r="H4825">
        <v>1300</v>
      </c>
      <c r="I4825">
        <v>-55</v>
      </c>
      <c r="J4825">
        <v>-129</v>
      </c>
      <c r="K4825">
        <v>192</v>
      </c>
      <c r="L4825">
        <v>1200</v>
      </c>
      <c r="M4825" t="str">
        <f t="shared" si="467"/>
        <v xml:space="preserve">N35DC   </v>
      </c>
      <c r="N4825">
        <v>1</v>
      </c>
      <c r="O4825">
        <v>1425</v>
      </c>
    </row>
    <row r="4826" spans="1:15" x14ac:dyDescent="0.25">
      <c r="A4826" t="str">
        <f t="shared" si="468"/>
        <v>10/21/2020 18:49:13.793</v>
      </c>
      <c r="B4826" t="str">
        <f t="shared" si="469"/>
        <v>18:49:21.711</v>
      </c>
      <c r="C4826" t="str">
        <f t="shared" si="470"/>
        <v>18:49:21.511</v>
      </c>
      <c r="D4826" t="s">
        <v>2006</v>
      </c>
      <c r="E4826">
        <v>30.894928</v>
      </c>
      <c r="F4826" t="s">
        <v>1125</v>
      </c>
      <c r="G4826">
        <v>-89.867349000000004</v>
      </c>
      <c r="H4826">
        <v>1300</v>
      </c>
      <c r="I4826">
        <v>-55</v>
      </c>
      <c r="J4826">
        <v>-129</v>
      </c>
      <c r="K4826">
        <v>192</v>
      </c>
      <c r="L4826">
        <v>1200</v>
      </c>
      <c r="M4826" t="str">
        <f t="shared" si="467"/>
        <v xml:space="preserve">N35DC   </v>
      </c>
      <c r="N4826">
        <v>1</v>
      </c>
      <c r="O4826">
        <v>1425</v>
      </c>
    </row>
    <row r="4827" spans="1:15" x14ac:dyDescent="0.25">
      <c r="A4827" t="str">
        <f t="shared" si="468"/>
        <v>10/21/2020 18:49:13.793</v>
      </c>
      <c r="B4827" t="str">
        <f t="shared" si="469"/>
        <v>18:49:21.711</v>
      </c>
      <c r="C4827" t="str">
        <f t="shared" si="470"/>
        <v>18:49:21.511</v>
      </c>
      <c r="D4827" t="s">
        <v>2006</v>
      </c>
      <c r="E4827">
        <v>30.894928</v>
      </c>
      <c r="F4827" t="s">
        <v>1125</v>
      </c>
      <c r="G4827">
        <v>-89.867349000000004</v>
      </c>
      <c r="H4827">
        <v>1300</v>
      </c>
      <c r="I4827">
        <v>-55</v>
      </c>
      <c r="J4827">
        <v>-129</v>
      </c>
      <c r="K4827">
        <v>192</v>
      </c>
      <c r="L4827">
        <v>1200</v>
      </c>
      <c r="M4827" t="str">
        <f t="shared" si="467"/>
        <v xml:space="preserve">N35DC   </v>
      </c>
      <c r="N4827">
        <v>1</v>
      </c>
      <c r="O4827">
        <v>1425</v>
      </c>
    </row>
    <row r="4828" spans="1:15" x14ac:dyDescent="0.25">
      <c r="A4828" t="str">
        <f t="shared" si="468"/>
        <v>10/21/2020 18:49:13.793</v>
      </c>
      <c r="B4828" t="str">
        <f t="shared" si="469"/>
        <v>18:49:21.711</v>
      </c>
      <c r="C4828" t="str">
        <f t="shared" si="470"/>
        <v>18:49:21.511</v>
      </c>
      <c r="D4828" t="s">
        <v>2006</v>
      </c>
      <c r="E4828">
        <v>30.894928</v>
      </c>
      <c r="F4828" t="s">
        <v>1125</v>
      </c>
      <c r="G4828">
        <v>-89.867349000000004</v>
      </c>
      <c r="H4828">
        <v>1300</v>
      </c>
      <c r="I4828">
        <v>-55</v>
      </c>
      <c r="J4828">
        <v>-129</v>
      </c>
      <c r="K4828">
        <v>192</v>
      </c>
      <c r="L4828">
        <v>1200</v>
      </c>
      <c r="M4828" t="str">
        <f t="shared" si="467"/>
        <v xml:space="preserve">N35DC   </v>
      </c>
      <c r="N4828">
        <v>1</v>
      </c>
      <c r="O4828">
        <v>1425</v>
      </c>
    </row>
    <row r="4829" spans="1:15" x14ac:dyDescent="0.25">
      <c r="A4829" t="str">
        <f t="shared" si="468"/>
        <v>10/21/2020 18:49:13.793</v>
      </c>
      <c r="B4829" t="str">
        <f t="shared" si="469"/>
        <v>18:49:21.711</v>
      </c>
      <c r="C4829" t="str">
        <f t="shared" si="470"/>
        <v>18:49:21.511</v>
      </c>
      <c r="D4829" t="s">
        <v>2006</v>
      </c>
      <c r="E4829">
        <v>30.894928</v>
      </c>
      <c r="F4829" t="s">
        <v>1125</v>
      </c>
      <c r="G4829">
        <v>-89.867349000000004</v>
      </c>
      <c r="H4829">
        <v>1300</v>
      </c>
      <c r="I4829">
        <v>-55</v>
      </c>
      <c r="J4829">
        <v>-129</v>
      </c>
      <c r="K4829">
        <v>192</v>
      </c>
      <c r="L4829">
        <v>1200</v>
      </c>
      <c r="M4829" t="str">
        <f t="shared" si="467"/>
        <v xml:space="preserve">N35DC   </v>
      </c>
      <c r="N4829">
        <v>1</v>
      </c>
      <c r="O4829">
        <v>1425</v>
      </c>
    </row>
    <row r="4830" spans="1:15" x14ac:dyDescent="0.25">
      <c r="A4830" t="str">
        <f>"10/21/2020 18:49:14.703"</f>
        <v>10/21/2020 18:49:14.703</v>
      </c>
      <c r="B4830" t="str">
        <f>"18:49:22.641"</f>
        <v>18:49:22.641</v>
      </c>
      <c r="C4830" t="str">
        <f>"18:49:22.441"</f>
        <v>18:49:22.441</v>
      </c>
      <c r="D4830" t="s">
        <v>2007</v>
      </c>
      <c r="E4830">
        <v>30.894392</v>
      </c>
      <c r="F4830" t="s">
        <v>2008</v>
      </c>
      <c r="G4830">
        <v>-89.867605999999995</v>
      </c>
      <c r="H4830">
        <v>1400</v>
      </c>
      <c r="I4830">
        <v>-55</v>
      </c>
      <c r="J4830">
        <v>-129</v>
      </c>
      <c r="K4830">
        <v>192</v>
      </c>
      <c r="L4830">
        <v>1200</v>
      </c>
      <c r="M4830" t="str">
        <f t="shared" si="467"/>
        <v xml:space="preserve">N35DC   </v>
      </c>
      <c r="N4830">
        <v>1</v>
      </c>
      <c r="O4830">
        <v>1325</v>
      </c>
    </row>
    <row r="4831" spans="1:15" x14ac:dyDescent="0.25">
      <c r="A4831" t="str">
        <f>"10/21/2020 18:49:14.703"</f>
        <v>10/21/2020 18:49:14.703</v>
      </c>
      <c r="B4831" t="str">
        <f>"18:49:22.641"</f>
        <v>18:49:22.641</v>
      </c>
      <c r="C4831" t="str">
        <f>"18:49:22.441"</f>
        <v>18:49:22.441</v>
      </c>
      <c r="D4831" t="s">
        <v>2007</v>
      </c>
      <c r="E4831">
        <v>30.894392</v>
      </c>
      <c r="F4831" t="s">
        <v>2008</v>
      </c>
      <c r="G4831">
        <v>-89.867605999999995</v>
      </c>
      <c r="H4831">
        <v>1400</v>
      </c>
      <c r="I4831">
        <v>-55</v>
      </c>
      <c r="J4831">
        <v>-129</v>
      </c>
      <c r="K4831">
        <v>192</v>
      </c>
      <c r="L4831">
        <v>1200</v>
      </c>
      <c r="M4831" t="str">
        <f t="shared" si="467"/>
        <v xml:space="preserve">N35DC   </v>
      </c>
      <c r="N4831">
        <v>1</v>
      </c>
      <c r="O4831">
        <v>1325</v>
      </c>
    </row>
    <row r="4832" spans="1:15" x14ac:dyDescent="0.25">
      <c r="A4832" t="str">
        <f>"10/21/2020 18:49:14.703"</f>
        <v>10/21/2020 18:49:14.703</v>
      </c>
      <c r="B4832" t="str">
        <f>"18:49:22.641"</f>
        <v>18:49:22.641</v>
      </c>
      <c r="C4832" t="str">
        <f>"18:49:22.441"</f>
        <v>18:49:22.441</v>
      </c>
      <c r="D4832" t="s">
        <v>2007</v>
      </c>
      <c r="E4832">
        <v>30.894392</v>
      </c>
      <c r="F4832" t="s">
        <v>2008</v>
      </c>
      <c r="G4832">
        <v>-89.867605999999995</v>
      </c>
      <c r="H4832">
        <v>1400</v>
      </c>
      <c r="I4832">
        <v>-55</v>
      </c>
      <c r="J4832">
        <v>-129</v>
      </c>
      <c r="K4832">
        <v>192</v>
      </c>
      <c r="L4832">
        <v>1200</v>
      </c>
      <c r="M4832" t="str">
        <f t="shared" si="467"/>
        <v xml:space="preserve">N35DC   </v>
      </c>
      <c r="N4832">
        <v>1</v>
      </c>
      <c r="O4832">
        <v>1325</v>
      </c>
    </row>
    <row r="4833" spans="1:15" x14ac:dyDescent="0.25">
      <c r="A4833" t="str">
        <f>"10/21/2020 18:49:14.703"</f>
        <v>10/21/2020 18:49:14.703</v>
      </c>
      <c r="B4833" t="str">
        <f>"18:49:22.641"</f>
        <v>18:49:22.641</v>
      </c>
      <c r="C4833" t="str">
        <f>"18:49:21.941"</f>
        <v>18:49:21.941</v>
      </c>
      <c r="D4833" t="s">
        <v>2007</v>
      </c>
      <c r="E4833">
        <v>30.894392</v>
      </c>
      <c r="F4833" t="s">
        <v>2008</v>
      </c>
      <c r="G4833">
        <v>-89.867605999999995</v>
      </c>
      <c r="H4833">
        <v>1400</v>
      </c>
      <c r="I4833">
        <v>-55</v>
      </c>
      <c r="J4833">
        <v>-129</v>
      </c>
      <c r="K4833">
        <v>192</v>
      </c>
      <c r="L4833">
        <v>1200</v>
      </c>
      <c r="M4833" t="str">
        <f t="shared" si="467"/>
        <v xml:space="preserve">N35DC   </v>
      </c>
      <c r="N4833">
        <v>1</v>
      </c>
      <c r="O4833">
        <v>1425</v>
      </c>
    </row>
    <row r="4834" spans="1:15" x14ac:dyDescent="0.25">
      <c r="A4834" t="str">
        <f>"10/21/2020 18:49:14.703"</f>
        <v>10/21/2020 18:49:14.703</v>
      </c>
      <c r="B4834" t="str">
        <f>"18:49:22.641"</f>
        <v>18:49:22.641</v>
      </c>
      <c r="C4834" t="str">
        <f>"18:49:22.441"</f>
        <v>18:49:22.441</v>
      </c>
      <c r="D4834" t="s">
        <v>2007</v>
      </c>
      <c r="E4834">
        <v>30.894392</v>
      </c>
      <c r="F4834" t="s">
        <v>2008</v>
      </c>
      <c r="G4834">
        <v>-89.867605999999995</v>
      </c>
      <c r="H4834">
        <v>1400</v>
      </c>
      <c r="I4834">
        <v>-55</v>
      </c>
      <c r="J4834">
        <v>-129</v>
      </c>
      <c r="K4834">
        <v>192</v>
      </c>
      <c r="L4834">
        <v>1200</v>
      </c>
      <c r="M4834" t="str">
        <f t="shared" si="467"/>
        <v xml:space="preserve">N35DC   </v>
      </c>
      <c r="N4834">
        <v>1</v>
      </c>
      <c r="O4834">
        <v>1325</v>
      </c>
    </row>
    <row r="4835" spans="1:15" x14ac:dyDescent="0.25">
      <c r="A4835" t="str">
        <f>"10/21/2020 18:49:15.289"</f>
        <v>10/21/2020 18:49:15.289</v>
      </c>
      <c r="B4835" t="str">
        <f>"18:49:23.156"</f>
        <v>18:49:23.156</v>
      </c>
      <c r="C4835" t="str">
        <f>"18:49:22.856"</f>
        <v>18:49:22.856</v>
      </c>
      <c r="D4835" t="s">
        <v>2009</v>
      </c>
      <c r="E4835">
        <v>30.894069999999999</v>
      </c>
      <c r="F4835" t="s">
        <v>1116</v>
      </c>
      <c r="G4835">
        <v>-89.867778000000001</v>
      </c>
      <c r="H4835">
        <v>1400</v>
      </c>
      <c r="I4835">
        <v>-55</v>
      </c>
      <c r="J4835">
        <v>-129</v>
      </c>
      <c r="K4835">
        <v>128</v>
      </c>
      <c r="L4835">
        <v>1200</v>
      </c>
      <c r="M4835" t="str">
        <f t="shared" si="467"/>
        <v xml:space="preserve">N35DC   </v>
      </c>
      <c r="N4835">
        <v>1</v>
      </c>
      <c r="O4835">
        <v>1425</v>
      </c>
    </row>
    <row r="4836" spans="1:15" x14ac:dyDescent="0.25">
      <c r="A4836" t="str">
        <f>"10/21/2020 18:49:18.514"</f>
        <v>10/21/2020 18:49:18.514</v>
      </c>
      <c r="B4836" t="str">
        <f>"18:49:26.383"</f>
        <v>18:49:26.383</v>
      </c>
      <c r="C4836" t="str">
        <f>"18:49:26.383"</f>
        <v>18:49:26.383</v>
      </c>
      <c r="D4836" t="s">
        <v>2010</v>
      </c>
      <c r="E4836">
        <v>30.892137999999999</v>
      </c>
      <c r="F4836" t="s">
        <v>2011</v>
      </c>
      <c r="G4836">
        <v>-89.868701000000001</v>
      </c>
      <c r="H4836">
        <v>1400</v>
      </c>
      <c r="I4836">
        <v>-53</v>
      </c>
      <c r="J4836">
        <v>-128</v>
      </c>
      <c r="K4836">
        <v>-64</v>
      </c>
      <c r="L4836">
        <v>1200</v>
      </c>
      <c r="M4836" t="str">
        <f t="shared" si="467"/>
        <v xml:space="preserve">N35DC   </v>
      </c>
      <c r="N4836">
        <v>1</v>
      </c>
      <c r="O4836">
        <v>1425</v>
      </c>
    </row>
    <row r="4837" spans="1:15" x14ac:dyDescent="0.25">
      <c r="A4837" t="str">
        <f>"10/21/2020 18:49:18.924"</f>
        <v>10/21/2020 18:49:18.924</v>
      </c>
      <c r="B4837" t="str">
        <f t="shared" ref="B4837:C4841" si="471">"18:49:26.875"</f>
        <v>18:49:26.875</v>
      </c>
      <c r="C4837" t="str">
        <f t="shared" si="471"/>
        <v>18:49:26.875</v>
      </c>
      <c r="D4837" t="s">
        <v>1267</v>
      </c>
      <c r="E4837">
        <v>30.891860000000001</v>
      </c>
      <c r="F4837" t="s">
        <v>2012</v>
      </c>
      <c r="G4837">
        <v>-89.868808000000001</v>
      </c>
      <c r="H4837">
        <v>1400</v>
      </c>
      <c r="I4837">
        <v>-51</v>
      </c>
      <c r="J4837">
        <v>-129</v>
      </c>
      <c r="K4837">
        <v>-64</v>
      </c>
      <c r="L4837">
        <v>1200</v>
      </c>
      <c r="M4837" t="str">
        <f t="shared" si="467"/>
        <v xml:space="preserve">N35DC   </v>
      </c>
      <c r="N4837">
        <v>1</v>
      </c>
      <c r="O4837">
        <v>1425</v>
      </c>
    </row>
    <row r="4838" spans="1:15" x14ac:dyDescent="0.25">
      <c r="A4838" t="str">
        <f>"10/21/2020 18:49:18.924"</f>
        <v>10/21/2020 18:49:18.924</v>
      </c>
      <c r="B4838" t="str">
        <f t="shared" si="471"/>
        <v>18:49:26.875</v>
      </c>
      <c r="C4838" t="str">
        <f t="shared" si="471"/>
        <v>18:49:26.875</v>
      </c>
      <c r="D4838" t="s">
        <v>1267</v>
      </c>
      <c r="E4838">
        <v>30.891860000000001</v>
      </c>
      <c r="F4838" t="s">
        <v>2012</v>
      </c>
      <c r="G4838">
        <v>-89.868808000000001</v>
      </c>
      <c r="H4838">
        <v>1400</v>
      </c>
      <c r="I4838">
        <v>-51</v>
      </c>
      <c r="J4838">
        <v>-129</v>
      </c>
      <c r="K4838">
        <v>-64</v>
      </c>
      <c r="L4838">
        <v>1200</v>
      </c>
      <c r="M4838" t="str">
        <f t="shared" si="467"/>
        <v xml:space="preserve">N35DC   </v>
      </c>
      <c r="N4838">
        <v>1</v>
      </c>
      <c r="O4838">
        <v>1425</v>
      </c>
    </row>
    <row r="4839" spans="1:15" x14ac:dyDescent="0.25">
      <c r="A4839" t="str">
        <f>"10/21/2020 18:49:18.924"</f>
        <v>10/21/2020 18:49:18.924</v>
      </c>
      <c r="B4839" t="str">
        <f t="shared" si="471"/>
        <v>18:49:26.875</v>
      </c>
      <c r="C4839" t="str">
        <f t="shared" si="471"/>
        <v>18:49:26.875</v>
      </c>
      <c r="D4839" t="s">
        <v>1267</v>
      </c>
      <c r="E4839">
        <v>30.891860000000001</v>
      </c>
      <c r="F4839" t="s">
        <v>2012</v>
      </c>
      <c r="G4839">
        <v>-89.868808000000001</v>
      </c>
      <c r="H4839">
        <v>1400</v>
      </c>
      <c r="I4839">
        <v>-51</v>
      </c>
      <c r="J4839">
        <v>-129</v>
      </c>
      <c r="K4839">
        <v>-64</v>
      </c>
      <c r="L4839">
        <v>1200</v>
      </c>
      <c r="M4839" t="str">
        <f t="shared" si="467"/>
        <v xml:space="preserve">N35DC   </v>
      </c>
      <c r="N4839">
        <v>1</v>
      </c>
      <c r="O4839">
        <v>1425</v>
      </c>
    </row>
    <row r="4840" spans="1:15" x14ac:dyDescent="0.25">
      <c r="A4840" t="str">
        <f>"10/21/2020 18:49:18.924"</f>
        <v>10/21/2020 18:49:18.924</v>
      </c>
      <c r="B4840" t="str">
        <f t="shared" si="471"/>
        <v>18:49:26.875</v>
      </c>
      <c r="C4840" t="str">
        <f t="shared" si="471"/>
        <v>18:49:26.875</v>
      </c>
      <c r="D4840" t="s">
        <v>1267</v>
      </c>
      <c r="E4840">
        <v>30.891860000000001</v>
      </c>
      <c r="F4840" t="s">
        <v>2012</v>
      </c>
      <c r="G4840">
        <v>-89.868808000000001</v>
      </c>
      <c r="H4840">
        <v>1400</v>
      </c>
      <c r="I4840">
        <v>-51</v>
      </c>
      <c r="J4840">
        <v>-129</v>
      </c>
      <c r="K4840">
        <v>-64</v>
      </c>
      <c r="L4840">
        <v>1200</v>
      </c>
      <c r="M4840" t="str">
        <f t="shared" si="467"/>
        <v xml:space="preserve">N35DC   </v>
      </c>
      <c r="N4840">
        <v>1</v>
      </c>
      <c r="O4840">
        <v>1425</v>
      </c>
    </row>
    <row r="4841" spans="1:15" x14ac:dyDescent="0.25">
      <c r="A4841" t="str">
        <f>"10/21/2020 18:49:18.924"</f>
        <v>10/21/2020 18:49:18.924</v>
      </c>
      <c r="B4841" t="str">
        <f t="shared" si="471"/>
        <v>18:49:26.875</v>
      </c>
      <c r="C4841" t="str">
        <f t="shared" si="471"/>
        <v>18:49:26.875</v>
      </c>
      <c r="D4841" t="s">
        <v>1267</v>
      </c>
      <c r="E4841">
        <v>30.891860000000001</v>
      </c>
      <c r="F4841" t="s">
        <v>2012</v>
      </c>
      <c r="G4841">
        <v>-89.868808000000001</v>
      </c>
      <c r="H4841">
        <v>1400</v>
      </c>
      <c r="I4841">
        <v>-51</v>
      </c>
      <c r="J4841">
        <v>-129</v>
      </c>
      <c r="K4841">
        <v>-64</v>
      </c>
      <c r="L4841">
        <v>1200</v>
      </c>
      <c r="M4841" t="str">
        <f t="shared" si="467"/>
        <v xml:space="preserve">N35DC   </v>
      </c>
      <c r="N4841">
        <v>1</v>
      </c>
      <c r="O4841">
        <v>1425</v>
      </c>
    </row>
    <row r="4842" spans="1:15" x14ac:dyDescent="0.25">
      <c r="A4842" t="str">
        <f t="shared" ref="A4842:A4847" si="472">"10/21/2020 18:49:19.941"</f>
        <v>10/21/2020 18:49:19.941</v>
      </c>
      <c r="B4842" t="str">
        <f t="shared" ref="B4842:B4847" si="473">"18:49:27.883"</f>
        <v>18:49:27.883</v>
      </c>
      <c r="C4842" t="str">
        <f t="shared" ref="C4842:C4847" si="474">"18:49:27.483"</f>
        <v>18:49:27.483</v>
      </c>
      <c r="D4842" t="s">
        <v>2013</v>
      </c>
      <c r="E4842">
        <v>30.891279999999998</v>
      </c>
      <c r="F4842" t="s">
        <v>2014</v>
      </c>
      <c r="G4842">
        <v>-89.869107999999997</v>
      </c>
      <c r="H4842">
        <v>1400</v>
      </c>
      <c r="I4842">
        <v>-50</v>
      </c>
      <c r="J4842">
        <v>-129</v>
      </c>
      <c r="K4842">
        <v>-128</v>
      </c>
      <c r="L4842">
        <v>1200</v>
      </c>
      <c r="M4842" t="str">
        <f t="shared" si="467"/>
        <v xml:space="preserve">N35DC   </v>
      </c>
      <c r="N4842">
        <v>1</v>
      </c>
      <c r="O4842">
        <v>1425</v>
      </c>
    </row>
    <row r="4843" spans="1:15" x14ac:dyDescent="0.25">
      <c r="A4843" t="str">
        <f t="shared" si="472"/>
        <v>10/21/2020 18:49:19.941</v>
      </c>
      <c r="B4843" t="str">
        <f t="shared" si="473"/>
        <v>18:49:27.883</v>
      </c>
      <c r="C4843" t="str">
        <f t="shared" si="474"/>
        <v>18:49:27.483</v>
      </c>
      <c r="D4843" t="s">
        <v>2013</v>
      </c>
      <c r="E4843">
        <v>30.891279999999998</v>
      </c>
      <c r="F4843" t="s">
        <v>2014</v>
      </c>
      <c r="G4843">
        <v>-89.869107999999997</v>
      </c>
      <c r="H4843">
        <v>1400</v>
      </c>
      <c r="I4843">
        <v>-50</v>
      </c>
      <c r="J4843">
        <v>-129</v>
      </c>
      <c r="K4843">
        <v>-128</v>
      </c>
      <c r="L4843">
        <v>1200</v>
      </c>
      <c r="M4843" t="str">
        <f t="shared" si="467"/>
        <v xml:space="preserve">N35DC   </v>
      </c>
      <c r="N4843">
        <v>1</v>
      </c>
      <c r="O4843">
        <v>1425</v>
      </c>
    </row>
    <row r="4844" spans="1:15" x14ac:dyDescent="0.25">
      <c r="A4844" t="str">
        <f t="shared" si="472"/>
        <v>10/21/2020 18:49:19.941</v>
      </c>
      <c r="B4844" t="str">
        <f t="shared" si="473"/>
        <v>18:49:27.883</v>
      </c>
      <c r="C4844" t="str">
        <f t="shared" si="474"/>
        <v>18:49:27.483</v>
      </c>
      <c r="D4844" t="s">
        <v>2013</v>
      </c>
      <c r="E4844">
        <v>30.891279999999998</v>
      </c>
      <c r="F4844" t="s">
        <v>2014</v>
      </c>
      <c r="G4844">
        <v>-89.869107999999997</v>
      </c>
      <c r="H4844">
        <v>1400</v>
      </c>
      <c r="I4844">
        <v>-50</v>
      </c>
      <c r="J4844">
        <v>-129</v>
      </c>
      <c r="K4844">
        <v>-128</v>
      </c>
      <c r="L4844">
        <v>1200</v>
      </c>
      <c r="M4844" t="str">
        <f t="shared" si="467"/>
        <v xml:space="preserve">N35DC   </v>
      </c>
      <c r="N4844">
        <v>1</v>
      </c>
      <c r="O4844">
        <v>1425</v>
      </c>
    </row>
    <row r="4845" spans="1:15" x14ac:dyDescent="0.25">
      <c r="A4845" t="str">
        <f t="shared" si="472"/>
        <v>10/21/2020 18:49:19.941</v>
      </c>
      <c r="B4845" t="str">
        <f t="shared" si="473"/>
        <v>18:49:27.883</v>
      </c>
      <c r="C4845" t="str">
        <f t="shared" si="474"/>
        <v>18:49:27.483</v>
      </c>
      <c r="D4845" t="s">
        <v>2013</v>
      </c>
      <c r="E4845">
        <v>30.891279999999998</v>
      </c>
      <c r="F4845" t="s">
        <v>2014</v>
      </c>
      <c r="G4845">
        <v>-89.869107999999997</v>
      </c>
      <c r="H4845">
        <v>1400</v>
      </c>
      <c r="I4845">
        <v>-50</v>
      </c>
      <c r="J4845">
        <v>-129</v>
      </c>
      <c r="K4845">
        <v>-128</v>
      </c>
      <c r="L4845">
        <v>1200</v>
      </c>
      <c r="M4845" t="str">
        <f t="shared" si="467"/>
        <v xml:space="preserve">N35DC   </v>
      </c>
      <c r="N4845">
        <v>1</v>
      </c>
      <c r="O4845">
        <v>1425</v>
      </c>
    </row>
    <row r="4846" spans="1:15" x14ac:dyDescent="0.25">
      <c r="A4846" t="str">
        <f t="shared" si="472"/>
        <v>10/21/2020 18:49:19.941</v>
      </c>
      <c r="B4846" t="str">
        <f t="shared" si="473"/>
        <v>18:49:27.883</v>
      </c>
      <c r="C4846" t="str">
        <f t="shared" si="474"/>
        <v>18:49:27.483</v>
      </c>
      <c r="D4846" t="s">
        <v>2013</v>
      </c>
      <c r="E4846">
        <v>30.891279999999998</v>
      </c>
      <c r="F4846" t="s">
        <v>2014</v>
      </c>
      <c r="G4846">
        <v>-89.869107999999997</v>
      </c>
      <c r="H4846">
        <v>1400</v>
      </c>
      <c r="I4846">
        <v>-50</v>
      </c>
      <c r="J4846">
        <v>-129</v>
      </c>
      <c r="K4846">
        <v>-128</v>
      </c>
      <c r="L4846">
        <v>1200</v>
      </c>
      <c r="M4846" t="str">
        <f t="shared" si="467"/>
        <v xml:space="preserve">N35DC   </v>
      </c>
      <c r="N4846">
        <v>1</v>
      </c>
      <c r="O4846">
        <v>1425</v>
      </c>
    </row>
    <row r="4847" spans="1:15" x14ac:dyDescent="0.25">
      <c r="A4847" t="str">
        <f t="shared" si="472"/>
        <v>10/21/2020 18:49:19.941</v>
      </c>
      <c r="B4847" t="str">
        <f t="shared" si="473"/>
        <v>18:49:27.883</v>
      </c>
      <c r="C4847" t="str">
        <f t="shared" si="474"/>
        <v>18:49:27.483</v>
      </c>
      <c r="D4847" t="s">
        <v>2013</v>
      </c>
      <c r="E4847">
        <v>30.891279999999998</v>
      </c>
      <c r="F4847" t="s">
        <v>2014</v>
      </c>
      <c r="G4847">
        <v>-89.869107999999997</v>
      </c>
      <c r="H4847">
        <v>1400</v>
      </c>
      <c r="I4847">
        <v>-50</v>
      </c>
      <c r="J4847">
        <v>-129</v>
      </c>
      <c r="K4847">
        <v>-128</v>
      </c>
      <c r="L4847">
        <v>1200</v>
      </c>
      <c r="M4847" t="str">
        <f t="shared" si="467"/>
        <v xml:space="preserve">N35DC   </v>
      </c>
      <c r="N4847">
        <v>1</v>
      </c>
      <c r="O4847">
        <v>1425</v>
      </c>
    </row>
    <row r="4848" spans="1:15" x14ac:dyDescent="0.25">
      <c r="A4848" t="str">
        <f>"10/21/2020 18:49:20.792"</f>
        <v>10/21/2020 18:49:20.792</v>
      </c>
      <c r="B4848" t="str">
        <f>"18:49:28.750"</f>
        <v>18:49:28.750</v>
      </c>
      <c r="C4848" t="str">
        <f>"18:49:28.450"</f>
        <v>18:49:28.450</v>
      </c>
      <c r="D4848" t="s">
        <v>2015</v>
      </c>
      <c r="E4848">
        <v>30.890722</v>
      </c>
      <c r="F4848" t="s">
        <v>1064</v>
      </c>
      <c r="G4848">
        <v>-89.869365999999999</v>
      </c>
      <c r="H4848">
        <v>1400</v>
      </c>
      <c r="I4848">
        <v>-48</v>
      </c>
      <c r="J4848">
        <v>-130</v>
      </c>
      <c r="K4848">
        <v>-128</v>
      </c>
      <c r="L4848">
        <v>1200</v>
      </c>
      <c r="M4848" t="str">
        <f t="shared" si="467"/>
        <v xml:space="preserve">N35DC   </v>
      </c>
      <c r="N4848">
        <v>1</v>
      </c>
      <c r="O4848">
        <v>1425</v>
      </c>
    </row>
    <row r="4849" spans="1:15" x14ac:dyDescent="0.25">
      <c r="A4849" t="str">
        <f>"10/21/2020 18:49:20.792"</f>
        <v>10/21/2020 18:49:20.792</v>
      </c>
      <c r="B4849" t="str">
        <f>"18:49:28.750"</f>
        <v>18:49:28.750</v>
      </c>
      <c r="C4849" t="str">
        <f>"18:49:28.450"</f>
        <v>18:49:28.450</v>
      </c>
      <c r="D4849" t="s">
        <v>2015</v>
      </c>
      <c r="E4849">
        <v>30.890722</v>
      </c>
      <c r="F4849" t="s">
        <v>1064</v>
      </c>
      <c r="G4849">
        <v>-89.869365999999999</v>
      </c>
      <c r="H4849">
        <v>1400</v>
      </c>
      <c r="I4849">
        <v>-48</v>
      </c>
      <c r="J4849">
        <v>-130</v>
      </c>
      <c r="K4849">
        <v>-128</v>
      </c>
      <c r="L4849">
        <v>1200</v>
      </c>
      <c r="M4849" t="str">
        <f t="shared" si="467"/>
        <v xml:space="preserve">N35DC   </v>
      </c>
      <c r="N4849">
        <v>1</v>
      </c>
      <c r="O4849">
        <v>1425</v>
      </c>
    </row>
    <row r="4850" spans="1:15" x14ac:dyDescent="0.25">
      <c r="A4850" t="str">
        <f>"10/21/2020 18:49:20.792"</f>
        <v>10/21/2020 18:49:20.792</v>
      </c>
      <c r="B4850" t="str">
        <f>"18:49:28.750"</f>
        <v>18:49:28.750</v>
      </c>
      <c r="C4850" t="str">
        <f>"18:49:28.450"</f>
        <v>18:49:28.450</v>
      </c>
      <c r="D4850" t="s">
        <v>2015</v>
      </c>
      <c r="E4850">
        <v>30.890722</v>
      </c>
      <c r="F4850" t="s">
        <v>1064</v>
      </c>
      <c r="G4850">
        <v>-89.869365999999999</v>
      </c>
      <c r="H4850">
        <v>1400</v>
      </c>
      <c r="I4850">
        <v>-48</v>
      </c>
      <c r="J4850">
        <v>-130</v>
      </c>
      <c r="K4850">
        <v>-128</v>
      </c>
      <c r="L4850">
        <v>1200</v>
      </c>
      <c r="M4850" t="str">
        <f t="shared" si="467"/>
        <v xml:space="preserve">N35DC   </v>
      </c>
      <c r="N4850">
        <v>1</v>
      </c>
      <c r="O4850">
        <v>1425</v>
      </c>
    </row>
    <row r="4851" spans="1:15" x14ac:dyDescent="0.25">
      <c r="A4851" t="str">
        <f>"10/21/2020 18:49:20.792"</f>
        <v>10/21/2020 18:49:20.792</v>
      </c>
      <c r="B4851" t="str">
        <f>"18:49:28.750"</f>
        <v>18:49:28.750</v>
      </c>
      <c r="C4851" t="str">
        <f>"18:49:28.450"</f>
        <v>18:49:28.450</v>
      </c>
      <c r="D4851" t="s">
        <v>2015</v>
      </c>
      <c r="E4851">
        <v>30.890722</v>
      </c>
      <c r="F4851" t="s">
        <v>1064</v>
      </c>
      <c r="G4851">
        <v>-89.869365999999999</v>
      </c>
      <c r="H4851">
        <v>1400</v>
      </c>
      <c r="I4851">
        <v>-48</v>
      </c>
      <c r="J4851">
        <v>-130</v>
      </c>
      <c r="K4851">
        <v>-128</v>
      </c>
      <c r="L4851">
        <v>1200</v>
      </c>
      <c r="M4851" t="str">
        <f t="shared" si="467"/>
        <v xml:space="preserve">N35DC   </v>
      </c>
      <c r="N4851">
        <v>1</v>
      </c>
      <c r="O4851">
        <v>1425</v>
      </c>
    </row>
    <row r="4852" spans="1:15" x14ac:dyDescent="0.25">
      <c r="A4852" t="str">
        <f>"10/21/2020 18:49:20.792"</f>
        <v>10/21/2020 18:49:20.792</v>
      </c>
      <c r="B4852" t="str">
        <f>"18:49:28.750"</f>
        <v>18:49:28.750</v>
      </c>
      <c r="C4852" t="str">
        <f>"18:49:28.450"</f>
        <v>18:49:28.450</v>
      </c>
      <c r="D4852" t="s">
        <v>2015</v>
      </c>
      <c r="E4852">
        <v>30.890722</v>
      </c>
      <c r="F4852" t="s">
        <v>1064</v>
      </c>
      <c r="G4852">
        <v>-89.869365999999999</v>
      </c>
      <c r="H4852">
        <v>1400</v>
      </c>
      <c r="I4852">
        <v>-48</v>
      </c>
      <c r="J4852">
        <v>-130</v>
      </c>
      <c r="K4852">
        <v>-128</v>
      </c>
      <c r="L4852">
        <v>1200</v>
      </c>
      <c r="M4852" t="str">
        <f t="shared" si="467"/>
        <v xml:space="preserve">N35DC   </v>
      </c>
      <c r="N4852">
        <v>1</v>
      </c>
      <c r="O4852">
        <v>1425</v>
      </c>
    </row>
    <row r="4853" spans="1:15" x14ac:dyDescent="0.25">
      <c r="A4853" t="str">
        <f>"10/21/2020 18:49:23.952"</f>
        <v>10/21/2020 18:49:23.952</v>
      </c>
      <c r="B4853" t="str">
        <f t="shared" ref="B4853:C4857" si="475">"18:49:31.867"</f>
        <v>18:49:31.867</v>
      </c>
      <c r="C4853" t="str">
        <f t="shared" si="475"/>
        <v>18:49:31.867</v>
      </c>
      <c r="D4853" t="s">
        <v>2016</v>
      </c>
      <c r="E4853">
        <v>30.888855</v>
      </c>
      <c r="F4853" t="s">
        <v>2017</v>
      </c>
      <c r="G4853">
        <v>-89.870030999999997</v>
      </c>
      <c r="H4853">
        <v>1400</v>
      </c>
      <c r="I4853">
        <v>-37</v>
      </c>
      <c r="J4853">
        <v>-128</v>
      </c>
      <c r="K4853">
        <v>192</v>
      </c>
      <c r="L4853">
        <v>1200</v>
      </c>
      <c r="M4853" t="str">
        <f t="shared" si="467"/>
        <v xml:space="preserve">N35DC   </v>
      </c>
      <c r="N4853">
        <v>1</v>
      </c>
      <c r="O4853">
        <v>1425</v>
      </c>
    </row>
    <row r="4854" spans="1:15" x14ac:dyDescent="0.25">
      <c r="A4854" t="str">
        <f>"10/21/2020 18:49:23.952"</f>
        <v>10/21/2020 18:49:23.952</v>
      </c>
      <c r="B4854" t="str">
        <f t="shared" si="475"/>
        <v>18:49:31.867</v>
      </c>
      <c r="C4854" t="str">
        <f t="shared" si="475"/>
        <v>18:49:31.867</v>
      </c>
      <c r="D4854" t="s">
        <v>2016</v>
      </c>
      <c r="E4854">
        <v>30.888855</v>
      </c>
      <c r="F4854" t="s">
        <v>2017</v>
      </c>
      <c r="G4854">
        <v>-89.870030999999997</v>
      </c>
      <c r="H4854">
        <v>1400</v>
      </c>
      <c r="I4854">
        <v>-37</v>
      </c>
      <c r="J4854">
        <v>-128</v>
      </c>
      <c r="K4854">
        <v>192</v>
      </c>
      <c r="L4854">
        <v>1200</v>
      </c>
      <c r="M4854" t="str">
        <f t="shared" si="467"/>
        <v xml:space="preserve">N35DC   </v>
      </c>
      <c r="N4854">
        <v>1</v>
      </c>
      <c r="O4854">
        <v>1425</v>
      </c>
    </row>
    <row r="4855" spans="1:15" x14ac:dyDescent="0.25">
      <c r="A4855" t="str">
        <f>"10/21/2020 18:49:23.952"</f>
        <v>10/21/2020 18:49:23.952</v>
      </c>
      <c r="B4855" t="str">
        <f t="shared" si="475"/>
        <v>18:49:31.867</v>
      </c>
      <c r="C4855" t="str">
        <f t="shared" si="475"/>
        <v>18:49:31.867</v>
      </c>
      <c r="D4855" t="s">
        <v>2016</v>
      </c>
      <c r="E4855">
        <v>30.888855</v>
      </c>
      <c r="F4855" t="s">
        <v>2017</v>
      </c>
      <c r="G4855">
        <v>-89.870030999999997</v>
      </c>
      <c r="H4855">
        <v>1400</v>
      </c>
      <c r="I4855">
        <v>-37</v>
      </c>
      <c r="J4855">
        <v>-128</v>
      </c>
      <c r="K4855">
        <v>192</v>
      </c>
      <c r="L4855">
        <v>1200</v>
      </c>
      <c r="M4855" t="str">
        <f t="shared" si="467"/>
        <v xml:space="preserve">N35DC   </v>
      </c>
      <c r="N4855">
        <v>1</v>
      </c>
      <c r="O4855">
        <v>1425</v>
      </c>
    </row>
    <row r="4856" spans="1:15" x14ac:dyDescent="0.25">
      <c r="A4856" t="str">
        <f>"10/21/2020 18:49:23.952"</f>
        <v>10/21/2020 18:49:23.952</v>
      </c>
      <c r="B4856" t="str">
        <f t="shared" si="475"/>
        <v>18:49:31.867</v>
      </c>
      <c r="C4856" t="str">
        <f t="shared" si="475"/>
        <v>18:49:31.867</v>
      </c>
      <c r="D4856" t="s">
        <v>2016</v>
      </c>
      <c r="E4856">
        <v>30.888855</v>
      </c>
      <c r="F4856" t="s">
        <v>2017</v>
      </c>
      <c r="G4856">
        <v>-89.870030999999997</v>
      </c>
      <c r="H4856">
        <v>1400</v>
      </c>
      <c r="I4856">
        <v>-37</v>
      </c>
      <c r="J4856">
        <v>-128</v>
      </c>
      <c r="K4856">
        <v>192</v>
      </c>
      <c r="L4856">
        <v>1200</v>
      </c>
      <c r="M4856" t="str">
        <f t="shared" si="467"/>
        <v xml:space="preserve">N35DC   </v>
      </c>
      <c r="N4856">
        <v>1</v>
      </c>
      <c r="O4856">
        <v>1425</v>
      </c>
    </row>
    <row r="4857" spans="1:15" x14ac:dyDescent="0.25">
      <c r="A4857" t="str">
        <f>"10/21/2020 18:49:23.952"</f>
        <v>10/21/2020 18:49:23.952</v>
      </c>
      <c r="B4857" t="str">
        <f t="shared" si="475"/>
        <v>18:49:31.867</v>
      </c>
      <c r="C4857" t="str">
        <f t="shared" si="475"/>
        <v>18:49:31.867</v>
      </c>
      <c r="D4857" t="s">
        <v>2016</v>
      </c>
      <c r="E4857">
        <v>30.888855</v>
      </c>
      <c r="F4857" t="s">
        <v>2017</v>
      </c>
      <c r="G4857">
        <v>-89.870030999999997</v>
      </c>
      <c r="H4857">
        <v>1400</v>
      </c>
      <c r="I4857">
        <v>-37</v>
      </c>
      <c r="J4857">
        <v>-128</v>
      </c>
      <c r="K4857">
        <v>192</v>
      </c>
      <c r="L4857">
        <v>1200</v>
      </c>
      <c r="M4857" t="str">
        <f t="shared" si="467"/>
        <v xml:space="preserve">N35DC   </v>
      </c>
      <c r="N4857">
        <v>1</v>
      </c>
      <c r="O4857">
        <v>1425</v>
      </c>
    </row>
    <row r="4858" spans="1:15" x14ac:dyDescent="0.25">
      <c r="A4858" t="str">
        <f>"10/21/2020 18:49:24.770"</f>
        <v>10/21/2020 18:49:24.770</v>
      </c>
      <c r="B4858" t="str">
        <f>"18:49:32.711"</f>
        <v>18:49:32.711</v>
      </c>
      <c r="C4858" t="str">
        <f>"18:49:32.411"</f>
        <v>18:49:32.411</v>
      </c>
      <c r="D4858" t="s">
        <v>2018</v>
      </c>
      <c r="E4858">
        <v>30.888383000000001</v>
      </c>
      <c r="F4858" t="s">
        <v>909</v>
      </c>
      <c r="G4858">
        <v>-89.870203000000004</v>
      </c>
      <c r="H4858">
        <v>1400</v>
      </c>
      <c r="I4858">
        <v>-36</v>
      </c>
      <c r="J4858">
        <v>-128</v>
      </c>
      <c r="K4858">
        <v>128</v>
      </c>
      <c r="L4858">
        <v>1200</v>
      </c>
      <c r="M4858" t="str">
        <f t="shared" si="467"/>
        <v xml:space="preserve">N35DC   </v>
      </c>
      <c r="N4858">
        <v>1</v>
      </c>
      <c r="O4858">
        <v>1425</v>
      </c>
    </row>
    <row r="4859" spans="1:15" x14ac:dyDescent="0.25">
      <c r="A4859" t="str">
        <f>"10/21/2020 18:49:24.770"</f>
        <v>10/21/2020 18:49:24.770</v>
      </c>
      <c r="B4859" t="str">
        <f>"18:49:32.711"</f>
        <v>18:49:32.711</v>
      </c>
      <c r="C4859" t="str">
        <f>"18:49:32.411"</f>
        <v>18:49:32.411</v>
      </c>
      <c r="D4859" t="s">
        <v>2018</v>
      </c>
      <c r="E4859">
        <v>30.888383000000001</v>
      </c>
      <c r="F4859" t="s">
        <v>909</v>
      </c>
      <c r="G4859">
        <v>-89.870203000000004</v>
      </c>
      <c r="H4859">
        <v>1400</v>
      </c>
      <c r="I4859">
        <v>-36</v>
      </c>
      <c r="J4859">
        <v>-128</v>
      </c>
      <c r="K4859">
        <v>128</v>
      </c>
      <c r="L4859">
        <v>1200</v>
      </c>
      <c r="M4859" t="str">
        <f t="shared" si="467"/>
        <v xml:space="preserve">N35DC   </v>
      </c>
      <c r="N4859">
        <v>1</v>
      </c>
      <c r="O4859">
        <v>1425</v>
      </c>
    </row>
    <row r="4860" spans="1:15" x14ac:dyDescent="0.25">
      <c r="A4860" t="str">
        <f>"10/21/2020 18:49:24.770"</f>
        <v>10/21/2020 18:49:24.770</v>
      </c>
      <c r="B4860" t="str">
        <f>"18:49:32.711"</f>
        <v>18:49:32.711</v>
      </c>
      <c r="C4860" t="str">
        <f>"18:49:32.411"</f>
        <v>18:49:32.411</v>
      </c>
      <c r="D4860" t="s">
        <v>2018</v>
      </c>
      <c r="E4860">
        <v>30.888383000000001</v>
      </c>
      <c r="F4860" t="s">
        <v>909</v>
      </c>
      <c r="G4860">
        <v>-89.870203000000004</v>
      </c>
      <c r="H4860">
        <v>1400</v>
      </c>
      <c r="I4860">
        <v>-36</v>
      </c>
      <c r="J4860">
        <v>-128</v>
      </c>
      <c r="K4860">
        <v>128</v>
      </c>
      <c r="L4860">
        <v>1200</v>
      </c>
      <c r="M4860" t="str">
        <f t="shared" si="467"/>
        <v xml:space="preserve">N35DC   </v>
      </c>
      <c r="N4860">
        <v>1</v>
      </c>
      <c r="O4860">
        <v>1425</v>
      </c>
    </row>
    <row r="4861" spans="1:15" x14ac:dyDescent="0.25">
      <c r="A4861" t="str">
        <f>"10/21/2020 18:49:24.770"</f>
        <v>10/21/2020 18:49:24.770</v>
      </c>
      <c r="B4861" t="str">
        <f>"18:49:32.711"</f>
        <v>18:49:32.711</v>
      </c>
      <c r="C4861" t="str">
        <f>"18:49:32.411"</f>
        <v>18:49:32.411</v>
      </c>
      <c r="D4861" t="s">
        <v>2018</v>
      </c>
      <c r="E4861">
        <v>30.888383000000001</v>
      </c>
      <c r="F4861" t="s">
        <v>909</v>
      </c>
      <c r="G4861">
        <v>-89.870203000000004</v>
      </c>
      <c r="H4861">
        <v>1400</v>
      </c>
      <c r="I4861">
        <v>-36</v>
      </c>
      <c r="J4861">
        <v>-128</v>
      </c>
      <c r="K4861">
        <v>128</v>
      </c>
      <c r="L4861">
        <v>1200</v>
      </c>
      <c r="M4861" t="str">
        <f t="shared" si="467"/>
        <v xml:space="preserve">N35DC   </v>
      </c>
      <c r="N4861">
        <v>1</v>
      </c>
      <c r="O4861">
        <v>1425</v>
      </c>
    </row>
    <row r="4862" spans="1:15" x14ac:dyDescent="0.25">
      <c r="A4862" t="str">
        <f t="shared" ref="A4862:A4867" si="476">"10/21/2020 18:49:27.766"</f>
        <v>10/21/2020 18:49:27.766</v>
      </c>
      <c r="B4862" t="str">
        <f t="shared" ref="B4862:B4867" si="477">"18:49:35.711"</f>
        <v>18:49:35.711</v>
      </c>
      <c r="C4862" t="str">
        <f t="shared" ref="C4862:C4867" si="478">"18:49:35.411"</f>
        <v>18:49:35.411</v>
      </c>
      <c r="D4862" t="s">
        <v>2019</v>
      </c>
      <c r="E4862">
        <v>30.886602</v>
      </c>
      <c r="F4862" t="s">
        <v>958</v>
      </c>
      <c r="G4862">
        <v>-89.870632000000001</v>
      </c>
      <c r="H4862">
        <v>1300</v>
      </c>
      <c r="I4862">
        <v>-25</v>
      </c>
      <c r="J4862">
        <v>-126</v>
      </c>
      <c r="K4862">
        <v>-448</v>
      </c>
      <c r="L4862">
        <v>1200</v>
      </c>
      <c r="M4862" t="str">
        <f t="shared" si="467"/>
        <v xml:space="preserve">N35DC   </v>
      </c>
      <c r="N4862">
        <v>1</v>
      </c>
      <c r="O4862">
        <v>1425</v>
      </c>
    </row>
    <row r="4863" spans="1:15" x14ac:dyDescent="0.25">
      <c r="A4863" t="str">
        <f t="shared" si="476"/>
        <v>10/21/2020 18:49:27.766</v>
      </c>
      <c r="B4863" t="str">
        <f t="shared" si="477"/>
        <v>18:49:35.711</v>
      </c>
      <c r="C4863" t="str">
        <f t="shared" si="478"/>
        <v>18:49:35.411</v>
      </c>
      <c r="D4863" t="s">
        <v>2019</v>
      </c>
      <c r="E4863">
        <v>30.886602</v>
      </c>
      <c r="F4863" t="s">
        <v>958</v>
      </c>
      <c r="G4863">
        <v>-89.870632000000001</v>
      </c>
      <c r="H4863">
        <v>1300</v>
      </c>
      <c r="I4863">
        <v>-25</v>
      </c>
      <c r="J4863">
        <v>-126</v>
      </c>
      <c r="K4863">
        <v>-448</v>
      </c>
      <c r="L4863">
        <v>1200</v>
      </c>
      <c r="M4863" t="str">
        <f t="shared" si="467"/>
        <v xml:space="preserve">N35DC   </v>
      </c>
      <c r="N4863">
        <v>1</v>
      </c>
      <c r="O4863">
        <v>1425</v>
      </c>
    </row>
    <row r="4864" spans="1:15" x14ac:dyDescent="0.25">
      <c r="A4864" t="str">
        <f t="shared" si="476"/>
        <v>10/21/2020 18:49:27.766</v>
      </c>
      <c r="B4864" t="str">
        <f t="shared" si="477"/>
        <v>18:49:35.711</v>
      </c>
      <c r="C4864" t="str">
        <f t="shared" si="478"/>
        <v>18:49:35.411</v>
      </c>
      <c r="D4864" t="s">
        <v>2019</v>
      </c>
      <c r="E4864">
        <v>30.886602</v>
      </c>
      <c r="F4864" t="s">
        <v>958</v>
      </c>
      <c r="G4864">
        <v>-89.870632000000001</v>
      </c>
      <c r="H4864">
        <v>1300</v>
      </c>
      <c r="I4864">
        <v>-25</v>
      </c>
      <c r="J4864">
        <v>-126</v>
      </c>
      <c r="K4864">
        <v>-448</v>
      </c>
      <c r="L4864">
        <v>1200</v>
      </c>
      <c r="M4864" t="str">
        <f t="shared" si="467"/>
        <v xml:space="preserve">N35DC   </v>
      </c>
      <c r="N4864">
        <v>1</v>
      </c>
      <c r="O4864">
        <v>1425</v>
      </c>
    </row>
    <row r="4865" spans="1:15" x14ac:dyDescent="0.25">
      <c r="A4865" t="str">
        <f t="shared" si="476"/>
        <v>10/21/2020 18:49:27.766</v>
      </c>
      <c r="B4865" t="str">
        <f t="shared" si="477"/>
        <v>18:49:35.711</v>
      </c>
      <c r="C4865" t="str">
        <f t="shared" si="478"/>
        <v>18:49:35.411</v>
      </c>
      <c r="D4865" t="s">
        <v>2019</v>
      </c>
      <c r="E4865">
        <v>30.886602</v>
      </c>
      <c r="F4865" t="s">
        <v>958</v>
      </c>
      <c r="G4865">
        <v>-89.870632000000001</v>
      </c>
      <c r="H4865">
        <v>1300</v>
      </c>
      <c r="I4865">
        <v>-25</v>
      </c>
      <c r="J4865">
        <v>-126</v>
      </c>
      <c r="K4865">
        <v>-448</v>
      </c>
      <c r="L4865">
        <v>1200</v>
      </c>
      <c r="M4865" t="str">
        <f t="shared" si="467"/>
        <v xml:space="preserve">N35DC   </v>
      </c>
      <c r="N4865">
        <v>1</v>
      </c>
      <c r="O4865">
        <v>1425</v>
      </c>
    </row>
    <row r="4866" spans="1:15" x14ac:dyDescent="0.25">
      <c r="A4866" t="str">
        <f t="shared" si="476"/>
        <v>10/21/2020 18:49:27.766</v>
      </c>
      <c r="B4866" t="str">
        <f t="shared" si="477"/>
        <v>18:49:35.711</v>
      </c>
      <c r="C4866" t="str">
        <f t="shared" si="478"/>
        <v>18:49:35.411</v>
      </c>
      <c r="D4866" t="s">
        <v>2019</v>
      </c>
      <c r="E4866">
        <v>30.886602</v>
      </c>
      <c r="F4866" t="s">
        <v>958</v>
      </c>
      <c r="G4866">
        <v>-89.870632000000001</v>
      </c>
      <c r="H4866">
        <v>1300</v>
      </c>
      <c r="I4866">
        <v>-25</v>
      </c>
      <c r="J4866">
        <v>-126</v>
      </c>
      <c r="K4866">
        <v>-448</v>
      </c>
      <c r="L4866">
        <v>1200</v>
      </c>
      <c r="M4866" t="str">
        <f t="shared" si="467"/>
        <v xml:space="preserve">N35DC   </v>
      </c>
      <c r="N4866">
        <v>1</v>
      </c>
      <c r="O4866">
        <v>1425</v>
      </c>
    </row>
    <row r="4867" spans="1:15" x14ac:dyDescent="0.25">
      <c r="A4867" t="str">
        <f t="shared" si="476"/>
        <v>10/21/2020 18:49:27.766</v>
      </c>
      <c r="B4867" t="str">
        <f t="shared" si="477"/>
        <v>18:49:35.711</v>
      </c>
      <c r="C4867" t="str">
        <f t="shared" si="478"/>
        <v>18:49:35.411</v>
      </c>
      <c r="D4867" t="s">
        <v>2019</v>
      </c>
      <c r="E4867">
        <v>30.886602</v>
      </c>
      <c r="F4867" t="s">
        <v>958</v>
      </c>
      <c r="G4867">
        <v>-89.870632000000001</v>
      </c>
      <c r="H4867">
        <v>1300</v>
      </c>
      <c r="I4867">
        <v>-25</v>
      </c>
      <c r="J4867">
        <v>-126</v>
      </c>
      <c r="K4867">
        <v>-448</v>
      </c>
      <c r="L4867">
        <v>1200</v>
      </c>
      <c r="M4867" t="str">
        <f t="shared" si="467"/>
        <v xml:space="preserve">N35DC   </v>
      </c>
      <c r="N4867">
        <v>1</v>
      </c>
      <c r="O4867">
        <v>1425</v>
      </c>
    </row>
    <row r="4868" spans="1:15" x14ac:dyDescent="0.25">
      <c r="A4868" t="str">
        <f t="shared" ref="A4868:A4873" si="479">"10/21/2020 18:49:28.779"</f>
        <v>10/21/2020 18:49:28.779</v>
      </c>
      <c r="B4868" t="str">
        <f t="shared" ref="B4868:B4873" si="480">"18:49:36.727"</f>
        <v>18:49:36.727</v>
      </c>
      <c r="C4868" t="str">
        <f t="shared" ref="C4868:C4873" si="481">"18:49:36.427"</f>
        <v>18:49:36.427</v>
      </c>
      <c r="D4868" t="s">
        <v>2020</v>
      </c>
      <c r="E4868">
        <v>30.886023000000002</v>
      </c>
      <c r="F4868" t="s">
        <v>2021</v>
      </c>
      <c r="G4868">
        <v>-89.870802999999995</v>
      </c>
      <c r="H4868">
        <v>1300</v>
      </c>
      <c r="I4868">
        <v>-21</v>
      </c>
      <c r="J4868">
        <v>-126</v>
      </c>
      <c r="K4868">
        <v>-512</v>
      </c>
      <c r="L4868">
        <v>1200</v>
      </c>
      <c r="M4868" t="str">
        <f t="shared" si="467"/>
        <v xml:space="preserve">N35DC   </v>
      </c>
      <c r="N4868">
        <v>1</v>
      </c>
      <c r="O4868">
        <v>1400</v>
      </c>
    </row>
    <row r="4869" spans="1:15" x14ac:dyDescent="0.25">
      <c r="A4869" t="str">
        <f t="shared" si="479"/>
        <v>10/21/2020 18:49:28.779</v>
      </c>
      <c r="B4869" t="str">
        <f t="shared" si="480"/>
        <v>18:49:36.727</v>
      </c>
      <c r="C4869" t="str">
        <f t="shared" si="481"/>
        <v>18:49:36.427</v>
      </c>
      <c r="D4869" t="s">
        <v>2020</v>
      </c>
      <c r="E4869">
        <v>30.886023000000002</v>
      </c>
      <c r="F4869" t="s">
        <v>2021</v>
      </c>
      <c r="G4869">
        <v>-89.870802999999995</v>
      </c>
      <c r="H4869">
        <v>1300</v>
      </c>
      <c r="I4869">
        <v>-21</v>
      </c>
      <c r="J4869">
        <v>-126</v>
      </c>
      <c r="K4869">
        <v>-512</v>
      </c>
      <c r="L4869">
        <v>1200</v>
      </c>
      <c r="M4869" t="str">
        <f t="shared" si="467"/>
        <v xml:space="preserve">N35DC   </v>
      </c>
      <c r="N4869">
        <v>1</v>
      </c>
      <c r="O4869">
        <v>1400</v>
      </c>
    </row>
    <row r="4870" spans="1:15" x14ac:dyDescent="0.25">
      <c r="A4870" t="str">
        <f t="shared" si="479"/>
        <v>10/21/2020 18:49:28.779</v>
      </c>
      <c r="B4870" t="str">
        <f t="shared" si="480"/>
        <v>18:49:36.727</v>
      </c>
      <c r="C4870" t="str">
        <f t="shared" si="481"/>
        <v>18:49:36.427</v>
      </c>
      <c r="D4870" t="s">
        <v>2020</v>
      </c>
      <c r="E4870">
        <v>30.886023000000002</v>
      </c>
      <c r="F4870" t="s">
        <v>2021</v>
      </c>
      <c r="G4870">
        <v>-89.870802999999995</v>
      </c>
      <c r="H4870">
        <v>1300</v>
      </c>
      <c r="I4870">
        <v>-21</v>
      </c>
      <c r="J4870">
        <v>-126</v>
      </c>
      <c r="K4870">
        <v>-512</v>
      </c>
      <c r="L4870">
        <v>1200</v>
      </c>
      <c r="M4870" t="str">
        <f t="shared" si="467"/>
        <v xml:space="preserve">N35DC   </v>
      </c>
      <c r="N4870">
        <v>1</v>
      </c>
      <c r="O4870">
        <v>1400</v>
      </c>
    </row>
    <row r="4871" spans="1:15" x14ac:dyDescent="0.25">
      <c r="A4871" t="str">
        <f t="shared" si="479"/>
        <v>10/21/2020 18:49:28.779</v>
      </c>
      <c r="B4871" t="str">
        <f t="shared" si="480"/>
        <v>18:49:36.727</v>
      </c>
      <c r="C4871" t="str">
        <f t="shared" si="481"/>
        <v>18:49:36.427</v>
      </c>
      <c r="D4871" t="s">
        <v>2020</v>
      </c>
      <c r="E4871">
        <v>30.886023000000002</v>
      </c>
      <c r="F4871" t="s">
        <v>2021</v>
      </c>
      <c r="G4871">
        <v>-89.870802999999995</v>
      </c>
      <c r="H4871">
        <v>1300</v>
      </c>
      <c r="I4871">
        <v>-21</v>
      </c>
      <c r="J4871">
        <v>-126</v>
      </c>
      <c r="K4871">
        <v>-512</v>
      </c>
      <c r="L4871">
        <v>1200</v>
      </c>
      <c r="M4871" t="str">
        <f t="shared" ref="M4871:M4934" si="482">"N35DC   "</f>
        <v xml:space="preserve">N35DC   </v>
      </c>
      <c r="N4871">
        <v>1</v>
      </c>
      <c r="O4871">
        <v>1400</v>
      </c>
    </row>
    <row r="4872" spans="1:15" x14ac:dyDescent="0.25">
      <c r="A4872" t="str">
        <f t="shared" si="479"/>
        <v>10/21/2020 18:49:28.779</v>
      </c>
      <c r="B4872" t="str">
        <f t="shared" si="480"/>
        <v>18:49:36.727</v>
      </c>
      <c r="C4872" t="str">
        <f t="shared" si="481"/>
        <v>18:49:36.427</v>
      </c>
      <c r="D4872" t="s">
        <v>2020</v>
      </c>
      <c r="E4872">
        <v>30.886023000000002</v>
      </c>
      <c r="F4872" t="s">
        <v>2021</v>
      </c>
      <c r="G4872">
        <v>-89.870802999999995</v>
      </c>
      <c r="H4872">
        <v>1300</v>
      </c>
      <c r="I4872">
        <v>-21</v>
      </c>
      <c r="J4872">
        <v>-126</v>
      </c>
      <c r="K4872">
        <v>-512</v>
      </c>
      <c r="L4872">
        <v>1200</v>
      </c>
      <c r="M4872" t="str">
        <f t="shared" si="482"/>
        <v xml:space="preserve">N35DC   </v>
      </c>
      <c r="N4872">
        <v>1</v>
      </c>
      <c r="O4872">
        <v>1400</v>
      </c>
    </row>
    <row r="4873" spans="1:15" x14ac:dyDescent="0.25">
      <c r="A4873" t="str">
        <f t="shared" si="479"/>
        <v>10/21/2020 18:49:28.779</v>
      </c>
      <c r="B4873" t="str">
        <f t="shared" si="480"/>
        <v>18:49:36.727</v>
      </c>
      <c r="C4873" t="str">
        <f t="shared" si="481"/>
        <v>18:49:36.427</v>
      </c>
      <c r="D4873" t="s">
        <v>2020</v>
      </c>
      <c r="E4873">
        <v>30.886023000000002</v>
      </c>
      <c r="F4873" t="s">
        <v>2021</v>
      </c>
      <c r="G4873">
        <v>-89.870802999999995</v>
      </c>
      <c r="H4873">
        <v>1300</v>
      </c>
      <c r="I4873">
        <v>-21</v>
      </c>
      <c r="J4873">
        <v>-126</v>
      </c>
      <c r="K4873">
        <v>-512</v>
      </c>
      <c r="L4873">
        <v>1200</v>
      </c>
      <c r="M4873" t="str">
        <f t="shared" si="482"/>
        <v xml:space="preserve">N35DC   </v>
      </c>
      <c r="N4873">
        <v>1</v>
      </c>
      <c r="O4873">
        <v>1400</v>
      </c>
    </row>
    <row r="4874" spans="1:15" x14ac:dyDescent="0.25">
      <c r="A4874" t="str">
        <f>"10/21/2020 18:49:30.781"</f>
        <v>10/21/2020 18:49:30.781</v>
      </c>
      <c r="B4874" t="str">
        <f>"18:49:38.727"</f>
        <v>18:49:38.727</v>
      </c>
      <c r="C4874" t="str">
        <f>"18:49:38.327"</f>
        <v>18:49:38.327</v>
      </c>
      <c r="D4874" t="s">
        <v>2022</v>
      </c>
      <c r="E4874">
        <v>30.884843</v>
      </c>
      <c r="F4874" t="s">
        <v>967</v>
      </c>
      <c r="G4874">
        <v>-89.870911000000007</v>
      </c>
      <c r="H4874">
        <v>1300</v>
      </c>
      <c r="I4874">
        <v>-14</v>
      </c>
      <c r="J4874">
        <v>-126</v>
      </c>
      <c r="K4874">
        <v>-512</v>
      </c>
      <c r="L4874">
        <v>1200</v>
      </c>
      <c r="M4874" t="str">
        <f t="shared" si="482"/>
        <v xml:space="preserve">N35DC   </v>
      </c>
      <c r="N4874">
        <v>1</v>
      </c>
      <c r="O4874">
        <v>1400</v>
      </c>
    </row>
    <row r="4875" spans="1:15" x14ac:dyDescent="0.25">
      <c r="A4875" t="str">
        <f>"10/21/2020 18:49:30.781"</f>
        <v>10/21/2020 18:49:30.781</v>
      </c>
      <c r="B4875" t="str">
        <f>"18:49:38.727"</f>
        <v>18:49:38.727</v>
      </c>
      <c r="C4875" t="str">
        <f>"18:49:38.327"</f>
        <v>18:49:38.327</v>
      </c>
      <c r="D4875" t="s">
        <v>2022</v>
      </c>
      <c r="E4875">
        <v>30.884843</v>
      </c>
      <c r="F4875" t="s">
        <v>967</v>
      </c>
      <c r="G4875">
        <v>-89.870911000000007</v>
      </c>
      <c r="H4875">
        <v>1300</v>
      </c>
      <c r="I4875">
        <v>-14</v>
      </c>
      <c r="J4875">
        <v>-126</v>
      </c>
      <c r="K4875">
        <v>-512</v>
      </c>
      <c r="L4875">
        <v>1200</v>
      </c>
      <c r="M4875" t="str">
        <f t="shared" si="482"/>
        <v xml:space="preserve">N35DC   </v>
      </c>
      <c r="N4875">
        <v>1</v>
      </c>
      <c r="O4875">
        <v>1400</v>
      </c>
    </row>
    <row r="4876" spans="1:15" x14ac:dyDescent="0.25">
      <c r="A4876" t="str">
        <f>"10/21/2020 18:49:30.781"</f>
        <v>10/21/2020 18:49:30.781</v>
      </c>
      <c r="B4876" t="str">
        <f>"18:49:38.727"</f>
        <v>18:49:38.727</v>
      </c>
      <c r="C4876" t="str">
        <f>"18:49:38.327"</f>
        <v>18:49:38.327</v>
      </c>
      <c r="D4876" t="s">
        <v>2022</v>
      </c>
      <c r="E4876">
        <v>30.884843</v>
      </c>
      <c r="F4876" t="s">
        <v>967</v>
      </c>
      <c r="G4876">
        <v>-89.870911000000007</v>
      </c>
      <c r="H4876">
        <v>1300</v>
      </c>
      <c r="I4876">
        <v>-14</v>
      </c>
      <c r="J4876">
        <v>-126</v>
      </c>
      <c r="K4876">
        <v>-512</v>
      </c>
      <c r="L4876">
        <v>1200</v>
      </c>
      <c r="M4876" t="str">
        <f t="shared" si="482"/>
        <v xml:space="preserve">N35DC   </v>
      </c>
      <c r="N4876">
        <v>1</v>
      </c>
      <c r="O4876">
        <v>1400</v>
      </c>
    </row>
    <row r="4877" spans="1:15" x14ac:dyDescent="0.25">
      <c r="A4877" t="str">
        <f>"10/21/2020 18:49:30.781"</f>
        <v>10/21/2020 18:49:30.781</v>
      </c>
      <c r="B4877" t="str">
        <f>"18:49:38.727"</f>
        <v>18:49:38.727</v>
      </c>
      <c r="C4877" t="str">
        <f>"18:49:38.327"</f>
        <v>18:49:38.327</v>
      </c>
      <c r="D4877" t="s">
        <v>2022</v>
      </c>
      <c r="E4877">
        <v>30.884843</v>
      </c>
      <c r="F4877" t="s">
        <v>967</v>
      </c>
      <c r="G4877">
        <v>-89.870911000000007</v>
      </c>
      <c r="H4877">
        <v>1300</v>
      </c>
      <c r="I4877">
        <v>-14</v>
      </c>
      <c r="J4877">
        <v>-126</v>
      </c>
      <c r="K4877">
        <v>-512</v>
      </c>
      <c r="L4877">
        <v>1200</v>
      </c>
      <c r="M4877" t="str">
        <f t="shared" si="482"/>
        <v xml:space="preserve">N35DC   </v>
      </c>
      <c r="N4877">
        <v>1</v>
      </c>
      <c r="O4877">
        <v>1400</v>
      </c>
    </row>
    <row r="4878" spans="1:15" x14ac:dyDescent="0.25">
      <c r="A4878" t="str">
        <f>"10/21/2020 18:49:31.288"</f>
        <v>10/21/2020 18:49:31.288</v>
      </c>
      <c r="B4878" t="str">
        <f>"18:49:39.219"</f>
        <v>18:49:39.219</v>
      </c>
      <c r="C4878" t="str">
        <f>"18:49:38.919"</f>
        <v>18:49:38.919</v>
      </c>
      <c r="D4878" t="s">
        <v>2023</v>
      </c>
      <c r="E4878">
        <v>30.884585000000001</v>
      </c>
      <c r="F4878" t="s">
        <v>905</v>
      </c>
      <c r="G4878">
        <v>-89.870975000000001</v>
      </c>
      <c r="H4878">
        <v>1300</v>
      </c>
      <c r="I4878">
        <v>-11</v>
      </c>
      <c r="J4878">
        <v>-126</v>
      </c>
      <c r="K4878">
        <v>-512</v>
      </c>
      <c r="L4878">
        <v>1200</v>
      </c>
      <c r="M4878" t="str">
        <f t="shared" si="482"/>
        <v xml:space="preserve">N35DC   </v>
      </c>
      <c r="N4878">
        <v>1</v>
      </c>
      <c r="O4878">
        <v>1400</v>
      </c>
    </row>
    <row r="4879" spans="1:15" x14ac:dyDescent="0.25">
      <c r="A4879" t="str">
        <f>"10/21/2020 18:49:31.739"</f>
        <v>10/21/2020 18:49:31.739</v>
      </c>
      <c r="B4879" t="str">
        <f>"18:49:39.664"</f>
        <v>18:49:39.664</v>
      </c>
      <c r="C4879" t="str">
        <f>"18:49:39.364"</f>
        <v>18:49:39.364</v>
      </c>
      <c r="D4879" t="s">
        <v>2024</v>
      </c>
      <c r="E4879">
        <v>30.884305999999999</v>
      </c>
      <c r="F4879" t="s">
        <v>905</v>
      </c>
      <c r="G4879">
        <v>-89.870975000000001</v>
      </c>
      <c r="H4879">
        <v>1300</v>
      </c>
      <c r="I4879">
        <v>-9</v>
      </c>
      <c r="J4879">
        <v>-126</v>
      </c>
      <c r="K4879">
        <v>-512</v>
      </c>
      <c r="L4879">
        <v>1200</v>
      </c>
      <c r="M4879" t="str">
        <f t="shared" si="482"/>
        <v xml:space="preserve">N35DC   </v>
      </c>
      <c r="N4879">
        <v>1</v>
      </c>
      <c r="O4879">
        <v>1375</v>
      </c>
    </row>
    <row r="4880" spans="1:15" x14ac:dyDescent="0.25">
      <c r="A4880" t="str">
        <f>"10/21/2020 18:49:31.739"</f>
        <v>10/21/2020 18:49:31.739</v>
      </c>
      <c r="B4880" t="str">
        <f>"18:49:39.664"</f>
        <v>18:49:39.664</v>
      </c>
      <c r="C4880" t="str">
        <f>"18:49:39.364"</f>
        <v>18:49:39.364</v>
      </c>
      <c r="D4880" t="s">
        <v>2024</v>
      </c>
      <c r="E4880">
        <v>30.884305999999999</v>
      </c>
      <c r="F4880" t="s">
        <v>905</v>
      </c>
      <c r="G4880">
        <v>-89.870975000000001</v>
      </c>
      <c r="H4880">
        <v>1300</v>
      </c>
      <c r="I4880">
        <v>-9</v>
      </c>
      <c r="J4880">
        <v>-126</v>
      </c>
      <c r="K4880">
        <v>-512</v>
      </c>
      <c r="L4880">
        <v>1200</v>
      </c>
      <c r="M4880" t="str">
        <f t="shared" si="482"/>
        <v xml:space="preserve">N35DC   </v>
      </c>
      <c r="N4880">
        <v>1</v>
      </c>
      <c r="O4880">
        <v>1375</v>
      </c>
    </row>
    <row r="4881" spans="1:15" x14ac:dyDescent="0.25">
      <c r="A4881" t="str">
        <f>"10/21/2020 18:49:31.739"</f>
        <v>10/21/2020 18:49:31.739</v>
      </c>
      <c r="B4881" t="str">
        <f>"18:49:39.664"</f>
        <v>18:49:39.664</v>
      </c>
      <c r="C4881" t="str">
        <f>"18:49:39.364"</f>
        <v>18:49:39.364</v>
      </c>
      <c r="D4881" t="s">
        <v>2024</v>
      </c>
      <c r="E4881">
        <v>30.884305999999999</v>
      </c>
      <c r="F4881" t="s">
        <v>905</v>
      </c>
      <c r="G4881">
        <v>-89.870975000000001</v>
      </c>
      <c r="H4881">
        <v>1300</v>
      </c>
      <c r="I4881">
        <v>-9</v>
      </c>
      <c r="J4881">
        <v>-126</v>
      </c>
      <c r="K4881">
        <v>-512</v>
      </c>
      <c r="L4881">
        <v>1200</v>
      </c>
      <c r="M4881" t="str">
        <f t="shared" si="482"/>
        <v xml:space="preserve">N35DC   </v>
      </c>
      <c r="N4881">
        <v>1</v>
      </c>
      <c r="O4881">
        <v>1375</v>
      </c>
    </row>
    <row r="4882" spans="1:15" x14ac:dyDescent="0.25">
      <c r="A4882" t="str">
        <f>"10/21/2020 18:49:31.739"</f>
        <v>10/21/2020 18:49:31.739</v>
      </c>
      <c r="B4882" t="str">
        <f>"18:49:39.664"</f>
        <v>18:49:39.664</v>
      </c>
      <c r="C4882" t="str">
        <f>"18:49:39.364"</f>
        <v>18:49:39.364</v>
      </c>
      <c r="D4882" t="s">
        <v>2024</v>
      </c>
      <c r="E4882">
        <v>30.884305999999999</v>
      </c>
      <c r="F4882" t="s">
        <v>905</v>
      </c>
      <c r="G4882">
        <v>-89.870975000000001</v>
      </c>
      <c r="H4882">
        <v>1300</v>
      </c>
      <c r="I4882">
        <v>-9</v>
      </c>
      <c r="J4882">
        <v>-126</v>
      </c>
      <c r="K4882">
        <v>-512</v>
      </c>
      <c r="L4882">
        <v>1200</v>
      </c>
      <c r="M4882" t="str">
        <f t="shared" si="482"/>
        <v xml:space="preserve">N35DC   </v>
      </c>
      <c r="N4882">
        <v>1</v>
      </c>
      <c r="O4882">
        <v>1375</v>
      </c>
    </row>
    <row r="4883" spans="1:15" x14ac:dyDescent="0.25">
      <c r="A4883" t="str">
        <f>"10/21/2020 18:49:34.827"</f>
        <v>10/21/2020 18:49:34.827</v>
      </c>
      <c r="B4883" t="str">
        <f>"18:49:42.773"</f>
        <v>18:49:42.773</v>
      </c>
      <c r="C4883" t="str">
        <f>"18:49:42.473"</f>
        <v>18:49:42.473</v>
      </c>
      <c r="D4883" t="s">
        <v>2025</v>
      </c>
      <c r="E4883">
        <v>30.882525000000001</v>
      </c>
      <c r="F4883" t="s">
        <v>905</v>
      </c>
      <c r="G4883">
        <v>-89.870975000000001</v>
      </c>
      <c r="H4883">
        <v>1300</v>
      </c>
      <c r="I4883">
        <v>5</v>
      </c>
      <c r="J4883">
        <v>-125</v>
      </c>
      <c r="K4883">
        <v>-256</v>
      </c>
      <c r="L4883">
        <v>1200</v>
      </c>
      <c r="M4883" t="str">
        <f t="shared" si="482"/>
        <v xml:space="preserve">N35DC   </v>
      </c>
      <c r="N4883">
        <v>1</v>
      </c>
      <c r="O4883">
        <v>1375</v>
      </c>
    </row>
    <row r="4884" spans="1:15" x14ac:dyDescent="0.25">
      <c r="A4884" t="str">
        <f>"10/21/2020 18:49:34.827"</f>
        <v>10/21/2020 18:49:34.827</v>
      </c>
      <c r="B4884" t="str">
        <f>"18:49:42.773"</f>
        <v>18:49:42.773</v>
      </c>
      <c r="C4884" t="str">
        <f>"18:49:42.473"</f>
        <v>18:49:42.473</v>
      </c>
      <c r="D4884" t="s">
        <v>2025</v>
      </c>
      <c r="E4884">
        <v>30.882525000000001</v>
      </c>
      <c r="F4884" t="s">
        <v>905</v>
      </c>
      <c r="G4884">
        <v>-89.870975000000001</v>
      </c>
      <c r="H4884">
        <v>1300</v>
      </c>
      <c r="I4884">
        <v>5</v>
      </c>
      <c r="J4884">
        <v>-125</v>
      </c>
      <c r="K4884">
        <v>-256</v>
      </c>
      <c r="L4884">
        <v>1200</v>
      </c>
      <c r="M4884" t="str">
        <f t="shared" si="482"/>
        <v xml:space="preserve">N35DC   </v>
      </c>
      <c r="N4884">
        <v>1</v>
      </c>
      <c r="O4884">
        <v>1375</v>
      </c>
    </row>
    <row r="4885" spans="1:15" x14ac:dyDescent="0.25">
      <c r="A4885" t="str">
        <f>"10/21/2020 18:49:34.827"</f>
        <v>10/21/2020 18:49:34.827</v>
      </c>
      <c r="B4885" t="str">
        <f>"18:49:42.773"</f>
        <v>18:49:42.773</v>
      </c>
      <c r="C4885" t="str">
        <f>"18:49:41.973"</f>
        <v>18:49:41.973</v>
      </c>
      <c r="D4885" t="s">
        <v>2025</v>
      </c>
      <c r="E4885">
        <v>30.882525000000001</v>
      </c>
      <c r="F4885" t="s">
        <v>905</v>
      </c>
      <c r="G4885">
        <v>-89.870975000000001</v>
      </c>
      <c r="H4885">
        <v>1300</v>
      </c>
      <c r="I4885">
        <v>3</v>
      </c>
      <c r="J4885">
        <v>-125</v>
      </c>
      <c r="K4885">
        <v>-320</v>
      </c>
      <c r="L4885">
        <v>1200</v>
      </c>
      <c r="M4885" t="str">
        <f t="shared" si="482"/>
        <v xml:space="preserve">N35DC   </v>
      </c>
      <c r="N4885">
        <v>1</v>
      </c>
      <c r="O4885">
        <v>1375</v>
      </c>
    </row>
    <row r="4886" spans="1:15" x14ac:dyDescent="0.25">
      <c r="A4886" t="str">
        <f>"10/21/2020 18:49:34.827"</f>
        <v>10/21/2020 18:49:34.827</v>
      </c>
      <c r="B4886" t="str">
        <f>"18:49:42.773"</f>
        <v>18:49:42.773</v>
      </c>
      <c r="C4886" t="str">
        <f>"18:49:41.973"</f>
        <v>18:49:41.973</v>
      </c>
      <c r="D4886" t="s">
        <v>2025</v>
      </c>
      <c r="E4886">
        <v>30.882525000000001</v>
      </c>
      <c r="F4886" t="s">
        <v>905</v>
      </c>
      <c r="G4886">
        <v>-89.870975000000001</v>
      </c>
      <c r="H4886">
        <v>1300</v>
      </c>
      <c r="I4886">
        <v>3</v>
      </c>
      <c r="J4886">
        <v>-125</v>
      </c>
      <c r="K4886">
        <v>-320</v>
      </c>
      <c r="L4886">
        <v>1200</v>
      </c>
      <c r="M4886" t="str">
        <f t="shared" si="482"/>
        <v xml:space="preserve">N35DC   </v>
      </c>
      <c r="N4886">
        <v>1</v>
      </c>
      <c r="O4886">
        <v>1375</v>
      </c>
    </row>
    <row r="4887" spans="1:15" x14ac:dyDescent="0.25">
      <c r="A4887" t="str">
        <f>"10/21/2020 18:49:37.934"</f>
        <v>10/21/2020 18:49:37.934</v>
      </c>
      <c r="B4887" t="str">
        <f>"18:49:45.875"</f>
        <v>18:49:45.875</v>
      </c>
      <c r="C4887" t="str">
        <f>"18:49:45.775"</f>
        <v>18:49:45.775</v>
      </c>
      <c r="D4887" t="s">
        <v>2026</v>
      </c>
      <c r="E4887">
        <v>30.880744</v>
      </c>
      <c r="F4887" t="s">
        <v>962</v>
      </c>
      <c r="G4887">
        <v>-89.870739</v>
      </c>
      <c r="H4887">
        <v>1300</v>
      </c>
      <c r="I4887">
        <v>19</v>
      </c>
      <c r="J4887">
        <v>-119</v>
      </c>
      <c r="K4887">
        <v>256</v>
      </c>
      <c r="L4887">
        <v>1200</v>
      </c>
      <c r="M4887" t="str">
        <f t="shared" si="482"/>
        <v xml:space="preserve">N35DC   </v>
      </c>
      <c r="N4887">
        <v>1</v>
      </c>
      <c r="O4887">
        <v>1375</v>
      </c>
    </row>
    <row r="4888" spans="1:15" x14ac:dyDescent="0.25">
      <c r="A4888" t="str">
        <f>"10/21/2020 18:49:37.934"</f>
        <v>10/21/2020 18:49:37.934</v>
      </c>
      <c r="B4888" t="str">
        <f>"18:49:45.875"</f>
        <v>18:49:45.875</v>
      </c>
      <c r="C4888" t="str">
        <f>"18:49:45.275"</f>
        <v>18:49:45.275</v>
      </c>
      <c r="D4888" t="s">
        <v>2026</v>
      </c>
      <c r="E4888">
        <v>30.880744</v>
      </c>
      <c r="F4888" t="s">
        <v>962</v>
      </c>
      <c r="G4888">
        <v>-89.870739</v>
      </c>
      <c r="H4888">
        <v>1300</v>
      </c>
      <c r="I4888">
        <v>17</v>
      </c>
      <c r="J4888">
        <v>-120</v>
      </c>
      <c r="K4888">
        <v>192</v>
      </c>
      <c r="L4888">
        <v>1200</v>
      </c>
      <c r="M4888" t="str">
        <f t="shared" si="482"/>
        <v xml:space="preserve">N35DC   </v>
      </c>
      <c r="N4888">
        <v>1</v>
      </c>
      <c r="O4888">
        <v>1375</v>
      </c>
    </row>
    <row r="4889" spans="1:15" x14ac:dyDescent="0.25">
      <c r="A4889" t="str">
        <f>"10/21/2020 18:49:37.934"</f>
        <v>10/21/2020 18:49:37.934</v>
      </c>
      <c r="B4889" t="str">
        <f>"18:49:45.875"</f>
        <v>18:49:45.875</v>
      </c>
      <c r="C4889" t="str">
        <f>"18:49:45.875"</f>
        <v>18:49:45.875</v>
      </c>
      <c r="D4889" t="s">
        <v>2026</v>
      </c>
      <c r="E4889">
        <v>30.880744</v>
      </c>
      <c r="F4889" t="s">
        <v>962</v>
      </c>
      <c r="G4889">
        <v>-89.870739</v>
      </c>
      <c r="H4889">
        <v>1300</v>
      </c>
      <c r="I4889">
        <v>19</v>
      </c>
      <c r="J4889">
        <v>-119</v>
      </c>
      <c r="K4889">
        <v>256</v>
      </c>
      <c r="L4889">
        <v>1200</v>
      </c>
      <c r="M4889" t="str">
        <f t="shared" si="482"/>
        <v xml:space="preserve">N35DC   </v>
      </c>
      <c r="N4889">
        <v>1</v>
      </c>
      <c r="O4889">
        <v>1375</v>
      </c>
    </row>
    <row r="4890" spans="1:15" x14ac:dyDescent="0.25">
      <c r="A4890" t="str">
        <f>"10/21/2020 18:49:37.934"</f>
        <v>10/21/2020 18:49:37.934</v>
      </c>
      <c r="B4890" t="str">
        <f>"18:49:45.875"</f>
        <v>18:49:45.875</v>
      </c>
      <c r="C4890" t="str">
        <f>"18:49:45.875"</f>
        <v>18:49:45.875</v>
      </c>
      <c r="D4890" t="s">
        <v>2026</v>
      </c>
      <c r="E4890">
        <v>30.880744</v>
      </c>
      <c r="F4890" t="s">
        <v>962</v>
      </c>
      <c r="G4890">
        <v>-89.870739</v>
      </c>
      <c r="H4890">
        <v>1300</v>
      </c>
      <c r="I4890">
        <v>19</v>
      </c>
      <c r="J4890">
        <v>-119</v>
      </c>
      <c r="K4890">
        <v>256</v>
      </c>
      <c r="L4890">
        <v>1200</v>
      </c>
      <c r="M4890" t="str">
        <f t="shared" si="482"/>
        <v xml:space="preserve">N35DC   </v>
      </c>
      <c r="N4890">
        <v>1</v>
      </c>
      <c r="O4890">
        <v>1375</v>
      </c>
    </row>
    <row r="4891" spans="1:15" x14ac:dyDescent="0.25">
      <c r="A4891" t="str">
        <f>"10/21/2020 18:49:37.934"</f>
        <v>10/21/2020 18:49:37.934</v>
      </c>
      <c r="B4891" t="str">
        <f>"18:49:45.875"</f>
        <v>18:49:45.875</v>
      </c>
      <c r="C4891" t="str">
        <f>"18:49:45.775"</f>
        <v>18:49:45.775</v>
      </c>
      <c r="D4891" t="s">
        <v>2026</v>
      </c>
      <c r="E4891">
        <v>30.880744</v>
      </c>
      <c r="F4891" t="s">
        <v>962</v>
      </c>
      <c r="G4891">
        <v>-89.870739</v>
      </c>
      <c r="H4891">
        <v>1300</v>
      </c>
      <c r="I4891">
        <v>19</v>
      </c>
      <c r="J4891">
        <v>-119</v>
      </c>
      <c r="K4891">
        <v>256</v>
      </c>
      <c r="L4891">
        <v>1200</v>
      </c>
      <c r="M4891" t="str">
        <f t="shared" si="482"/>
        <v xml:space="preserve">N35DC   </v>
      </c>
      <c r="N4891">
        <v>1</v>
      </c>
      <c r="O4891">
        <v>1375</v>
      </c>
    </row>
    <row r="4892" spans="1:15" x14ac:dyDescent="0.25">
      <c r="A4892" t="str">
        <f>"10/21/2020 18:49:38.479"</f>
        <v>10/21/2020 18:49:38.479</v>
      </c>
      <c r="B4892" t="str">
        <f>"18:49:46.391"</f>
        <v>18:49:46.391</v>
      </c>
      <c r="C4892" t="str">
        <f>"18:49:46.291"</f>
        <v>18:49:46.291</v>
      </c>
      <c r="D4892" t="s">
        <v>2027</v>
      </c>
      <c r="E4892">
        <v>30.880465999999998</v>
      </c>
      <c r="F4892" t="s">
        <v>958</v>
      </c>
      <c r="G4892">
        <v>-89.870632000000001</v>
      </c>
      <c r="H4892">
        <v>1300</v>
      </c>
      <c r="I4892">
        <v>22</v>
      </c>
      <c r="J4892">
        <v>-118</v>
      </c>
      <c r="K4892">
        <v>320</v>
      </c>
      <c r="L4892">
        <v>1200</v>
      </c>
      <c r="M4892" t="str">
        <f t="shared" si="482"/>
        <v xml:space="preserve">N35DC   </v>
      </c>
      <c r="N4892">
        <v>1</v>
      </c>
      <c r="O4892">
        <v>1375</v>
      </c>
    </row>
    <row r="4893" spans="1:15" x14ac:dyDescent="0.25">
      <c r="A4893" t="str">
        <f>"10/21/2020 18:49:39.024"</f>
        <v>10/21/2020 18:49:39.024</v>
      </c>
      <c r="B4893" t="str">
        <f>"18:49:46.961"</f>
        <v>18:49:46.961</v>
      </c>
      <c r="C4893" t="str">
        <f>"18:49:46.861"</f>
        <v>18:49:46.861</v>
      </c>
      <c r="D4893" t="s">
        <v>2028</v>
      </c>
      <c r="E4893">
        <v>30.880186999999999</v>
      </c>
      <c r="F4893" t="s">
        <v>2029</v>
      </c>
      <c r="G4893">
        <v>-89.870588999999995</v>
      </c>
      <c r="H4893">
        <v>1300</v>
      </c>
      <c r="I4893">
        <v>24</v>
      </c>
      <c r="J4893">
        <v>-116</v>
      </c>
      <c r="K4893">
        <v>320</v>
      </c>
      <c r="L4893">
        <v>1200</v>
      </c>
      <c r="M4893" t="str">
        <f t="shared" si="482"/>
        <v xml:space="preserve">N35DC   </v>
      </c>
      <c r="N4893">
        <v>1</v>
      </c>
      <c r="O4893">
        <v>1375</v>
      </c>
    </row>
    <row r="4894" spans="1:15" x14ac:dyDescent="0.25">
      <c r="A4894" t="str">
        <f>"10/21/2020 18:49:39.024"</f>
        <v>10/21/2020 18:49:39.024</v>
      </c>
      <c r="B4894" t="str">
        <f>"18:49:46.961"</f>
        <v>18:49:46.961</v>
      </c>
      <c r="C4894" t="str">
        <f>"18:49:46.861"</f>
        <v>18:49:46.861</v>
      </c>
      <c r="D4894" t="s">
        <v>2028</v>
      </c>
      <c r="E4894">
        <v>30.880186999999999</v>
      </c>
      <c r="F4894" t="s">
        <v>2029</v>
      </c>
      <c r="G4894">
        <v>-89.870588999999995</v>
      </c>
      <c r="H4894">
        <v>1300</v>
      </c>
      <c r="I4894">
        <v>24</v>
      </c>
      <c r="J4894">
        <v>-116</v>
      </c>
      <c r="K4894">
        <v>320</v>
      </c>
      <c r="L4894">
        <v>1200</v>
      </c>
      <c r="M4894" t="str">
        <f t="shared" si="482"/>
        <v xml:space="preserve">N35DC   </v>
      </c>
      <c r="N4894">
        <v>1</v>
      </c>
      <c r="O4894">
        <v>1375</v>
      </c>
    </row>
    <row r="4895" spans="1:15" x14ac:dyDescent="0.25">
      <c r="A4895" t="str">
        <f>"10/21/2020 18:49:39.024"</f>
        <v>10/21/2020 18:49:39.024</v>
      </c>
      <c r="B4895" t="str">
        <f>"18:49:46.961"</f>
        <v>18:49:46.961</v>
      </c>
      <c r="C4895" t="str">
        <f>"18:49:46.861"</f>
        <v>18:49:46.861</v>
      </c>
      <c r="D4895" t="s">
        <v>2028</v>
      </c>
      <c r="E4895">
        <v>30.880186999999999</v>
      </c>
      <c r="F4895" t="s">
        <v>2029</v>
      </c>
      <c r="G4895">
        <v>-89.870588999999995</v>
      </c>
      <c r="H4895">
        <v>1300</v>
      </c>
      <c r="I4895">
        <v>24</v>
      </c>
      <c r="J4895">
        <v>-116</v>
      </c>
      <c r="K4895">
        <v>320</v>
      </c>
      <c r="L4895">
        <v>1200</v>
      </c>
      <c r="M4895" t="str">
        <f t="shared" si="482"/>
        <v xml:space="preserve">N35DC   </v>
      </c>
      <c r="N4895">
        <v>1</v>
      </c>
      <c r="O4895">
        <v>1375</v>
      </c>
    </row>
    <row r="4896" spans="1:15" x14ac:dyDescent="0.25">
      <c r="A4896" t="str">
        <f>"10/21/2020 18:49:39.024"</f>
        <v>10/21/2020 18:49:39.024</v>
      </c>
      <c r="B4896" t="str">
        <f>"18:49:46.961"</f>
        <v>18:49:46.961</v>
      </c>
      <c r="C4896" t="str">
        <f>"18:49:46.861"</f>
        <v>18:49:46.861</v>
      </c>
      <c r="D4896" t="s">
        <v>2028</v>
      </c>
      <c r="E4896">
        <v>30.880186999999999</v>
      </c>
      <c r="F4896" t="s">
        <v>2029</v>
      </c>
      <c r="G4896">
        <v>-89.870588999999995</v>
      </c>
      <c r="H4896">
        <v>1300</v>
      </c>
      <c r="I4896">
        <v>24</v>
      </c>
      <c r="J4896">
        <v>-116</v>
      </c>
      <c r="K4896">
        <v>320</v>
      </c>
      <c r="L4896">
        <v>1200</v>
      </c>
      <c r="M4896" t="str">
        <f t="shared" si="482"/>
        <v xml:space="preserve">N35DC   </v>
      </c>
      <c r="N4896">
        <v>1</v>
      </c>
      <c r="O4896">
        <v>1375</v>
      </c>
    </row>
    <row r="4897" spans="1:15" x14ac:dyDescent="0.25">
      <c r="A4897" t="str">
        <f>"10/21/2020 18:49:39.024"</f>
        <v>10/21/2020 18:49:39.024</v>
      </c>
      <c r="B4897" t="str">
        <f>"18:49:46.961"</f>
        <v>18:49:46.961</v>
      </c>
      <c r="C4897" t="str">
        <f>"18:49:46.861"</f>
        <v>18:49:46.861</v>
      </c>
      <c r="D4897" t="s">
        <v>2028</v>
      </c>
      <c r="E4897">
        <v>30.880186999999999</v>
      </c>
      <c r="F4897" t="s">
        <v>2029</v>
      </c>
      <c r="G4897">
        <v>-89.870588999999995</v>
      </c>
      <c r="H4897">
        <v>1300</v>
      </c>
      <c r="I4897">
        <v>24</v>
      </c>
      <c r="J4897">
        <v>-116</v>
      </c>
      <c r="K4897">
        <v>320</v>
      </c>
      <c r="L4897">
        <v>1200</v>
      </c>
      <c r="M4897" t="str">
        <f t="shared" si="482"/>
        <v xml:space="preserve">N35DC   </v>
      </c>
      <c r="N4897">
        <v>1</v>
      </c>
      <c r="O4897">
        <v>1375</v>
      </c>
    </row>
    <row r="4898" spans="1:15" x14ac:dyDescent="0.25">
      <c r="A4898" t="str">
        <f t="shared" ref="A4898:A4903" si="483">"10/21/2020 18:49:40.032"</f>
        <v>10/21/2020 18:49:40.032</v>
      </c>
      <c r="B4898" t="str">
        <f t="shared" ref="B4898:B4903" si="484">"18:49:47.961"</f>
        <v>18:49:47.961</v>
      </c>
      <c r="C4898" t="str">
        <f t="shared" ref="C4898:C4903" si="485">"18:49:47.761"</f>
        <v>18:49:47.761</v>
      </c>
      <c r="D4898" t="s">
        <v>2030</v>
      </c>
      <c r="E4898">
        <v>30.879629000000001</v>
      </c>
      <c r="F4898" t="s">
        <v>954</v>
      </c>
      <c r="G4898">
        <v>-89.870417000000003</v>
      </c>
      <c r="H4898">
        <v>1300</v>
      </c>
      <c r="I4898">
        <v>28</v>
      </c>
      <c r="J4898">
        <v>-113</v>
      </c>
      <c r="K4898">
        <v>320</v>
      </c>
      <c r="L4898">
        <v>1200</v>
      </c>
      <c r="M4898" t="str">
        <f t="shared" si="482"/>
        <v xml:space="preserve">N35DC   </v>
      </c>
      <c r="N4898">
        <v>1</v>
      </c>
      <c r="O4898">
        <v>1375</v>
      </c>
    </row>
    <row r="4899" spans="1:15" x14ac:dyDescent="0.25">
      <c r="A4899" t="str">
        <f t="shared" si="483"/>
        <v>10/21/2020 18:49:40.032</v>
      </c>
      <c r="B4899" t="str">
        <f t="shared" si="484"/>
        <v>18:49:47.961</v>
      </c>
      <c r="C4899" t="str">
        <f t="shared" si="485"/>
        <v>18:49:47.761</v>
      </c>
      <c r="D4899" t="s">
        <v>2030</v>
      </c>
      <c r="E4899">
        <v>30.879629000000001</v>
      </c>
      <c r="F4899" t="s">
        <v>954</v>
      </c>
      <c r="G4899">
        <v>-89.870417000000003</v>
      </c>
      <c r="H4899">
        <v>1300</v>
      </c>
      <c r="I4899">
        <v>28</v>
      </c>
      <c r="J4899">
        <v>-113</v>
      </c>
      <c r="K4899">
        <v>320</v>
      </c>
      <c r="L4899">
        <v>1200</v>
      </c>
      <c r="M4899" t="str">
        <f t="shared" si="482"/>
        <v xml:space="preserve">N35DC   </v>
      </c>
      <c r="N4899">
        <v>1</v>
      </c>
      <c r="O4899">
        <v>1375</v>
      </c>
    </row>
    <row r="4900" spans="1:15" x14ac:dyDescent="0.25">
      <c r="A4900" t="str">
        <f t="shared" si="483"/>
        <v>10/21/2020 18:49:40.032</v>
      </c>
      <c r="B4900" t="str">
        <f t="shared" si="484"/>
        <v>18:49:47.961</v>
      </c>
      <c r="C4900" t="str">
        <f t="shared" si="485"/>
        <v>18:49:47.761</v>
      </c>
      <c r="D4900" t="s">
        <v>2030</v>
      </c>
      <c r="E4900">
        <v>30.879629000000001</v>
      </c>
      <c r="F4900" t="s">
        <v>954</v>
      </c>
      <c r="G4900">
        <v>-89.870417000000003</v>
      </c>
      <c r="H4900">
        <v>1300</v>
      </c>
      <c r="I4900">
        <v>28</v>
      </c>
      <c r="J4900">
        <v>-113</v>
      </c>
      <c r="K4900">
        <v>320</v>
      </c>
      <c r="L4900">
        <v>1200</v>
      </c>
      <c r="M4900" t="str">
        <f t="shared" si="482"/>
        <v xml:space="preserve">N35DC   </v>
      </c>
      <c r="N4900">
        <v>1</v>
      </c>
      <c r="O4900">
        <v>1375</v>
      </c>
    </row>
    <row r="4901" spans="1:15" x14ac:dyDescent="0.25">
      <c r="A4901" t="str">
        <f t="shared" si="483"/>
        <v>10/21/2020 18:49:40.032</v>
      </c>
      <c r="B4901" t="str">
        <f t="shared" si="484"/>
        <v>18:49:47.961</v>
      </c>
      <c r="C4901" t="str">
        <f t="shared" si="485"/>
        <v>18:49:47.761</v>
      </c>
      <c r="D4901" t="s">
        <v>2030</v>
      </c>
      <c r="E4901">
        <v>30.879629000000001</v>
      </c>
      <c r="F4901" t="s">
        <v>954</v>
      </c>
      <c r="G4901">
        <v>-89.870417000000003</v>
      </c>
      <c r="H4901">
        <v>1300</v>
      </c>
      <c r="I4901">
        <v>28</v>
      </c>
      <c r="J4901">
        <v>-113</v>
      </c>
      <c r="K4901">
        <v>320</v>
      </c>
      <c r="L4901">
        <v>1200</v>
      </c>
      <c r="M4901" t="str">
        <f t="shared" si="482"/>
        <v xml:space="preserve">N35DC   </v>
      </c>
      <c r="N4901">
        <v>1</v>
      </c>
      <c r="O4901">
        <v>1375</v>
      </c>
    </row>
    <row r="4902" spans="1:15" x14ac:dyDescent="0.25">
      <c r="A4902" t="str">
        <f t="shared" si="483"/>
        <v>10/21/2020 18:49:40.032</v>
      </c>
      <c r="B4902" t="str">
        <f t="shared" si="484"/>
        <v>18:49:47.961</v>
      </c>
      <c r="C4902" t="str">
        <f t="shared" si="485"/>
        <v>18:49:47.761</v>
      </c>
      <c r="D4902" t="s">
        <v>2030</v>
      </c>
      <c r="E4902">
        <v>30.879629000000001</v>
      </c>
      <c r="F4902" t="s">
        <v>954</v>
      </c>
      <c r="G4902">
        <v>-89.870417000000003</v>
      </c>
      <c r="H4902">
        <v>1300</v>
      </c>
      <c r="I4902">
        <v>28</v>
      </c>
      <c r="J4902">
        <v>-113</v>
      </c>
      <c r="K4902">
        <v>320</v>
      </c>
      <c r="L4902">
        <v>1200</v>
      </c>
      <c r="M4902" t="str">
        <f t="shared" si="482"/>
        <v xml:space="preserve">N35DC   </v>
      </c>
      <c r="N4902">
        <v>1</v>
      </c>
      <c r="O4902">
        <v>1375</v>
      </c>
    </row>
    <row r="4903" spans="1:15" x14ac:dyDescent="0.25">
      <c r="A4903" t="str">
        <f t="shared" si="483"/>
        <v>10/21/2020 18:49:40.032</v>
      </c>
      <c r="B4903" t="str">
        <f t="shared" si="484"/>
        <v>18:49:47.961</v>
      </c>
      <c r="C4903" t="str">
        <f t="shared" si="485"/>
        <v>18:49:47.761</v>
      </c>
      <c r="D4903" t="s">
        <v>2030</v>
      </c>
      <c r="E4903">
        <v>30.879629000000001</v>
      </c>
      <c r="F4903" t="s">
        <v>954</v>
      </c>
      <c r="G4903">
        <v>-89.870417000000003</v>
      </c>
      <c r="H4903">
        <v>1300</v>
      </c>
      <c r="I4903">
        <v>28</v>
      </c>
      <c r="J4903">
        <v>-113</v>
      </c>
      <c r="K4903">
        <v>320</v>
      </c>
      <c r="L4903">
        <v>1200</v>
      </c>
      <c r="M4903" t="str">
        <f t="shared" si="482"/>
        <v xml:space="preserve">N35DC   </v>
      </c>
      <c r="N4903">
        <v>1</v>
      </c>
      <c r="O4903">
        <v>1375</v>
      </c>
    </row>
    <row r="4904" spans="1:15" x14ac:dyDescent="0.25">
      <c r="A4904" t="str">
        <f>"10/21/2020 18:49:42.907"</f>
        <v>10/21/2020 18:49:42.907</v>
      </c>
      <c r="B4904" t="str">
        <f>"18:49:50.844"</f>
        <v>18:49:50.844</v>
      </c>
      <c r="C4904" t="str">
        <f>"18:49:50.544"</f>
        <v>18:49:50.544</v>
      </c>
      <c r="D4904" t="s">
        <v>2031</v>
      </c>
      <c r="E4904">
        <v>30.878212000000001</v>
      </c>
      <c r="F4904" t="s">
        <v>911</v>
      </c>
      <c r="G4904">
        <v>-89.869881000000007</v>
      </c>
      <c r="H4904">
        <v>1300</v>
      </c>
      <c r="I4904">
        <v>41</v>
      </c>
      <c r="J4904">
        <v>-104</v>
      </c>
      <c r="K4904">
        <v>320</v>
      </c>
      <c r="L4904">
        <v>1200</v>
      </c>
      <c r="M4904" t="str">
        <f t="shared" si="482"/>
        <v xml:space="preserve">N35DC   </v>
      </c>
      <c r="N4904">
        <v>1</v>
      </c>
      <c r="O4904">
        <v>1375</v>
      </c>
    </row>
    <row r="4905" spans="1:15" x14ac:dyDescent="0.25">
      <c r="A4905" t="str">
        <f>"10/21/2020 18:49:42.907"</f>
        <v>10/21/2020 18:49:42.907</v>
      </c>
      <c r="B4905" t="str">
        <f>"18:49:50.844"</f>
        <v>18:49:50.844</v>
      </c>
      <c r="C4905" t="str">
        <f>"18:49:50.544"</f>
        <v>18:49:50.544</v>
      </c>
      <c r="D4905" t="s">
        <v>2031</v>
      </c>
      <c r="E4905">
        <v>30.878212000000001</v>
      </c>
      <c r="F4905" t="s">
        <v>911</v>
      </c>
      <c r="G4905">
        <v>-89.869881000000007</v>
      </c>
      <c r="H4905">
        <v>1300</v>
      </c>
      <c r="I4905">
        <v>41</v>
      </c>
      <c r="J4905">
        <v>-104</v>
      </c>
      <c r="K4905">
        <v>320</v>
      </c>
      <c r="L4905">
        <v>1200</v>
      </c>
      <c r="M4905" t="str">
        <f t="shared" si="482"/>
        <v xml:space="preserve">N35DC   </v>
      </c>
      <c r="N4905">
        <v>1</v>
      </c>
      <c r="O4905">
        <v>1375</v>
      </c>
    </row>
    <row r="4906" spans="1:15" x14ac:dyDescent="0.25">
      <c r="A4906" t="str">
        <f>"10/21/2020 18:49:42.907"</f>
        <v>10/21/2020 18:49:42.907</v>
      </c>
      <c r="B4906" t="str">
        <f>"18:49:50.844"</f>
        <v>18:49:50.844</v>
      </c>
      <c r="C4906" t="str">
        <f>"18:49:50.544"</f>
        <v>18:49:50.544</v>
      </c>
      <c r="D4906" t="s">
        <v>2031</v>
      </c>
      <c r="E4906">
        <v>30.878212000000001</v>
      </c>
      <c r="F4906" t="s">
        <v>911</v>
      </c>
      <c r="G4906">
        <v>-89.869881000000007</v>
      </c>
      <c r="H4906">
        <v>1300</v>
      </c>
      <c r="I4906">
        <v>41</v>
      </c>
      <c r="J4906">
        <v>-104</v>
      </c>
      <c r="K4906">
        <v>320</v>
      </c>
      <c r="L4906">
        <v>1200</v>
      </c>
      <c r="M4906" t="str">
        <f t="shared" si="482"/>
        <v xml:space="preserve">N35DC   </v>
      </c>
      <c r="N4906">
        <v>1</v>
      </c>
      <c r="O4906">
        <v>1375</v>
      </c>
    </row>
    <row r="4907" spans="1:15" x14ac:dyDescent="0.25">
      <c r="A4907" t="str">
        <f>"10/21/2020 18:49:42.907"</f>
        <v>10/21/2020 18:49:42.907</v>
      </c>
      <c r="B4907" t="str">
        <f>"18:49:50.844"</f>
        <v>18:49:50.844</v>
      </c>
      <c r="C4907" t="str">
        <f>"18:49:50.544"</f>
        <v>18:49:50.544</v>
      </c>
      <c r="D4907" t="s">
        <v>2031</v>
      </c>
      <c r="E4907">
        <v>30.878212000000001</v>
      </c>
      <c r="F4907" t="s">
        <v>911</v>
      </c>
      <c r="G4907">
        <v>-89.869881000000007</v>
      </c>
      <c r="H4907">
        <v>1300</v>
      </c>
      <c r="I4907">
        <v>41</v>
      </c>
      <c r="J4907">
        <v>-104</v>
      </c>
      <c r="K4907">
        <v>320</v>
      </c>
      <c r="L4907">
        <v>1200</v>
      </c>
      <c r="M4907" t="str">
        <f t="shared" si="482"/>
        <v xml:space="preserve">N35DC   </v>
      </c>
      <c r="N4907">
        <v>1</v>
      </c>
      <c r="O4907">
        <v>1375</v>
      </c>
    </row>
    <row r="4908" spans="1:15" x14ac:dyDescent="0.25">
      <c r="A4908" t="str">
        <f>"10/21/2020 18:49:43.557"</f>
        <v>10/21/2020 18:49:43.557</v>
      </c>
      <c r="B4908" t="str">
        <f>"18:49:51.445"</f>
        <v>18:49:51.445</v>
      </c>
      <c r="C4908" t="str">
        <f>"18:49:51.145"</f>
        <v>18:49:51.145</v>
      </c>
      <c r="D4908" t="s">
        <v>1236</v>
      </c>
      <c r="E4908">
        <v>30.877911999999998</v>
      </c>
      <c r="F4908" t="s">
        <v>930</v>
      </c>
      <c r="G4908">
        <v>-89.869709</v>
      </c>
      <c r="H4908">
        <v>1300</v>
      </c>
      <c r="I4908">
        <v>44</v>
      </c>
      <c r="J4908">
        <v>-102</v>
      </c>
      <c r="K4908">
        <v>256</v>
      </c>
      <c r="L4908">
        <v>1200</v>
      </c>
      <c r="M4908" t="str">
        <f t="shared" si="482"/>
        <v xml:space="preserve">N35DC   </v>
      </c>
      <c r="N4908">
        <v>1</v>
      </c>
      <c r="O4908">
        <v>1400</v>
      </c>
    </row>
    <row r="4909" spans="1:15" x14ac:dyDescent="0.25">
      <c r="A4909" t="str">
        <f>"10/21/2020 18:49:44.071"</f>
        <v>10/21/2020 18:49:44.071</v>
      </c>
      <c r="B4909" t="str">
        <f>"18:49:52.000"</f>
        <v>18:49:52.000</v>
      </c>
      <c r="C4909" t="str">
        <f>"18:49:51.700"</f>
        <v>18:49:51.700</v>
      </c>
      <c r="D4909" t="s">
        <v>2032</v>
      </c>
      <c r="E4909">
        <v>30.877676000000001</v>
      </c>
      <c r="F4909" t="s">
        <v>468</v>
      </c>
      <c r="G4909">
        <v>-89.869558999999995</v>
      </c>
      <c r="H4909">
        <v>1300</v>
      </c>
      <c r="I4909">
        <v>47</v>
      </c>
      <c r="J4909">
        <v>-100</v>
      </c>
      <c r="K4909">
        <v>256</v>
      </c>
      <c r="L4909">
        <v>1200</v>
      </c>
      <c r="M4909" t="str">
        <f t="shared" si="482"/>
        <v xml:space="preserve">N35DC   </v>
      </c>
      <c r="N4909">
        <v>1</v>
      </c>
      <c r="O4909">
        <v>1400</v>
      </c>
    </row>
    <row r="4910" spans="1:15" x14ac:dyDescent="0.25">
      <c r="A4910" t="str">
        <f>"10/21/2020 18:49:44.071"</f>
        <v>10/21/2020 18:49:44.071</v>
      </c>
      <c r="B4910" t="str">
        <f>"18:49:52.000"</f>
        <v>18:49:52.000</v>
      </c>
      <c r="C4910" t="str">
        <f>"18:49:51.700"</f>
        <v>18:49:51.700</v>
      </c>
      <c r="D4910" t="s">
        <v>2032</v>
      </c>
      <c r="E4910">
        <v>30.877676000000001</v>
      </c>
      <c r="F4910" t="s">
        <v>468</v>
      </c>
      <c r="G4910">
        <v>-89.869558999999995</v>
      </c>
      <c r="H4910">
        <v>1300</v>
      </c>
      <c r="I4910">
        <v>47</v>
      </c>
      <c r="J4910">
        <v>-100</v>
      </c>
      <c r="K4910">
        <v>256</v>
      </c>
      <c r="L4910">
        <v>1200</v>
      </c>
      <c r="M4910" t="str">
        <f t="shared" si="482"/>
        <v xml:space="preserve">N35DC   </v>
      </c>
      <c r="N4910">
        <v>1</v>
      </c>
      <c r="O4910">
        <v>1400</v>
      </c>
    </row>
    <row r="4911" spans="1:15" x14ac:dyDescent="0.25">
      <c r="A4911" t="str">
        <f>"10/21/2020 18:49:44.071"</f>
        <v>10/21/2020 18:49:44.071</v>
      </c>
      <c r="B4911" t="str">
        <f>"18:49:52.000"</f>
        <v>18:49:52.000</v>
      </c>
      <c r="C4911" t="str">
        <f>"18:49:51.700"</f>
        <v>18:49:51.700</v>
      </c>
      <c r="D4911" t="s">
        <v>2032</v>
      </c>
      <c r="E4911">
        <v>30.877676000000001</v>
      </c>
      <c r="F4911" t="s">
        <v>468</v>
      </c>
      <c r="G4911">
        <v>-89.869558999999995</v>
      </c>
      <c r="H4911">
        <v>1300</v>
      </c>
      <c r="I4911">
        <v>47</v>
      </c>
      <c r="J4911">
        <v>-100</v>
      </c>
      <c r="K4911">
        <v>256</v>
      </c>
      <c r="L4911">
        <v>1200</v>
      </c>
      <c r="M4911" t="str">
        <f t="shared" si="482"/>
        <v xml:space="preserve">N35DC   </v>
      </c>
      <c r="N4911">
        <v>1</v>
      </c>
      <c r="O4911">
        <v>1400</v>
      </c>
    </row>
    <row r="4912" spans="1:15" x14ac:dyDescent="0.25">
      <c r="A4912" t="str">
        <f>"10/21/2020 18:49:44.071"</f>
        <v>10/21/2020 18:49:44.071</v>
      </c>
      <c r="B4912" t="str">
        <f>"18:49:52.000"</f>
        <v>18:49:52.000</v>
      </c>
      <c r="C4912" t="str">
        <f>"18:49:51.700"</f>
        <v>18:49:51.700</v>
      </c>
      <c r="D4912" t="s">
        <v>2032</v>
      </c>
      <c r="E4912">
        <v>30.877676000000001</v>
      </c>
      <c r="F4912" t="s">
        <v>468</v>
      </c>
      <c r="G4912">
        <v>-89.869558999999995</v>
      </c>
      <c r="H4912">
        <v>1300</v>
      </c>
      <c r="I4912">
        <v>47</v>
      </c>
      <c r="J4912">
        <v>-100</v>
      </c>
      <c r="K4912">
        <v>256</v>
      </c>
      <c r="L4912">
        <v>1200</v>
      </c>
      <c r="M4912" t="str">
        <f t="shared" si="482"/>
        <v xml:space="preserve">N35DC   </v>
      </c>
      <c r="N4912">
        <v>1</v>
      </c>
      <c r="O4912">
        <v>1400</v>
      </c>
    </row>
    <row r="4913" spans="1:15" x14ac:dyDescent="0.25">
      <c r="A4913" t="str">
        <f>"10/21/2020 18:49:44.562"</f>
        <v>10/21/2020 18:49:44.562</v>
      </c>
      <c r="B4913" t="str">
        <f>"18:49:52.430"</f>
        <v>18:49:52.430</v>
      </c>
      <c r="C4913" t="str">
        <f>"18:49:52.130"</f>
        <v>18:49:52.130</v>
      </c>
      <c r="D4913" t="s">
        <v>2033</v>
      </c>
      <c r="E4913">
        <v>30.877483000000002</v>
      </c>
      <c r="F4913" t="s">
        <v>1062</v>
      </c>
      <c r="G4913">
        <v>-89.869451999999995</v>
      </c>
      <c r="H4913">
        <v>1300</v>
      </c>
      <c r="I4913">
        <v>48</v>
      </c>
      <c r="J4913">
        <v>-99</v>
      </c>
      <c r="K4913">
        <v>256</v>
      </c>
      <c r="L4913">
        <v>1200</v>
      </c>
      <c r="M4913" t="str">
        <f t="shared" si="482"/>
        <v xml:space="preserve">N35DC   </v>
      </c>
      <c r="N4913">
        <v>1</v>
      </c>
      <c r="O4913">
        <v>1400</v>
      </c>
    </row>
    <row r="4914" spans="1:15" x14ac:dyDescent="0.25">
      <c r="A4914" t="str">
        <f>"10/21/2020 18:49:45.081"</f>
        <v>10/21/2020 18:49:45.081</v>
      </c>
      <c r="B4914" t="str">
        <f>"18:49:53.000"</f>
        <v>18:49:53.000</v>
      </c>
      <c r="C4914" t="str">
        <f>"18:49:52.600"</f>
        <v>18:49:52.600</v>
      </c>
      <c r="D4914" t="s">
        <v>2034</v>
      </c>
      <c r="E4914">
        <v>30.877224999999999</v>
      </c>
      <c r="F4914" t="s">
        <v>1072</v>
      </c>
      <c r="G4914">
        <v>-89.869258000000002</v>
      </c>
      <c r="H4914">
        <v>1300</v>
      </c>
      <c r="I4914">
        <v>51</v>
      </c>
      <c r="J4914">
        <v>-97</v>
      </c>
      <c r="K4914">
        <v>192</v>
      </c>
      <c r="L4914">
        <v>1200</v>
      </c>
      <c r="M4914" t="str">
        <f t="shared" si="482"/>
        <v xml:space="preserve">N35DC   </v>
      </c>
      <c r="N4914">
        <v>1</v>
      </c>
      <c r="O4914">
        <v>1400</v>
      </c>
    </row>
    <row r="4915" spans="1:15" x14ac:dyDescent="0.25">
      <c r="A4915" t="str">
        <f>"10/21/2020 18:49:45.081"</f>
        <v>10/21/2020 18:49:45.081</v>
      </c>
      <c r="B4915" t="str">
        <f>"18:49:53.000"</f>
        <v>18:49:53.000</v>
      </c>
      <c r="C4915" t="str">
        <f>"18:49:52.600"</f>
        <v>18:49:52.600</v>
      </c>
      <c r="D4915" t="s">
        <v>2034</v>
      </c>
      <c r="E4915">
        <v>30.877224999999999</v>
      </c>
      <c r="F4915" t="s">
        <v>1072</v>
      </c>
      <c r="G4915">
        <v>-89.869258000000002</v>
      </c>
      <c r="H4915">
        <v>1300</v>
      </c>
      <c r="I4915">
        <v>51</v>
      </c>
      <c r="J4915">
        <v>-97</v>
      </c>
      <c r="K4915">
        <v>192</v>
      </c>
      <c r="L4915">
        <v>1200</v>
      </c>
      <c r="M4915" t="str">
        <f t="shared" si="482"/>
        <v xml:space="preserve">N35DC   </v>
      </c>
      <c r="N4915">
        <v>1</v>
      </c>
      <c r="O4915">
        <v>1400</v>
      </c>
    </row>
    <row r="4916" spans="1:15" x14ac:dyDescent="0.25">
      <c r="A4916" t="str">
        <f>"10/21/2020 18:49:45.081"</f>
        <v>10/21/2020 18:49:45.081</v>
      </c>
      <c r="B4916" t="str">
        <f>"18:49:53.000"</f>
        <v>18:49:53.000</v>
      </c>
      <c r="C4916" t="str">
        <f>"18:49:52.600"</f>
        <v>18:49:52.600</v>
      </c>
      <c r="D4916" t="s">
        <v>2034</v>
      </c>
      <c r="E4916">
        <v>30.877224999999999</v>
      </c>
      <c r="F4916" t="s">
        <v>1072</v>
      </c>
      <c r="G4916">
        <v>-89.869258000000002</v>
      </c>
      <c r="H4916">
        <v>1300</v>
      </c>
      <c r="I4916">
        <v>51</v>
      </c>
      <c r="J4916">
        <v>-97</v>
      </c>
      <c r="K4916">
        <v>192</v>
      </c>
      <c r="L4916">
        <v>1200</v>
      </c>
      <c r="M4916" t="str">
        <f t="shared" si="482"/>
        <v xml:space="preserve">N35DC   </v>
      </c>
      <c r="N4916">
        <v>1</v>
      </c>
      <c r="O4916">
        <v>1400</v>
      </c>
    </row>
    <row r="4917" spans="1:15" x14ac:dyDescent="0.25">
      <c r="A4917" t="str">
        <f>"10/21/2020 18:49:45.081"</f>
        <v>10/21/2020 18:49:45.081</v>
      </c>
      <c r="B4917" t="str">
        <f>"18:49:53.000"</f>
        <v>18:49:53.000</v>
      </c>
      <c r="C4917" t="str">
        <f>"18:49:52.600"</f>
        <v>18:49:52.600</v>
      </c>
      <c r="D4917" t="s">
        <v>2034</v>
      </c>
      <c r="E4917">
        <v>30.877224999999999</v>
      </c>
      <c r="F4917" t="s">
        <v>1072</v>
      </c>
      <c r="G4917">
        <v>-89.869258000000002</v>
      </c>
      <c r="H4917">
        <v>1300</v>
      </c>
      <c r="I4917">
        <v>51</v>
      </c>
      <c r="J4917">
        <v>-97</v>
      </c>
      <c r="K4917">
        <v>192</v>
      </c>
      <c r="L4917">
        <v>1200</v>
      </c>
      <c r="M4917" t="str">
        <f t="shared" si="482"/>
        <v xml:space="preserve">N35DC   </v>
      </c>
      <c r="N4917">
        <v>1</v>
      </c>
      <c r="O4917">
        <v>1400</v>
      </c>
    </row>
    <row r="4918" spans="1:15" x14ac:dyDescent="0.25">
      <c r="A4918" t="str">
        <f t="shared" ref="A4918:A4923" si="486">"10/21/2020 18:49:45.940"</f>
        <v>10/21/2020 18:49:45.940</v>
      </c>
      <c r="B4918" t="str">
        <f t="shared" ref="B4918:B4923" si="487">"18:49:53.883"</f>
        <v>18:49:53.883</v>
      </c>
      <c r="C4918" t="str">
        <f t="shared" ref="C4918:C4923" si="488">"18:49:53.483"</f>
        <v>18:49:53.483</v>
      </c>
      <c r="D4918" t="s">
        <v>2035</v>
      </c>
      <c r="E4918">
        <v>30.876839</v>
      </c>
      <c r="F4918" t="s">
        <v>2036</v>
      </c>
      <c r="G4918">
        <v>-89.868978999999996</v>
      </c>
      <c r="H4918">
        <v>1300</v>
      </c>
      <c r="I4918">
        <v>54</v>
      </c>
      <c r="J4918">
        <v>-94</v>
      </c>
      <c r="K4918">
        <v>192</v>
      </c>
      <c r="L4918">
        <v>1200</v>
      </c>
      <c r="M4918" t="str">
        <f t="shared" si="482"/>
        <v xml:space="preserve">N35DC   </v>
      </c>
      <c r="N4918">
        <v>1</v>
      </c>
      <c r="O4918">
        <v>1400</v>
      </c>
    </row>
    <row r="4919" spans="1:15" x14ac:dyDescent="0.25">
      <c r="A4919" t="str">
        <f t="shared" si="486"/>
        <v>10/21/2020 18:49:45.940</v>
      </c>
      <c r="B4919" t="str">
        <f t="shared" si="487"/>
        <v>18:49:53.883</v>
      </c>
      <c r="C4919" t="str">
        <f t="shared" si="488"/>
        <v>18:49:53.483</v>
      </c>
      <c r="D4919" t="s">
        <v>2035</v>
      </c>
      <c r="E4919">
        <v>30.876839</v>
      </c>
      <c r="F4919" t="s">
        <v>2036</v>
      </c>
      <c r="G4919">
        <v>-89.868978999999996</v>
      </c>
      <c r="H4919">
        <v>1300</v>
      </c>
      <c r="I4919">
        <v>54</v>
      </c>
      <c r="J4919">
        <v>-94</v>
      </c>
      <c r="K4919">
        <v>192</v>
      </c>
      <c r="L4919">
        <v>1200</v>
      </c>
      <c r="M4919" t="str">
        <f t="shared" si="482"/>
        <v xml:space="preserve">N35DC   </v>
      </c>
      <c r="N4919">
        <v>1</v>
      </c>
      <c r="O4919">
        <v>1400</v>
      </c>
    </row>
    <row r="4920" spans="1:15" x14ac:dyDescent="0.25">
      <c r="A4920" t="str">
        <f t="shared" si="486"/>
        <v>10/21/2020 18:49:45.940</v>
      </c>
      <c r="B4920" t="str">
        <f t="shared" si="487"/>
        <v>18:49:53.883</v>
      </c>
      <c r="C4920" t="str">
        <f t="shared" si="488"/>
        <v>18:49:53.483</v>
      </c>
      <c r="D4920" t="s">
        <v>2035</v>
      </c>
      <c r="E4920">
        <v>30.876839</v>
      </c>
      <c r="F4920" t="s">
        <v>2036</v>
      </c>
      <c r="G4920">
        <v>-89.868978999999996</v>
      </c>
      <c r="H4920">
        <v>1300</v>
      </c>
      <c r="I4920">
        <v>54</v>
      </c>
      <c r="J4920">
        <v>-94</v>
      </c>
      <c r="K4920">
        <v>192</v>
      </c>
      <c r="L4920">
        <v>1200</v>
      </c>
      <c r="M4920" t="str">
        <f t="shared" si="482"/>
        <v xml:space="preserve">N35DC   </v>
      </c>
      <c r="N4920">
        <v>1</v>
      </c>
      <c r="O4920">
        <v>1400</v>
      </c>
    </row>
    <row r="4921" spans="1:15" x14ac:dyDescent="0.25">
      <c r="A4921" t="str">
        <f t="shared" si="486"/>
        <v>10/21/2020 18:49:45.940</v>
      </c>
      <c r="B4921" t="str">
        <f t="shared" si="487"/>
        <v>18:49:53.883</v>
      </c>
      <c r="C4921" t="str">
        <f t="shared" si="488"/>
        <v>18:49:53.483</v>
      </c>
      <c r="D4921" t="s">
        <v>2035</v>
      </c>
      <c r="E4921">
        <v>30.876839</v>
      </c>
      <c r="F4921" t="s">
        <v>2036</v>
      </c>
      <c r="G4921">
        <v>-89.868978999999996</v>
      </c>
      <c r="H4921">
        <v>1300</v>
      </c>
      <c r="I4921">
        <v>54</v>
      </c>
      <c r="J4921">
        <v>-94</v>
      </c>
      <c r="K4921">
        <v>192</v>
      </c>
      <c r="L4921">
        <v>1200</v>
      </c>
      <c r="M4921" t="str">
        <f t="shared" si="482"/>
        <v xml:space="preserve">N35DC   </v>
      </c>
      <c r="N4921">
        <v>1</v>
      </c>
      <c r="O4921">
        <v>1400</v>
      </c>
    </row>
    <row r="4922" spans="1:15" x14ac:dyDescent="0.25">
      <c r="A4922" t="str">
        <f t="shared" si="486"/>
        <v>10/21/2020 18:49:45.940</v>
      </c>
      <c r="B4922" t="str">
        <f t="shared" si="487"/>
        <v>18:49:53.883</v>
      </c>
      <c r="C4922" t="str">
        <f t="shared" si="488"/>
        <v>18:49:53.483</v>
      </c>
      <c r="D4922" t="s">
        <v>2035</v>
      </c>
      <c r="E4922">
        <v>30.876839</v>
      </c>
      <c r="F4922" t="s">
        <v>2036</v>
      </c>
      <c r="G4922">
        <v>-89.868978999999996</v>
      </c>
      <c r="H4922">
        <v>1300</v>
      </c>
      <c r="I4922">
        <v>54</v>
      </c>
      <c r="J4922">
        <v>-94</v>
      </c>
      <c r="K4922">
        <v>192</v>
      </c>
      <c r="L4922">
        <v>1200</v>
      </c>
      <c r="M4922" t="str">
        <f t="shared" si="482"/>
        <v xml:space="preserve">N35DC   </v>
      </c>
      <c r="N4922">
        <v>1</v>
      </c>
      <c r="O4922">
        <v>1400</v>
      </c>
    </row>
    <row r="4923" spans="1:15" x14ac:dyDescent="0.25">
      <c r="A4923" t="str">
        <f t="shared" si="486"/>
        <v>10/21/2020 18:49:45.940</v>
      </c>
      <c r="B4923" t="str">
        <f t="shared" si="487"/>
        <v>18:49:53.883</v>
      </c>
      <c r="C4923" t="str">
        <f t="shared" si="488"/>
        <v>18:49:53.483</v>
      </c>
      <c r="D4923" t="s">
        <v>2035</v>
      </c>
      <c r="E4923">
        <v>30.876839</v>
      </c>
      <c r="F4923" t="s">
        <v>2036</v>
      </c>
      <c r="G4923">
        <v>-89.868978999999996</v>
      </c>
      <c r="H4923">
        <v>1300</v>
      </c>
      <c r="I4923">
        <v>54</v>
      </c>
      <c r="J4923">
        <v>-94</v>
      </c>
      <c r="K4923">
        <v>192</v>
      </c>
      <c r="L4923">
        <v>1200</v>
      </c>
      <c r="M4923" t="str">
        <f t="shared" si="482"/>
        <v xml:space="preserve">N35DC   </v>
      </c>
      <c r="N4923">
        <v>1</v>
      </c>
      <c r="O4923">
        <v>1400</v>
      </c>
    </row>
    <row r="4924" spans="1:15" x14ac:dyDescent="0.25">
      <c r="A4924" t="str">
        <f>"10/21/2020 18:49:48.435"</f>
        <v>10/21/2020 18:49:48.435</v>
      </c>
      <c r="B4924" t="str">
        <f>"18:49:56.305"</f>
        <v>18:49:56.305</v>
      </c>
      <c r="C4924" t="str">
        <f>"18:49:55.905"</f>
        <v>18:49:55.905</v>
      </c>
      <c r="D4924" t="s">
        <v>2037</v>
      </c>
      <c r="E4924">
        <v>30.875874</v>
      </c>
      <c r="F4924" t="s">
        <v>2038</v>
      </c>
      <c r="G4924">
        <v>-89.868228000000002</v>
      </c>
      <c r="H4924">
        <v>1300</v>
      </c>
      <c r="I4924">
        <v>62</v>
      </c>
      <c r="J4924">
        <v>-86</v>
      </c>
      <c r="K4924">
        <v>-64</v>
      </c>
      <c r="L4924">
        <v>1200</v>
      </c>
      <c r="M4924" t="str">
        <f t="shared" si="482"/>
        <v xml:space="preserve">N35DC   </v>
      </c>
      <c r="N4924">
        <v>1</v>
      </c>
      <c r="O4924">
        <v>1400</v>
      </c>
    </row>
    <row r="4925" spans="1:15" x14ac:dyDescent="0.25">
      <c r="A4925" t="str">
        <f>"10/21/2020 18:49:48.933"</f>
        <v>10/21/2020 18:49:48.933</v>
      </c>
      <c r="B4925" t="str">
        <f>"18:49:56.883"</f>
        <v>18:49:56.883</v>
      </c>
      <c r="C4925" t="str">
        <f>"18:49:56.483"</f>
        <v>18:49:56.483</v>
      </c>
      <c r="D4925" t="s">
        <v>2039</v>
      </c>
      <c r="E4925">
        <v>30.875658999999999</v>
      </c>
      <c r="F4925" t="s">
        <v>2040</v>
      </c>
      <c r="G4925">
        <v>-89.868056999999993</v>
      </c>
      <c r="H4925">
        <v>1300</v>
      </c>
      <c r="I4925">
        <v>64</v>
      </c>
      <c r="J4925">
        <v>-84</v>
      </c>
      <c r="K4925">
        <v>-64</v>
      </c>
      <c r="L4925">
        <v>1200</v>
      </c>
      <c r="M4925" t="str">
        <f t="shared" si="482"/>
        <v xml:space="preserve">N35DC   </v>
      </c>
      <c r="N4925">
        <v>1</v>
      </c>
      <c r="O4925">
        <v>1400</v>
      </c>
    </row>
    <row r="4926" spans="1:15" x14ac:dyDescent="0.25">
      <c r="A4926" t="str">
        <f>"10/21/2020 18:49:48.933"</f>
        <v>10/21/2020 18:49:48.933</v>
      </c>
      <c r="B4926" t="str">
        <f>"18:49:56.883"</f>
        <v>18:49:56.883</v>
      </c>
      <c r="C4926" t="str">
        <f>"18:49:56.483"</f>
        <v>18:49:56.483</v>
      </c>
      <c r="D4926" t="s">
        <v>2039</v>
      </c>
      <c r="E4926">
        <v>30.875658999999999</v>
      </c>
      <c r="F4926" t="s">
        <v>2040</v>
      </c>
      <c r="G4926">
        <v>-89.868056999999993</v>
      </c>
      <c r="H4926">
        <v>1300</v>
      </c>
      <c r="I4926">
        <v>64</v>
      </c>
      <c r="J4926">
        <v>-84</v>
      </c>
      <c r="K4926">
        <v>-64</v>
      </c>
      <c r="L4926">
        <v>1200</v>
      </c>
      <c r="M4926" t="str">
        <f t="shared" si="482"/>
        <v xml:space="preserve">N35DC   </v>
      </c>
      <c r="N4926">
        <v>1</v>
      </c>
      <c r="O4926">
        <v>1400</v>
      </c>
    </row>
    <row r="4927" spans="1:15" x14ac:dyDescent="0.25">
      <c r="A4927" t="str">
        <f>"10/21/2020 18:49:48.933"</f>
        <v>10/21/2020 18:49:48.933</v>
      </c>
      <c r="B4927" t="str">
        <f>"18:49:56.883"</f>
        <v>18:49:56.883</v>
      </c>
      <c r="C4927" t="str">
        <f>"18:49:56.483"</f>
        <v>18:49:56.483</v>
      </c>
      <c r="D4927" t="s">
        <v>2039</v>
      </c>
      <c r="E4927">
        <v>30.875658999999999</v>
      </c>
      <c r="F4927" t="s">
        <v>2040</v>
      </c>
      <c r="G4927">
        <v>-89.868056999999993</v>
      </c>
      <c r="H4927">
        <v>1300</v>
      </c>
      <c r="I4927">
        <v>64</v>
      </c>
      <c r="J4927">
        <v>-84</v>
      </c>
      <c r="K4927">
        <v>-64</v>
      </c>
      <c r="L4927">
        <v>1200</v>
      </c>
      <c r="M4927" t="str">
        <f t="shared" si="482"/>
        <v xml:space="preserve">N35DC   </v>
      </c>
      <c r="N4927">
        <v>1</v>
      </c>
      <c r="O4927">
        <v>1400</v>
      </c>
    </row>
    <row r="4928" spans="1:15" x14ac:dyDescent="0.25">
      <c r="A4928" t="str">
        <f>"10/21/2020 18:49:48.933"</f>
        <v>10/21/2020 18:49:48.933</v>
      </c>
      <c r="B4928" t="str">
        <f>"18:49:56.883"</f>
        <v>18:49:56.883</v>
      </c>
      <c r="C4928" t="str">
        <f>"18:49:56.483"</f>
        <v>18:49:56.483</v>
      </c>
      <c r="D4928" t="s">
        <v>2039</v>
      </c>
      <c r="E4928">
        <v>30.875658999999999</v>
      </c>
      <c r="F4928" t="s">
        <v>2040</v>
      </c>
      <c r="G4928">
        <v>-89.868056999999993</v>
      </c>
      <c r="H4928">
        <v>1300</v>
      </c>
      <c r="I4928">
        <v>64</v>
      </c>
      <c r="J4928">
        <v>-84</v>
      </c>
      <c r="K4928">
        <v>-64</v>
      </c>
      <c r="L4928">
        <v>1200</v>
      </c>
      <c r="M4928" t="str">
        <f t="shared" si="482"/>
        <v xml:space="preserve">N35DC   </v>
      </c>
      <c r="N4928">
        <v>1</v>
      </c>
      <c r="O4928">
        <v>1400</v>
      </c>
    </row>
    <row r="4929" spans="1:15" x14ac:dyDescent="0.25">
      <c r="A4929" t="str">
        <f>"10/21/2020 18:49:48.933"</f>
        <v>10/21/2020 18:49:48.933</v>
      </c>
      <c r="B4929" t="str">
        <f>"18:49:56.883"</f>
        <v>18:49:56.883</v>
      </c>
      <c r="C4929" t="str">
        <f>"18:49:56.483"</f>
        <v>18:49:56.483</v>
      </c>
      <c r="D4929" t="s">
        <v>2039</v>
      </c>
      <c r="E4929">
        <v>30.875658999999999</v>
      </c>
      <c r="F4929" t="s">
        <v>2040</v>
      </c>
      <c r="G4929">
        <v>-89.868056999999993</v>
      </c>
      <c r="H4929">
        <v>1300</v>
      </c>
      <c r="I4929">
        <v>64</v>
      </c>
      <c r="J4929">
        <v>-84</v>
      </c>
      <c r="K4929">
        <v>-64</v>
      </c>
      <c r="L4929">
        <v>1200</v>
      </c>
      <c r="M4929" t="str">
        <f t="shared" si="482"/>
        <v xml:space="preserve">N35DC   </v>
      </c>
      <c r="N4929">
        <v>1</v>
      </c>
      <c r="O4929">
        <v>1400</v>
      </c>
    </row>
    <row r="4930" spans="1:15" x14ac:dyDescent="0.25">
      <c r="A4930" t="str">
        <f>"10/21/2020 18:49:49.496"</f>
        <v>10/21/2020 18:49:49.496</v>
      </c>
      <c r="B4930" t="str">
        <f>"18:49:57.414"</f>
        <v>18:49:57.414</v>
      </c>
      <c r="C4930" t="str">
        <f>"18:49:57.014"</f>
        <v>18:49:57.014</v>
      </c>
      <c r="D4930" t="s">
        <v>2041</v>
      </c>
      <c r="E4930">
        <v>30.875444000000002</v>
      </c>
      <c r="F4930" t="s">
        <v>464</v>
      </c>
      <c r="G4930">
        <v>-89.867841999999996</v>
      </c>
      <c r="H4930">
        <v>1300</v>
      </c>
      <c r="I4930">
        <v>66</v>
      </c>
      <c r="J4930">
        <v>-83</v>
      </c>
      <c r="K4930">
        <v>-64</v>
      </c>
      <c r="L4930">
        <v>1200</v>
      </c>
      <c r="M4930" t="str">
        <f t="shared" si="482"/>
        <v xml:space="preserve">N35DC   </v>
      </c>
      <c r="N4930">
        <v>1</v>
      </c>
      <c r="O4930">
        <v>1400</v>
      </c>
    </row>
    <row r="4931" spans="1:15" x14ac:dyDescent="0.25">
      <c r="A4931" t="str">
        <f>"10/21/2020 18:49:49.893"</f>
        <v>10/21/2020 18:49:49.893</v>
      </c>
      <c r="B4931" t="str">
        <f>"18:49:57.844"</f>
        <v>18:49:57.844</v>
      </c>
      <c r="C4931" t="str">
        <f>"18:49:57.544"</f>
        <v>18:49:57.544</v>
      </c>
      <c r="D4931" t="s">
        <v>2042</v>
      </c>
      <c r="E4931">
        <v>30.875250999999999</v>
      </c>
      <c r="F4931" t="s">
        <v>1119</v>
      </c>
      <c r="G4931">
        <v>-89.867671000000001</v>
      </c>
      <c r="H4931">
        <v>1300</v>
      </c>
      <c r="I4931">
        <v>67</v>
      </c>
      <c r="J4931">
        <v>-81</v>
      </c>
      <c r="K4931">
        <v>-128</v>
      </c>
      <c r="L4931">
        <v>1200</v>
      </c>
      <c r="M4931" t="str">
        <f t="shared" si="482"/>
        <v xml:space="preserve">N35DC   </v>
      </c>
      <c r="N4931">
        <v>1</v>
      </c>
      <c r="O4931">
        <v>1400</v>
      </c>
    </row>
    <row r="4932" spans="1:15" x14ac:dyDescent="0.25">
      <c r="A4932" t="str">
        <f>"10/21/2020 18:49:49.893"</f>
        <v>10/21/2020 18:49:49.893</v>
      </c>
      <c r="B4932" t="str">
        <f>"18:49:57.844"</f>
        <v>18:49:57.844</v>
      </c>
      <c r="C4932" t="str">
        <f>"18:49:57.544"</f>
        <v>18:49:57.544</v>
      </c>
      <c r="D4932" t="s">
        <v>2042</v>
      </c>
      <c r="E4932">
        <v>30.875250999999999</v>
      </c>
      <c r="F4932" t="s">
        <v>1119</v>
      </c>
      <c r="G4932">
        <v>-89.867671000000001</v>
      </c>
      <c r="H4932">
        <v>1300</v>
      </c>
      <c r="I4932">
        <v>67</v>
      </c>
      <c r="J4932">
        <v>-81</v>
      </c>
      <c r="K4932">
        <v>-128</v>
      </c>
      <c r="L4932">
        <v>1200</v>
      </c>
      <c r="M4932" t="str">
        <f t="shared" si="482"/>
        <v xml:space="preserve">N35DC   </v>
      </c>
      <c r="N4932">
        <v>1</v>
      </c>
      <c r="O4932">
        <v>1400</v>
      </c>
    </row>
    <row r="4933" spans="1:15" x14ac:dyDescent="0.25">
      <c r="A4933" t="str">
        <f>"10/21/2020 18:49:49.893"</f>
        <v>10/21/2020 18:49:49.893</v>
      </c>
      <c r="B4933" t="str">
        <f>"18:49:57.844"</f>
        <v>18:49:57.844</v>
      </c>
      <c r="C4933" t="str">
        <f>"18:49:57.544"</f>
        <v>18:49:57.544</v>
      </c>
      <c r="D4933" t="s">
        <v>2042</v>
      </c>
      <c r="E4933">
        <v>30.875250999999999</v>
      </c>
      <c r="F4933" t="s">
        <v>1119</v>
      </c>
      <c r="G4933">
        <v>-89.867671000000001</v>
      </c>
      <c r="H4933">
        <v>1300</v>
      </c>
      <c r="I4933">
        <v>67</v>
      </c>
      <c r="J4933">
        <v>-81</v>
      </c>
      <c r="K4933">
        <v>-128</v>
      </c>
      <c r="L4933">
        <v>1200</v>
      </c>
      <c r="M4933" t="str">
        <f t="shared" si="482"/>
        <v xml:space="preserve">N35DC   </v>
      </c>
      <c r="N4933">
        <v>1</v>
      </c>
      <c r="O4933">
        <v>1400</v>
      </c>
    </row>
    <row r="4934" spans="1:15" x14ac:dyDescent="0.25">
      <c r="A4934" t="str">
        <f>"10/21/2020 18:49:49.893"</f>
        <v>10/21/2020 18:49:49.893</v>
      </c>
      <c r="B4934" t="str">
        <f>"18:49:57.844"</f>
        <v>18:49:57.844</v>
      </c>
      <c r="C4934" t="str">
        <f>"18:49:57.544"</f>
        <v>18:49:57.544</v>
      </c>
      <c r="D4934" t="s">
        <v>2042</v>
      </c>
      <c r="E4934">
        <v>30.875250999999999</v>
      </c>
      <c r="F4934" t="s">
        <v>1119</v>
      </c>
      <c r="G4934">
        <v>-89.867671000000001</v>
      </c>
      <c r="H4934">
        <v>1300</v>
      </c>
      <c r="I4934">
        <v>67</v>
      </c>
      <c r="J4934">
        <v>-81</v>
      </c>
      <c r="K4934">
        <v>-128</v>
      </c>
      <c r="L4934">
        <v>1200</v>
      </c>
      <c r="M4934" t="str">
        <f t="shared" si="482"/>
        <v xml:space="preserve">N35DC   </v>
      </c>
      <c r="N4934">
        <v>1</v>
      </c>
      <c r="O4934">
        <v>1400</v>
      </c>
    </row>
    <row r="4935" spans="1:15" x14ac:dyDescent="0.25">
      <c r="A4935" t="str">
        <f>"10/21/2020 18:49:49.893"</f>
        <v>10/21/2020 18:49:49.893</v>
      </c>
      <c r="B4935" t="str">
        <f>"18:49:57.844"</f>
        <v>18:49:57.844</v>
      </c>
      <c r="C4935" t="str">
        <f>"18:49:57.044"</f>
        <v>18:49:57.044</v>
      </c>
      <c r="D4935" t="s">
        <v>2042</v>
      </c>
      <c r="E4935">
        <v>30.875250999999999</v>
      </c>
      <c r="F4935" t="s">
        <v>1119</v>
      </c>
      <c r="G4935">
        <v>-89.867671000000001</v>
      </c>
      <c r="H4935">
        <v>1300</v>
      </c>
      <c r="I4935">
        <v>66</v>
      </c>
      <c r="J4935">
        <v>-83</v>
      </c>
      <c r="K4935">
        <v>-64</v>
      </c>
      <c r="L4935">
        <v>1200</v>
      </c>
      <c r="M4935" t="str">
        <f t="shared" ref="M4935:M4998" si="489">"N35DC   "</f>
        <v xml:space="preserve">N35DC   </v>
      </c>
      <c r="N4935">
        <v>1</v>
      </c>
      <c r="O4935">
        <v>1400</v>
      </c>
    </row>
    <row r="4936" spans="1:15" x14ac:dyDescent="0.25">
      <c r="A4936" t="str">
        <f t="shared" ref="A4936:A4941" si="490">"10/21/2020 18:49:50.754"</f>
        <v>10/21/2020 18:49:50.754</v>
      </c>
      <c r="B4936" t="str">
        <f t="shared" ref="B4936:B4941" si="491">"18:49:58.719"</f>
        <v>18:49:58.719</v>
      </c>
      <c r="C4936" t="str">
        <f t="shared" ref="C4936:C4941" si="492">"18:49:58.519"</f>
        <v>18:49:58.519</v>
      </c>
      <c r="D4936" t="s">
        <v>2043</v>
      </c>
      <c r="E4936">
        <v>30.874972</v>
      </c>
      <c r="F4936" t="s">
        <v>1125</v>
      </c>
      <c r="G4936">
        <v>-89.867349000000004</v>
      </c>
      <c r="H4936">
        <v>1300</v>
      </c>
      <c r="I4936">
        <v>70</v>
      </c>
      <c r="J4936">
        <v>-77</v>
      </c>
      <c r="K4936">
        <v>-64</v>
      </c>
      <c r="L4936">
        <v>1200</v>
      </c>
      <c r="M4936" t="str">
        <f t="shared" si="489"/>
        <v xml:space="preserve">N35DC   </v>
      </c>
      <c r="N4936">
        <v>1</v>
      </c>
      <c r="O4936">
        <v>1400</v>
      </c>
    </row>
    <row r="4937" spans="1:15" x14ac:dyDescent="0.25">
      <c r="A4937" t="str">
        <f t="shared" si="490"/>
        <v>10/21/2020 18:49:50.754</v>
      </c>
      <c r="B4937" t="str">
        <f t="shared" si="491"/>
        <v>18:49:58.719</v>
      </c>
      <c r="C4937" t="str">
        <f t="shared" si="492"/>
        <v>18:49:58.519</v>
      </c>
      <c r="D4937" t="s">
        <v>2043</v>
      </c>
      <c r="E4937">
        <v>30.874972</v>
      </c>
      <c r="F4937" t="s">
        <v>1125</v>
      </c>
      <c r="G4937">
        <v>-89.867349000000004</v>
      </c>
      <c r="H4937">
        <v>1300</v>
      </c>
      <c r="I4937">
        <v>70</v>
      </c>
      <c r="J4937">
        <v>-77</v>
      </c>
      <c r="K4937">
        <v>-64</v>
      </c>
      <c r="L4937">
        <v>1200</v>
      </c>
      <c r="M4937" t="str">
        <f t="shared" si="489"/>
        <v xml:space="preserve">N35DC   </v>
      </c>
      <c r="N4937">
        <v>1</v>
      </c>
      <c r="O4937">
        <v>1400</v>
      </c>
    </row>
    <row r="4938" spans="1:15" x14ac:dyDescent="0.25">
      <c r="A4938" t="str">
        <f t="shared" si="490"/>
        <v>10/21/2020 18:49:50.754</v>
      </c>
      <c r="B4938" t="str">
        <f t="shared" si="491"/>
        <v>18:49:58.719</v>
      </c>
      <c r="C4938" t="str">
        <f t="shared" si="492"/>
        <v>18:49:58.519</v>
      </c>
      <c r="D4938" t="s">
        <v>2043</v>
      </c>
      <c r="E4938">
        <v>30.874972</v>
      </c>
      <c r="F4938" t="s">
        <v>1125</v>
      </c>
      <c r="G4938">
        <v>-89.867349000000004</v>
      </c>
      <c r="H4938">
        <v>1300</v>
      </c>
      <c r="I4938">
        <v>70</v>
      </c>
      <c r="J4938">
        <v>-77</v>
      </c>
      <c r="K4938">
        <v>-64</v>
      </c>
      <c r="L4938">
        <v>1200</v>
      </c>
      <c r="M4938" t="str">
        <f t="shared" si="489"/>
        <v xml:space="preserve">N35DC   </v>
      </c>
      <c r="N4938">
        <v>1</v>
      </c>
      <c r="O4938">
        <v>1400</v>
      </c>
    </row>
    <row r="4939" spans="1:15" x14ac:dyDescent="0.25">
      <c r="A4939" t="str">
        <f t="shared" si="490"/>
        <v>10/21/2020 18:49:50.754</v>
      </c>
      <c r="B4939" t="str">
        <f t="shared" si="491"/>
        <v>18:49:58.719</v>
      </c>
      <c r="C4939" t="str">
        <f t="shared" si="492"/>
        <v>18:49:58.519</v>
      </c>
      <c r="D4939" t="s">
        <v>2043</v>
      </c>
      <c r="E4939">
        <v>30.874972</v>
      </c>
      <c r="F4939" t="s">
        <v>1125</v>
      </c>
      <c r="G4939">
        <v>-89.867349000000004</v>
      </c>
      <c r="H4939">
        <v>1300</v>
      </c>
      <c r="I4939">
        <v>70</v>
      </c>
      <c r="J4939">
        <v>-77</v>
      </c>
      <c r="K4939">
        <v>-64</v>
      </c>
      <c r="L4939">
        <v>1200</v>
      </c>
      <c r="M4939" t="str">
        <f t="shared" si="489"/>
        <v xml:space="preserve">N35DC   </v>
      </c>
      <c r="N4939">
        <v>1</v>
      </c>
      <c r="O4939">
        <v>1400</v>
      </c>
    </row>
    <row r="4940" spans="1:15" x14ac:dyDescent="0.25">
      <c r="A4940" t="str">
        <f t="shared" si="490"/>
        <v>10/21/2020 18:49:50.754</v>
      </c>
      <c r="B4940" t="str">
        <f t="shared" si="491"/>
        <v>18:49:58.719</v>
      </c>
      <c r="C4940" t="str">
        <f t="shared" si="492"/>
        <v>18:49:58.519</v>
      </c>
      <c r="D4940" t="s">
        <v>2043</v>
      </c>
      <c r="E4940">
        <v>30.874972</v>
      </c>
      <c r="F4940" t="s">
        <v>1125</v>
      </c>
      <c r="G4940">
        <v>-89.867349000000004</v>
      </c>
      <c r="H4940">
        <v>1300</v>
      </c>
      <c r="I4940">
        <v>70</v>
      </c>
      <c r="J4940">
        <v>-77</v>
      </c>
      <c r="K4940">
        <v>-64</v>
      </c>
      <c r="L4940">
        <v>1200</v>
      </c>
      <c r="M4940" t="str">
        <f t="shared" si="489"/>
        <v xml:space="preserve">N35DC   </v>
      </c>
      <c r="N4940">
        <v>1</v>
      </c>
      <c r="O4940">
        <v>1400</v>
      </c>
    </row>
    <row r="4941" spans="1:15" x14ac:dyDescent="0.25">
      <c r="A4941" t="str">
        <f t="shared" si="490"/>
        <v>10/21/2020 18:49:50.754</v>
      </c>
      <c r="B4941" t="str">
        <f t="shared" si="491"/>
        <v>18:49:58.719</v>
      </c>
      <c r="C4941" t="str">
        <f t="shared" si="492"/>
        <v>18:49:58.519</v>
      </c>
      <c r="D4941" t="s">
        <v>2043</v>
      </c>
      <c r="E4941">
        <v>30.874972</v>
      </c>
      <c r="F4941" t="s">
        <v>1125</v>
      </c>
      <c r="G4941">
        <v>-89.867349000000004</v>
      </c>
      <c r="H4941">
        <v>1300</v>
      </c>
      <c r="I4941">
        <v>70</v>
      </c>
      <c r="J4941">
        <v>-77</v>
      </c>
      <c r="K4941">
        <v>-64</v>
      </c>
      <c r="L4941">
        <v>1200</v>
      </c>
      <c r="M4941" t="str">
        <f t="shared" si="489"/>
        <v xml:space="preserve">N35DC   </v>
      </c>
      <c r="N4941">
        <v>1</v>
      </c>
      <c r="O4941">
        <v>1400</v>
      </c>
    </row>
    <row r="4942" spans="1:15" x14ac:dyDescent="0.25">
      <c r="A4942" t="str">
        <f>"10/21/2020 18:49:54.801"</f>
        <v>10/21/2020 18:49:54.801</v>
      </c>
      <c r="B4942" t="str">
        <f>"18:50:02.719"</f>
        <v>18:50:02.719</v>
      </c>
      <c r="C4942" t="str">
        <f>"18:50:02.419"</f>
        <v>18:50:02.419</v>
      </c>
      <c r="D4942" t="s">
        <v>2044</v>
      </c>
      <c r="E4942">
        <v>30.873728</v>
      </c>
      <c r="F4942" t="s">
        <v>1149</v>
      </c>
      <c r="G4942">
        <v>-89.865632000000005</v>
      </c>
      <c r="H4942">
        <v>1300</v>
      </c>
      <c r="I4942">
        <v>80</v>
      </c>
      <c r="J4942">
        <v>-62</v>
      </c>
      <c r="K4942">
        <v>-64</v>
      </c>
      <c r="L4942">
        <v>1200</v>
      </c>
      <c r="M4942" t="str">
        <f t="shared" si="489"/>
        <v xml:space="preserve">N35DC   </v>
      </c>
      <c r="N4942">
        <v>1</v>
      </c>
      <c r="O4942">
        <v>1400</v>
      </c>
    </row>
    <row r="4943" spans="1:15" x14ac:dyDescent="0.25">
      <c r="A4943" t="str">
        <f>"10/21/2020 18:49:54.801"</f>
        <v>10/21/2020 18:49:54.801</v>
      </c>
      <c r="B4943" t="str">
        <f>"18:50:02.719"</f>
        <v>18:50:02.719</v>
      </c>
      <c r="C4943" t="str">
        <f>"18:50:02.419"</f>
        <v>18:50:02.419</v>
      </c>
      <c r="D4943" t="s">
        <v>2044</v>
      </c>
      <c r="E4943">
        <v>30.873728</v>
      </c>
      <c r="F4943" t="s">
        <v>1149</v>
      </c>
      <c r="G4943">
        <v>-89.865632000000005</v>
      </c>
      <c r="H4943">
        <v>1300</v>
      </c>
      <c r="I4943">
        <v>80</v>
      </c>
      <c r="J4943">
        <v>-62</v>
      </c>
      <c r="K4943">
        <v>-64</v>
      </c>
      <c r="L4943">
        <v>1200</v>
      </c>
      <c r="M4943" t="str">
        <f t="shared" si="489"/>
        <v xml:space="preserve">N35DC   </v>
      </c>
      <c r="N4943">
        <v>1</v>
      </c>
      <c r="O4943">
        <v>1400</v>
      </c>
    </row>
    <row r="4944" spans="1:15" x14ac:dyDescent="0.25">
      <c r="A4944" t="str">
        <f>"10/21/2020 18:49:54.801"</f>
        <v>10/21/2020 18:49:54.801</v>
      </c>
      <c r="B4944" t="str">
        <f>"18:50:02.719"</f>
        <v>18:50:02.719</v>
      </c>
      <c r="C4944" t="str">
        <f>"18:50:02.419"</f>
        <v>18:50:02.419</v>
      </c>
      <c r="D4944" t="s">
        <v>2044</v>
      </c>
      <c r="E4944">
        <v>30.873728</v>
      </c>
      <c r="F4944" t="s">
        <v>1149</v>
      </c>
      <c r="G4944">
        <v>-89.865632000000005</v>
      </c>
      <c r="H4944">
        <v>1300</v>
      </c>
      <c r="I4944">
        <v>80</v>
      </c>
      <c r="J4944">
        <v>-62</v>
      </c>
      <c r="K4944">
        <v>-64</v>
      </c>
      <c r="L4944">
        <v>1200</v>
      </c>
      <c r="M4944" t="str">
        <f t="shared" si="489"/>
        <v xml:space="preserve">N35DC   </v>
      </c>
      <c r="N4944">
        <v>1</v>
      </c>
      <c r="O4944">
        <v>1400</v>
      </c>
    </row>
    <row r="4945" spans="1:15" x14ac:dyDescent="0.25">
      <c r="A4945" t="str">
        <f>"10/21/2020 18:49:54.801"</f>
        <v>10/21/2020 18:49:54.801</v>
      </c>
      <c r="B4945" t="str">
        <f>"18:50:02.719"</f>
        <v>18:50:02.719</v>
      </c>
      <c r="C4945" t="str">
        <f>"18:50:02.419"</f>
        <v>18:50:02.419</v>
      </c>
      <c r="D4945" t="s">
        <v>2044</v>
      </c>
      <c r="E4945">
        <v>30.873728</v>
      </c>
      <c r="F4945" t="s">
        <v>1149</v>
      </c>
      <c r="G4945">
        <v>-89.865632000000005</v>
      </c>
      <c r="H4945">
        <v>1300</v>
      </c>
      <c r="I4945">
        <v>80</v>
      </c>
      <c r="J4945">
        <v>-62</v>
      </c>
      <c r="K4945">
        <v>-64</v>
      </c>
      <c r="L4945">
        <v>1200</v>
      </c>
      <c r="M4945" t="str">
        <f t="shared" si="489"/>
        <v xml:space="preserve">N35DC   </v>
      </c>
      <c r="N4945">
        <v>1</v>
      </c>
      <c r="O4945">
        <v>1400</v>
      </c>
    </row>
    <row r="4946" spans="1:15" x14ac:dyDescent="0.25">
      <c r="A4946" t="str">
        <f>"10/21/2020 18:49:54.801"</f>
        <v>10/21/2020 18:49:54.801</v>
      </c>
      <c r="B4946" t="str">
        <f>"18:50:02.719"</f>
        <v>18:50:02.719</v>
      </c>
      <c r="C4946" t="str">
        <f>"18:50:02.419"</f>
        <v>18:50:02.419</v>
      </c>
      <c r="D4946" t="s">
        <v>2044</v>
      </c>
      <c r="E4946">
        <v>30.873728</v>
      </c>
      <c r="F4946" t="s">
        <v>1149</v>
      </c>
      <c r="G4946">
        <v>-89.865632000000005</v>
      </c>
      <c r="H4946">
        <v>1300</v>
      </c>
      <c r="I4946">
        <v>80</v>
      </c>
      <c r="J4946">
        <v>-62</v>
      </c>
      <c r="K4946">
        <v>-64</v>
      </c>
      <c r="L4946">
        <v>1200</v>
      </c>
      <c r="M4946" t="str">
        <f t="shared" si="489"/>
        <v xml:space="preserve">N35DC   </v>
      </c>
      <c r="N4946">
        <v>1</v>
      </c>
      <c r="O4946">
        <v>1400</v>
      </c>
    </row>
    <row r="4947" spans="1:15" x14ac:dyDescent="0.25">
      <c r="A4947" t="str">
        <f>"10/21/2020 18:49:55.443"</f>
        <v>10/21/2020 18:49:55.443</v>
      </c>
      <c r="B4947" t="str">
        <f>"18:50:03.305"</f>
        <v>18:50:03.305</v>
      </c>
      <c r="C4947" t="str">
        <f>"18:50:02.905"</f>
        <v>18:50:02.905</v>
      </c>
      <c r="D4947" t="s">
        <v>2045</v>
      </c>
      <c r="E4947">
        <v>30.873556000000001</v>
      </c>
      <c r="F4947" t="s">
        <v>1147</v>
      </c>
      <c r="G4947">
        <v>-89.865416999999994</v>
      </c>
      <c r="H4947">
        <v>1300</v>
      </c>
      <c r="I4947">
        <v>82</v>
      </c>
      <c r="J4947">
        <v>-59</v>
      </c>
      <c r="K4947">
        <v>-128</v>
      </c>
      <c r="L4947">
        <v>1200</v>
      </c>
      <c r="M4947" t="str">
        <f t="shared" si="489"/>
        <v xml:space="preserve">N35DC   </v>
      </c>
      <c r="N4947">
        <v>1</v>
      </c>
      <c r="O4947">
        <v>1400</v>
      </c>
    </row>
    <row r="4948" spans="1:15" x14ac:dyDescent="0.25">
      <c r="A4948" t="str">
        <f>"10/21/2020 18:49:55.973"</f>
        <v>10/21/2020 18:49:55.973</v>
      </c>
      <c r="B4948" t="str">
        <f>"18:50:03.906"</f>
        <v>18:50:03.906</v>
      </c>
      <c r="C4948" t="str">
        <f>"18:50:03.506"</f>
        <v>18:50:03.506</v>
      </c>
      <c r="D4948" t="s">
        <v>2046</v>
      </c>
      <c r="E4948">
        <v>30.873405999999999</v>
      </c>
      <c r="F4948" t="s">
        <v>1536</v>
      </c>
      <c r="G4948">
        <v>-89.865138999999999</v>
      </c>
      <c r="H4948">
        <v>1300</v>
      </c>
      <c r="I4948">
        <v>83</v>
      </c>
      <c r="J4948">
        <v>-56</v>
      </c>
      <c r="K4948">
        <v>-64</v>
      </c>
      <c r="L4948">
        <v>1200</v>
      </c>
      <c r="M4948" t="str">
        <f t="shared" si="489"/>
        <v xml:space="preserve">N35DC   </v>
      </c>
      <c r="N4948">
        <v>1</v>
      </c>
      <c r="O4948">
        <v>1400</v>
      </c>
    </row>
    <row r="4949" spans="1:15" x14ac:dyDescent="0.25">
      <c r="A4949" t="str">
        <f>"10/21/2020 18:49:55.973"</f>
        <v>10/21/2020 18:49:55.973</v>
      </c>
      <c r="B4949" t="str">
        <f>"18:50:03.906"</f>
        <v>18:50:03.906</v>
      </c>
      <c r="C4949" t="str">
        <f>"18:50:03.506"</f>
        <v>18:50:03.506</v>
      </c>
      <c r="D4949" t="s">
        <v>2046</v>
      </c>
      <c r="E4949">
        <v>30.873405999999999</v>
      </c>
      <c r="F4949" t="s">
        <v>1536</v>
      </c>
      <c r="G4949">
        <v>-89.865138999999999</v>
      </c>
      <c r="H4949">
        <v>1300</v>
      </c>
      <c r="I4949">
        <v>83</v>
      </c>
      <c r="J4949">
        <v>-56</v>
      </c>
      <c r="K4949">
        <v>-64</v>
      </c>
      <c r="L4949">
        <v>1200</v>
      </c>
      <c r="M4949" t="str">
        <f t="shared" si="489"/>
        <v xml:space="preserve">N35DC   </v>
      </c>
      <c r="N4949">
        <v>1</v>
      </c>
      <c r="O4949">
        <v>1400</v>
      </c>
    </row>
    <row r="4950" spans="1:15" x14ac:dyDescent="0.25">
      <c r="A4950" t="str">
        <f>"10/21/2020 18:49:55.973"</f>
        <v>10/21/2020 18:49:55.973</v>
      </c>
      <c r="B4950" t="str">
        <f>"18:50:03.906"</f>
        <v>18:50:03.906</v>
      </c>
      <c r="C4950" t="str">
        <f>"18:50:03.506"</f>
        <v>18:50:03.506</v>
      </c>
      <c r="D4950" t="s">
        <v>2046</v>
      </c>
      <c r="E4950">
        <v>30.873405999999999</v>
      </c>
      <c r="F4950" t="s">
        <v>1536</v>
      </c>
      <c r="G4950">
        <v>-89.865138999999999</v>
      </c>
      <c r="H4950">
        <v>1300</v>
      </c>
      <c r="I4950">
        <v>83</v>
      </c>
      <c r="J4950">
        <v>-56</v>
      </c>
      <c r="K4950">
        <v>-64</v>
      </c>
      <c r="L4950">
        <v>1200</v>
      </c>
      <c r="M4950" t="str">
        <f t="shared" si="489"/>
        <v xml:space="preserve">N35DC   </v>
      </c>
      <c r="N4950">
        <v>1</v>
      </c>
      <c r="O4950">
        <v>1400</v>
      </c>
    </row>
    <row r="4951" spans="1:15" x14ac:dyDescent="0.25">
      <c r="A4951" t="str">
        <f>"10/21/2020 18:49:55.973"</f>
        <v>10/21/2020 18:49:55.973</v>
      </c>
      <c r="B4951" t="str">
        <f>"18:50:03.906"</f>
        <v>18:50:03.906</v>
      </c>
      <c r="C4951" t="str">
        <f>"18:50:03.506"</f>
        <v>18:50:03.506</v>
      </c>
      <c r="D4951" t="s">
        <v>2046</v>
      </c>
      <c r="E4951">
        <v>30.873405999999999</v>
      </c>
      <c r="F4951" t="s">
        <v>1536</v>
      </c>
      <c r="G4951">
        <v>-89.865138999999999</v>
      </c>
      <c r="H4951">
        <v>1300</v>
      </c>
      <c r="I4951">
        <v>83</v>
      </c>
      <c r="J4951">
        <v>-56</v>
      </c>
      <c r="K4951">
        <v>-64</v>
      </c>
      <c r="L4951">
        <v>1200</v>
      </c>
      <c r="M4951" t="str">
        <f t="shared" si="489"/>
        <v xml:space="preserve">N35DC   </v>
      </c>
      <c r="N4951">
        <v>1</v>
      </c>
      <c r="O4951">
        <v>1400</v>
      </c>
    </row>
    <row r="4952" spans="1:15" x14ac:dyDescent="0.25">
      <c r="A4952" t="str">
        <f>"10/21/2020 18:49:55.973"</f>
        <v>10/21/2020 18:49:55.973</v>
      </c>
      <c r="B4952" t="str">
        <f>"18:50:03.906"</f>
        <v>18:50:03.906</v>
      </c>
      <c r="C4952" t="str">
        <f>"18:50:03.506"</f>
        <v>18:50:03.506</v>
      </c>
      <c r="D4952" t="s">
        <v>2046</v>
      </c>
      <c r="E4952">
        <v>30.873405999999999</v>
      </c>
      <c r="F4952" t="s">
        <v>1536</v>
      </c>
      <c r="G4952">
        <v>-89.865138999999999</v>
      </c>
      <c r="H4952">
        <v>1300</v>
      </c>
      <c r="I4952">
        <v>83</v>
      </c>
      <c r="J4952">
        <v>-56</v>
      </c>
      <c r="K4952">
        <v>-64</v>
      </c>
      <c r="L4952">
        <v>1200</v>
      </c>
      <c r="M4952" t="str">
        <f t="shared" si="489"/>
        <v xml:space="preserve">N35DC   </v>
      </c>
      <c r="N4952">
        <v>1</v>
      </c>
      <c r="O4952">
        <v>1400</v>
      </c>
    </row>
    <row r="4953" spans="1:15" x14ac:dyDescent="0.25">
      <c r="A4953" t="str">
        <f>"10/21/2020 18:49:56.548"</f>
        <v>10/21/2020 18:49:56.548</v>
      </c>
      <c r="B4953" t="str">
        <f>"18:50:04.445"</f>
        <v>18:50:04.445</v>
      </c>
      <c r="C4953" t="str">
        <f>"18:50:04.145"</f>
        <v>18:50:04.145</v>
      </c>
      <c r="D4953" t="s">
        <v>2047</v>
      </c>
      <c r="E4953">
        <v>30.873277000000002</v>
      </c>
      <c r="F4953" t="s">
        <v>2048</v>
      </c>
      <c r="G4953">
        <v>-89.864880999999997</v>
      </c>
      <c r="H4953">
        <v>1300</v>
      </c>
      <c r="I4953">
        <v>84</v>
      </c>
      <c r="J4953">
        <v>-54</v>
      </c>
      <c r="K4953">
        <v>-64</v>
      </c>
      <c r="L4953">
        <v>1200</v>
      </c>
      <c r="M4953" t="str">
        <f t="shared" si="489"/>
        <v xml:space="preserve">N35DC   </v>
      </c>
      <c r="N4953">
        <v>1</v>
      </c>
      <c r="O4953">
        <v>1400</v>
      </c>
    </row>
    <row r="4954" spans="1:15" x14ac:dyDescent="0.25">
      <c r="A4954" t="str">
        <f>"10/21/2020 18:49:59.039"</f>
        <v>10/21/2020 18:49:59.039</v>
      </c>
      <c r="B4954" t="str">
        <f>"18:50:06.922"</f>
        <v>18:50:06.922</v>
      </c>
      <c r="C4954" t="str">
        <f>"18:50:06.622"</f>
        <v>18:50:06.622</v>
      </c>
      <c r="D4954" t="s">
        <v>2049</v>
      </c>
      <c r="E4954">
        <v>30.872762000000002</v>
      </c>
      <c r="F4954" t="s">
        <v>1683</v>
      </c>
      <c r="G4954">
        <v>-89.863743999999997</v>
      </c>
      <c r="H4954">
        <v>1300</v>
      </c>
      <c r="I4954">
        <v>89</v>
      </c>
      <c r="J4954">
        <v>-41</v>
      </c>
      <c r="K4954">
        <v>320</v>
      </c>
      <c r="L4954">
        <v>1200</v>
      </c>
      <c r="M4954" t="str">
        <f t="shared" si="489"/>
        <v xml:space="preserve">N35DC   </v>
      </c>
      <c r="N4954">
        <v>1</v>
      </c>
      <c r="O4954">
        <v>1400</v>
      </c>
    </row>
    <row r="4955" spans="1:15" x14ac:dyDescent="0.25">
      <c r="A4955" t="str">
        <f>"10/21/2020 18:49:59.039"</f>
        <v>10/21/2020 18:49:59.039</v>
      </c>
      <c r="B4955" t="str">
        <f>"18:50:06.922"</f>
        <v>18:50:06.922</v>
      </c>
      <c r="C4955" t="str">
        <f>"18:50:06.622"</f>
        <v>18:50:06.622</v>
      </c>
      <c r="D4955" t="s">
        <v>2049</v>
      </c>
      <c r="E4955">
        <v>30.872762000000002</v>
      </c>
      <c r="F4955" t="s">
        <v>1683</v>
      </c>
      <c r="G4955">
        <v>-89.863743999999997</v>
      </c>
      <c r="H4955">
        <v>1300</v>
      </c>
      <c r="I4955">
        <v>89</v>
      </c>
      <c r="J4955">
        <v>-41</v>
      </c>
      <c r="K4955">
        <v>320</v>
      </c>
      <c r="L4955">
        <v>1200</v>
      </c>
      <c r="M4955" t="str">
        <f t="shared" si="489"/>
        <v xml:space="preserve">N35DC   </v>
      </c>
      <c r="N4955">
        <v>1</v>
      </c>
      <c r="O4955">
        <v>1400</v>
      </c>
    </row>
    <row r="4956" spans="1:15" x14ac:dyDescent="0.25">
      <c r="A4956" t="str">
        <f>"10/21/2020 18:49:59.039"</f>
        <v>10/21/2020 18:49:59.039</v>
      </c>
      <c r="B4956" t="str">
        <f>"18:50:06.922"</f>
        <v>18:50:06.922</v>
      </c>
      <c r="C4956" t="str">
        <f>"18:50:06.622"</f>
        <v>18:50:06.622</v>
      </c>
      <c r="D4956" t="s">
        <v>2049</v>
      </c>
      <c r="E4956">
        <v>30.872762000000002</v>
      </c>
      <c r="F4956" t="s">
        <v>1683</v>
      </c>
      <c r="G4956">
        <v>-89.863743999999997</v>
      </c>
      <c r="H4956">
        <v>1300</v>
      </c>
      <c r="I4956">
        <v>89</v>
      </c>
      <c r="J4956">
        <v>-41</v>
      </c>
      <c r="K4956">
        <v>320</v>
      </c>
      <c r="L4956">
        <v>1200</v>
      </c>
      <c r="M4956" t="str">
        <f t="shared" si="489"/>
        <v xml:space="preserve">N35DC   </v>
      </c>
      <c r="N4956">
        <v>1</v>
      </c>
      <c r="O4956">
        <v>1400</v>
      </c>
    </row>
    <row r="4957" spans="1:15" x14ac:dyDescent="0.25">
      <c r="A4957" t="str">
        <f>"10/21/2020 18:49:59.039"</f>
        <v>10/21/2020 18:49:59.039</v>
      </c>
      <c r="B4957" t="str">
        <f>"18:50:06.922"</f>
        <v>18:50:06.922</v>
      </c>
      <c r="C4957" t="str">
        <f>"18:50:06.622"</f>
        <v>18:50:06.622</v>
      </c>
      <c r="D4957" t="s">
        <v>2049</v>
      </c>
      <c r="E4957">
        <v>30.872762000000002</v>
      </c>
      <c r="F4957" t="s">
        <v>1683</v>
      </c>
      <c r="G4957">
        <v>-89.863743999999997</v>
      </c>
      <c r="H4957">
        <v>1300</v>
      </c>
      <c r="I4957">
        <v>89</v>
      </c>
      <c r="J4957">
        <v>-41</v>
      </c>
      <c r="K4957">
        <v>320</v>
      </c>
      <c r="L4957">
        <v>1200</v>
      </c>
      <c r="M4957" t="str">
        <f t="shared" si="489"/>
        <v xml:space="preserve">N35DC   </v>
      </c>
      <c r="N4957">
        <v>1</v>
      </c>
      <c r="O4957">
        <v>1400</v>
      </c>
    </row>
    <row r="4958" spans="1:15" x14ac:dyDescent="0.25">
      <c r="A4958" t="str">
        <f>"10/21/2020 18:49:59.562"</f>
        <v>10/21/2020 18:49:59.562</v>
      </c>
      <c r="B4958" t="str">
        <f>"18:50:07.461"</f>
        <v>18:50:07.461</v>
      </c>
      <c r="C4958" t="str">
        <f>"18:50:07.061"</f>
        <v>18:50:07.061</v>
      </c>
      <c r="D4958" t="s">
        <v>2050</v>
      </c>
      <c r="E4958">
        <v>30.872698</v>
      </c>
      <c r="F4958" t="s">
        <v>2051</v>
      </c>
      <c r="G4958">
        <v>-89.863443000000004</v>
      </c>
      <c r="H4958">
        <v>1300</v>
      </c>
      <c r="I4958">
        <v>90</v>
      </c>
      <c r="J4958">
        <v>-38</v>
      </c>
      <c r="K4958">
        <v>320</v>
      </c>
      <c r="L4958">
        <v>1200</v>
      </c>
      <c r="M4958" t="str">
        <f t="shared" si="489"/>
        <v xml:space="preserve">N35DC   </v>
      </c>
      <c r="N4958">
        <v>1</v>
      </c>
      <c r="O4958">
        <v>1400</v>
      </c>
    </row>
    <row r="4959" spans="1:15" x14ac:dyDescent="0.25">
      <c r="A4959" t="str">
        <f>"10/21/2020 18:49:59.946"</f>
        <v>10/21/2020 18:49:59.946</v>
      </c>
      <c r="B4959" t="str">
        <f>"18:50:07.867"</f>
        <v>18:50:07.867</v>
      </c>
      <c r="C4959" t="str">
        <f>"18:50:07.667"</f>
        <v>18:50:07.667</v>
      </c>
      <c r="D4959" t="s">
        <v>2052</v>
      </c>
      <c r="E4959">
        <v>30.872612</v>
      </c>
      <c r="F4959" t="s">
        <v>2053</v>
      </c>
      <c r="G4959">
        <v>-89.863271999999995</v>
      </c>
      <c r="H4959">
        <v>1300</v>
      </c>
      <c r="I4959">
        <v>91</v>
      </c>
      <c r="J4959">
        <v>-35</v>
      </c>
      <c r="K4959">
        <v>320</v>
      </c>
      <c r="L4959">
        <v>1200</v>
      </c>
      <c r="M4959" t="str">
        <f t="shared" si="489"/>
        <v xml:space="preserve">N35DC   </v>
      </c>
      <c r="N4959">
        <v>1</v>
      </c>
      <c r="O4959">
        <v>1400</v>
      </c>
    </row>
    <row r="4960" spans="1:15" x14ac:dyDescent="0.25">
      <c r="A4960" t="str">
        <f>"10/21/2020 18:49:59.946"</f>
        <v>10/21/2020 18:49:59.946</v>
      </c>
      <c r="B4960" t="str">
        <f>"18:50:07.867"</f>
        <v>18:50:07.867</v>
      </c>
      <c r="C4960" t="str">
        <f>"18:50:07.067"</f>
        <v>18:50:07.067</v>
      </c>
      <c r="D4960" t="s">
        <v>2052</v>
      </c>
      <c r="E4960">
        <v>30.872612</v>
      </c>
      <c r="F4960" t="s">
        <v>2053</v>
      </c>
      <c r="G4960">
        <v>-89.863271999999995</v>
      </c>
      <c r="H4960">
        <v>1300</v>
      </c>
      <c r="I4960">
        <v>90</v>
      </c>
      <c r="J4960">
        <v>-38</v>
      </c>
      <c r="K4960">
        <v>320</v>
      </c>
      <c r="L4960">
        <v>1200</v>
      </c>
      <c r="M4960" t="str">
        <f t="shared" si="489"/>
        <v xml:space="preserve">N35DC   </v>
      </c>
      <c r="N4960">
        <v>1</v>
      </c>
      <c r="O4960">
        <v>1400</v>
      </c>
    </row>
    <row r="4961" spans="1:15" x14ac:dyDescent="0.25">
      <c r="A4961" t="str">
        <f>"10/21/2020 18:49:59.946"</f>
        <v>10/21/2020 18:49:59.946</v>
      </c>
      <c r="B4961" t="str">
        <f>"18:50:07.867"</f>
        <v>18:50:07.867</v>
      </c>
      <c r="C4961" t="str">
        <f>"18:50:07.667"</f>
        <v>18:50:07.667</v>
      </c>
      <c r="D4961" t="s">
        <v>2052</v>
      </c>
      <c r="E4961">
        <v>30.872612</v>
      </c>
      <c r="F4961" t="s">
        <v>2053</v>
      </c>
      <c r="G4961">
        <v>-89.863271999999995</v>
      </c>
      <c r="H4961">
        <v>1300</v>
      </c>
      <c r="I4961">
        <v>91</v>
      </c>
      <c r="J4961">
        <v>-35</v>
      </c>
      <c r="K4961">
        <v>320</v>
      </c>
      <c r="L4961">
        <v>1200</v>
      </c>
      <c r="M4961" t="str">
        <f t="shared" si="489"/>
        <v xml:space="preserve">N35DC   </v>
      </c>
      <c r="N4961">
        <v>1</v>
      </c>
      <c r="O4961">
        <v>1400</v>
      </c>
    </row>
    <row r="4962" spans="1:15" x14ac:dyDescent="0.25">
      <c r="A4962" t="str">
        <f>"10/21/2020 18:49:59.946"</f>
        <v>10/21/2020 18:49:59.946</v>
      </c>
      <c r="B4962" t="str">
        <f>"18:50:07.867"</f>
        <v>18:50:07.867</v>
      </c>
      <c r="C4962" t="str">
        <f>"18:50:07.667"</f>
        <v>18:50:07.667</v>
      </c>
      <c r="D4962" t="s">
        <v>2052</v>
      </c>
      <c r="E4962">
        <v>30.872612</v>
      </c>
      <c r="F4962" t="s">
        <v>2053</v>
      </c>
      <c r="G4962">
        <v>-89.863271999999995</v>
      </c>
      <c r="H4962">
        <v>1300</v>
      </c>
      <c r="I4962">
        <v>91</v>
      </c>
      <c r="J4962">
        <v>-35</v>
      </c>
      <c r="K4962">
        <v>320</v>
      </c>
      <c r="L4962">
        <v>1200</v>
      </c>
      <c r="M4962" t="str">
        <f t="shared" si="489"/>
        <v xml:space="preserve">N35DC   </v>
      </c>
      <c r="N4962">
        <v>1</v>
      </c>
      <c r="O4962">
        <v>1400</v>
      </c>
    </row>
    <row r="4963" spans="1:15" x14ac:dyDescent="0.25">
      <c r="A4963" t="str">
        <f>"10/21/2020 18:49:59.946"</f>
        <v>10/21/2020 18:49:59.946</v>
      </c>
      <c r="B4963" t="str">
        <f>"18:50:07.867"</f>
        <v>18:50:07.867</v>
      </c>
      <c r="C4963" t="str">
        <f>"18:50:07.667"</f>
        <v>18:50:07.667</v>
      </c>
      <c r="D4963" t="s">
        <v>2052</v>
      </c>
      <c r="E4963">
        <v>30.872612</v>
      </c>
      <c r="F4963" t="s">
        <v>2053</v>
      </c>
      <c r="G4963">
        <v>-89.863271999999995</v>
      </c>
      <c r="H4963">
        <v>1300</v>
      </c>
      <c r="I4963">
        <v>91</v>
      </c>
      <c r="J4963">
        <v>-35</v>
      </c>
      <c r="K4963">
        <v>320</v>
      </c>
      <c r="L4963">
        <v>1200</v>
      </c>
      <c r="M4963" t="str">
        <f t="shared" si="489"/>
        <v xml:space="preserve">N35DC   </v>
      </c>
      <c r="N4963">
        <v>1</v>
      </c>
      <c r="O4963">
        <v>1400</v>
      </c>
    </row>
    <row r="4964" spans="1:15" x14ac:dyDescent="0.25">
      <c r="A4964" t="str">
        <f>"10/21/2020 18:50:03.066"</f>
        <v>10/21/2020 18:50:03.066</v>
      </c>
      <c r="B4964" t="str">
        <f>"18:50:11.016"</f>
        <v>18:50:11.016</v>
      </c>
      <c r="C4964" t="str">
        <f>"18:50:10.716"</f>
        <v>18:50:10.716</v>
      </c>
      <c r="D4964" t="s">
        <v>2054</v>
      </c>
      <c r="E4964">
        <v>30.872183</v>
      </c>
      <c r="F4964" t="s">
        <v>2055</v>
      </c>
      <c r="G4964">
        <v>-89.861683999999997</v>
      </c>
      <c r="H4964">
        <v>1300</v>
      </c>
      <c r="I4964">
        <v>93</v>
      </c>
      <c r="J4964">
        <v>-26</v>
      </c>
      <c r="K4964">
        <v>128</v>
      </c>
      <c r="L4964">
        <v>1200</v>
      </c>
      <c r="M4964" t="str">
        <f t="shared" si="489"/>
        <v xml:space="preserve">N35DC   </v>
      </c>
      <c r="N4964">
        <v>1</v>
      </c>
      <c r="O4964">
        <v>1400</v>
      </c>
    </row>
    <row r="4965" spans="1:15" x14ac:dyDescent="0.25">
      <c r="A4965" t="str">
        <f>"10/21/2020 18:50:03.066"</f>
        <v>10/21/2020 18:50:03.066</v>
      </c>
      <c r="B4965" t="str">
        <f>"18:50:11.016"</f>
        <v>18:50:11.016</v>
      </c>
      <c r="C4965" t="str">
        <f>"18:50:10.716"</f>
        <v>18:50:10.716</v>
      </c>
      <c r="D4965" t="s">
        <v>2054</v>
      </c>
      <c r="E4965">
        <v>30.872183</v>
      </c>
      <c r="F4965" t="s">
        <v>2055</v>
      </c>
      <c r="G4965">
        <v>-89.861683999999997</v>
      </c>
      <c r="H4965">
        <v>1300</v>
      </c>
      <c r="I4965">
        <v>93</v>
      </c>
      <c r="J4965">
        <v>-26</v>
      </c>
      <c r="K4965">
        <v>128</v>
      </c>
      <c r="L4965">
        <v>1200</v>
      </c>
      <c r="M4965" t="str">
        <f t="shared" si="489"/>
        <v xml:space="preserve">N35DC   </v>
      </c>
      <c r="N4965">
        <v>1</v>
      </c>
      <c r="O4965">
        <v>1400</v>
      </c>
    </row>
    <row r="4966" spans="1:15" x14ac:dyDescent="0.25">
      <c r="A4966" t="str">
        <f>"10/21/2020 18:50:03.066"</f>
        <v>10/21/2020 18:50:03.066</v>
      </c>
      <c r="B4966" t="str">
        <f>"18:50:11.016"</f>
        <v>18:50:11.016</v>
      </c>
      <c r="C4966" t="str">
        <f>"18:50:10.716"</f>
        <v>18:50:10.716</v>
      </c>
      <c r="D4966" t="s">
        <v>2054</v>
      </c>
      <c r="E4966">
        <v>30.872183</v>
      </c>
      <c r="F4966" t="s">
        <v>2055</v>
      </c>
      <c r="G4966">
        <v>-89.861683999999997</v>
      </c>
      <c r="H4966">
        <v>1300</v>
      </c>
      <c r="I4966">
        <v>93</v>
      </c>
      <c r="J4966">
        <v>-26</v>
      </c>
      <c r="K4966">
        <v>128</v>
      </c>
      <c r="L4966">
        <v>1200</v>
      </c>
      <c r="M4966" t="str">
        <f t="shared" si="489"/>
        <v xml:space="preserve">N35DC   </v>
      </c>
      <c r="N4966">
        <v>1</v>
      </c>
      <c r="O4966">
        <v>1400</v>
      </c>
    </row>
    <row r="4967" spans="1:15" x14ac:dyDescent="0.25">
      <c r="A4967" t="str">
        <f>"10/21/2020 18:50:03.066"</f>
        <v>10/21/2020 18:50:03.066</v>
      </c>
      <c r="B4967" t="str">
        <f>"18:50:11.016"</f>
        <v>18:50:11.016</v>
      </c>
      <c r="C4967" t="str">
        <f>"18:50:10.716"</f>
        <v>18:50:10.716</v>
      </c>
      <c r="D4967" t="s">
        <v>2054</v>
      </c>
      <c r="E4967">
        <v>30.872183</v>
      </c>
      <c r="F4967" t="s">
        <v>2055</v>
      </c>
      <c r="G4967">
        <v>-89.861683999999997</v>
      </c>
      <c r="H4967">
        <v>1300</v>
      </c>
      <c r="I4967">
        <v>93</v>
      </c>
      <c r="J4967">
        <v>-26</v>
      </c>
      <c r="K4967">
        <v>128</v>
      </c>
      <c r="L4967">
        <v>1200</v>
      </c>
      <c r="M4967" t="str">
        <f t="shared" si="489"/>
        <v xml:space="preserve">N35DC   </v>
      </c>
      <c r="N4967">
        <v>1</v>
      </c>
      <c r="O4967">
        <v>1400</v>
      </c>
    </row>
    <row r="4968" spans="1:15" x14ac:dyDescent="0.25">
      <c r="A4968" t="str">
        <f>"10/21/2020 18:50:03.066"</f>
        <v>10/21/2020 18:50:03.066</v>
      </c>
      <c r="B4968" t="str">
        <f>"18:50:11.016"</f>
        <v>18:50:11.016</v>
      </c>
      <c r="C4968" t="str">
        <f>"18:50:10.716"</f>
        <v>18:50:10.716</v>
      </c>
      <c r="D4968" t="s">
        <v>2054</v>
      </c>
      <c r="E4968">
        <v>30.872183</v>
      </c>
      <c r="F4968" t="s">
        <v>2055</v>
      </c>
      <c r="G4968">
        <v>-89.861683999999997</v>
      </c>
      <c r="H4968">
        <v>1300</v>
      </c>
      <c r="I4968">
        <v>93</v>
      </c>
      <c r="J4968">
        <v>-26</v>
      </c>
      <c r="K4968">
        <v>128</v>
      </c>
      <c r="L4968">
        <v>1200</v>
      </c>
      <c r="M4968" t="str">
        <f t="shared" si="489"/>
        <v xml:space="preserve">N35DC   </v>
      </c>
      <c r="N4968">
        <v>1</v>
      </c>
      <c r="O4968">
        <v>1400</v>
      </c>
    </row>
    <row r="4969" spans="1:15" x14ac:dyDescent="0.25">
      <c r="A4969" t="str">
        <f>"10/21/2020 18:50:03.595"</f>
        <v>10/21/2020 18:50:03.595</v>
      </c>
      <c r="B4969" t="str">
        <f>"18:50:11.477"</f>
        <v>18:50:11.477</v>
      </c>
      <c r="C4969" t="str">
        <f>"18:50:11.177"</f>
        <v>18:50:11.177</v>
      </c>
      <c r="D4969" t="s">
        <v>2056</v>
      </c>
      <c r="E4969">
        <v>30.872140000000002</v>
      </c>
      <c r="F4969" t="s">
        <v>2057</v>
      </c>
      <c r="G4969">
        <v>-89.861469</v>
      </c>
      <c r="H4969">
        <v>1300</v>
      </c>
      <c r="I4969">
        <v>93</v>
      </c>
      <c r="J4969">
        <v>-26</v>
      </c>
      <c r="K4969">
        <v>128</v>
      </c>
      <c r="L4969">
        <v>1200</v>
      </c>
      <c r="M4969" t="str">
        <f t="shared" si="489"/>
        <v xml:space="preserve">N35DC   </v>
      </c>
      <c r="N4969">
        <v>1</v>
      </c>
      <c r="O4969">
        <v>1400</v>
      </c>
    </row>
    <row r="4970" spans="1:15" x14ac:dyDescent="0.25">
      <c r="A4970" t="str">
        <f>"10/21/2020 18:50:03.973"</f>
        <v>10/21/2020 18:50:03.973</v>
      </c>
      <c r="B4970" t="str">
        <f>"18:50:11.898"</f>
        <v>18:50:11.898</v>
      </c>
      <c r="C4970" t="str">
        <f>"18:50:11.598"</f>
        <v>18:50:11.598</v>
      </c>
      <c r="D4970" t="s">
        <v>2058</v>
      </c>
      <c r="E4970">
        <v>30.872097</v>
      </c>
      <c r="F4970" t="s">
        <v>2059</v>
      </c>
      <c r="G4970">
        <v>-89.861232999999999</v>
      </c>
      <c r="H4970">
        <v>1300</v>
      </c>
      <c r="I4970">
        <v>94</v>
      </c>
      <c r="J4970">
        <v>-25</v>
      </c>
      <c r="K4970">
        <v>128</v>
      </c>
      <c r="L4970">
        <v>1200</v>
      </c>
      <c r="M4970" t="str">
        <f t="shared" si="489"/>
        <v xml:space="preserve">N35DC   </v>
      </c>
      <c r="N4970">
        <v>1</v>
      </c>
      <c r="O4970">
        <v>1400</v>
      </c>
    </row>
    <row r="4971" spans="1:15" x14ac:dyDescent="0.25">
      <c r="A4971" t="str">
        <f>"10/21/2020 18:50:03.973"</f>
        <v>10/21/2020 18:50:03.973</v>
      </c>
      <c r="B4971" t="str">
        <f>"18:50:11.898"</f>
        <v>18:50:11.898</v>
      </c>
      <c r="C4971" t="str">
        <f>"18:50:11.598"</f>
        <v>18:50:11.598</v>
      </c>
      <c r="D4971" t="s">
        <v>2058</v>
      </c>
      <c r="E4971">
        <v>30.872097</v>
      </c>
      <c r="F4971" t="s">
        <v>2059</v>
      </c>
      <c r="G4971">
        <v>-89.861232999999999</v>
      </c>
      <c r="H4971">
        <v>1300</v>
      </c>
      <c r="I4971">
        <v>94</v>
      </c>
      <c r="J4971">
        <v>-25</v>
      </c>
      <c r="K4971">
        <v>128</v>
      </c>
      <c r="L4971">
        <v>1200</v>
      </c>
      <c r="M4971" t="str">
        <f t="shared" si="489"/>
        <v xml:space="preserve">N35DC   </v>
      </c>
      <c r="N4971">
        <v>1</v>
      </c>
      <c r="O4971">
        <v>1400</v>
      </c>
    </row>
    <row r="4972" spans="1:15" x14ac:dyDescent="0.25">
      <c r="A4972" t="str">
        <f>"10/21/2020 18:50:03.973"</f>
        <v>10/21/2020 18:50:03.973</v>
      </c>
      <c r="B4972" t="str">
        <f>"18:50:11.898"</f>
        <v>18:50:11.898</v>
      </c>
      <c r="C4972" t="str">
        <f>"18:50:11.598"</f>
        <v>18:50:11.598</v>
      </c>
      <c r="D4972" t="s">
        <v>2058</v>
      </c>
      <c r="E4972">
        <v>30.872097</v>
      </c>
      <c r="F4972" t="s">
        <v>2059</v>
      </c>
      <c r="G4972">
        <v>-89.861232999999999</v>
      </c>
      <c r="H4972">
        <v>1300</v>
      </c>
      <c r="I4972">
        <v>94</v>
      </c>
      <c r="J4972">
        <v>-25</v>
      </c>
      <c r="K4972">
        <v>128</v>
      </c>
      <c r="L4972">
        <v>1200</v>
      </c>
      <c r="M4972" t="str">
        <f t="shared" si="489"/>
        <v xml:space="preserve">N35DC   </v>
      </c>
      <c r="N4972">
        <v>1</v>
      </c>
      <c r="O4972">
        <v>1400</v>
      </c>
    </row>
    <row r="4973" spans="1:15" x14ac:dyDescent="0.25">
      <c r="A4973" t="str">
        <f>"10/21/2020 18:50:03.973"</f>
        <v>10/21/2020 18:50:03.973</v>
      </c>
      <c r="B4973" t="str">
        <f>"18:50:11.898"</f>
        <v>18:50:11.898</v>
      </c>
      <c r="C4973" t="str">
        <f>"18:50:11.598"</f>
        <v>18:50:11.598</v>
      </c>
      <c r="D4973" t="s">
        <v>2058</v>
      </c>
      <c r="E4973">
        <v>30.872097</v>
      </c>
      <c r="F4973" t="s">
        <v>2059</v>
      </c>
      <c r="G4973">
        <v>-89.861232999999999</v>
      </c>
      <c r="H4973">
        <v>1300</v>
      </c>
      <c r="I4973">
        <v>94</v>
      </c>
      <c r="J4973">
        <v>-25</v>
      </c>
      <c r="K4973">
        <v>128</v>
      </c>
      <c r="L4973">
        <v>1200</v>
      </c>
      <c r="M4973" t="str">
        <f t="shared" si="489"/>
        <v xml:space="preserve">N35DC   </v>
      </c>
      <c r="N4973">
        <v>1</v>
      </c>
      <c r="O4973">
        <v>1400</v>
      </c>
    </row>
    <row r="4974" spans="1:15" x14ac:dyDescent="0.25">
      <c r="A4974" t="str">
        <f>"10/21/2020 18:50:03.973"</f>
        <v>10/21/2020 18:50:03.973</v>
      </c>
      <c r="B4974" t="str">
        <f>"18:50:11.898"</f>
        <v>18:50:11.898</v>
      </c>
      <c r="C4974" t="str">
        <f>"18:50:11.598"</f>
        <v>18:50:11.598</v>
      </c>
      <c r="D4974" t="s">
        <v>2058</v>
      </c>
      <c r="E4974">
        <v>30.872097</v>
      </c>
      <c r="F4974" t="s">
        <v>2059</v>
      </c>
      <c r="G4974">
        <v>-89.861232999999999</v>
      </c>
      <c r="H4974">
        <v>1300</v>
      </c>
      <c r="I4974">
        <v>94</v>
      </c>
      <c r="J4974">
        <v>-25</v>
      </c>
      <c r="K4974">
        <v>128</v>
      </c>
      <c r="L4974">
        <v>1200</v>
      </c>
      <c r="M4974" t="str">
        <f t="shared" si="489"/>
        <v xml:space="preserve">N35DC   </v>
      </c>
      <c r="N4974">
        <v>1</v>
      </c>
      <c r="O4974">
        <v>1400</v>
      </c>
    </row>
    <row r="4975" spans="1:15" x14ac:dyDescent="0.25">
      <c r="A4975" t="str">
        <f>"10/21/2020 18:50:06.423"</f>
        <v>10/21/2020 18:50:06.423</v>
      </c>
      <c r="B4975" t="str">
        <f>"18:50:14.313"</f>
        <v>18:50:14.313</v>
      </c>
      <c r="C4975" t="str">
        <f>"18:50:14.113"</f>
        <v>18:50:14.113</v>
      </c>
      <c r="D4975" t="s">
        <v>2060</v>
      </c>
      <c r="E4975">
        <v>30.871818000000001</v>
      </c>
      <c r="F4975" t="s">
        <v>2061</v>
      </c>
      <c r="G4975">
        <v>-89.860032000000004</v>
      </c>
      <c r="H4975">
        <v>1300</v>
      </c>
      <c r="I4975">
        <v>96</v>
      </c>
      <c r="J4975">
        <v>-21</v>
      </c>
      <c r="K4975">
        <v>-832</v>
      </c>
      <c r="L4975">
        <v>1200</v>
      </c>
      <c r="M4975" t="str">
        <f t="shared" si="489"/>
        <v xml:space="preserve">N35DC   </v>
      </c>
      <c r="N4975">
        <v>1</v>
      </c>
      <c r="O4975">
        <v>1400</v>
      </c>
    </row>
    <row r="4976" spans="1:15" x14ac:dyDescent="0.25">
      <c r="A4976" t="str">
        <f>"10/21/2020 18:50:06.975"</f>
        <v>10/21/2020 18:50:06.975</v>
      </c>
      <c r="B4976" t="str">
        <f>"18:50:14.914"</f>
        <v>18:50:14.914</v>
      </c>
      <c r="C4976" t="str">
        <f>"18:50:14.614"</f>
        <v>18:50:14.614</v>
      </c>
      <c r="D4976" t="s">
        <v>2060</v>
      </c>
      <c r="E4976">
        <v>30.871818000000001</v>
      </c>
      <c r="F4976" t="s">
        <v>1783</v>
      </c>
      <c r="G4976">
        <v>-89.859645</v>
      </c>
      <c r="H4976">
        <v>1300</v>
      </c>
      <c r="I4976">
        <v>97</v>
      </c>
      <c r="J4976">
        <v>-19</v>
      </c>
      <c r="K4976">
        <v>-960</v>
      </c>
      <c r="L4976">
        <v>1200</v>
      </c>
      <c r="M4976" t="str">
        <f t="shared" si="489"/>
        <v xml:space="preserve">N35DC   </v>
      </c>
      <c r="N4976">
        <v>1</v>
      </c>
      <c r="O4976">
        <v>1375</v>
      </c>
    </row>
    <row r="4977" spans="1:15" x14ac:dyDescent="0.25">
      <c r="A4977" t="str">
        <f>"10/21/2020 18:50:06.975"</f>
        <v>10/21/2020 18:50:06.975</v>
      </c>
      <c r="B4977" t="str">
        <f>"18:50:14.914"</f>
        <v>18:50:14.914</v>
      </c>
      <c r="C4977" t="str">
        <f>"18:50:14.614"</f>
        <v>18:50:14.614</v>
      </c>
      <c r="D4977" t="s">
        <v>2060</v>
      </c>
      <c r="E4977">
        <v>30.871818000000001</v>
      </c>
      <c r="F4977" t="s">
        <v>1783</v>
      </c>
      <c r="G4977">
        <v>-89.859645</v>
      </c>
      <c r="H4977">
        <v>1300</v>
      </c>
      <c r="I4977">
        <v>97</v>
      </c>
      <c r="J4977">
        <v>-19</v>
      </c>
      <c r="K4977">
        <v>-960</v>
      </c>
      <c r="L4977">
        <v>1200</v>
      </c>
      <c r="M4977" t="str">
        <f t="shared" si="489"/>
        <v xml:space="preserve">N35DC   </v>
      </c>
      <c r="N4977">
        <v>1</v>
      </c>
      <c r="O4977">
        <v>1375</v>
      </c>
    </row>
    <row r="4978" spans="1:15" x14ac:dyDescent="0.25">
      <c r="A4978" t="str">
        <f>"10/21/2020 18:50:06.975"</f>
        <v>10/21/2020 18:50:06.975</v>
      </c>
      <c r="B4978" t="str">
        <f>"18:50:14.914"</f>
        <v>18:50:14.914</v>
      </c>
      <c r="C4978" t="str">
        <f>"18:50:14.614"</f>
        <v>18:50:14.614</v>
      </c>
      <c r="D4978" t="s">
        <v>2060</v>
      </c>
      <c r="E4978">
        <v>30.871818000000001</v>
      </c>
      <c r="F4978" t="s">
        <v>1783</v>
      </c>
      <c r="G4978">
        <v>-89.859645</v>
      </c>
      <c r="H4978">
        <v>1300</v>
      </c>
      <c r="I4978">
        <v>97</v>
      </c>
      <c r="J4978">
        <v>-19</v>
      </c>
      <c r="K4978">
        <v>-960</v>
      </c>
      <c r="L4978">
        <v>1200</v>
      </c>
      <c r="M4978" t="str">
        <f t="shared" si="489"/>
        <v xml:space="preserve">N35DC   </v>
      </c>
      <c r="N4978">
        <v>1</v>
      </c>
      <c r="O4978">
        <v>1375</v>
      </c>
    </row>
    <row r="4979" spans="1:15" x14ac:dyDescent="0.25">
      <c r="A4979" t="str">
        <f>"10/21/2020 18:50:06.975"</f>
        <v>10/21/2020 18:50:06.975</v>
      </c>
      <c r="B4979" t="str">
        <f>"18:50:14.914"</f>
        <v>18:50:14.914</v>
      </c>
      <c r="C4979" t="str">
        <f>"18:50:14.614"</f>
        <v>18:50:14.614</v>
      </c>
      <c r="D4979" t="s">
        <v>2060</v>
      </c>
      <c r="E4979">
        <v>30.871818000000001</v>
      </c>
      <c r="F4979" t="s">
        <v>1783</v>
      </c>
      <c r="G4979">
        <v>-89.859645</v>
      </c>
      <c r="H4979">
        <v>1300</v>
      </c>
      <c r="I4979">
        <v>97</v>
      </c>
      <c r="J4979">
        <v>-19</v>
      </c>
      <c r="K4979">
        <v>-960</v>
      </c>
      <c r="L4979">
        <v>1200</v>
      </c>
      <c r="M4979" t="str">
        <f t="shared" si="489"/>
        <v xml:space="preserve">N35DC   </v>
      </c>
      <c r="N4979">
        <v>1</v>
      </c>
      <c r="O4979">
        <v>1375</v>
      </c>
    </row>
    <row r="4980" spans="1:15" x14ac:dyDescent="0.25">
      <c r="A4980" t="str">
        <f>"10/21/2020 18:50:06.975"</f>
        <v>10/21/2020 18:50:06.975</v>
      </c>
      <c r="B4980" t="str">
        <f>"18:50:14.914"</f>
        <v>18:50:14.914</v>
      </c>
      <c r="C4980" t="str">
        <f>"18:50:14.614"</f>
        <v>18:50:14.614</v>
      </c>
      <c r="D4980" t="s">
        <v>2060</v>
      </c>
      <c r="E4980">
        <v>30.871818000000001</v>
      </c>
      <c r="F4980" t="s">
        <v>1783</v>
      </c>
      <c r="G4980">
        <v>-89.859645</v>
      </c>
      <c r="H4980">
        <v>1300</v>
      </c>
      <c r="I4980">
        <v>97</v>
      </c>
      <c r="J4980">
        <v>-19</v>
      </c>
      <c r="K4980">
        <v>-960</v>
      </c>
      <c r="L4980">
        <v>1200</v>
      </c>
      <c r="M4980" t="str">
        <f t="shared" si="489"/>
        <v xml:space="preserve">N35DC   </v>
      </c>
      <c r="N4980">
        <v>1</v>
      </c>
      <c r="O4980">
        <v>1375</v>
      </c>
    </row>
    <row r="4981" spans="1:15" x14ac:dyDescent="0.25">
      <c r="A4981" t="str">
        <f t="shared" ref="A4981:A4986" si="493">"10/21/2020 18:50:07.852"</f>
        <v>10/21/2020 18:50:07.852</v>
      </c>
      <c r="B4981" t="str">
        <f t="shared" ref="B4981:B4986" si="494">"18:50:15.797"</f>
        <v>18:50:15.797</v>
      </c>
      <c r="C4981" t="str">
        <f>"18:50:15.597"</f>
        <v>18:50:15.597</v>
      </c>
      <c r="D4981" t="s">
        <v>2062</v>
      </c>
      <c r="E4981">
        <v>30.871732000000002</v>
      </c>
      <c r="F4981" t="s">
        <v>1970</v>
      </c>
      <c r="G4981">
        <v>-89.859216000000004</v>
      </c>
      <c r="H4981">
        <v>1300</v>
      </c>
      <c r="I4981">
        <v>98</v>
      </c>
      <c r="J4981">
        <v>-18</v>
      </c>
      <c r="K4981">
        <v>-832</v>
      </c>
      <c r="L4981">
        <v>1200</v>
      </c>
      <c r="M4981" t="str">
        <f t="shared" si="489"/>
        <v xml:space="preserve">N35DC   </v>
      </c>
      <c r="N4981">
        <v>1</v>
      </c>
      <c r="O4981">
        <v>1375</v>
      </c>
    </row>
    <row r="4982" spans="1:15" x14ac:dyDescent="0.25">
      <c r="A4982" t="str">
        <f t="shared" si="493"/>
        <v>10/21/2020 18:50:07.852</v>
      </c>
      <c r="B4982" t="str">
        <f t="shared" si="494"/>
        <v>18:50:15.797</v>
      </c>
      <c r="C4982" t="str">
        <f>"18:50:15.597"</f>
        <v>18:50:15.597</v>
      </c>
      <c r="D4982" t="s">
        <v>2062</v>
      </c>
      <c r="E4982">
        <v>30.871732000000002</v>
      </c>
      <c r="F4982" t="s">
        <v>1970</v>
      </c>
      <c r="G4982">
        <v>-89.859216000000004</v>
      </c>
      <c r="H4982">
        <v>1300</v>
      </c>
      <c r="I4982">
        <v>98</v>
      </c>
      <c r="J4982">
        <v>-18</v>
      </c>
      <c r="K4982">
        <v>-832</v>
      </c>
      <c r="L4982">
        <v>1200</v>
      </c>
      <c r="M4982" t="str">
        <f t="shared" si="489"/>
        <v xml:space="preserve">N35DC   </v>
      </c>
      <c r="N4982">
        <v>1</v>
      </c>
      <c r="O4982">
        <v>1375</v>
      </c>
    </row>
    <row r="4983" spans="1:15" x14ac:dyDescent="0.25">
      <c r="A4983" t="str">
        <f t="shared" si="493"/>
        <v>10/21/2020 18:50:07.852</v>
      </c>
      <c r="B4983" t="str">
        <f t="shared" si="494"/>
        <v>18:50:15.797</v>
      </c>
      <c r="C4983" t="str">
        <f>"18:50:15.597"</f>
        <v>18:50:15.597</v>
      </c>
      <c r="D4983" t="s">
        <v>2062</v>
      </c>
      <c r="E4983">
        <v>30.871732000000002</v>
      </c>
      <c r="F4983" t="s">
        <v>1970</v>
      </c>
      <c r="G4983">
        <v>-89.859216000000004</v>
      </c>
      <c r="H4983">
        <v>1300</v>
      </c>
      <c r="I4983">
        <v>98</v>
      </c>
      <c r="J4983">
        <v>-18</v>
      </c>
      <c r="K4983">
        <v>-832</v>
      </c>
      <c r="L4983">
        <v>1200</v>
      </c>
      <c r="M4983" t="str">
        <f t="shared" si="489"/>
        <v xml:space="preserve">N35DC   </v>
      </c>
      <c r="N4983">
        <v>1</v>
      </c>
      <c r="O4983">
        <v>1375</v>
      </c>
    </row>
    <row r="4984" spans="1:15" x14ac:dyDescent="0.25">
      <c r="A4984" t="str">
        <f t="shared" si="493"/>
        <v>10/21/2020 18:50:07.852</v>
      </c>
      <c r="B4984" t="str">
        <f t="shared" si="494"/>
        <v>18:50:15.797</v>
      </c>
      <c r="C4984" t="str">
        <f>"18:50:15.597"</f>
        <v>18:50:15.597</v>
      </c>
      <c r="D4984" t="s">
        <v>2062</v>
      </c>
      <c r="E4984">
        <v>30.871732000000002</v>
      </c>
      <c r="F4984" t="s">
        <v>1970</v>
      </c>
      <c r="G4984">
        <v>-89.859216000000004</v>
      </c>
      <c r="H4984">
        <v>1300</v>
      </c>
      <c r="I4984">
        <v>98</v>
      </c>
      <c r="J4984">
        <v>-18</v>
      </c>
      <c r="K4984">
        <v>-832</v>
      </c>
      <c r="L4984">
        <v>1200</v>
      </c>
      <c r="M4984" t="str">
        <f t="shared" si="489"/>
        <v xml:space="preserve">N35DC   </v>
      </c>
      <c r="N4984">
        <v>1</v>
      </c>
      <c r="O4984">
        <v>1375</v>
      </c>
    </row>
    <row r="4985" spans="1:15" x14ac:dyDescent="0.25">
      <c r="A4985" t="str">
        <f t="shared" si="493"/>
        <v>10/21/2020 18:50:07.852</v>
      </c>
      <c r="B4985" t="str">
        <f t="shared" si="494"/>
        <v>18:50:15.797</v>
      </c>
      <c r="C4985" t="str">
        <f>"18:50:15.097"</f>
        <v>18:50:15.097</v>
      </c>
      <c r="D4985" t="s">
        <v>2062</v>
      </c>
      <c r="E4985">
        <v>30.871732000000002</v>
      </c>
      <c r="F4985" t="s">
        <v>1970</v>
      </c>
      <c r="G4985">
        <v>-89.859216000000004</v>
      </c>
      <c r="H4985">
        <v>1300</v>
      </c>
      <c r="I4985">
        <v>98</v>
      </c>
      <c r="J4985">
        <v>-18</v>
      </c>
      <c r="K4985">
        <v>-832</v>
      </c>
      <c r="L4985">
        <v>1200</v>
      </c>
      <c r="M4985" t="str">
        <f t="shared" si="489"/>
        <v xml:space="preserve">N35DC   </v>
      </c>
      <c r="N4985">
        <v>1</v>
      </c>
      <c r="O4985">
        <v>1375</v>
      </c>
    </row>
    <row r="4986" spans="1:15" x14ac:dyDescent="0.25">
      <c r="A4986" t="str">
        <f t="shared" si="493"/>
        <v>10/21/2020 18:50:07.852</v>
      </c>
      <c r="B4986" t="str">
        <f t="shared" si="494"/>
        <v>18:50:15.797</v>
      </c>
      <c r="C4986" t="str">
        <f>"18:50:15.597"</f>
        <v>18:50:15.597</v>
      </c>
      <c r="D4986" t="s">
        <v>2062</v>
      </c>
      <c r="E4986">
        <v>30.871732000000002</v>
      </c>
      <c r="F4986" t="s">
        <v>1970</v>
      </c>
      <c r="G4986">
        <v>-89.859216000000004</v>
      </c>
      <c r="H4986">
        <v>1300</v>
      </c>
      <c r="I4986">
        <v>98</v>
      </c>
      <c r="J4986">
        <v>-18</v>
      </c>
      <c r="K4986">
        <v>-832</v>
      </c>
      <c r="L4986">
        <v>1200</v>
      </c>
      <c r="M4986" t="str">
        <f t="shared" si="489"/>
        <v xml:space="preserve">N35DC   </v>
      </c>
      <c r="N4986">
        <v>1</v>
      </c>
      <c r="O4986">
        <v>1375</v>
      </c>
    </row>
    <row r="4987" spans="1:15" x14ac:dyDescent="0.25">
      <c r="A4987" t="str">
        <f>"10/21/2020 18:50:10.644"</f>
        <v>10/21/2020 18:50:10.644</v>
      </c>
      <c r="B4987" t="str">
        <f>"18:50:18.516"</f>
        <v>18:50:18.516</v>
      </c>
      <c r="C4987" t="str">
        <f>"18:50:18.216"</f>
        <v>18:50:18.216</v>
      </c>
      <c r="D4987" t="s">
        <v>2063</v>
      </c>
      <c r="E4987">
        <v>30.871496</v>
      </c>
      <c r="F4987" t="s">
        <v>1919</v>
      </c>
      <c r="G4987">
        <v>-89.857778999999994</v>
      </c>
      <c r="H4987">
        <v>1300</v>
      </c>
      <c r="I4987">
        <v>100</v>
      </c>
      <c r="J4987">
        <v>-21</v>
      </c>
      <c r="K4987">
        <v>-512</v>
      </c>
      <c r="L4987">
        <v>1200</v>
      </c>
      <c r="M4987" t="str">
        <f t="shared" si="489"/>
        <v xml:space="preserve">N35DC   </v>
      </c>
      <c r="N4987">
        <v>1</v>
      </c>
      <c r="O4987">
        <v>1350</v>
      </c>
    </row>
    <row r="4988" spans="1:15" x14ac:dyDescent="0.25">
      <c r="A4988" t="str">
        <f>"10/21/2020 18:50:11.019"</f>
        <v>10/21/2020 18:50:11.019</v>
      </c>
      <c r="B4988" t="str">
        <f>"18:50:18.961"</f>
        <v>18:50:18.961</v>
      </c>
      <c r="C4988" t="str">
        <f>"18:50:18.661"</f>
        <v>18:50:18.661</v>
      </c>
      <c r="D4988" t="s">
        <v>2064</v>
      </c>
      <c r="E4988">
        <v>30.871452999999999</v>
      </c>
      <c r="F4988" t="s">
        <v>1915</v>
      </c>
      <c r="G4988">
        <v>-89.857563999999996</v>
      </c>
      <c r="H4988">
        <v>1300</v>
      </c>
      <c r="I4988">
        <v>100</v>
      </c>
      <c r="J4988">
        <v>-24</v>
      </c>
      <c r="K4988">
        <v>-384</v>
      </c>
      <c r="L4988">
        <v>1200</v>
      </c>
      <c r="M4988" t="str">
        <f t="shared" si="489"/>
        <v xml:space="preserve">N35DC   </v>
      </c>
      <c r="N4988">
        <v>1</v>
      </c>
      <c r="O4988">
        <v>1350</v>
      </c>
    </row>
    <row r="4989" spans="1:15" x14ac:dyDescent="0.25">
      <c r="A4989" t="str">
        <f>"10/21/2020 18:50:11.019"</f>
        <v>10/21/2020 18:50:11.019</v>
      </c>
      <c r="B4989" t="str">
        <f>"18:50:18.961"</f>
        <v>18:50:18.961</v>
      </c>
      <c r="C4989" t="str">
        <f>"18:50:18.661"</f>
        <v>18:50:18.661</v>
      </c>
      <c r="D4989" t="s">
        <v>2064</v>
      </c>
      <c r="E4989">
        <v>30.871452999999999</v>
      </c>
      <c r="F4989" t="s">
        <v>1915</v>
      </c>
      <c r="G4989">
        <v>-89.857563999999996</v>
      </c>
      <c r="H4989">
        <v>1300</v>
      </c>
      <c r="I4989">
        <v>100</v>
      </c>
      <c r="J4989">
        <v>-24</v>
      </c>
      <c r="K4989">
        <v>-384</v>
      </c>
      <c r="L4989">
        <v>1200</v>
      </c>
      <c r="M4989" t="str">
        <f t="shared" si="489"/>
        <v xml:space="preserve">N35DC   </v>
      </c>
      <c r="N4989">
        <v>1</v>
      </c>
      <c r="O4989">
        <v>1350</v>
      </c>
    </row>
    <row r="4990" spans="1:15" x14ac:dyDescent="0.25">
      <c r="A4990" t="str">
        <f>"10/21/2020 18:50:11.019"</f>
        <v>10/21/2020 18:50:11.019</v>
      </c>
      <c r="B4990" t="str">
        <f>"18:50:18.961"</f>
        <v>18:50:18.961</v>
      </c>
      <c r="C4990" t="str">
        <f>"18:50:18.661"</f>
        <v>18:50:18.661</v>
      </c>
      <c r="D4990" t="s">
        <v>2064</v>
      </c>
      <c r="E4990">
        <v>30.871452999999999</v>
      </c>
      <c r="F4990" t="s">
        <v>1915</v>
      </c>
      <c r="G4990">
        <v>-89.857563999999996</v>
      </c>
      <c r="H4990">
        <v>1300</v>
      </c>
      <c r="I4990">
        <v>100</v>
      </c>
      <c r="J4990">
        <v>-24</v>
      </c>
      <c r="K4990">
        <v>-384</v>
      </c>
      <c r="L4990">
        <v>1200</v>
      </c>
      <c r="M4990" t="str">
        <f t="shared" si="489"/>
        <v xml:space="preserve">N35DC   </v>
      </c>
      <c r="N4990">
        <v>1</v>
      </c>
      <c r="O4990">
        <v>1350</v>
      </c>
    </row>
    <row r="4991" spans="1:15" x14ac:dyDescent="0.25">
      <c r="A4991" t="str">
        <f>"10/21/2020 18:50:11.019"</f>
        <v>10/21/2020 18:50:11.019</v>
      </c>
      <c r="B4991" t="str">
        <f>"18:50:18.961"</f>
        <v>18:50:18.961</v>
      </c>
      <c r="C4991" t="str">
        <f>"18:50:18.661"</f>
        <v>18:50:18.661</v>
      </c>
      <c r="D4991" t="s">
        <v>2064</v>
      </c>
      <c r="E4991">
        <v>30.871452999999999</v>
      </c>
      <c r="F4991" t="s">
        <v>1915</v>
      </c>
      <c r="G4991">
        <v>-89.857563999999996</v>
      </c>
      <c r="H4991">
        <v>1300</v>
      </c>
      <c r="I4991">
        <v>100</v>
      </c>
      <c r="J4991">
        <v>-24</v>
      </c>
      <c r="K4991">
        <v>-384</v>
      </c>
      <c r="L4991">
        <v>1200</v>
      </c>
      <c r="M4991" t="str">
        <f t="shared" si="489"/>
        <v xml:space="preserve">N35DC   </v>
      </c>
      <c r="N4991">
        <v>1</v>
      </c>
      <c r="O4991">
        <v>1350</v>
      </c>
    </row>
    <row r="4992" spans="1:15" x14ac:dyDescent="0.25">
      <c r="A4992" t="str">
        <f>"10/21/2020 18:50:11.019"</f>
        <v>10/21/2020 18:50:11.019</v>
      </c>
      <c r="B4992" t="str">
        <f>"18:50:18.961"</f>
        <v>18:50:18.961</v>
      </c>
      <c r="C4992" t="str">
        <f>"18:50:18.661"</f>
        <v>18:50:18.661</v>
      </c>
      <c r="D4992" t="s">
        <v>2064</v>
      </c>
      <c r="E4992">
        <v>30.871452999999999</v>
      </c>
      <c r="F4992" t="s">
        <v>1915</v>
      </c>
      <c r="G4992">
        <v>-89.857563999999996</v>
      </c>
      <c r="H4992">
        <v>1300</v>
      </c>
      <c r="I4992">
        <v>100</v>
      </c>
      <c r="J4992">
        <v>-24</v>
      </c>
      <c r="K4992">
        <v>-384</v>
      </c>
      <c r="L4992">
        <v>1200</v>
      </c>
      <c r="M4992" t="str">
        <f t="shared" si="489"/>
        <v xml:space="preserve">N35DC   </v>
      </c>
      <c r="N4992">
        <v>1</v>
      </c>
      <c r="O4992">
        <v>1350</v>
      </c>
    </row>
    <row r="4993" spans="1:15" x14ac:dyDescent="0.25">
      <c r="A4993" t="str">
        <f t="shared" ref="A4993:A4998" si="495">"10/21/2020 18:50:12.148"</f>
        <v>10/21/2020 18:50:12.148</v>
      </c>
      <c r="B4993" t="str">
        <f t="shared" ref="B4993:B4998" si="496">"18:50:20.102"</f>
        <v>18:50:20.102</v>
      </c>
      <c r="C4993" t="str">
        <f>"18:50:19.702"</f>
        <v>18:50:19.702</v>
      </c>
      <c r="D4993" t="s">
        <v>2065</v>
      </c>
      <c r="E4993">
        <v>30.871303000000001</v>
      </c>
      <c r="F4993" t="s">
        <v>1900</v>
      </c>
      <c r="G4993">
        <v>-89.856898999999999</v>
      </c>
      <c r="H4993">
        <v>1300</v>
      </c>
      <c r="I4993">
        <v>99</v>
      </c>
      <c r="J4993">
        <v>-27</v>
      </c>
      <c r="K4993">
        <v>-576</v>
      </c>
      <c r="L4993">
        <v>1200</v>
      </c>
      <c r="M4993" t="str">
        <f t="shared" si="489"/>
        <v xml:space="preserve">N35DC   </v>
      </c>
      <c r="N4993">
        <v>1</v>
      </c>
      <c r="O4993">
        <v>1325</v>
      </c>
    </row>
    <row r="4994" spans="1:15" x14ac:dyDescent="0.25">
      <c r="A4994" t="str">
        <f t="shared" si="495"/>
        <v>10/21/2020 18:50:12.148</v>
      </c>
      <c r="B4994" t="str">
        <f t="shared" si="496"/>
        <v>18:50:20.102</v>
      </c>
      <c r="C4994" t="str">
        <f>"18:50:19.702"</f>
        <v>18:50:19.702</v>
      </c>
      <c r="D4994" t="s">
        <v>2065</v>
      </c>
      <c r="E4994">
        <v>30.871303000000001</v>
      </c>
      <c r="F4994" t="s">
        <v>1900</v>
      </c>
      <c r="G4994">
        <v>-89.856898999999999</v>
      </c>
      <c r="H4994">
        <v>1300</v>
      </c>
      <c r="I4994">
        <v>99</v>
      </c>
      <c r="J4994">
        <v>-27</v>
      </c>
      <c r="K4994">
        <v>-576</v>
      </c>
      <c r="L4994">
        <v>1200</v>
      </c>
      <c r="M4994" t="str">
        <f t="shared" si="489"/>
        <v xml:space="preserve">N35DC   </v>
      </c>
      <c r="N4994">
        <v>1</v>
      </c>
      <c r="O4994">
        <v>1325</v>
      </c>
    </row>
    <row r="4995" spans="1:15" x14ac:dyDescent="0.25">
      <c r="A4995" t="str">
        <f t="shared" si="495"/>
        <v>10/21/2020 18:50:12.148</v>
      </c>
      <c r="B4995" t="str">
        <f t="shared" si="496"/>
        <v>18:50:20.102</v>
      </c>
      <c r="C4995" t="str">
        <f>"18:50:19.202"</f>
        <v>18:50:19.202</v>
      </c>
      <c r="D4995" t="s">
        <v>2065</v>
      </c>
      <c r="E4995">
        <v>30.871303000000001</v>
      </c>
      <c r="F4995" t="s">
        <v>1900</v>
      </c>
      <c r="G4995">
        <v>-89.856898999999999</v>
      </c>
      <c r="H4995">
        <v>1300</v>
      </c>
      <c r="I4995">
        <v>99</v>
      </c>
      <c r="J4995">
        <v>-25</v>
      </c>
      <c r="K4995">
        <v>-512</v>
      </c>
      <c r="L4995">
        <v>1200</v>
      </c>
      <c r="M4995" t="str">
        <f t="shared" si="489"/>
        <v xml:space="preserve">N35DC   </v>
      </c>
      <c r="N4995">
        <v>1</v>
      </c>
      <c r="O4995">
        <v>1350</v>
      </c>
    </row>
    <row r="4996" spans="1:15" x14ac:dyDescent="0.25">
      <c r="A4996" t="str">
        <f t="shared" si="495"/>
        <v>10/21/2020 18:50:12.148</v>
      </c>
      <c r="B4996" t="str">
        <f t="shared" si="496"/>
        <v>18:50:20.102</v>
      </c>
      <c r="C4996" t="str">
        <f>"18:50:19.702"</f>
        <v>18:50:19.702</v>
      </c>
      <c r="D4996" t="s">
        <v>2065</v>
      </c>
      <c r="E4996">
        <v>30.871303000000001</v>
      </c>
      <c r="F4996" t="s">
        <v>1900</v>
      </c>
      <c r="G4996">
        <v>-89.856898999999999</v>
      </c>
      <c r="H4996">
        <v>1300</v>
      </c>
      <c r="I4996">
        <v>99</v>
      </c>
      <c r="J4996">
        <v>-27</v>
      </c>
      <c r="K4996">
        <v>-576</v>
      </c>
      <c r="L4996">
        <v>1200</v>
      </c>
      <c r="M4996" t="str">
        <f t="shared" si="489"/>
        <v xml:space="preserve">N35DC   </v>
      </c>
      <c r="N4996">
        <v>1</v>
      </c>
      <c r="O4996">
        <v>1325</v>
      </c>
    </row>
    <row r="4997" spans="1:15" x14ac:dyDescent="0.25">
      <c r="A4997" t="str">
        <f t="shared" si="495"/>
        <v>10/21/2020 18:50:12.148</v>
      </c>
      <c r="B4997" t="str">
        <f t="shared" si="496"/>
        <v>18:50:20.102</v>
      </c>
      <c r="C4997" t="str">
        <f>"18:50:19.702"</f>
        <v>18:50:19.702</v>
      </c>
      <c r="D4997" t="s">
        <v>2065</v>
      </c>
      <c r="E4997">
        <v>30.871303000000001</v>
      </c>
      <c r="F4997" t="s">
        <v>1900</v>
      </c>
      <c r="G4997">
        <v>-89.856898999999999</v>
      </c>
      <c r="H4997">
        <v>1300</v>
      </c>
      <c r="I4997">
        <v>99</v>
      </c>
      <c r="J4997">
        <v>-27</v>
      </c>
      <c r="K4997">
        <v>-576</v>
      </c>
      <c r="L4997">
        <v>1200</v>
      </c>
      <c r="M4997" t="str">
        <f t="shared" si="489"/>
        <v xml:space="preserve">N35DC   </v>
      </c>
      <c r="N4997">
        <v>1</v>
      </c>
      <c r="O4997">
        <v>1325</v>
      </c>
    </row>
    <row r="4998" spans="1:15" x14ac:dyDescent="0.25">
      <c r="A4998" t="str">
        <f t="shared" si="495"/>
        <v>10/21/2020 18:50:12.148</v>
      </c>
      <c r="B4998" t="str">
        <f t="shared" si="496"/>
        <v>18:50:20.102</v>
      </c>
      <c r="C4998" t="str">
        <f>"18:50:19.702"</f>
        <v>18:50:19.702</v>
      </c>
      <c r="D4998" t="s">
        <v>2065</v>
      </c>
      <c r="E4998">
        <v>30.871303000000001</v>
      </c>
      <c r="F4998" t="s">
        <v>1900</v>
      </c>
      <c r="G4998">
        <v>-89.856898999999999</v>
      </c>
      <c r="H4998">
        <v>1300</v>
      </c>
      <c r="I4998">
        <v>99</v>
      </c>
      <c r="J4998">
        <v>-27</v>
      </c>
      <c r="K4998">
        <v>-576</v>
      </c>
      <c r="L4998">
        <v>1200</v>
      </c>
      <c r="M4998" t="str">
        <f t="shared" si="489"/>
        <v xml:space="preserve">N35DC   </v>
      </c>
      <c r="N4998">
        <v>1</v>
      </c>
      <c r="O4998">
        <v>1325</v>
      </c>
    </row>
    <row r="4999" spans="1:15" x14ac:dyDescent="0.25">
      <c r="A4999" t="str">
        <f>"10/21/2020 18:50:13.145"</f>
        <v>10/21/2020 18:50:13.145</v>
      </c>
      <c r="B4999" t="str">
        <f>"18:50:21.094"</f>
        <v>18:50:21.094</v>
      </c>
      <c r="C4999" t="str">
        <f>"18:50:20.694"</f>
        <v>18:50:20.694</v>
      </c>
      <c r="D4999" t="s">
        <v>2066</v>
      </c>
      <c r="E4999">
        <v>30.871110000000002</v>
      </c>
      <c r="F4999" t="s">
        <v>1891</v>
      </c>
      <c r="G4999">
        <v>-89.856362000000004</v>
      </c>
      <c r="H4999">
        <v>1300</v>
      </c>
      <c r="I4999">
        <v>98</v>
      </c>
      <c r="J4999">
        <v>-32</v>
      </c>
      <c r="K4999">
        <v>-1088</v>
      </c>
      <c r="L4999">
        <v>1200</v>
      </c>
      <c r="M4999" t="str">
        <f t="shared" ref="M4999:M5062" si="497">"N35DC   "</f>
        <v xml:space="preserve">N35DC   </v>
      </c>
      <c r="N4999">
        <v>1</v>
      </c>
      <c r="O4999">
        <v>1325</v>
      </c>
    </row>
    <row r="5000" spans="1:15" x14ac:dyDescent="0.25">
      <c r="A5000" t="str">
        <f>"10/21/2020 18:50:13.145"</f>
        <v>10/21/2020 18:50:13.145</v>
      </c>
      <c r="B5000" t="str">
        <f>"18:50:21.094"</f>
        <v>18:50:21.094</v>
      </c>
      <c r="C5000" t="str">
        <f>"18:50:20.694"</f>
        <v>18:50:20.694</v>
      </c>
      <c r="D5000" t="s">
        <v>2066</v>
      </c>
      <c r="E5000">
        <v>30.871110000000002</v>
      </c>
      <c r="F5000" t="s">
        <v>1891</v>
      </c>
      <c r="G5000">
        <v>-89.856362000000004</v>
      </c>
      <c r="H5000">
        <v>1300</v>
      </c>
      <c r="I5000">
        <v>98</v>
      </c>
      <c r="J5000">
        <v>-32</v>
      </c>
      <c r="K5000">
        <v>-1088</v>
      </c>
      <c r="L5000">
        <v>1200</v>
      </c>
      <c r="M5000" t="str">
        <f t="shared" si="497"/>
        <v xml:space="preserve">N35DC   </v>
      </c>
      <c r="N5000">
        <v>1</v>
      </c>
      <c r="O5000">
        <v>1325</v>
      </c>
    </row>
    <row r="5001" spans="1:15" x14ac:dyDescent="0.25">
      <c r="A5001" t="str">
        <f>"10/21/2020 18:50:13.145"</f>
        <v>10/21/2020 18:50:13.145</v>
      </c>
      <c r="B5001" t="str">
        <f>"18:50:21.094"</f>
        <v>18:50:21.094</v>
      </c>
      <c r="C5001" t="str">
        <f>"18:50:20.694"</f>
        <v>18:50:20.694</v>
      </c>
      <c r="D5001" t="s">
        <v>2066</v>
      </c>
      <c r="E5001">
        <v>30.871110000000002</v>
      </c>
      <c r="F5001" t="s">
        <v>1891</v>
      </c>
      <c r="G5001">
        <v>-89.856362000000004</v>
      </c>
      <c r="H5001">
        <v>1300</v>
      </c>
      <c r="I5001">
        <v>98</v>
      </c>
      <c r="J5001">
        <v>-32</v>
      </c>
      <c r="K5001">
        <v>-1088</v>
      </c>
      <c r="L5001">
        <v>1200</v>
      </c>
      <c r="M5001" t="str">
        <f t="shared" si="497"/>
        <v xml:space="preserve">N35DC   </v>
      </c>
      <c r="N5001">
        <v>1</v>
      </c>
      <c r="O5001">
        <v>1325</v>
      </c>
    </row>
    <row r="5002" spans="1:15" x14ac:dyDescent="0.25">
      <c r="A5002" t="str">
        <f>"10/21/2020 18:50:13.145"</f>
        <v>10/21/2020 18:50:13.145</v>
      </c>
      <c r="B5002" t="str">
        <f>"18:50:21.094"</f>
        <v>18:50:21.094</v>
      </c>
      <c r="C5002" t="str">
        <f>"18:50:20.694"</f>
        <v>18:50:20.694</v>
      </c>
      <c r="D5002" t="s">
        <v>2066</v>
      </c>
      <c r="E5002">
        <v>30.871110000000002</v>
      </c>
      <c r="F5002" t="s">
        <v>1891</v>
      </c>
      <c r="G5002">
        <v>-89.856362000000004</v>
      </c>
      <c r="H5002">
        <v>1300</v>
      </c>
      <c r="I5002">
        <v>98</v>
      </c>
      <c r="J5002">
        <v>-32</v>
      </c>
      <c r="K5002">
        <v>-1088</v>
      </c>
      <c r="L5002">
        <v>1200</v>
      </c>
      <c r="M5002" t="str">
        <f t="shared" si="497"/>
        <v xml:space="preserve">N35DC   </v>
      </c>
      <c r="N5002">
        <v>1</v>
      </c>
      <c r="O5002">
        <v>1325</v>
      </c>
    </row>
    <row r="5003" spans="1:15" x14ac:dyDescent="0.25">
      <c r="A5003" t="str">
        <f>"10/21/2020 18:50:13.145"</f>
        <v>10/21/2020 18:50:13.145</v>
      </c>
      <c r="B5003" t="str">
        <f>"18:50:21.094"</f>
        <v>18:50:21.094</v>
      </c>
      <c r="C5003" t="str">
        <f>"18:50:20.694"</f>
        <v>18:50:20.694</v>
      </c>
      <c r="D5003" t="s">
        <v>2066</v>
      </c>
      <c r="E5003">
        <v>30.871110000000002</v>
      </c>
      <c r="F5003" t="s">
        <v>1891</v>
      </c>
      <c r="G5003">
        <v>-89.856362000000004</v>
      </c>
      <c r="H5003">
        <v>1300</v>
      </c>
      <c r="I5003">
        <v>98</v>
      </c>
      <c r="J5003">
        <v>-32</v>
      </c>
      <c r="K5003">
        <v>-1088</v>
      </c>
      <c r="L5003">
        <v>1200</v>
      </c>
      <c r="M5003" t="str">
        <f t="shared" si="497"/>
        <v xml:space="preserve">N35DC   </v>
      </c>
      <c r="N5003">
        <v>1</v>
      </c>
      <c r="O5003">
        <v>1325</v>
      </c>
    </row>
    <row r="5004" spans="1:15" x14ac:dyDescent="0.25">
      <c r="A5004" t="str">
        <f>"10/21/2020 18:50:16.126"</f>
        <v>10/21/2020 18:50:16.126</v>
      </c>
      <c r="B5004" t="str">
        <f>"18:50:24.078"</f>
        <v>18:50:24.078</v>
      </c>
      <c r="C5004" t="str">
        <f>"18:50:23.778"</f>
        <v>18:50:23.778</v>
      </c>
      <c r="D5004" t="s">
        <v>2067</v>
      </c>
      <c r="E5004">
        <v>30.870574000000001</v>
      </c>
      <c r="F5004" t="s">
        <v>529</v>
      </c>
      <c r="G5004">
        <v>-89.854816999999997</v>
      </c>
      <c r="H5004">
        <v>1200</v>
      </c>
      <c r="I5004">
        <v>98</v>
      </c>
      <c r="J5004">
        <v>-44</v>
      </c>
      <c r="K5004">
        <v>-1088</v>
      </c>
      <c r="L5004">
        <v>1200</v>
      </c>
      <c r="M5004" t="str">
        <f t="shared" si="497"/>
        <v xml:space="preserve">N35DC   </v>
      </c>
      <c r="N5004">
        <v>1</v>
      </c>
      <c r="O5004">
        <v>1250</v>
      </c>
    </row>
    <row r="5005" spans="1:15" x14ac:dyDescent="0.25">
      <c r="A5005" t="str">
        <f>"10/21/2020 18:50:16.126"</f>
        <v>10/21/2020 18:50:16.126</v>
      </c>
      <c r="B5005" t="str">
        <f>"18:50:24.078"</f>
        <v>18:50:24.078</v>
      </c>
      <c r="C5005" t="str">
        <f>"18:50:23.778"</f>
        <v>18:50:23.778</v>
      </c>
      <c r="D5005" t="s">
        <v>2067</v>
      </c>
      <c r="E5005">
        <v>30.870574000000001</v>
      </c>
      <c r="F5005" t="s">
        <v>529</v>
      </c>
      <c r="G5005">
        <v>-89.854816999999997</v>
      </c>
      <c r="H5005">
        <v>1200</v>
      </c>
      <c r="I5005">
        <v>98</v>
      </c>
      <c r="J5005">
        <v>-44</v>
      </c>
      <c r="K5005">
        <v>-1088</v>
      </c>
      <c r="L5005">
        <v>1200</v>
      </c>
      <c r="M5005" t="str">
        <f t="shared" si="497"/>
        <v xml:space="preserve">N35DC   </v>
      </c>
      <c r="N5005">
        <v>1</v>
      </c>
      <c r="O5005">
        <v>1250</v>
      </c>
    </row>
    <row r="5006" spans="1:15" x14ac:dyDescent="0.25">
      <c r="A5006" t="str">
        <f>"10/21/2020 18:50:16.126"</f>
        <v>10/21/2020 18:50:16.126</v>
      </c>
      <c r="B5006" t="str">
        <f>"18:50:24.078"</f>
        <v>18:50:24.078</v>
      </c>
      <c r="C5006" t="str">
        <f>"18:50:23.778"</f>
        <v>18:50:23.778</v>
      </c>
      <c r="D5006" t="s">
        <v>2067</v>
      </c>
      <c r="E5006">
        <v>30.870574000000001</v>
      </c>
      <c r="F5006" t="s">
        <v>529</v>
      </c>
      <c r="G5006">
        <v>-89.854816999999997</v>
      </c>
      <c r="H5006">
        <v>1200</v>
      </c>
      <c r="I5006">
        <v>98</v>
      </c>
      <c r="J5006">
        <v>-44</v>
      </c>
      <c r="K5006">
        <v>-1088</v>
      </c>
      <c r="L5006">
        <v>1200</v>
      </c>
      <c r="M5006" t="str">
        <f t="shared" si="497"/>
        <v xml:space="preserve">N35DC   </v>
      </c>
      <c r="N5006">
        <v>1</v>
      </c>
      <c r="O5006">
        <v>1250</v>
      </c>
    </row>
    <row r="5007" spans="1:15" x14ac:dyDescent="0.25">
      <c r="A5007" t="str">
        <f>"10/21/2020 18:50:16.126"</f>
        <v>10/21/2020 18:50:16.126</v>
      </c>
      <c r="B5007" t="str">
        <f>"18:50:24.078"</f>
        <v>18:50:24.078</v>
      </c>
      <c r="C5007" t="str">
        <f>"18:50:23.778"</f>
        <v>18:50:23.778</v>
      </c>
      <c r="D5007" t="s">
        <v>2067</v>
      </c>
      <c r="E5007">
        <v>30.870574000000001</v>
      </c>
      <c r="F5007" t="s">
        <v>529</v>
      </c>
      <c r="G5007">
        <v>-89.854816999999997</v>
      </c>
      <c r="H5007">
        <v>1200</v>
      </c>
      <c r="I5007">
        <v>98</v>
      </c>
      <c r="J5007">
        <v>-44</v>
      </c>
      <c r="K5007">
        <v>-1088</v>
      </c>
      <c r="L5007">
        <v>1200</v>
      </c>
      <c r="M5007" t="str">
        <f t="shared" si="497"/>
        <v xml:space="preserve">N35DC   </v>
      </c>
      <c r="N5007">
        <v>1</v>
      </c>
      <c r="O5007">
        <v>1250</v>
      </c>
    </row>
    <row r="5008" spans="1:15" x14ac:dyDescent="0.25">
      <c r="A5008" t="str">
        <f>"10/21/2020 18:50:16.126"</f>
        <v>10/21/2020 18:50:16.126</v>
      </c>
      <c r="B5008" t="str">
        <f>"18:50:24.078"</f>
        <v>18:50:24.078</v>
      </c>
      <c r="C5008" t="str">
        <f>"18:50:23.778"</f>
        <v>18:50:23.778</v>
      </c>
      <c r="D5008" t="s">
        <v>2067</v>
      </c>
      <c r="E5008">
        <v>30.870574000000001</v>
      </c>
      <c r="F5008" t="s">
        <v>529</v>
      </c>
      <c r="G5008">
        <v>-89.854816999999997</v>
      </c>
      <c r="H5008">
        <v>1200</v>
      </c>
      <c r="I5008">
        <v>98</v>
      </c>
      <c r="J5008">
        <v>-44</v>
      </c>
      <c r="K5008">
        <v>-1088</v>
      </c>
      <c r="L5008">
        <v>1200</v>
      </c>
      <c r="M5008" t="str">
        <f t="shared" si="497"/>
        <v xml:space="preserve">N35DC   </v>
      </c>
      <c r="N5008">
        <v>1</v>
      </c>
      <c r="O5008">
        <v>1250</v>
      </c>
    </row>
    <row r="5009" spans="1:15" x14ac:dyDescent="0.25">
      <c r="A5009" t="str">
        <f>"10/21/2020 18:50:16.679"</f>
        <v>10/21/2020 18:50:16.679</v>
      </c>
      <c r="B5009" t="str">
        <f>"18:50:24.570"</f>
        <v>18:50:24.570</v>
      </c>
      <c r="C5009" t="str">
        <f>"18:50:24.270"</f>
        <v>18:50:24.270</v>
      </c>
      <c r="D5009" t="s">
        <v>2068</v>
      </c>
      <c r="E5009">
        <v>30.870466</v>
      </c>
      <c r="F5009" t="s">
        <v>1839</v>
      </c>
      <c r="G5009">
        <v>-89.854602999999997</v>
      </c>
      <c r="H5009">
        <v>1200</v>
      </c>
      <c r="I5009">
        <v>97</v>
      </c>
      <c r="J5009">
        <v>-47</v>
      </c>
      <c r="K5009">
        <v>-832</v>
      </c>
      <c r="L5009">
        <v>1200</v>
      </c>
      <c r="M5009" t="str">
        <f t="shared" si="497"/>
        <v xml:space="preserve">N35DC   </v>
      </c>
      <c r="N5009">
        <v>1</v>
      </c>
      <c r="O5009">
        <v>1250</v>
      </c>
    </row>
    <row r="5010" spans="1:15" x14ac:dyDescent="0.25">
      <c r="A5010" t="str">
        <f>"10/21/2020 18:50:17.102"</f>
        <v>10/21/2020 18:50:17.102</v>
      </c>
      <c r="B5010" t="str">
        <f>"18:50:25.008"</f>
        <v>18:50:25.008</v>
      </c>
      <c r="C5010" t="str">
        <f>"18:50:24.708"</f>
        <v>18:50:24.708</v>
      </c>
      <c r="D5010" t="s">
        <v>2069</v>
      </c>
      <c r="E5010">
        <v>30.870315999999999</v>
      </c>
      <c r="F5010" t="s">
        <v>1837</v>
      </c>
      <c r="G5010">
        <v>-89.854324000000005</v>
      </c>
      <c r="H5010">
        <v>1200</v>
      </c>
      <c r="I5010">
        <v>97</v>
      </c>
      <c r="J5010">
        <v>-49</v>
      </c>
      <c r="K5010">
        <v>-768</v>
      </c>
      <c r="L5010">
        <v>1200</v>
      </c>
      <c r="M5010" t="str">
        <f t="shared" si="497"/>
        <v xml:space="preserve">N35DC   </v>
      </c>
      <c r="N5010">
        <v>1</v>
      </c>
      <c r="O5010">
        <v>1250</v>
      </c>
    </row>
    <row r="5011" spans="1:15" x14ac:dyDescent="0.25">
      <c r="A5011" t="str">
        <f>"10/21/2020 18:50:17.102"</f>
        <v>10/21/2020 18:50:17.102</v>
      </c>
      <c r="B5011" t="str">
        <f>"18:50:25.008"</f>
        <v>18:50:25.008</v>
      </c>
      <c r="C5011" t="str">
        <f>"18:50:24.708"</f>
        <v>18:50:24.708</v>
      </c>
      <c r="D5011" t="s">
        <v>2069</v>
      </c>
      <c r="E5011">
        <v>30.870315999999999</v>
      </c>
      <c r="F5011" t="s">
        <v>1837</v>
      </c>
      <c r="G5011">
        <v>-89.854324000000005</v>
      </c>
      <c r="H5011">
        <v>1200</v>
      </c>
      <c r="I5011">
        <v>97</v>
      </c>
      <c r="J5011">
        <v>-49</v>
      </c>
      <c r="K5011">
        <v>-768</v>
      </c>
      <c r="L5011">
        <v>1200</v>
      </c>
      <c r="M5011" t="str">
        <f t="shared" si="497"/>
        <v xml:space="preserve">N35DC   </v>
      </c>
      <c r="N5011">
        <v>1</v>
      </c>
      <c r="O5011">
        <v>1250</v>
      </c>
    </row>
    <row r="5012" spans="1:15" x14ac:dyDescent="0.25">
      <c r="A5012" t="str">
        <f>"10/21/2020 18:50:17.102"</f>
        <v>10/21/2020 18:50:17.102</v>
      </c>
      <c r="B5012" t="str">
        <f>"18:50:25.008"</f>
        <v>18:50:25.008</v>
      </c>
      <c r="C5012" t="str">
        <f>"18:50:24.708"</f>
        <v>18:50:24.708</v>
      </c>
      <c r="D5012" t="s">
        <v>2069</v>
      </c>
      <c r="E5012">
        <v>30.870315999999999</v>
      </c>
      <c r="F5012" t="s">
        <v>1837</v>
      </c>
      <c r="G5012">
        <v>-89.854324000000005</v>
      </c>
      <c r="H5012">
        <v>1200</v>
      </c>
      <c r="I5012">
        <v>97</v>
      </c>
      <c r="J5012">
        <v>-49</v>
      </c>
      <c r="K5012">
        <v>-768</v>
      </c>
      <c r="L5012">
        <v>1200</v>
      </c>
      <c r="M5012" t="str">
        <f t="shared" si="497"/>
        <v xml:space="preserve">N35DC   </v>
      </c>
      <c r="N5012">
        <v>1</v>
      </c>
      <c r="O5012">
        <v>1250</v>
      </c>
    </row>
    <row r="5013" spans="1:15" x14ac:dyDescent="0.25">
      <c r="A5013" t="str">
        <f>"10/21/2020 18:50:17.102"</f>
        <v>10/21/2020 18:50:17.102</v>
      </c>
      <c r="B5013" t="str">
        <f>"18:50:25.008"</f>
        <v>18:50:25.008</v>
      </c>
      <c r="C5013" t="str">
        <f>"18:50:24.708"</f>
        <v>18:50:24.708</v>
      </c>
      <c r="D5013" t="s">
        <v>2069</v>
      </c>
      <c r="E5013">
        <v>30.870315999999999</v>
      </c>
      <c r="F5013" t="s">
        <v>1837</v>
      </c>
      <c r="G5013">
        <v>-89.854324000000005</v>
      </c>
      <c r="H5013">
        <v>1200</v>
      </c>
      <c r="I5013">
        <v>97</v>
      </c>
      <c r="J5013">
        <v>-49</v>
      </c>
      <c r="K5013">
        <v>-768</v>
      </c>
      <c r="L5013">
        <v>1200</v>
      </c>
      <c r="M5013" t="str">
        <f t="shared" si="497"/>
        <v xml:space="preserve">N35DC   </v>
      </c>
      <c r="N5013">
        <v>1</v>
      </c>
      <c r="O5013">
        <v>1250</v>
      </c>
    </row>
    <row r="5014" spans="1:15" x14ac:dyDescent="0.25">
      <c r="A5014" t="str">
        <f t="shared" ref="A5014:A5019" si="498">"10/21/2020 18:50:18.047"</f>
        <v>10/21/2020 18:50:18.047</v>
      </c>
      <c r="B5014" t="str">
        <f t="shared" ref="B5014:B5019" si="499">"18:50:25.953"</f>
        <v>18:50:25.953</v>
      </c>
      <c r="C5014" t="str">
        <f t="shared" ref="C5014:C5019" si="500">"18:50:25.753"</f>
        <v>18:50:25.753</v>
      </c>
      <c r="D5014" t="s">
        <v>2070</v>
      </c>
      <c r="E5014">
        <v>30.870100999999998</v>
      </c>
      <c r="F5014" t="s">
        <v>2071</v>
      </c>
      <c r="G5014">
        <v>-89.853872999999993</v>
      </c>
      <c r="H5014">
        <v>1200</v>
      </c>
      <c r="I5014">
        <v>95</v>
      </c>
      <c r="J5014">
        <v>-53</v>
      </c>
      <c r="K5014">
        <v>-640</v>
      </c>
      <c r="L5014">
        <v>1200</v>
      </c>
      <c r="M5014" t="str">
        <f t="shared" si="497"/>
        <v xml:space="preserve">N35DC   </v>
      </c>
      <c r="N5014">
        <v>1</v>
      </c>
      <c r="O5014">
        <v>1225</v>
      </c>
    </row>
    <row r="5015" spans="1:15" x14ac:dyDescent="0.25">
      <c r="A5015" t="str">
        <f t="shared" si="498"/>
        <v>10/21/2020 18:50:18.047</v>
      </c>
      <c r="B5015" t="str">
        <f t="shared" si="499"/>
        <v>18:50:25.953</v>
      </c>
      <c r="C5015" t="str">
        <f t="shared" si="500"/>
        <v>18:50:25.753</v>
      </c>
      <c r="D5015" t="s">
        <v>2070</v>
      </c>
      <c r="E5015">
        <v>30.870100999999998</v>
      </c>
      <c r="F5015" t="s">
        <v>2071</v>
      </c>
      <c r="G5015">
        <v>-89.853872999999993</v>
      </c>
      <c r="H5015">
        <v>1200</v>
      </c>
      <c r="I5015">
        <v>95</v>
      </c>
      <c r="J5015">
        <v>-53</v>
      </c>
      <c r="K5015">
        <v>-640</v>
      </c>
      <c r="L5015">
        <v>1200</v>
      </c>
      <c r="M5015" t="str">
        <f t="shared" si="497"/>
        <v xml:space="preserve">N35DC   </v>
      </c>
      <c r="N5015">
        <v>1</v>
      </c>
      <c r="O5015">
        <v>1225</v>
      </c>
    </row>
    <row r="5016" spans="1:15" x14ac:dyDescent="0.25">
      <c r="A5016" t="str">
        <f t="shared" si="498"/>
        <v>10/21/2020 18:50:18.047</v>
      </c>
      <c r="B5016" t="str">
        <f t="shared" si="499"/>
        <v>18:50:25.953</v>
      </c>
      <c r="C5016" t="str">
        <f t="shared" si="500"/>
        <v>18:50:25.753</v>
      </c>
      <c r="D5016" t="s">
        <v>2070</v>
      </c>
      <c r="E5016">
        <v>30.870100999999998</v>
      </c>
      <c r="F5016" t="s">
        <v>2071</v>
      </c>
      <c r="G5016">
        <v>-89.853872999999993</v>
      </c>
      <c r="H5016">
        <v>1200</v>
      </c>
      <c r="I5016">
        <v>95</v>
      </c>
      <c r="J5016">
        <v>-53</v>
      </c>
      <c r="K5016">
        <v>-640</v>
      </c>
      <c r="L5016">
        <v>1200</v>
      </c>
      <c r="M5016" t="str">
        <f t="shared" si="497"/>
        <v xml:space="preserve">N35DC   </v>
      </c>
      <c r="N5016">
        <v>1</v>
      </c>
      <c r="O5016">
        <v>1225</v>
      </c>
    </row>
    <row r="5017" spans="1:15" x14ac:dyDescent="0.25">
      <c r="A5017" t="str">
        <f t="shared" si="498"/>
        <v>10/21/2020 18:50:18.047</v>
      </c>
      <c r="B5017" t="str">
        <f t="shared" si="499"/>
        <v>18:50:25.953</v>
      </c>
      <c r="C5017" t="str">
        <f t="shared" si="500"/>
        <v>18:50:25.753</v>
      </c>
      <c r="D5017" t="s">
        <v>2070</v>
      </c>
      <c r="E5017">
        <v>30.870100999999998</v>
      </c>
      <c r="F5017" t="s">
        <v>2071</v>
      </c>
      <c r="G5017">
        <v>-89.853872999999993</v>
      </c>
      <c r="H5017">
        <v>1200</v>
      </c>
      <c r="I5017">
        <v>95</v>
      </c>
      <c r="J5017">
        <v>-53</v>
      </c>
      <c r="K5017">
        <v>-640</v>
      </c>
      <c r="L5017">
        <v>1200</v>
      </c>
      <c r="M5017" t="str">
        <f t="shared" si="497"/>
        <v xml:space="preserve">N35DC   </v>
      </c>
      <c r="N5017">
        <v>1</v>
      </c>
      <c r="O5017">
        <v>1225</v>
      </c>
    </row>
    <row r="5018" spans="1:15" x14ac:dyDescent="0.25">
      <c r="A5018" t="str">
        <f t="shared" si="498"/>
        <v>10/21/2020 18:50:18.047</v>
      </c>
      <c r="B5018" t="str">
        <f t="shared" si="499"/>
        <v>18:50:25.953</v>
      </c>
      <c r="C5018" t="str">
        <f t="shared" si="500"/>
        <v>18:50:25.753</v>
      </c>
      <c r="D5018" t="s">
        <v>2070</v>
      </c>
      <c r="E5018">
        <v>30.870100999999998</v>
      </c>
      <c r="F5018" t="s">
        <v>2071</v>
      </c>
      <c r="G5018">
        <v>-89.853872999999993</v>
      </c>
      <c r="H5018">
        <v>1200</v>
      </c>
      <c r="I5018">
        <v>95</v>
      </c>
      <c r="J5018">
        <v>-53</v>
      </c>
      <c r="K5018">
        <v>-640</v>
      </c>
      <c r="L5018">
        <v>1200</v>
      </c>
      <c r="M5018" t="str">
        <f t="shared" si="497"/>
        <v xml:space="preserve">N35DC   </v>
      </c>
      <c r="N5018">
        <v>1</v>
      </c>
      <c r="O5018">
        <v>1225</v>
      </c>
    </row>
    <row r="5019" spans="1:15" x14ac:dyDescent="0.25">
      <c r="A5019" t="str">
        <f t="shared" si="498"/>
        <v>10/21/2020 18:50:18.047</v>
      </c>
      <c r="B5019" t="str">
        <f t="shared" si="499"/>
        <v>18:50:25.953</v>
      </c>
      <c r="C5019" t="str">
        <f t="shared" si="500"/>
        <v>18:50:25.753</v>
      </c>
      <c r="D5019" t="s">
        <v>2070</v>
      </c>
      <c r="E5019">
        <v>30.870100999999998</v>
      </c>
      <c r="F5019" t="s">
        <v>2071</v>
      </c>
      <c r="G5019">
        <v>-89.853872999999993</v>
      </c>
      <c r="H5019">
        <v>1200</v>
      </c>
      <c r="I5019">
        <v>95</v>
      </c>
      <c r="J5019">
        <v>-53</v>
      </c>
      <c r="K5019">
        <v>-640</v>
      </c>
      <c r="L5019">
        <v>1200</v>
      </c>
      <c r="M5019" t="str">
        <f t="shared" si="497"/>
        <v xml:space="preserve">N35DC   </v>
      </c>
      <c r="N5019">
        <v>1</v>
      </c>
      <c r="O5019">
        <v>1225</v>
      </c>
    </row>
    <row r="5020" spans="1:15" x14ac:dyDescent="0.25">
      <c r="A5020" t="str">
        <f>"10/21/2020 18:50:20.993"</f>
        <v>10/21/2020 18:50:20.993</v>
      </c>
      <c r="B5020" t="str">
        <f>"18:50:28.891"</f>
        <v>18:50:28.891</v>
      </c>
      <c r="C5020" t="str">
        <f>"18:50:28.691"</f>
        <v>18:50:28.691</v>
      </c>
      <c r="D5020" t="s">
        <v>2072</v>
      </c>
      <c r="E5020">
        <v>30.869243000000001</v>
      </c>
      <c r="F5020" t="s">
        <v>2073</v>
      </c>
      <c r="G5020">
        <v>-89.852435999999997</v>
      </c>
      <c r="H5020">
        <v>1200</v>
      </c>
      <c r="I5020">
        <v>88</v>
      </c>
      <c r="J5020">
        <v>-67</v>
      </c>
      <c r="K5020">
        <v>-384</v>
      </c>
      <c r="L5020">
        <v>1200</v>
      </c>
      <c r="M5020" t="str">
        <f t="shared" si="497"/>
        <v xml:space="preserve">N35DC   </v>
      </c>
      <c r="N5020">
        <v>1</v>
      </c>
      <c r="O5020">
        <v>1200</v>
      </c>
    </row>
    <row r="5021" spans="1:15" x14ac:dyDescent="0.25">
      <c r="A5021" t="str">
        <f>"10/21/2020 18:50:20.993"</f>
        <v>10/21/2020 18:50:20.993</v>
      </c>
      <c r="B5021" t="str">
        <f>"18:50:28.891"</f>
        <v>18:50:28.891</v>
      </c>
      <c r="C5021" t="str">
        <f>"18:50:28.691"</f>
        <v>18:50:28.691</v>
      </c>
      <c r="D5021" t="s">
        <v>2072</v>
      </c>
      <c r="E5021">
        <v>30.869243000000001</v>
      </c>
      <c r="F5021" t="s">
        <v>2073</v>
      </c>
      <c r="G5021">
        <v>-89.852435999999997</v>
      </c>
      <c r="H5021">
        <v>1200</v>
      </c>
      <c r="I5021">
        <v>88</v>
      </c>
      <c r="J5021">
        <v>-67</v>
      </c>
      <c r="K5021">
        <v>-384</v>
      </c>
      <c r="L5021">
        <v>1200</v>
      </c>
      <c r="M5021" t="str">
        <f t="shared" si="497"/>
        <v xml:space="preserve">N35DC   </v>
      </c>
      <c r="N5021">
        <v>1</v>
      </c>
      <c r="O5021">
        <v>1200</v>
      </c>
    </row>
    <row r="5022" spans="1:15" x14ac:dyDescent="0.25">
      <c r="A5022" t="str">
        <f>"10/21/2020 18:50:20.993"</f>
        <v>10/21/2020 18:50:20.993</v>
      </c>
      <c r="B5022" t="str">
        <f>"18:50:28.891"</f>
        <v>18:50:28.891</v>
      </c>
      <c r="C5022" t="str">
        <f>"18:50:28.691"</f>
        <v>18:50:28.691</v>
      </c>
      <c r="D5022" t="s">
        <v>2072</v>
      </c>
      <c r="E5022">
        <v>30.869243000000001</v>
      </c>
      <c r="F5022" t="s">
        <v>2073</v>
      </c>
      <c r="G5022">
        <v>-89.852435999999997</v>
      </c>
      <c r="H5022">
        <v>1200</v>
      </c>
      <c r="I5022">
        <v>88</v>
      </c>
      <c r="J5022">
        <v>-67</v>
      </c>
      <c r="K5022">
        <v>-384</v>
      </c>
      <c r="L5022">
        <v>1200</v>
      </c>
      <c r="M5022" t="str">
        <f t="shared" si="497"/>
        <v xml:space="preserve">N35DC   </v>
      </c>
      <c r="N5022">
        <v>1</v>
      </c>
      <c r="O5022">
        <v>1200</v>
      </c>
    </row>
    <row r="5023" spans="1:15" x14ac:dyDescent="0.25">
      <c r="A5023" t="str">
        <f>"10/21/2020 18:50:20.993"</f>
        <v>10/21/2020 18:50:20.993</v>
      </c>
      <c r="B5023" t="str">
        <f>"18:50:28.891"</f>
        <v>18:50:28.891</v>
      </c>
      <c r="C5023" t="str">
        <f>"18:50:28.691"</f>
        <v>18:50:28.691</v>
      </c>
      <c r="D5023" t="s">
        <v>2072</v>
      </c>
      <c r="E5023">
        <v>30.869243000000001</v>
      </c>
      <c r="F5023" t="s">
        <v>2073</v>
      </c>
      <c r="G5023">
        <v>-89.852435999999997</v>
      </c>
      <c r="H5023">
        <v>1200</v>
      </c>
      <c r="I5023">
        <v>88</v>
      </c>
      <c r="J5023">
        <v>-67</v>
      </c>
      <c r="K5023">
        <v>-384</v>
      </c>
      <c r="L5023">
        <v>1200</v>
      </c>
      <c r="M5023" t="str">
        <f t="shared" si="497"/>
        <v xml:space="preserve">N35DC   </v>
      </c>
      <c r="N5023">
        <v>1</v>
      </c>
      <c r="O5023">
        <v>1200</v>
      </c>
    </row>
    <row r="5024" spans="1:15" x14ac:dyDescent="0.25">
      <c r="A5024" t="str">
        <f>"10/21/2020 18:50:21.558"</f>
        <v>10/21/2020 18:50:21.558</v>
      </c>
      <c r="B5024" t="str">
        <f>"18:50:29.430"</f>
        <v>18:50:29.430</v>
      </c>
      <c r="C5024" t="str">
        <f>"18:50:29.230"</f>
        <v>18:50:29.230</v>
      </c>
      <c r="D5024" t="s">
        <v>2074</v>
      </c>
      <c r="E5024">
        <v>30.869071000000002</v>
      </c>
      <c r="F5024" t="s">
        <v>2075</v>
      </c>
      <c r="G5024">
        <v>-89.852177999999995</v>
      </c>
      <c r="H5024">
        <v>1200</v>
      </c>
      <c r="I5024">
        <v>86</v>
      </c>
      <c r="J5024">
        <v>-69</v>
      </c>
      <c r="K5024">
        <v>-384</v>
      </c>
      <c r="L5024">
        <v>1200</v>
      </c>
      <c r="M5024" t="str">
        <f t="shared" si="497"/>
        <v xml:space="preserve">N35DC   </v>
      </c>
      <c r="N5024">
        <v>1</v>
      </c>
      <c r="O5024">
        <v>1200</v>
      </c>
    </row>
    <row r="5025" spans="1:15" x14ac:dyDescent="0.25">
      <c r="A5025" t="str">
        <f>"10/21/2020 18:50:21.937"</f>
        <v>10/21/2020 18:50:21.937</v>
      </c>
      <c r="B5025" t="str">
        <f>"18:50:29.898"</f>
        <v>18:50:29.898</v>
      </c>
      <c r="C5025" t="str">
        <f>"18:50:29.598"</f>
        <v>18:50:29.598</v>
      </c>
      <c r="D5025" t="s">
        <v>2076</v>
      </c>
      <c r="E5025">
        <v>30.868921</v>
      </c>
      <c r="F5025" t="s">
        <v>438</v>
      </c>
      <c r="G5025">
        <v>-89.851963999999995</v>
      </c>
      <c r="H5025">
        <v>1100</v>
      </c>
      <c r="I5025">
        <v>84</v>
      </c>
      <c r="J5025">
        <v>-72</v>
      </c>
      <c r="K5025">
        <v>-384</v>
      </c>
      <c r="L5025">
        <v>1200</v>
      </c>
      <c r="M5025" t="str">
        <f t="shared" si="497"/>
        <v xml:space="preserve">N35DC   </v>
      </c>
      <c r="N5025">
        <v>1</v>
      </c>
      <c r="O5025">
        <v>1200</v>
      </c>
    </row>
    <row r="5026" spans="1:15" x14ac:dyDescent="0.25">
      <c r="A5026" t="str">
        <f>"10/21/2020 18:50:21.937"</f>
        <v>10/21/2020 18:50:21.937</v>
      </c>
      <c r="B5026" t="str">
        <f>"18:50:29.898"</f>
        <v>18:50:29.898</v>
      </c>
      <c r="C5026" t="str">
        <f>"18:50:29.598"</f>
        <v>18:50:29.598</v>
      </c>
      <c r="D5026" t="s">
        <v>2076</v>
      </c>
      <c r="E5026">
        <v>30.868921</v>
      </c>
      <c r="F5026" t="s">
        <v>438</v>
      </c>
      <c r="G5026">
        <v>-89.851963999999995</v>
      </c>
      <c r="H5026">
        <v>1100</v>
      </c>
      <c r="I5026">
        <v>84</v>
      </c>
      <c r="J5026">
        <v>-72</v>
      </c>
      <c r="K5026">
        <v>-384</v>
      </c>
      <c r="L5026">
        <v>1200</v>
      </c>
      <c r="M5026" t="str">
        <f t="shared" si="497"/>
        <v xml:space="preserve">N35DC   </v>
      </c>
      <c r="N5026">
        <v>1</v>
      </c>
      <c r="O5026">
        <v>1200</v>
      </c>
    </row>
    <row r="5027" spans="1:15" x14ac:dyDescent="0.25">
      <c r="A5027" t="str">
        <f>"10/21/2020 18:50:21.937"</f>
        <v>10/21/2020 18:50:21.937</v>
      </c>
      <c r="B5027" t="str">
        <f>"18:50:29.898"</f>
        <v>18:50:29.898</v>
      </c>
      <c r="C5027" t="str">
        <f>"18:50:29.598"</f>
        <v>18:50:29.598</v>
      </c>
      <c r="D5027" t="s">
        <v>2076</v>
      </c>
      <c r="E5027">
        <v>30.868921</v>
      </c>
      <c r="F5027" t="s">
        <v>438</v>
      </c>
      <c r="G5027">
        <v>-89.851963999999995</v>
      </c>
      <c r="H5027">
        <v>1100</v>
      </c>
      <c r="I5027">
        <v>84</v>
      </c>
      <c r="J5027">
        <v>-72</v>
      </c>
      <c r="K5027">
        <v>-384</v>
      </c>
      <c r="L5027">
        <v>1200</v>
      </c>
      <c r="M5027" t="str">
        <f t="shared" si="497"/>
        <v xml:space="preserve">N35DC   </v>
      </c>
      <c r="N5027">
        <v>1</v>
      </c>
      <c r="O5027">
        <v>1200</v>
      </c>
    </row>
    <row r="5028" spans="1:15" x14ac:dyDescent="0.25">
      <c r="A5028" t="str">
        <f>"10/21/2020 18:50:21.937"</f>
        <v>10/21/2020 18:50:21.937</v>
      </c>
      <c r="B5028" t="str">
        <f>"18:50:29.898"</f>
        <v>18:50:29.898</v>
      </c>
      <c r="C5028" t="str">
        <f>"18:50:29.598"</f>
        <v>18:50:29.598</v>
      </c>
      <c r="D5028" t="s">
        <v>2076</v>
      </c>
      <c r="E5028">
        <v>30.868921</v>
      </c>
      <c r="F5028" t="s">
        <v>438</v>
      </c>
      <c r="G5028">
        <v>-89.851963999999995</v>
      </c>
      <c r="H5028">
        <v>1100</v>
      </c>
      <c r="I5028">
        <v>84</v>
      </c>
      <c r="J5028">
        <v>-72</v>
      </c>
      <c r="K5028">
        <v>-384</v>
      </c>
      <c r="L5028">
        <v>1200</v>
      </c>
      <c r="M5028" t="str">
        <f t="shared" si="497"/>
        <v xml:space="preserve">N35DC   </v>
      </c>
      <c r="N5028">
        <v>1</v>
      </c>
      <c r="O5028">
        <v>1200</v>
      </c>
    </row>
    <row r="5029" spans="1:15" x14ac:dyDescent="0.25">
      <c r="A5029" t="str">
        <f>"10/21/2020 18:50:21.937"</f>
        <v>10/21/2020 18:50:21.937</v>
      </c>
      <c r="B5029" t="str">
        <f>"18:50:29.898"</f>
        <v>18:50:29.898</v>
      </c>
      <c r="C5029" t="str">
        <f>"18:50:29.598"</f>
        <v>18:50:29.598</v>
      </c>
      <c r="D5029" t="s">
        <v>2076</v>
      </c>
      <c r="E5029">
        <v>30.868921</v>
      </c>
      <c r="F5029" t="s">
        <v>438</v>
      </c>
      <c r="G5029">
        <v>-89.851963999999995</v>
      </c>
      <c r="H5029">
        <v>1100</v>
      </c>
      <c r="I5029">
        <v>84</v>
      </c>
      <c r="J5029">
        <v>-72</v>
      </c>
      <c r="K5029">
        <v>-384</v>
      </c>
      <c r="L5029">
        <v>1200</v>
      </c>
      <c r="M5029" t="str">
        <f t="shared" si="497"/>
        <v xml:space="preserve">N35DC   </v>
      </c>
      <c r="N5029">
        <v>1</v>
      </c>
      <c r="O5029">
        <v>1200</v>
      </c>
    </row>
    <row r="5030" spans="1:15" x14ac:dyDescent="0.25">
      <c r="A5030" t="str">
        <f t="shared" ref="A5030:A5035" si="501">"10/21/2020 18:50:25.142"</f>
        <v>10/21/2020 18:50:25.142</v>
      </c>
      <c r="B5030" t="str">
        <f t="shared" ref="B5030:B5035" si="502">"18:50:33.078"</f>
        <v>18:50:33.078</v>
      </c>
      <c r="C5030" t="str">
        <f t="shared" ref="C5030:C5035" si="503">"18:50:32.778"</f>
        <v>18:50:32.778</v>
      </c>
      <c r="D5030" t="s">
        <v>2077</v>
      </c>
      <c r="E5030">
        <v>30.867677</v>
      </c>
      <c r="F5030" t="s">
        <v>2078</v>
      </c>
      <c r="G5030">
        <v>-89.850697999999994</v>
      </c>
      <c r="H5030">
        <v>1100</v>
      </c>
      <c r="I5030">
        <v>70</v>
      </c>
      <c r="J5030">
        <v>-89</v>
      </c>
      <c r="K5030">
        <v>-640</v>
      </c>
      <c r="L5030">
        <v>1200</v>
      </c>
      <c r="M5030" t="str">
        <f t="shared" si="497"/>
        <v xml:space="preserve">N35DC   </v>
      </c>
      <c r="N5030">
        <v>1</v>
      </c>
      <c r="O5030">
        <v>1175</v>
      </c>
    </row>
    <row r="5031" spans="1:15" x14ac:dyDescent="0.25">
      <c r="A5031" t="str">
        <f t="shared" si="501"/>
        <v>10/21/2020 18:50:25.142</v>
      </c>
      <c r="B5031" t="str">
        <f t="shared" si="502"/>
        <v>18:50:33.078</v>
      </c>
      <c r="C5031" t="str">
        <f t="shared" si="503"/>
        <v>18:50:32.778</v>
      </c>
      <c r="D5031" t="s">
        <v>2077</v>
      </c>
      <c r="E5031">
        <v>30.867677</v>
      </c>
      <c r="F5031" t="s">
        <v>2078</v>
      </c>
      <c r="G5031">
        <v>-89.850697999999994</v>
      </c>
      <c r="H5031">
        <v>1100</v>
      </c>
      <c r="I5031">
        <v>70</v>
      </c>
      <c r="J5031">
        <v>-89</v>
      </c>
      <c r="K5031">
        <v>-640</v>
      </c>
      <c r="L5031">
        <v>1200</v>
      </c>
      <c r="M5031" t="str">
        <f t="shared" si="497"/>
        <v xml:space="preserve">N35DC   </v>
      </c>
      <c r="N5031">
        <v>1</v>
      </c>
      <c r="O5031">
        <v>1175</v>
      </c>
    </row>
    <row r="5032" spans="1:15" x14ac:dyDescent="0.25">
      <c r="A5032" t="str">
        <f t="shared" si="501"/>
        <v>10/21/2020 18:50:25.142</v>
      </c>
      <c r="B5032" t="str">
        <f t="shared" si="502"/>
        <v>18:50:33.078</v>
      </c>
      <c r="C5032" t="str">
        <f t="shared" si="503"/>
        <v>18:50:32.778</v>
      </c>
      <c r="D5032" t="s">
        <v>2077</v>
      </c>
      <c r="E5032">
        <v>30.867677</v>
      </c>
      <c r="F5032" t="s">
        <v>2078</v>
      </c>
      <c r="G5032">
        <v>-89.850697999999994</v>
      </c>
      <c r="H5032">
        <v>1100</v>
      </c>
      <c r="I5032">
        <v>70</v>
      </c>
      <c r="J5032">
        <v>-89</v>
      </c>
      <c r="K5032">
        <v>-640</v>
      </c>
      <c r="L5032">
        <v>1200</v>
      </c>
      <c r="M5032" t="str">
        <f t="shared" si="497"/>
        <v xml:space="preserve">N35DC   </v>
      </c>
      <c r="N5032">
        <v>1</v>
      </c>
      <c r="O5032">
        <v>1175</v>
      </c>
    </row>
    <row r="5033" spans="1:15" x14ac:dyDescent="0.25">
      <c r="A5033" t="str">
        <f t="shared" si="501"/>
        <v>10/21/2020 18:50:25.142</v>
      </c>
      <c r="B5033" t="str">
        <f t="shared" si="502"/>
        <v>18:50:33.078</v>
      </c>
      <c r="C5033" t="str">
        <f t="shared" si="503"/>
        <v>18:50:32.778</v>
      </c>
      <c r="D5033" t="s">
        <v>2077</v>
      </c>
      <c r="E5033">
        <v>30.867677</v>
      </c>
      <c r="F5033" t="s">
        <v>2078</v>
      </c>
      <c r="G5033">
        <v>-89.850697999999994</v>
      </c>
      <c r="H5033">
        <v>1100</v>
      </c>
      <c r="I5033">
        <v>70</v>
      </c>
      <c r="J5033">
        <v>-89</v>
      </c>
      <c r="K5033">
        <v>-640</v>
      </c>
      <c r="L5033">
        <v>1200</v>
      </c>
      <c r="M5033" t="str">
        <f t="shared" si="497"/>
        <v xml:space="preserve">N35DC   </v>
      </c>
      <c r="N5033">
        <v>1</v>
      </c>
      <c r="O5033">
        <v>1175</v>
      </c>
    </row>
    <row r="5034" spans="1:15" x14ac:dyDescent="0.25">
      <c r="A5034" t="str">
        <f t="shared" si="501"/>
        <v>10/21/2020 18:50:25.142</v>
      </c>
      <c r="B5034" t="str">
        <f t="shared" si="502"/>
        <v>18:50:33.078</v>
      </c>
      <c r="C5034" t="str">
        <f t="shared" si="503"/>
        <v>18:50:32.778</v>
      </c>
      <c r="D5034" t="s">
        <v>2077</v>
      </c>
      <c r="E5034">
        <v>30.867677</v>
      </c>
      <c r="F5034" t="s">
        <v>2078</v>
      </c>
      <c r="G5034">
        <v>-89.850697999999994</v>
      </c>
      <c r="H5034">
        <v>1100</v>
      </c>
      <c r="I5034">
        <v>70</v>
      </c>
      <c r="J5034">
        <v>-89</v>
      </c>
      <c r="K5034">
        <v>-640</v>
      </c>
      <c r="L5034">
        <v>1200</v>
      </c>
      <c r="M5034" t="str">
        <f t="shared" si="497"/>
        <v xml:space="preserve">N35DC   </v>
      </c>
      <c r="N5034">
        <v>1</v>
      </c>
      <c r="O5034">
        <v>1175</v>
      </c>
    </row>
    <row r="5035" spans="1:15" x14ac:dyDescent="0.25">
      <c r="A5035" t="str">
        <f t="shared" si="501"/>
        <v>10/21/2020 18:50:25.142</v>
      </c>
      <c r="B5035" t="str">
        <f t="shared" si="502"/>
        <v>18:50:33.078</v>
      </c>
      <c r="C5035" t="str">
        <f t="shared" si="503"/>
        <v>18:50:32.778</v>
      </c>
      <c r="D5035" t="s">
        <v>2077</v>
      </c>
      <c r="E5035">
        <v>30.867677</v>
      </c>
      <c r="F5035" t="s">
        <v>2078</v>
      </c>
      <c r="G5035">
        <v>-89.850697999999994</v>
      </c>
      <c r="H5035">
        <v>1100</v>
      </c>
      <c r="I5035">
        <v>70</v>
      </c>
      <c r="J5035">
        <v>-89</v>
      </c>
      <c r="K5035">
        <v>-640</v>
      </c>
      <c r="L5035">
        <v>1200</v>
      </c>
      <c r="M5035" t="str">
        <f t="shared" si="497"/>
        <v xml:space="preserve">N35DC   </v>
      </c>
      <c r="N5035">
        <v>1</v>
      </c>
      <c r="O5035">
        <v>1175</v>
      </c>
    </row>
    <row r="5036" spans="1:15" x14ac:dyDescent="0.25">
      <c r="A5036" t="str">
        <f t="shared" ref="A5036:A5041" si="504">"10/21/2020 18:50:26.238"</f>
        <v>10/21/2020 18:50:26.238</v>
      </c>
      <c r="B5036" t="str">
        <f t="shared" ref="B5036:B5041" si="505">"18:50:34.141"</f>
        <v>18:50:34.141</v>
      </c>
      <c r="C5036" t="str">
        <f t="shared" ref="C5036:C5041" si="506">"18:50:33.741"</f>
        <v>18:50:33.741</v>
      </c>
      <c r="D5036" t="s">
        <v>2079</v>
      </c>
      <c r="E5036">
        <v>30.867183000000001</v>
      </c>
      <c r="F5036" t="s">
        <v>2080</v>
      </c>
      <c r="G5036">
        <v>-89.850333000000006</v>
      </c>
      <c r="H5036">
        <v>1100</v>
      </c>
      <c r="I5036">
        <v>63</v>
      </c>
      <c r="J5036">
        <v>-95</v>
      </c>
      <c r="K5036">
        <v>-512</v>
      </c>
      <c r="L5036">
        <v>1200</v>
      </c>
      <c r="M5036" t="str">
        <f t="shared" si="497"/>
        <v xml:space="preserve">N35DC   </v>
      </c>
      <c r="N5036">
        <v>1</v>
      </c>
      <c r="O5036">
        <v>1175</v>
      </c>
    </row>
    <row r="5037" spans="1:15" x14ac:dyDescent="0.25">
      <c r="A5037" t="str">
        <f t="shared" si="504"/>
        <v>10/21/2020 18:50:26.238</v>
      </c>
      <c r="B5037" t="str">
        <f t="shared" si="505"/>
        <v>18:50:34.141</v>
      </c>
      <c r="C5037" t="str">
        <f t="shared" si="506"/>
        <v>18:50:33.741</v>
      </c>
      <c r="D5037" t="s">
        <v>2079</v>
      </c>
      <c r="E5037">
        <v>30.867183000000001</v>
      </c>
      <c r="F5037" t="s">
        <v>2080</v>
      </c>
      <c r="G5037">
        <v>-89.850333000000006</v>
      </c>
      <c r="H5037">
        <v>1100</v>
      </c>
      <c r="I5037">
        <v>63</v>
      </c>
      <c r="J5037">
        <v>-95</v>
      </c>
      <c r="K5037">
        <v>-512</v>
      </c>
      <c r="L5037">
        <v>1200</v>
      </c>
      <c r="M5037" t="str">
        <f t="shared" si="497"/>
        <v xml:space="preserve">N35DC   </v>
      </c>
      <c r="N5037">
        <v>1</v>
      </c>
      <c r="O5037">
        <v>1175</v>
      </c>
    </row>
    <row r="5038" spans="1:15" x14ac:dyDescent="0.25">
      <c r="A5038" t="str">
        <f t="shared" si="504"/>
        <v>10/21/2020 18:50:26.238</v>
      </c>
      <c r="B5038" t="str">
        <f t="shared" si="505"/>
        <v>18:50:34.141</v>
      </c>
      <c r="C5038" t="str">
        <f t="shared" si="506"/>
        <v>18:50:33.741</v>
      </c>
      <c r="D5038" t="s">
        <v>2079</v>
      </c>
      <c r="E5038">
        <v>30.867183000000001</v>
      </c>
      <c r="F5038" t="s">
        <v>2080</v>
      </c>
      <c r="G5038">
        <v>-89.850333000000006</v>
      </c>
      <c r="H5038">
        <v>1100</v>
      </c>
      <c r="I5038">
        <v>63</v>
      </c>
      <c r="J5038">
        <v>-95</v>
      </c>
      <c r="K5038">
        <v>-512</v>
      </c>
      <c r="L5038">
        <v>1200</v>
      </c>
      <c r="M5038" t="str">
        <f t="shared" si="497"/>
        <v xml:space="preserve">N35DC   </v>
      </c>
      <c r="N5038">
        <v>1</v>
      </c>
      <c r="O5038">
        <v>1175</v>
      </c>
    </row>
    <row r="5039" spans="1:15" x14ac:dyDescent="0.25">
      <c r="A5039" t="str">
        <f t="shared" si="504"/>
        <v>10/21/2020 18:50:26.238</v>
      </c>
      <c r="B5039" t="str">
        <f t="shared" si="505"/>
        <v>18:50:34.141</v>
      </c>
      <c r="C5039" t="str">
        <f t="shared" si="506"/>
        <v>18:50:33.741</v>
      </c>
      <c r="D5039" t="s">
        <v>2079</v>
      </c>
      <c r="E5039">
        <v>30.867183000000001</v>
      </c>
      <c r="F5039" t="s">
        <v>2080</v>
      </c>
      <c r="G5039">
        <v>-89.850333000000006</v>
      </c>
      <c r="H5039">
        <v>1100</v>
      </c>
      <c r="I5039">
        <v>63</v>
      </c>
      <c r="J5039">
        <v>-95</v>
      </c>
      <c r="K5039">
        <v>-512</v>
      </c>
      <c r="L5039">
        <v>1200</v>
      </c>
      <c r="M5039" t="str">
        <f t="shared" si="497"/>
        <v xml:space="preserve">N35DC   </v>
      </c>
      <c r="N5039">
        <v>1</v>
      </c>
      <c r="O5039">
        <v>1175</v>
      </c>
    </row>
    <row r="5040" spans="1:15" x14ac:dyDescent="0.25">
      <c r="A5040" t="str">
        <f t="shared" si="504"/>
        <v>10/21/2020 18:50:26.238</v>
      </c>
      <c r="B5040" t="str">
        <f t="shared" si="505"/>
        <v>18:50:34.141</v>
      </c>
      <c r="C5040" t="str">
        <f t="shared" si="506"/>
        <v>18:50:33.741</v>
      </c>
      <c r="D5040" t="s">
        <v>2079</v>
      </c>
      <c r="E5040">
        <v>30.867183000000001</v>
      </c>
      <c r="F5040" t="s">
        <v>2080</v>
      </c>
      <c r="G5040">
        <v>-89.850333000000006</v>
      </c>
      <c r="H5040">
        <v>1100</v>
      </c>
      <c r="I5040">
        <v>63</v>
      </c>
      <c r="J5040">
        <v>-95</v>
      </c>
      <c r="K5040">
        <v>-512</v>
      </c>
      <c r="L5040">
        <v>1200</v>
      </c>
      <c r="M5040" t="str">
        <f t="shared" si="497"/>
        <v xml:space="preserve">N35DC   </v>
      </c>
      <c r="N5040">
        <v>1</v>
      </c>
      <c r="O5040">
        <v>1175</v>
      </c>
    </row>
    <row r="5041" spans="1:15" x14ac:dyDescent="0.25">
      <c r="A5041" t="str">
        <f t="shared" si="504"/>
        <v>10/21/2020 18:50:26.238</v>
      </c>
      <c r="B5041" t="str">
        <f t="shared" si="505"/>
        <v>18:50:34.141</v>
      </c>
      <c r="C5041" t="str">
        <f t="shared" si="506"/>
        <v>18:50:33.741</v>
      </c>
      <c r="D5041" t="s">
        <v>2079</v>
      </c>
      <c r="E5041">
        <v>30.867183000000001</v>
      </c>
      <c r="F5041" t="s">
        <v>2080</v>
      </c>
      <c r="G5041">
        <v>-89.850333000000006</v>
      </c>
      <c r="H5041">
        <v>1100</v>
      </c>
      <c r="I5041">
        <v>63</v>
      </c>
      <c r="J5041">
        <v>-95</v>
      </c>
      <c r="K5041">
        <v>-512</v>
      </c>
      <c r="L5041">
        <v>1200</v>
      </c>
      <c r="M5041" t="str">
        <f t="shared" si="497"/>
        <v xml:space="preserve">N35DC   </v>
      </c>
      <c r="N5041">
        <v>1</v>
      </c>
      <c r="O5041">
        <v>1175</v>
      </c>
    </row>
    <row r="5042" spans="1:15" x14ac:dyDescent="0.25">
      <c r="A5042" t="str">
        <f>"10/21/2020 18:50:29.141"</f>
        <v>10/21/2020 18:50:29.141</v>
      </c>
      <c r="B5042" t="str">
        <f>"18:50:37.094"</f>
        <v>18:50:37.094</v>
      </c>
      <c r="C5042" t="str">
        <f>"18:50:36.794"</f>
        <v>18:50:36.794</v>
      </c>
      <c r="D5042" t="s">
        <v>1220</v>
      </c>
      <c r="E5042">
        <v>30.865767000000002</v>
      </c>
      <c r="F5042" t="s">
        <v>434</v>
      </c>
      <c r="G5042">
        <v>-89.849646000000007</v>
      </c>
      <c r="H5042">
        <v>1100</v>
      </c>
      <c r="I5042">
        <v>39</v>
      </c>
      <c r="J5042">
        <v>-110</v>
      </c>
      <c r="K5042">
        <v>-512</v>
      </c>
      <c r="L5042">
        <v>1200</v>
      </c>
      <c r="M5042" t="str">
        <f t="shared" si="497"/>
        <v xml:space="preserve">N35DC   </v>
      </c>
      <c r="N5042">
        <v>1</v>
      </c>
      <c r="O5042">
        <v>1150</v>
      </c>
    </row>
    <row r="5043" spans="1:15" x14ac:dyDescent="0.25">
      <c r="A5043" t="str">
        <f>"10/21/2020 18:50:29.141"</f>
        <v>10/21/2020 18:50:29.141</v>
      </c>
      <c r="B5043" t="str">
        <f>"18:50:37.094"</f>
        <v>18:50:37.094</v>
      </c>
      <c r="C5043" t="str">
        <f>"18:50:36.794"</f>
        <v>18:50:36.794</v>
      </c>
      <c r="D5043" t="s">
        <v>1220</v>
      </c>
      <c r="E5043">
        <v>30.865767000000002</v>
      </c>
      <c r="F5043" t="s">
        <v>434</v>
      </c>
      <c r="G5043">
        <v>-89.849646000000007</v>
      </c>
      <c r="H5043">
        <v>1100</v>
      </c>
      <c r="I5043">
        <v>39</v>
      </c>
      <c r="J5043">
        <v>-110</v>
      </c>
      <c r="K5043">
        <v>-512</v>
      </c>
      <c r="L5043">
        <v>1200</v>
      </c>
      <c r="M5043" t="str">
        <f t="shared" si="497"/>
        <v xml:space="preserve">N35DC   </v>
      </c>
      <c r="N5043">
        <v>1</v>
      </c>
      <c r="O5043">
        <v>1150</v>
      </c>
    </row>
    <row r="5044" spans="1:15" x14ac:dyDescent="0.25">
      <c r="A5044" t="str">
        <f>"10/21/2020 18:50:29.141"</f>
        <v>10/21/2020 18:50:29.141</v>
      </c>
      <c r="B5044" t="str">
        <f>"18:50:37.094"</f>
        <v>18:50:37.094</v>
      </c>
      <c r="C5044" t="str">
        <f>"18:50:36.794"</f>
        <v>18:50:36.794</v>
      </c>
      <c r="D5044" t="s">
        <v>1220</v>
      </c>
      <c r="E5044">
        <v>30.865767000000002</v>
      </c>
      <c r="F5044" t="s">
        <v>434</v>
      </c>
      <c r="G5044">
        <v>-89.849646000000007</v>
      </c>
      <c r="H5044">
        <v>1100</v>
      </c>
      <c r="I5044">
        <v>39</v>
      </c>
      <c r="J5044">
        <v>-110</v>
      </c>
      <c r="K5044">
        <v>-512</v>
      </c>
      <c r="L5044">
        <v>1200</v>
      </c>
      <c r="M5044" t="str">
        <f t="shared" si="497"/>
        <v xml:space="preserve">N35DC   </v>
      </c>
      <c r="N5044">
        <v>1</v>
      </c>
      <c r="O5044">
        <v>1150</v>
      </c>
    </row>
    <row r="5045" spans="1:15" x14ac:dyDescent="0.25">
      <c r="A5045" t="str">
        <f>"10/21/2020 18:50:29.141"</f>
        <v>10/21/2020 18:50:29.141</v>
      </c>
      <c r="B5045" t="str">
        <f>"18:50:37.094"</f>
        <v>18:50:37.094</v>
      </c>
      <c r="C5045" t="str">
        <f>"18:50:36.794"</f>
        <v>18:50:36.794</v>
      </c>
      <c r="D5045" t="s">
        <v>1220</v>
      </c>
      <c r="E5045">
        <v>30.865767000000002</v>
      </c>
      <c r="F5045" t="s">
        <v>434</v>
      </c>
      <c r="G5045">
        <v>-89.849646000000007</v>
      </c>
      <c r="H5045">
        <v>1100</v>
      </c>
      <c r="I5045">
        <v>39</v>
      </c>
      <c r="J5045">
        <v>-110</v>
      </c>
      <c r="K5045">
        <v>-512</v>
      </c>
      <c r="L5045">
        <v>1200</v>
      </c>
      <c r="M5045" t="str">
        <f t="shared" si="497"/>
        <v xml:space="preserve">N35DC   </v>
      </c>
      <c r="N5045">
        <v>1</v>
      </c>
      <c r="O5045">
        <v>1150</v>
      </c>
    </row>
    <row r="5046" spans="1:15" x14ac:dyDescent="0.25">
      <c r="A5046" t="str">
        <f>"10/21/2020 18:50:29.141"</f>
        <v>10/21/2020 18:50:29.141</v>
      </c>
      <c r="B5046" t="str">
        <f>"18:50:37.094"</f>
        <v>18:50:37.094</v>
      </c>
      <c r="C5046" t="str">
        <f>"18:50:36.794"</f>
        <v>18:50:36.794</v>
      </c>
      <c r="D5046" t="s">
        <v>1220</v>
      </c>
      <c r="E5046">
        <v>30.865767000000002</v>
      </c>
      <c r="F5046" t="s">
        <v>434</v>
      </c>
      <c r="G5046">
        <v>-89.849646000000007</v>
      </c>
      <c r="H5046">
        <v>1100</v>
      </c>
      <c r="I5046">
        <v>39</v>
      </c>
      <c r="J5046">
        <v>-110</v>
      </c>
      <c r="K5046">
        <v>-512</v>
      </c>
      <c r="L5046">
        <v>1200</v>
      </c>
      <c r="M5046" t="str">
        <f t="shared" si="497"/>
        <v xml:space="preserve">N35DC   </v>
      </c>
      <c r="N5046">
        <v>1</v>
      </c>
      <c r="O5046">
        <v>1150</v>
      </c>
    </row>
    <row r="5047" spans="1:15" x14ac:dyDescent="0.25">
      <c r="A5047" t="str">
        <f>"10/21/2020 18:50:30.027"</f>
        <v>10/21/2020 18:50:30.027</v>
      </c>
      <c r="B5047" t="str">
        <f>"18:50:38.000"</f>
        <v>18:50:38.000</v>
      </c>
      <c r="C5047" t="str">
        <f>"18:50:36.800"</f>
        <v>18:50:36.800</v>
      </c>
      <c r="D5047" t="s">
        <v>2081</v>
      </c>
      <c r="E5047">
        <v>30.865272999999998</v>
      </c>
      <c r="F5047" t="s">
        <v>2082</v>
      </c>
      <c r="G5047">
        <v>-89.849538999999993</v>
      </c>
      <c r="H5047">
        <v>1100</v>
      </c>
      <c r="I5047">
        <v>39</v>
      </c>
      <c r="J5047">
        <v>-110</v>
      </c>
      <c r="K5047">
        <v>-512</v>
      </c>
      <c r="L5047">
        <v>1200</v>
      </c>
      <c r="M5047" t="str">
        <f t="shared" si="497"/>
        <v xml:space="preserve">N35DC   </v>
      </c>
      <c r="N5047">
        <v>1</v>
      </c>
      <c r="O5047">
        <v>1150</v>
      </c>
    </row>
    <row r="5048" spans="1:15" x14ac:dyDescent="0.25">
      <c r="A5048" t="str">
        <f>"10/21/2020 18:50:30.027"</f>
        <v>10/21/2020 18:50:30.027</v>
      </c>
      <c r="B5048" t="str">
        <f>"18:50:38.000"</f>
        <v>18:50:38.000</v>
      </c>
      <c r="C5048" t="str">
        <f>"18:50:36.800"</f>
        <v>18:50:36.800</v>
      </c>
      <c r="D5048" t="s">
        <v>2081</v>
      </c>
      <c r="E5048">
        <v>30.865272999999998</v>
      </c>
      <c r="F5048" t="s">
        <v>2082</v>
      </c>
      <c r="G5048">
        <v>-89.849538999999993</v>
      </c>
      <c r="H5048">
        <v>1100</v>
      </c>
      <c r="I5048">
        <v>39</v>
      </c>
      <c r="J5048">
        <v>-110</v>
      </c>
      <c r="K5048">
        <v>-512</v>
      </c>
      <c r="L5048">
        <v>1200</v>
      </c>
      <c r="M5048" t="str">
        <f t="shared" si="497"/>
        <v xml:space="preserve">N35DC   </v>
      </c>
      <c r="N5048">
        <v>1</v>
      </c>
      <c r="O5048">
        <v>1150</v>
      </c>
    </row>
    <row r="5049" spans="1:15" x14ac:dyDescent="0.25">
      <c r="A5049" t="str">
        <f>"10/21/2020 18:50:30.027"</f>
        <v>10/21/2020 18:50:30.027</v>
      </c>
      <c r="B5049" t="str">
        <f>"18:50:38.000"</f>
        <v>18:50:38.000</v>
      </c>
      <c r="C5049" t="str">
        <f>"18:50:36.800"</f>
        <v>18:50:36.800</v>
      </c>
      <c r="D5049" t="s">
        <v>2081</v>
      </c>
      <c r="E5049">
        <v>30.865272999999998</v>
      </c>
      <c r="F5049" t="s">
        <v>2082</v>
      </c>
      <c r="G5049">
        <v>-89.849538999999993</v>
      </c>
      <c r="H5049">
        <v>1100</v>
      </c>
      <c r="I5049">
        <v>39</v>
      </c>
      <c r="J5049">
        <v>-110</v>
      </c>
      <c r="K5049">
        <v>-512</v>
      </c>
      <c r="L5049">
        <v>1200</v>
      </c>
      <c r="M5049" t="str">
        <f t="shared" si="497"/>
        <v xml:space="preserve">N35DC   </v>
      </c>
      <c r="N5049">
        <v>1</v>
      </c>
      <c r="O5049">
        <v>1150</v>
      </c>
    </row>
    <row r="5050" spans="1:15" x14ac:dyDescent="0.25">
      <c r="A5050" t="str">
        <f>"10/21/2020 18:50:30.027"</f>
        <v>10/21/2020 18:50:30.027</v>
      </c>
      <c r="B5050" t="str">
        <f>"18:50:38.000"</f>
        <v>18:50:38.000</v>
      </c>
      <c r="C5050" t="str">
        <f>"18:50:36.800"</f>
        <v>18:50:36.800</v>
      </c>
      <c r="D5050" t="s">
        <v>2081</v>
      </c>
      <c r="E5050">
        <v>30.865272999999998</v>
      </c>
      <c r="F5050" t="s">
        <v>2082</v>
      </c>
      <c r="G5050">
        <v>-89.849538999999993</v>
      </c>
      <c r="H5050">
        <v>1100</v>
      </c>
      <c r="I5050">
        <v>39</v>
      </c>
      <c r="J5050">
        <v>-110</v>
      </c>
      <c r="K5050">
        <v>-512</v>
      </c>
      <c r="L5050">
        <v>1200</v>
      </c>
      <c r="M5050" t="str">
        <f t="shared" si="497"/>
        <v xml:space="preserve">N35DC   </v>
      </c>
      <c r="N5050">
        <v>1</v>
      </c>
      <c r="O5050">
        <v>1150</v>
      </c>
    </row>
    <row r="5051" spans="1:15" x14ac:dyDescent="0.25">
      <c r="A5051" t="str">
        <f>"10/21/2020 18:50:30.027"</f>
        <v>10/21/2020 18:50:30.027</v>
      </c>
      <c r="B5051" t="str">
        <f>"18:50:38.000"</f>
        <v>18:50:38.000</v>
      </c>
      <c r="C5051" t="str">
        <f>"18:50:36.800"</f>
        <v>18:50:36.800</v>
      </c>
      <c r="D5051" t="s">
        <v>2081</v>
      </c>
      <c r="E5051">
        <v>30.865272999999998</v>
      </c>
      <c r="F5051" t="s">
        <v>2082</v>
      </c>
      <c r="G5051">
        <v>-89.849538999999993</v>
      </c>
      <c r="H5051">
        <v>1100</v>
      </c>
      <c r="I5051">
        <v>39</v>
      </c>
      <c r="J5051">
        <v>-110</v>
      </c>
      <c r="K5051">
        <v>-512</v>
      </c>
      <c r="L5051">
        <v>1200</v>
      </c>
      <c r="M5051" t="str">
        <f t="shared" si="497"/>
        <v xml:space="preserve">N35DC   </v>
      </c>
      <c r="N5051">
        <v>1</v>
      </c>
      <c r="O5051">
        <v>1150</v>
      </c>
    </row>
    <row r="5052" spans="1:15" x14ac:dyDescent="0.25">
      <c r="A5052" t="str">
        <f>"10/21/2020 18:50:31.087"</f>
        <v>10/21/2020 18:50:31.087</v>
      </c>
      <c r="B5052" t="str">
        <f>"18:50:39.031"</f>
        <v>18:50:39.031</v>
      </c>
      <c r="C5052" t="str">
        <f>"18:50:38.131"</f>
        <v>18:50:38.131</v>
      </c>
      <c r="D5052" t="s">
        <v>2083</v>
      </c>
      <c r="E5052">
        <v>30.864694</v>
      </c>
      <c r="F5052" t="s">
        <v>2084</v>
      </c>
      <c r="G5052">
        <v>-89.849367000000001</v>
      </c>
      <c r="H5052">
        <v>1100</v>
      </c>
      <c r="I5052">
        <v>26</v>
      </c>
      <c r="J5052">
        <v>-115</v>
      </c>
      <c r="K5052">
        <v>-448</v>
      </c>
      <c r="L5052">
        <v>1200</v>
      </c>
      <c r="M5052" t="str">
        <f t="shared" si="497"/>
        <v xml:space="preserve">N35DC   </v>
      </c>
      <c r="N5052">
        <v>1</v>
      </c>
      <c r="O5052">
        <v>1125</v>
      </c>
    </row>
    <row r="5053" spans="1:15" x14ac:dyDescent="0.25">
      <c r="A5053" t="str">
        <f>"10/21/2020 18:50:31.087"</f>
        <v>10/21/2020 18:50:31.087</v>
      </c>
      <c r="B5053" t="str">
        <f>"18:50:39.031"</f>
        <v>18:50:39.031</v>
      </c>
      <c r="C5053" t="str">
        <f>"18:50:38.131"</f>
        <v>18:50:38.131</v>
      </c>
      <c r="D5053" t="s">
        <v>2083</v>
      </c>
      <c r="E5053">
        <v>30.864694</v>
      </c>
      <c r="F5053" t="s">
        <v>2084</v>
      </c>
      <c r="G5053">
        <v>-89.849367000000001</v>
      </c>
      <c r="H5053">
        <v>1100</v>
      </c>
      <c r="I5053">
        <v>26</v>
      </c>
      <c r="J5053">
        <v>-115</v>
      </c>
      <c r="K5053">
        <v>-448</v>
      </c>
      <c r="L5053">
        <v>1200</v>
      </c>
      <c r="M5053" t="str">
        <f t="shared" si="497"/>
        <v xml:space="preserve">N35DC   </v>
      </c>
      <c r="N5053">
        <v>1</v>
      </c>
      <c r="O5053">
        <v>1125</v>
      </c>
    </row>
    <row r="5054" spans="1:15" x14ac:dyDescent="0.25">
      <c r="A5054" t="str">
        <f>"10/21/2020 18:50:31.087"</f>
        <v>10/21/2020 18:50:31.087</v>
      </c>
      <c r="B5054" t="str">
        <f>"18:50:39.031"</f>
        <v>18:50:39.031</v>
      </c>
      <c r="C5054" t="str">
        <f>"18:50:38.131"</f>
        <v>18:50:38.131</v>
      </c>
      <c r="D5054" t="s">
        <v>2083</v>
      </c>
      <c r="E5054">
        <v>30.864694</v>
      </c>
      <c r="F5054" t="s">
        <v>2084</v>
      </c>
      <c r="G5054">
        <v>-89.849367000000001</v>
      </c>
      <c r="H5054">
        <v>1100</v>
      </c>
      <c r="I5054">
        <v>26</v>
      </c>
      <c r="J5054">
        <v>-115</v>
      </c>
      <c r="K5054">
        <v>-448</v>
      </c>
      <c r="L5054">
        <v>1200</v>
      </c>
      <c r="M5054" t="str">
        <f t="shared" si="497"/>
        <v xml:space="preserve">N35DC   </v>
      </c>
      <c r="N5054">
        <v>1</v>
      </c>
      <c r="O5054">
        <v>1125</v>
      </c>
    </row>
    <row r="5055" spans="1:15" x14ac:dyDescent="0.25">
      <c r="A5055" t="str">
        <f>"10/21/2020 18:50:31.087"</f>
        <v>10/21/2020 18:50:31.087</v>
      </c>
      <c r="B5055" t="str">
        <f>"18:50:39.031"</f>
        <v>18:50:39.031</v>
      </c>
      <c r="C5055" t="str">
        <f>"18:50:38.131"</f>
        <v>18:50:38.131</v>
      </c>
      <c r="D5055" t="s">
        <v>2083</v>
      </c>
      <c r="E5055">
        <v>30.864694</v>
      </c>
      <c r="F5055" t="s">
        <v>2084</v>
      </c>
      <c r="G5055">
        <v>-89.849367000000001</v>
      </c>
      <c r="H5055">
        <v>1100</v>
      </c>
      <c r="I5055">
        <v>26</v>
      </c>
      <c r="J5055">
        <v>-115</v>
      </c>
      <c r="K5055">
        <v>-448</v>
      </c>
      <c r="L5055">
        <v>1200</v>
      </c>
      <c r="M5055" t="str">
        <f t="shared" si="497"/>
        <v xml:space="preserve">N35DC   </v>
      </c>
      <c r="N5055">
        <v>1</v>
      </c>
      <c r="O5055">
        <v>1125</v>
      </c>
    </row>
    <row r="5056" spans="1:15" x14ac:dyDescent="0.25">
      <c r="A5056" t="str">
        <f>"10/21/2020 18:50:31.087"</f>
        <v>10/21/2020 18:50:31.087</v>
      </c>
      <c r="B5056" t="str">
        <f>"18:50:39.031"</f>
        <v>18:50:39.031</v>
      </c>
      <c r="C5056" t="str">
        <f>"18:50:38.131"</f>
        <v>18:50:38.131</v>
      </c>
      <c r="D5056" t="s">
        <v>2083</v>
      </c>
      <c r="E5056">
        <v>30.864694</v>
      </c>
      <c r="F5056" t="s">
        <v>2084</v>
      </c>
      <c r="G5056">
        <v>-89.849367000000001</v>
      </c>
      <c r="H5056">
        <v>1100</v>
      </c>
      <c r="I5056">
        <v>26</v>
      </c>
      <c r="J5056">
        <v>-115</v>
      </c>
      <c r="K5056">
        <v>-448</v>
      </c>
      <c r="L5056">
        <v>1200</v>
      </c>
      <c r="M5056" t="str">
        <f t="shared" si="497"/>
        <v xml:space="preserve">N35DC   </v>
      </c>
      <c r="N5056">
        <v>1</v>
      </c>
      <c r="O5056">
        <v>1125</v>
      </c>
    </row>
    <row r="5057" spans="1:15" x14ac:dyDescent="0.25">
      <c r="A5057" t="str">
        <f t="shared" ref="A5057:A5062" si="507">"10/21/2020 18:50:34.240"</f>
        <v>10/21/2020 18:50:34.240</v>
      </c>
      <c r="B5057" t="str">
        <f t="shared" ref="B5057:B5062" si="508">"18:50:42.164"</f>
        <v>18:50:42.164</v>
      </c>
      <c r="C5057" t="str">
        <f>"18:50:41.864"</f>
        <v>18:50:41.864</v>
      </c>
      <c r="D5057" t="s">
        <v>2085</v>
      </c>
      <c r="E5057">
        <v>30.862977999999998</v>
      </c>
      <c r="F5057" t="s">
        <v>2084</v>
      </c>
      <c r="G5057">
        <v>-89.849367000000001</v>
      </c>
      <c r="H5057">
        <v>1000</v>
      </c>
      <c r="I5057">
        <v>-7</v>
      </c>
      <c r="J5057">
        <v>-121</v>
      </c>
      <c r="K5057">
        <v>-640</v>
      </c>
      <c r="L5057">
        <v>1200</v>
      </c>
      <c r="M5057" t="str">
        <f t="shared" si="497"/>
        <v xml:space="preserve">N35DC   </v>
      </c>
      <c r="N5057">
        <v>1</v>
      </c>
      <c r="O5057">
        <v>1100</v>
      </c>
    </row>
    <row r="5058" spans="1:15" x14ac:dyDescent="0.25">
      <c r="A5058" t="str">
        <f t="shared" si="507"/>
        <v>10/21/2020 18:50:34.240</v>
      </c>
      <c r="B5058" t="str">
        <f t="shared" si="508"/>
        <v>18:50:42.164</v>
      </c>
      <c r="C5058" t="str">
        <f>"18:50:41.864"</f>
        <v>18:50:41.864</v>
      </c>
      <c r="D5058" t="s">
        <v>2085</v>
      </c>
      <c r="E5058">
        <v>30.862977999999998</v>
      </c>
      <c r="F5058" t="s">
        <v>2084</v>
      </c>
      <c r="G5058">
        <v>-89.849367000000001</v>
      </c>
      <c r="H5058">
        <v>1000</v>
      </c>
      <c r="I5058">
        <v>-7</v>
      </c>
      <c r="J5058">
        <v>-121</v>
      </c>
      <c r="K5058">
        <v>-640</v>
      </c>
      <c r="L5058">
        <v>1200</v>
      </c>
      <c r="M5058" t="str">
        <f t="shared" si="497"/>
        <v xml:space="preserve">N35DC   </v>
      </c>
      <c r="N5058">
        <v>1</v>
      </c>
      <c r="O5058">
        <v>1100</v>
      </c>
    </row>
    <row r="5059" spans="1:15" x14ac:dyDescent="0.25">
      <c r="A5059" t="str">
        <f t="shared" si="507"/>
        <v>10/21/2020 18:50:34.240</v>
      </c>
      <c r="B5059" t="str">
        <f t="shared" si="508"/>
        <v>18:50:42.164</v>
      </c>
      <c r="C5059" t="str">
        <f>"18:50:41.864"</f>
        <v>18:50:41.864</v>
      </c>
      <c r="D5059" t="s">
        <v>2085</v>
      </c>
      <c r="E5059">
        <v>30.862977999999998</v>
      </c>
      <c r="F5059" t="s">
        <v>2084</v>
      </c>
      <c r="G5059">
        <v>-89.849367000000001</v>
      </c>
      <c r="H5059">
        <v>1000</v>
      </c>
      <c r="I5059">
        <v>-7</v>
      </c>
      <c r="J5059">
        <v>-121</v>
      </c>
      <c r="K5059">
        <v>-640</v>
      </c>
      <c r="L5059">
        <v>1200</v>
      </c>
      <c r="M5059" t="str">
        <f t="shared" si="497"/>
        <v xml:space="preserve">N35DC   </v>
      </c>
      <c r="N5059">
        <v>1</v>
      </c>
      <c r="O5059">
        <v>1100</v>
      </c>
    </row>
    <row r="5060" spans="1:15" x14ac:dyDescent="0.25">
      <c r="A5060" t="str">
        <f t="shared" si="507"/>
        <v>10/21/2020 18:50:34.240</v>
      </c>
      <c r="B5060" t="str">
        <f t="shared" si="508"/>
        <v>18:50:42.164</v>
      </c>
      <c r="C5060" t="str">
        <f>"18:50:41.864"</f>
        <v>18:50:41.864</v>
      </c>
      <c r="D5060" t="s">
        <v>2085</v>
      </c>
      <c r="E5060">
        <v>30.862977999999998</v>
      </c>
      <c r="F5060" t="s">
        <v>2084</v>
      </c>
      <c r="G5060">
        <v>-89.849367000000001</v>
      </c>
      <c r="H5060">
        <v>1000</v>
      </c>
      <c r="I5060">
        <v>-7</v>
      </c>
      <c r="J5060">
        <v>-121</v>
      </c>
      <c r="K5060">
        <v>-640</v>
      </c>
      <c r="L5060">
        <v>1200</v>
      </c>
      <c r="M5060" t="str">
        <f t="shared" si="497"/>
        <v xml:space="preserve">N35DC   </v>
      </c>
      <c r="N5060">
        <v>1</v>
      </c>
      <c r="O5060">
        <v>1100</v>
      </c>
    </row>
    <row r="5061" spans="1:15" x14ac:dyDescent="0.25">
      <c r="A5061" t="str">
        <f t="shared" si="507"/>
        <v>10/21/2020 18:50:34.240</v>
      </c>
      <c r="B5061" t="str">
        <f t="shared" si="508"/>
        <v>18:50:42.164</v>
      </c>
      <c r="C5061" t="str">
        <f>"18:50:41.264"</f>
        <v>18:50:41.264</v>
      </c>
      <c r="D5061" t="s">
        <v>2085</v>
      </c>
      <c r="E5061">
        <v>30.862977999999998</v>
      </c>
      <c r="F5061" t="s">
        <v>2084</v>
      </c>
      <c r="G5061">
        <v>-89.849367000000001</v>
      </c>
      <c r="H5061">
        <v>1000</v>
      </c>
      <c r="I5061">
        <v>-2</v>
      </c>
      <c r="J5061">
        <v>-121</v>
      </c>
      <c r="K5061">
        <v>-704</v>
      </c>
      <c r="L5061">
        <v>1200</v>
      </c>
      <c r="M5061" t="str">
        <f t="shared" si="497"/>
        <v xml:space="preserve">N35DC   </v>
      </c>
      <c r="N5061">
        <v>1</v>
      </c>
      <c r="O5061">
        <v>1100</v>
      </c>
    </row>
    <row r="5062" spans="1:15" x14ac:dyDescent="0.25">
      <c r="A5062" t="str">
        <f t="shared" si="507"/>
        <v>10/21/2020 18:50:34.240</v>
      </c>
      <c r="B5062" t="str">
        <f t="shared" si="508"/>
        <v>18:50:42.164</v>
      </c>
      <c r="C5062" t="str">
        <f>"18:50:41.864"</f>
        <v>18:50:41.864</v>
      </c>
      <c r="D5062" t="s">
        <v>2085</v>
      </c>
      <c r="E5062">
        <v>30.862977999999998</v>
      </c>
      <c r="F5062" t="s">
        <v>2084</v>
      </c>
      <c r="G5062">
        <v>-89.849367000000001</v>
      </c>
      <c r="H5062">
        <v>1000</v>
      </c>
      <c r="I5062">
        <v>-7</v>
      </c>
      <c r="J5062">
        <v>-121</v>
      </c>
      <c r="K5062">
        <v>-640</v>
      </c>
      <c r="L5062">
        <v>1200</v>
      </c>
      <c r="M5062" t="str">
        <f t="shared" si="497"/>
        <v xml:space="preserve">N35DC   </v>
      </c>
      <c r="N5062">
        <v>1</v>
      </c>
      <c r="O5062">
        <v>1100</v>
      </c>
    </row>
    <row r="5063" spans="1:15" x14ac:dyDescent="0.25">
      <c r="A5063" t="str">
        <f>"10/21/2020 18:50:35.282"</f>
        <v>10/21/2020 18:50:35.282</v>
      </c>
      <c r="B5063" t="str">
        <f>"18:50:43.203"</f>
        <v>18:50:43.203</v>
      </c>
      <c r="C5063" t="str">
        <f>"18:50:42.403"</f>
        <v>18:50:42.403</v>
      </c>
      <c r="D5063" t="s">
        <v>2086</v>
      </c>
      <c r="E5063">
        <v>30.862376999999999</v>
      </c>
      <c r="F5063" t="s">
        <v>2087</v>
      </c>
      <c r="G5063">
        <v>-89.849474000000001</v>
      </c>
      <c r="H5063">
        <v>1000</v>
      </c>
      <c r="I5063">
        <v>-10</v>
      </c>
      <c r="J5063">
        <v>-121</v>
      </c>
      <c r="K5063">
        <v>-640</v>
      </c>
      <c r="L5063">
        <v>1200</v>
      </c>
      <c r="M5063" t="str">
        <f t="shared" ref="M5063:M5126" si="509">"N35DC   "</f>
        <v xml:space="preserve">N35DC   </v>
      </c>
      <c r="N5063">
        <v>1</v>
      </c>
      <c r="O5063">
        <v>1100</v>
      </c>
    </row>
    <row r="5064" spans="1:15" x14ac:dyDescent="0.25">
      <c r="A5064" t="str">
        <f>"10/21/2020 18:50:35.282"</f>
        <v>10/21/2020 18:50:35.282</v>
      </c>
      <c r="B5064" t="str">
        <f>"18:50:43.203"</f>
        <v>18:50:43.203</v>
      </c>
      <c r="C5064" t="str">
        <f>"18:50:42.403"</f>
        <v>18:50:42.403</v>
      </c>
      <c r="D5064" t="s">
        <v>2086</v>
      </c>
      <c r="E5064">
        <v>30.862376999999999</v>
      </c>
      <c r="F5064" t="s">
        <v>2087</v>
      </c>
      <c r="G5064">
        <v>-89.849474000000001</v>
      </c>
      <c r="H5064">
        <v>1000</v>
      </c>
      <c r="I5064">
        <v>-10</v>
      </c>
      <c r="J5064">
        <v>-121</v>
      </c>
      <c r="K5064">
        <v>-640</v>
      </c>
      <c r="L5064">
        <v>1200</v>
      </c>
      <c r="M5064" t="str">
        <f t="shared" si="509"/>
        <v xml:space="preserve">N35DC   </v>
      </c>
      <c r="N5064">
        <v>1</v>
      </c>
      <c r="O5064">
        <v>1100</v>
      </c>
    </row>
    <row r="5065" spans="1:15" x14ac:dyDescent="0.25">
      <c r="A5065" t="str">
        <f>"10/21/2020 18:50:35.282"</f>
        <v>10/21/2020 18:50:35.282</v>
      </c>
      <c r="B5065" t="str">
        <f>"18:50:43.203"</f>
        <v>18:50:43.203</v>
      </c>
      <c r="C5065" t="str">
        <f>"18:50:42.403"</f>
        <v>18:50:42.403</v>
      </c>
      <c r="D5065" t="s">
        <v>2086</v>
      </c>
      <c r="E5065">
        <v>30.862376999999999</v>
      </c>
      <c r="F5065" t="s">
        <v>2087</v>
      </c>
      <c r="G5065">
        <v>-89.849474000000001</v>
      </c>
      <c r="H5065">
        <v>1000</v>
      </c>
      <c r="I5065">
        <v>-10</v>
      </c>
      <c r="J5065">
        <v>-121</v>
      </c>
      <c r="K5065">
        <v>-640</v>
      </c>
      <c r="L5065">
        <v>1200</v>
      </c>
      <c r="M5065" t="str">
        <f t="shared" si="509"/>
        <v xml:space="preserve">N35DC   </v>
      </c>
      <c r="N5065">
        <v>1</v>
      </c>
      <c r="O5065">
        <v>1100</v>
      </c>
    </row>
    <row r="5066" spans="1:15" x14ac:dyDescent="0.25">
      <c r="A5066" t="str">
        <f>"10/21/2020 18:50:35.282"</f>
        <v>10/21/2020 18:50:35.282</v>
      </c>
      <c r="B5066" t="str">
        <f>"18:50:43.203"</f>
        <v>18:50:43.203</v>
      </c>
      <c r="C5066" t="str">
        <f>"18:50:42.403"</f>
        <v>18:50:42.403</v>
      </c>
      <c r="D5066" t="s">
        <v>2086</v>
      </c>
      <c r="E5066">
        <v>30.862376999999999</v>
      </c>
      <c r="F5066" t="s">
        <v>2087</v>
      </c>
      <c r="G5066">
        <v>-89.849474000000001</v>
      </c>
      <c r="H5066">
        <v>1000</v>
      </c>
      <c r="I5066">
        <v>-10</v>
      </c>
      <c r="J5066">
        <v>-121</v>
      </c>
      <c r="K5066">
        <v>-640</v>
      </c>
      <c r="L5066">
        <v>1200</v>
      </c>
      <c r="M5066" t="str">
        <f t="shared" si="509"/>
        <v xml:space="preserve">N35DC   </v>
      </c>
      <c r="N5066">
        <v>1</v>
      </c>
      <c r="O5066">
        <v>1100</v>
      </c>
    </row>
    <row r="5067" spans="1:15" x14ac:dyDescent="0.25">
      <c r="A5067" t="str">
        <f>"10/21/2020 18:50:35.282"</f>
        <v>10/21/2020 18:50:35.282</v>
      </c>
      <c r="B5067" t="str">
        <f>"18:50:43.203"</f>
        <v>18:50:43.203</v>
      </c>
      <c r="C5067" t="str">
        <f>"18:50:42.403"</f>
        <v>18:50:42.403</v>
      </c>
      <c r="D5067" t="s">
        <v>2086</v>
      </c>
      <c r="E5067">
        <v>30.862376999999999</v>
      </c>
      <c r="F5067" t="s">
        <v>2087</v>
      </c>
      <c r="G5067">
        <v>-89.849474000000001</v>
      </c>
      <c r="H5067">
        <v>1000</v>
      </c>
      <c r="I5067">
        <v>-10</v>
      </c>
      <c r="J5067">
        <v>-121</v>
      </c>
      <c r="K5067">
        <v>-640</v>
      </c>
      <c r="L5067">
        <v>1200</v>
      </c>
      <c r="M5067" t="str">
        <f t="shared" si="509"/>
        <v xml:space="preserve">N35DC   </v>
      </c>
      <c r="N5067">
        <v>1</v>
      </c>
      <c r="O5067">
        <v>1100</v>
      </c>
    </row>
    <row r="5068" spans="1:15" x14ac:dyDescent="0.25">
      <c r="A5068" t="str">
        <f>"10/21/2020 18:50:37.820"</f>
        <v>10/21/2020 18:50:37.820</v>
      </c>
      <c r="B5068" t="str">
        <f>"18:50:45.703"</f>
        <v>18:50:45.703</v>
      </c>
      <c r="C5068" t="str">
        <f>"18:50:45.303"</f>
        <v>18:50:45.303</v>
      </c>
      <c r="D5068" t="s">
        <v>2088</v>
      </c>
      <c r="E5068">
        <v>30.861003</v>
      </c>
      <c r="F5068" t="s">
        <v>1662</v>
      </c>
      <c r="G5068">
        <v>-89.849795999999998</v>
      </c>
      <c r="H5068">
        <v>1000</v>
      </c>
      <c r="I5068">
        <v>-32</v>
      </c>
      <c r="J5068">
        <v>-117</v>
      </c>
      <c r="K5068">
        <v>-384</v>
      </c>
      <c r="L5068">
        <v>1200</v>
      </c>
      <c r="M5068" t="str">
        <f t="shared" si="509"/>
        <v xml:space="preserve">N35DC   </v>
      </c>
      <c r="N5068">
        <v>1</v>
      </c>
      <c r="O5068">
        <v>1075</v>
      </c>
    </row>
    <row r="5069" spans="1:15" x14ac:dyDescent="0.25">
      <c r="A5069" t="str">
        <f>"10/21/2020 18:50:38.188"</f>
        <v>10/21/2020 18:50:38.188</v>
      </c>
      <c r="B5069" t="str">
        <f>"18:50:46.109"</f>
        <v>18:50:46.109</v>
      </c>
      <c r="C5069" t="str">
        <f>"18:50:45.909"</f>
        <v>18:50:45.909</v>
      </c>
      <c r="D5069" t="s">
        <v>2089</v>
      </c>
      <c r="E5069">
        <v>30.860789</v>
      </c>
      <c r="F5069" t="s">
        <v>541</v>
      </c>
      <c r="G5069">
        <v>-89.849903999999995</v>
      </c>
      <c r="H5069">
        <v>1000</v>
      </c>
      <c r="I5069">
        <v>-35</v>
      </c>
      <c r="J5069">
        <v>-116</v>
      </c>
      <c r="K5069">
        <v>-320</v>
      </c>
      <c r="L5069">
        <v>1200</v>
      </c>
      <c r="M5069" t="str">
        <f t="shared" si="509"/>
        <v xml:space="preserve">N35DC   </v>
      </c>
      <c r="N5069">
        <v>1</v>
      </c>
      <c r="O5069">
        <v>1075</v>
      </c>
    </row>
    <row r="5070" spans="1:15" x14ac:dyDescent="0.25">
      <c r="A5070" t="str">
        <f>"10/21/2020 18:50:38.188"</f>
        <v>10/21/2020 18:50:38.188</v>
      </c>
      <c r="B5070" t="str">
        <f>"18:50:46.109"</f>
        <v>18:50:46.109</v>
      </c>
      <c r="C5070" t="str">
        <f>"18:50:45.909"</f>
        <v>18:50:45.909</v>
      </c>
      <c r="D5070" t="s">
        <v>2089</v>
      </c>
      <c r="E5070">
        <v>30.860789</v>
      </c>
      <c r="F5070" t="s">
        <v>541</v>
      </c>
      <c r="G5070">
        <v>-89.849903999999995</v>
      </c>
      <c r="H5070">
        <v>1000</v>
      </c>
      <c r="I5070">
        <v>-35</v>
      </c>
      <c r="J5070">
        <v>-116</v>
      </c>
      <c r="K5070">
        <v>-320</v>
      </c>
      <c r="L5070">
        <v>1200</v>
      </c>
      <c r="M5070" t="str">
        <f t="shared" si="509"/>
        <v xml:space="preserve">N35DC   </v>
      </c>
      <c r="N5070">
        <v>1</v>
      </c>
      <c r="O5070">
        <v>1075</v>
      </c>
    </row>
    <row r="5071" spans="1:15" x14ac:dyDescent="0.25">
      <c r="A5071" t="str">
        <f>"10/21/2020 18:50:38.188"</f>
        <v>10/21/2020 18:50:38.188</v>
      </c>
      <c r="B5071" t="str">
        <f>"18:50:46.109"</f>
        <v>18:50:46.109</v>
      </c>
      <c r="C5071" t="str">
        <f>"18:50:45.909"</f>
        <v>18:50:45.909</v>
      </c>
      <c r="D5071" t="s">
        <v>2089</v>
      </c>
      <c r="E5071">
        <v>30.860789</v>
      </c>
      <c r="F5071" t="s">
        <v>541</v>
      </c>
      <c r="G5071">
        <v>-89.849903999999995</v>
      </c>
      <c r="H5071">
        <v>1000</v>
      </c>
      <c r="I5071">
        <v>-35</v>
      </c>
      <c r="J5071">
        <v>-116</v>
      </c>
      <c r="K5071">
        <v>-320</v>
      </c>
      <c r="L5071">
        <v>1200</v>
      </c>
      <c r="M5071" t="str">
        <f t="shared" si="509"/>
        <v xml:space="preserve">N35DC   </v>
      </c>
      <c r="N5071">
        <v>1</v>
      </c>
      <c r="O5071">
        <v>1075</v>
      </c>
    </row>
    <row r="5072" spans="1:15" x14ac:dyDescent="0.25">
      <c r="A5072" t="str">
        <f>"10/21/2020 18:50:38.188"</f>
        <v>10/21/2020 18:50:38.188</v>
      </c>
      <c r="B5072" t="str">
        <f>"18:50:46.109"</f>
        <v>18:50:46.109</v>
      </c>
      <c r="C5072" t="str">
        <f>"18:50:45.909"</f>
        <v>18:50:45.909</v>
      </c>
      <c r="D5072" t="s">
        <v>2089</v>
      </c>
      <c r="E5072">
        <v>30.860789</v>
      </c>
      <c r="F5072" t="s">
        <v>541</v>
      </c>
      <c r="G5072">
        <v>-89.849903999999995</v>
      </c>
      <c r="H5072">
        <v>1000</v>
      </c>
      <c r="I5072">
        <v>-35</v>
      </c>
      <c r="J5072">
        <v>-116</v>
      </c>
      <c r="K5072">
        <v>-320</v>
      </c>
      <c r="L5072">
        <v>1200</v>
      </c>
      <c r="M5072" t="str">
        <f t="shared" si="509"/>
        <v xml:space="preserve">N35DC   </v>
      </c>
      <c r="N5072">
        <v>1</v>
      </c>
      <c r="O5072">
        <v>1075</v>
      </c>
    </row>
    <row r="5073" spans="1:15" x14ac:dyDescent="0.25">
      <c r="A5073" t="str">
        <f>"10/21/2020 18:50:38.774"</f>
        <v>10/21/2020 18:50:38.774</v>
      </c>
      <c r="B5073" t="str">
        <f>"18:50:46.648"</f>
        <v>18:50:46.648</v>
      </c>
      <c r="C5073" t="str">
        <f>"18:50:46.348"</f>
        <v>18:50:46.348</v>
      </c>
      <c r="D5073" t="s">
        <v>2090</v>
      </c>
      <c r="E5073">
        <v>30.860510000000001</v>
      </c>
      <c r="F5073" t="s">
        <v>2091</v>
      </c>
      <c r="G5073">
        <v>-89.850031999999999</v>
      </c>
      <c r="H5073">
        <v>1000</v>
      </c>
      <c r="I5073">
        <v>-37</v>
      </c>
      <c r="J5073">
        <v>-115</v>
      </c>
      <c r="K5073">
        <v>-256</v>
      </c>
      <c r="L5073">
        <v>1200</v>
      </c>
      <c r="M5073" t="str">
        <f t="shared" si="509"/>
        <v xml:space="preserve">N35DC   </v>
      </c>
      <c r="N5073">
        <v>1</v>
      </c>
      <c r="O5073">
        <v>1075</v>
      </c>
    </row>
    <row r="5074" spans="1:15" x14ac:dyDescent="0.25">
      <c r="A5074" t="str">
        <f>"10/21/2020 18:50:39.170"</f>
        <v>10/21/2020 18:50:39.170</v>
      </c>
      <c r="B5074" t="str">
        <f>"18:50:47.086"</f>
        <v>18:50:47.086</v>
      </c>
      <c r="C5074" t="str">
        <f>"18:50:46.786"</f>
        <v>18:50:46.786</v>
      </c>
      <c r="D5074" t="s">
        <v>2092</v>
      </c>
      <c r="E5074">
        <v>30.860274</v>
      </c>
      <c r="F5074" t="s">
        <v>1651</v>
      </c>
      <c r="G5074">
        <v>-89.850139999999996</v>
      </c>
      <c r="H5074">
        <v>1000</v>
      </c>
      <c r="I5074">
        <v>-41</v>
      </c>
      <c r="J5074">
        <v>-114</v>
      </c>
      <c r="K5074">
        <v>-64</v>
      </c>
      <c r="L5074">
        <v>1200</v>
      </c>
      <c r="M5074" t="str">
        <f t="shared" si="509"/>
        <v xml:space="preserve">N35DC   </v>
      </c>
      <c r="N5074">
        <v>1</v>
      </c>
      <c r="O5074">
        <v>1050</v>
      </c>
    </row>
    <row r="5075" spans="1:15" x14ac:dyDescent="0.25">
      <c r="A5075" t="str">
        <f>"10/21/2020 18:50:39.170"</f>
        <v>10/21/2020 18:50:39.170</v>
      </c>
      <c r="B5075" t="str">
        <f>"18:50:47.086"</f>
        <v>18:50:47.086</v>
      </c>
      <c r="C5075" t="str">
        <f>"18:50:46.786"</f>
        <v>18:50:46.786</v>
      </c>
      <c r="D5075" t="s">
        <v>2092</v>
      </c>
      <c r="E5075">
        <v>30.860274</v>
      </c>
      <c r="F5075" t="s">
        <v>1651</v>
      </c>
      <c r="G5075">
        <v>-89.850139999999996</v>
      </c>
      <c r="H5075">
        <v>1000</v>
      </c>
      <c r="I5075">
        <v>-41</v>
      </c>
      <c r="J5075">
        <v>-114</v>
      </c>
      <c r="K5075">
        <v>-64</v>
      </c>
      <c r="L5075">
        <v>1200</v>
      </c>
      <c r="M5075" t="str">
        <f t="shared" si="509"/>
        <v xml:space="preserve">N35DC   </v>
      </c>
      <c r="N5075">
        <v>1</v>
      </c>
      <c r="O5075">
        <v>1050</v>
      </c>
    </row>
    <row r="5076" spans="1:15" x14ac:dyDescent="0.25">
      <c r="A5076" t="str">
        <f>"10/21/2020 18:50:39.170"</f>
        <v>10/21/2020 18:50:39.170</v>
      </c>
      <c r="B5076" t="str">
        <f>"18:50:47.086"</f>
        <v>18:50:47.086</v>
      </c>
      <c r="C5076" t="str">
        <f>"18:50:46.786"</f>
        <v>18:50:46.786</v>
      </c>
      <c r="D5076" t="s">
        <v>2092</v>
      </c>
      <c r="E5076">
        <v>30.860274</v>
      </c>
      <c r="F5076" t="s">
        <v>1651</v>
      </c>
      <c r="G5076">
        <v>-89.850139999999996</v>
      </c>
      <c r="H5076">
        <v>1000</v>
      </c>
      <c r="I5076">
        <v>-41</v>
      </c>
      <c r="J5076">
        <v>-114</v>
      </c>
      <c r="K5076">
        <v>-64</v>
      </c>
      <c r="L5076">
        <v>1200</v>
      </c>
      <c r="M5076" t="str">
        <f t="shared" si="509"/>
        <v xml:space="preserve">N35DC   </v>
      </c>
      <c r="N5076">
        <v>1</v>
      </c>
      <c r="O5076">
        <v>1050</v>
      </c>
    </row>
    <row r="5077" spans="1:15" x14ac:dyDescent="0.25">
      <c r="A5077" t="str">
        <f>"10/21/2020 18:50:39.170"</f>
        <v>10/21/2020 18:50:39.170</v>
      </c>
      <c r="B5077" t="str">
        <f>"18:50:47.086"</f>
        <v>18:50:47.086</v>
      </c>
      <c r="C5077" t="str">
        <f>"18:50:46.786"</f>
        <v>18:50:46.786</v>
      </c>
      <c r="D5077" t="s">
        <v>2092</v>
      </c>
      <c r="E5077">
        <v>30.860274</v>
      </c>
      <c r="F5077" t="s">
        <v>1651</v>
      </c>
      <c r="G5077">
        <v>-89.850139999999996</v>
      </c>
      <c r="H5077">
        <v>1000</v>
      </c>
      <c r="I5077">
        <v>-41</v>
      </c>
      <c r="J5077">
        <v>-114</v>
      </c>
      <c r="K5077">
        <v>-64</v>
      </c>
      <c r="L5077">
        <v>1200</v>
      </c>
      <c r="M5077" t="str">
        <f t="shared" si="509"/>
        <v xml:space="preserve">N35DC   </v>
      </c>
      <c r="N5077">
        <v>1</v>
      </c>
      <c r="O5077">
        <v>1050</v>
      </c>
    </row>
    <row r="5078" spans="1:15" x14ac:dyDescent="0.25">
      <c r="A5078" t="str">
        <f>"10/21/2020 18:50:42.434"</f>
        <v>10/21/2020 18:50:42.434</v>
      </c>
      <c r="B5078" t="str">
        <f t="shared" ref="B5078:C5081" si="510">"18:50:50.383"</f>
        <v>18:50:50.383</v>
      </c>
      <c r="C5078" t="str">
        <f t="shared" si="510"/>
        <v>18:50:50.383</v>
      </c>
      <c r="D5078" t="s">
        <v>2093</v>
      </c>
      <c r="E5078">
        <v>30.858622</v>
      </c>
      <c r="F5078" t="s">
        <v>2094</v>
      </c>
      <c r="G5078">
        <v>-89.850976000000003</v>
      </c>
      <c r="H5078">
        <v>1000</v>
      </c>
      <c r="I5078">
        <v>-52</v>
      </c>
      <c r="J5078">
        <v>-107</v>
      </c>
      <c r="K5078">
        <v>-256</v>
      </c>
      <c r="L5078">
        <v>1200</v>
      </c>
      <c r="M5078" t="str">
        <f t="shared" si="509"/>
        <v xml:space="preserve">N35DC   </v>
      </c>
      <c r="N5078">
        <v>1</v>
      </c>
      <c r="O5078">
        <v>1050</v>
      </c>
    </row>
    <row r="5079" spans="1:15" x14ac:dyDescent="0.25">
      <c r="A5079" t="str">
        <f>"10/21/2020 18:50:42.434"</f>
        <v>10/21/2020 18:50:42.434</v>
      </c>
      <c r="B5079" t="str">
        <f t="shared" si="510"/>
        <v>18:50:50.383</v>
      </c>
      <c r="C5079" t="str">
        <f t="shared" si="510"/>
        <v>18:50:50.383</v>
      </c>
      <c r="D5079" t="s">
        <v>2093</v>
      </c>
      <c r="E5079">
        <v>30.858622</v>
      </c>
      <c r="F5079" t="s">
        <v>2094</v>
      </c>
      <c r="G5079">
        <v>-89.850976000000003</v>
      </c>
      <c r="H5079">
        <v>1000</v>
      </c>
      <c r="I5079">
        <v>-52</v>
      </c>
      <c r="J5079">
        <v>-107</v>
      </c>
      <c r="K5079">
        <v>-256</v>
      </c>
      <c r="L5079">
        <v>1200</v>
      </c>
      <c r="M5079" t="str">
        <f t="shared" si="509"/>
        <v xml:space="preserve">N35DC   </v>
      </c>
      <c r="N5079">
        <v>1</v>
      </c>
      <c r="O5079">
        <v>1050</v>
      </c>
    </row>
    <row r="5080" spans="1:15" x14ac:dyDescent="0.25">
      <c r="A5080" t="str">
        <f>"10/21/2020 18:50:42.434"</f>
        <v>10/21/2020 18:50:42.434</v>
      </c>
      <c r="B5080" t="str">
        <f t="shared" si="510"/>
        <v>18:50:50.383</v>
      </c>
      <c r="C5080" t="str">
        <f t="shared" si="510"/>
        <v>18:50:50.383</v>
      </c>
      <c r="D5080" t="s">
        <v>2093</v>
      </c>
      <c r="E5080">
        <v>30.858622</v>
      </c>
      <c r="F5080" t="s">
        <v>2094</v>
      </c>
      <c r="G5080">
        <v>-89.850976000000003</v>
      </c>
      <c r="H5080">
        <v>1000</v>
      </c>
      <c r="I5080">
        <v>-52</v>
      </c>
      <c r="J5080">
        <v>-107</v>
      </c>
      <c r="K5080">
        <v>-256</v>
      </c>
      <c r="L5080">
        <v>1200</v>
      </c>
      <c r="M5080" t="str">
        <f t="shared" si="509"/>
        <v xml:space="preserve">N35DC   </v>
      </c>
      <c r="N5080">
        <v>1</v>
      </c>
      <c r="O5080">
        <v>1050</v>
      </c>
    </row>
    <row r="5081" spans="1:15" x14ac:dyDescent="0.25">
      <c r="A5081" t="str">
        <f>"10/21/2020 18:50:42.434"</f>
        <v>10/21/2020 18:50:42.434</v>
      </c>
      <c r="B5081" t="str">
        <f t="shared" si="510"/>
        <v>18:50:50.383</v>
      </c>
      <c r="C5081" t="str">
        <f t="shared" si="510"/>
        <v>18:50:50.383</v>
      </c>
      <c r="D5081" t="s">
        <v>2093</v>
      </c>
      <c r="E5081">
        <v>30.858622</v>
      </c>
      <c r="F5081" t="s">
        <v>2094</v>
      </c>
      <c r="G5081">
        <v>-89.850976000000003</v>
      </c>
      <c r="H5081">
        <v>1000</v>
      </c>
      <c r="I5081">
        <v>-52</v>
      </c>
      <c r="J5081">
        <v>-107</v>
      </c>
      <c r="K5081">
        <v>-256</v>
      </c>
      <c r="L5081">
        <v>1200</v>
      </c>
      <c r="M5081" t="str">
        <f t="shared" si="509"/>
        <v xml:space="preserve">N35DC   </v>
      </c>
      <c r="N5081">
        <v>1</v>
      </c>
      <c r="O5081">
        <v>1050</v>
      </c>
    </row>
    <row r="5082" spans="1:15" x14ac:dyDescent="0.25">
      <c r="A5082" t="str">
        <f>"10/21/2020 18:50:46.783"</f>
        <v>10/21/2020 18:50:46.783</v>
      </c>
      <c r="B5082" t="str">
        <f>"18:50:54.688"</f>
        <v>18:50:54.688</v>
      </c>
      <c r="C5082" t="str">
        <f>"18:50:54.288"</f>
        <v>18:50:54.288</v>
      </c>
      <c r="D5082" t="s">
        <v>2095</v>
      </c>
      <c r="E5082">
        <v>30.856453999999999</v>
      </c>
      <c r="F5082" t="s">
        <v>2096</v>
      </c>
      <c r="G5082">
        <v>-89.852242000000004</v>
      </c>
      <c r="H5082">
        <v>1000</v>
      </c>
      <c r="I5082">
        <v>-54</v>
      </c>
      <c r="J5082">
        <v>-107</v>
      </c>
      <c r="K5082">
        <v>-576</v>
      </c>
      <c r="L5082">
        <v>1200</v>
      </c>
      <c r="M5082" t="str">
        <f t="shared" si="509"/>
        <v xml:space="preserve">N35DC   </v>
      </c>
      <c r="N5082">
        <v>1</v>
      </c>
      <c r="O5082">
        <v>1025</v>
      </c>
    </row>
    <row r="5083" spans="1:15" x14ac:dyDescent="0.25">
      <c r="A5083" t="str">
        <f>"10/21/2020 18:50:46.783"</f>
        <v>10/21/2020 18:50:46.783</v>
      </c>
      <c r="B5083" t="str">
        <f>"18:50:54.688"</f>
        <v>18:50:54.688</v>
      </c>
      <c r="C5083" t="str">
        <f>"18:50:54.288"</f>
        <v>18:50:54.288</v>
      </c>
      <c r="D5083" t="s">
        <v>2095</v>
      </c>
      <c r="E5083">
        <v>30.856453999999999</v>
      </c>
      <c r="F5083" t="s">
        <v>2096</v>
      </c>
      <c r="G5083">
        <v>-89.852242000000004</v>
      </c>
      <c r="H5083">
        <v>1000</v>
      </c>
      <c r="I5083">
        <v>-54</v>
      </c>
      <c r="J5083">
        <v>-107</v>
      </c>
      <c r="K5083">
        <v>-576</v>
      </c>
      <c r="L5083">
        <v>1200</v>
      </c>
      <c r="M5083" t="str">
        <f t="shared" si="509"/>
        <v xml:space="preserve">N35DC   </v>
      </c>
      <c r="N5083">
        <v>1</v>
      </c>
      <c r="O5083">
        <v>1025</v>
      </c>
    </row>
    <row r="5084" spans="1:15" x14ac:dyDescent="0.25">
      <c r="A5084" t="str">
        <f>"10/21/2020 18:50:46.783"</f>
        <v>10/21/2020 18:50:46.783</v>
      </c>
      <c r="B5084" t="str">
        <f>"18:50:54.688"</f>
        <v>18:50:54.688</v>
      </c>
      <c r="C5084" t="str">
        <f>"18:50:54.288"</f>
        <v>18:50:54.288</v>
      </c>
      <c r="D5084" t="s">
        <v>2095</v>
      </c>
      <c r="E5084">
        <v>30.856453999999999</v>
      </c>
      <c r="F5084" t="s">
        <v>2096</v>
      </c>
      <c r="G5084">
        <v>-89.852242000000004</v>
      </c>
      <c r="H5084">
        <v>1000</v>
      </c>
      <c r="I5084">
        <v>-54</v>
      </c>
      <c r="J5084">
        <v>-107</v>
      </c>
      <c r="K5084">
        <v>-576</v>
      </c>
      <c r="L5084">
        <v>1200</v>
      </c>
      <c r="M5084" t="str">
        <f t="shared" si="509"/>
        <v xml:space="preserve">N35DC   </v>
      </c>
      <c r="N5084">
        <v>1</v>
      </c>
      <c r="O5084">
        <v>1025</v>
      </c>
    </row>
    <row r="5085" spans="1:15" x14ac:dyDescent="0.25">
      <c r="A5085" t="str">
        <f>"10/21/2020 18:50:46.783"</f>
        <v>10/21/2020 18:50:46.783</v>
      </c>
      <c r="B5085" t="str">
        <f>"18:50:54.688"</f>
        <v>18:50:54.688</v>
      </c>
      <c r="C5085" t="str">
        <f>"18:50:54.288"</f>
        <v>18:50:54.288</v>
      </c>
      <c r="D5085" t="s">
        <v>2095</v>
      </c>
      <c r="E5085">
        <v>30.856453999999999</v>
      </c>
      <c r="F5085" t="s">
        <v>2096</v>
      </c>
      <c r="G5085">
        <v>-89.852242000000004</v>
      </c>
      <c r="H5085">
        <v>1000</v>
      </c>
      <c r="I5085">
        <v>-54</v>
      </c>
      <c r="J5085">
        <v>-107</v>
      </c>
      <c r="K5085">
        <v>-576</v>
      </c>
      <c r="L5085">
        <v>1200</v>
      </c>
      <c r="M5085" t="str">
        <f t="shared" si="509"/>
        <v xml:space="preserve">N35DC   </v>
      </c>
      <c r="N5085">
        <v>1</v>
      </c>
      <c r="O5085">
        <v>1025</v>
      </c>
    </row>
    <row r="5086" spans="1:15" x14ac:dyDescent="0.25">
      <c r="A5086" t="str">
        <f>"10/21/2020 18:50:49.804"</f>
        <v>10/21/2020 18:50:49.804</v>
      </c>
      <c r="B5086" t="str">
        <f t="shared" ref="B5086:C5090" si="511">"18:50:57.734"</f>
        <v>18:50:57.734</v>
      </c>
      <c r="C5086" t="str">
        <f t="shared" si="511"/>
        <v>18:50:57.734</v>
      </c>
      <c r="D5086" t="s">
        <v>2097</v>
      </c>
      <c r="E5086">
        <v>30.854973999999999</v>
      </c>
      <c r="F5086" t="s">
        <v>1679</v>
      </c>
      <c r="G5086">
        <v>-89.853144</v>
      </c>
      <c r="H5086">
        <v>900</v>
      </c>
      <c r="I5086">
        <v>-55</v>
      </c>
      <c r="J5086">
        <v>-109</v>
      </c>
      <c r="K5086">
        <v>-832</v>
      </c>
      <c r="L5086">
        <v>1200</v>
      </c>
      <c r="M5086" t="str">
        <f t="shared" si="509"/>
        <v xml:space="preserve">N35DC   </v>
      </c>
      <c r="N5086">
        <v>1</v>
      </c>
      <c r="O5086">
        <v>975</v>
      </c>
    </row>
    <row r="5087" spans="1:15" x14ac:dyDescent="0.25">
      <c r="A5087" t="str">
        <f>"10/21/2020 18:50:49.804"</f>
        <v>10/21/2020 18:50:49.804</v>
      </c>
      <c r="B5087" t="str">
        <f t="shared" si="511"/>
        <v>18:50:57.734</v>
      </c>
      <c r="C5087" t="str">
        <f t="shared" si="511"/>
        <v>18:50:57.734</v>
      </c>
      <c r="D5087" t="s">
        <v>2097</v>
      </c>
      <c r="E5087">
        <v>30.854973999999999</v>
      </c>
      <c r="F5087" t="s">
        <v>1679</v>
      </c>
      <c r="G5087">
        <v>-89.853144</v>
      </c>
      <c r="H5087">
        <v>900</v>
      </c>
      <c r="I5087">
        <v>-55</v>
      </c>
      <c r="J5087">
        <v>-109</v>
      </c>
      <c r="K5087">
        <v>-832</v>
      </c>
      <c r="L5087">
        <v>1200</v>
      </c>
      <c r="M5087" t="str">
        <f t="shared" si="509"/>
        <v xml:space="preserve">N35DC   </v>
      </c>
      <c r="N5087">
        <v>1</v>
      </c>
      <c r="O5087">
        <v>975</v>
      </c>
    </row>
    <row r="5088" spans="1:15" x14ac:dyDescent="0.25">
      <c r="A5088" t="str">
        <f>"10/21/2020 18:50:49.804"</f>
        <v>10/21/2020 18:50:49.804</v>
      </c>
      <c r="B5088" t="str">
        <f t="shared" si="511"/>
        <v>18:50:57.734</v>
      </c>
      <c r="C5088" t="str">
        <f t="shared" si="511"/>
        <v>18:50:57.734</v>
      </c>
      <c r="D5088" t="s">
        <v>2097</v>
      </c>
      <c r="E5088">
        <v>30.854973999999999</v>
      </c>
      <c r="F5088" t="s">
        <v>1679</v>
      </c>
      <c r="G5088">
        <v>-89.853144</v>
      </c>
      <c r="H5088">
        <v>900</v>
      </c>
      <c r="I5088">
        <v>-55</v>
      </c>
      <c r="J5088">
        <v>-109</v>
      </c>
      <c r="K5088">
        <v>-832</v>
      </c>
      <c r="L5088">
        <v>1200</v>
      </c>
      <c r="M5088" t="str">
        <f t="shared" si="509"/>
        <v xml:space="preserve">N35DC   </v>
      </c>
      <c r="N5088">
        <v>1</v>
      </c>
      <c r="O5088">
        <v>975</v>
      </c>
    </row>
    <row r="5089" spans="1:15" x14ac:dyDescent="0.25">
      <c r="A5089" t="str">
        <f>"10/21/2020 18:50:49.804"</f>
        <v>10/21/2020 18:50:49.804</v>
      </c>
      <c r="B5089" t="str">
        <f t="shared" si="511"/>
        <v>18:50:57.734</v>
      </c>
      <c r="C5089" t="str">
        <f t="shared" si="511"/>
        <v>18:50:57.734</v>
      </c>
      <c r="D5089" t="s">
        <v>2097</v>
      </c>
      <c r="E5089">
        <v>30.854973999999999</v>
      </c>
      <c r="F5089" t="s">
        <v>1679</v>
      </c>
      <c r="G5089">
        <v>-89.853144</v>
      </c>
      <c r="H5089">
        <v>900</v>
      </c>
      <c r="I5089">
        <v>-55</v>
      </c>
      <c r="J5089">
        <v>-109</v>
      </c>
      <c r="K5089">
        <v>-832</v>
      </c>
      <c r="L5089">
        <v>1200</v>
      </c>
      <c r="M5089" t="str">
        <f t="shared" si="509"/>
        <v xml:space="preserve">N35DC   </v>
      </c>
      <c r="N5089">
        <v>1</v>
      </c>
      <c r="O5089">
        <v>975</v>
      </c>
    </row>
    <row r="5090" spans="1:15" x14ac:dyDescent="0.25">
      <c r="A5090" t="str">
        <f>"10/21/2020 18:50:49.804"</f>
        <v>10/21/2020 18:50:49.804</v>
      </c>
      <c r="B5090" t="str">
        <f t="shared" si="511"/>
        <v>18:50:57.734</v>
      </c>
      <c r="C5090" t="str">
        <f t="shared" si="511"/>
        <v>18:50:57.734</v>
      </c>
      <c r="D5090" t="s">
        <v>2097</v>
      </c>
      <c r="E5090">
        <v>30.854973999999999</v>
      </c>
      <c r="F5090" t="s">
        <v>1679</v>
      </c>
      <c r="G5090">
        <v>-89.853144</v>
      </c>
      <c r="H5090">
        <v>900</v>
      </c>
      <c r="I5090">
        <v>-55</v>
      </c>
      <c r="J5090">
        <v>-109</v>
      </c>
      <c r="K5090">
        <v>-832</v>
      </c>
      <c r="L5090">
        <v>1200</v>
      </c>
      <c r="M5090" t="str">
        <f t="shared" si="509"/>
        <v xml:space="preserve">N35DC   </v>
      </c>
      <c r="N5090">
        <v>1</v>
      </c>
      <c r="O5090">
        <v>975</v>
      </c>
    </row>
    <row r="5091" spans="1:15" x14ac:dyDescent="0.25">
      <c r="A5091" t="str">
        <f>"10/21/2020 18:50:51.737"</f>
        <v>10/21/2020 18:50:51.737</v>
      </c>
      <c r="B5091" t="str">
        <f>"18:50:59.688"</f>
        <v>18:50:59.688</v>
      </c>
      <c r="C5091" t="str">
        <f>"18:50:59.288"</f>
        <v>18:50:59.288</v>
      </c>
      <c r="D5091" t="s">
        <v>2098</v>
      </c>
      <c r="E5091">
        <v>30.853964999999999</v>
      </c>
      <c r="F5091" t="s">
        <v>2099</v>
      </c>
      <c r="G5091">
        <v>-89.853679999999997</v>
      </c>
      <c r="H5091">
        <v>900</v>
      </c>
      <c r="I5091">
        <v>-55</v>
      </c>
      <c r="J5091">
        <v>-110</v>
      </c>
      <c r="K5091">
        <v>-832</v>
      </c>
      <c r="L5091">
        <v>1200</v>
      </c>
      <c r="M5091" t="str">
        <f t="shared" si="509"/>
        <v xml:space="preserve">N35DC   </v>
      </c>
      <c r="N5091">
        <v>1</v>
      </c>
      <c r="O5091">
        <v>950</v>
      </c>
    </row>
    <row r="5092" spans="1:15" x14ac:dyDescent="0.25">
      <c r="A5092" t="str">
        <f>"10/21/2020 18:50:51.737"</f>
        <v>10/21/2020 18:50:51.737</v>
      </c>
      <c r="B5092" t="str">
        <f>"18:50:59.688"</f>
        <v>18:50:59.688</v>
      </c>
      <c r="C5092" t="str">
        <f>"18:50:59.288"</f>
        <v>18:50:59.288</v>
      </c>
      <c r="D5092" t="s">
        <v>2098</v>
      </c>
      <c r="E5092">
        <v>30.853964999999999</v>
      </c>
      <c r="F5092" t="s">
        <v>2099</v>
      </c>
      <c r="G5092">
        <v>-89.853679999999997</v>
      </c>
      <c r="H5092">
        <v>900</v>
      </c>
      <c r="I5092">
        <v>-55</v>
      </c>
      <c r="J5092">
        <v>-110</v>
      </c>
      <c r="K5092">
        <v>-832</v>
      </c>
      <c r="L5092">
        <v>1200</v>
      </c>
      <c r="M5092" t="str">
        <f t="shared" si="509"/>
        <v xml:space="preserve">N35DC   </v>
      </c>
      <c r="N5092">
        <v>1</v>
      </c>
      <c r="O5092">
        <v>950</v>
      </c>
    </row>
    <row r="5093" spans="1:15" x14ac:dyDescent="0.25">
      <c r="A5093" t="str">
        <f>"10/21/2020 18:50:51.737"</f>
        <v>10/21/2020 18:50:51.737</v>
      </c>
      <c r="B5093" t="str">
        <f>"18:50:59.688"</f>
        <v>18:50:59.688</v>
      </c>
      <c r="C5093" t="str">
        <f>"18:50:59.288"</f>
        <v>18:50:59.288</v>
      </c>
      <c r="D5093" t="s">
        <v>2098</v>
      </c>
      <c r="E5093">
        <v>30.853964999999999</v>
      </c>
      <c r="F5093" t="s">
        <v>2099</v>
      </c>
      <c r="G5093">
        <v>-89.853679999999997</v>
      </c>
      <c r="H5093">
        <v>900</v>
      </c>
      <c r="I5093">
        <v>-55</v>
      </c>
      <c r="J5093">
        <v>-110</v>
      </c>
      <c r="K5093">
        <v>-832</v>
      </c>
      <c r="L5093">
        <v>1200</v>
      </c>
      <c r="M5093" t="str">
        <f t="shared" si="509"/>
        <v xml:space="preserve">N35DC   </v>
      </c>
      <c r="N5093">
        <v>1</v>
      </c>
      <c r="O5093">
        <v>950</v>
      </c>
    </row>
    <row r="5094" spans="1:15" x14ac:dyDescent="0.25">
      <c r="A5094" t="str">
        <f>"10/21/2020 18:50:51.737"</f>
        <v>10/21/2020 18:50:51.737</v>
      </c>
      <c r="B5094" t="str">
        <f>"18:50:59.688"</f>
        <v>18:50:59.688</v>
      </c>
      <c r="C5094" t="str">
        <f>"18:50:59.288"</f>
        <v>18:50:59.288</v>
      </c>
      <c r="D5094" t="s">
        <v>2098</v>
      </c>
      <c r="E5094">
        <v>30.853964999999999</v>
      </c>
      <c r="F5094" t="s">
        <v>2099</v>
      </c>
      <c r="G5094">
        <v>-89.853679999999997</v>
      </c>
      <c r="H5094">
        <v>900</v>
      </c>
      <c r="I5094">
        <v>-55</v>
      </c>
      <c r="J5094">
        <v>-110</v>
      </c>
      <c r="K5094">
        <v>-832</v>
      </c>
      <c r="L5094">
        <v>1200</v>
      </c>
      <c r="M5094" t="str">
        <f t="shared" si="509"/>
        <v xml:space="preserve">N35DC   </v>
      </c>
      <c r="N5094">
        <v>1</v>
      </c>
      <c r="O5094">
        <v>950</v>
      </c>
    </row>
    <row r="5095" spans="1:15" x14ac:dyDescent="0.25">
      <c r="A5095" t="str">
        <f>"10/21/2020 18:50:54.184"</f>
        <v>10/21/2020 18:50:54.184</v>
      </c>
      <c r="B5095" t="str">
        <f>"18:51:02.102"</f>
        <v>18:51:02.102</v>
      </c>
      <c r="C5095" t="str">
        <f>"18:51:01.302"</f>
        <v>18:51:01.302</v>
      </c>
      <c r="D5095" t="s">
        <v>2100</v>
      </c>
      <c r="E5095">
        <v>30.852720999999999</v>
      </c>
      <c r="F5095" t="s">
        <v>531</v>
      </c>
      <c r="G5095">
        <v>-89.854431000000005</v>
      </c>
      <c r="H5095">
        <v>900</v>
      </c>
      <c r="I5095">
        <v>-56</v>
      </c>
      <c r="J5095">
        <v>-110</v>
      </c>
      <c r="K5095">
        <v>-640</v>
      </c>
      <c r="L5095">
        <v>1200</v>
      </c>
      <c r="M5095" t="str">
        <f t="shared" si="509"/>
        <v xml:space="preserve">N35DC   </v>
      </c>
      <c r="N5095">
        <v>1</v>
      </c>
      <c r="O5095">
        <v>925</v>
      </c>
    </row>
    <row r="5096" spans="1:15" x14ac:dyDescent="0.25">
      <c r="A5096" t="str">
        <f>"10/21/2020 18:50:54.726"</f>
        <v>10/21/2020 18:50:54.726</v>
      </c>
      <c r="B5096" t="str">
        <f t="shared" ref="B5096:C5099" si="512">"18:51:02.672"</f>
        <v>18:51:02.672</v>
      </c>
      <c r="C5096" t="str">
        <f t="shared" si="512"/>
        <v>18:51:02.672</v>
      </c>
      <c r="D5096" t="s">
        <v>2101</v>
      </c>
      <c r="E5096">
        <v>30.852442</v>
      </c>
      <c r="F5096" t="s">
        <v>1839</v>
      </c>
      <c r="G5096">
        <v>-89.854602999999997</v>
      </c>
      <c r="H5096">
        <v>900</v>
      </c>
      <c r="I5096">
        <v>-56</v>
      </c>
      <c r="J5096">
        <v>-110</v>
      </c>
      <c r="K5096">
        <v>-512</v>
      </c>
      <c r="L5096">
        <v>1200</v>
      </c>
      <c r="M5096" t="str">
        <f t="shared" si="509"/>
        <v xml:space="preserve">N35DC   </v>
      </c>
      <c r="N5096">
        <v>1</v>
      </c>
      <c r="O5096">
        <v>925</v>
      </c>
    </row>
    <row r="5097" spans="1:15" x14ac:dyDescent="0.25">
      <c r="A5097" t="str">
        <f>"10/21/2020 18:50:54.726"</f>
        <v>10/21/2020 18:50:54.726</v>
      </c>
      <c r="B5097" t="str">
        <f t="shared" si="512"/>
        <v>18:51:02.672</v>
      </c>
      <c r="C5097" t="str">
        <f t="shared" si="512"/>
        <v>18:51:02.672</v>
      </c>
      <c r="D5097" t="s">
        <v>2101</v>
      </c>
      <c r="E5097">
        <v>30.852442</v>
      </c>
      <c r="F5097" t="s">
        <v>1839</v>
      </c>
      <c r="G5097">
        <v>-89.854602999999997</v>
      </c>
      <c r="H5097">
        <v>900</v>
      </c>
      <c r="I5097">
        <v>-56</v>
      </c>
      <c r="J5097">
        <v>-110</v>
      </c>
      <c r="K5097">
        <v>-512</v>
      </c>
      <c r="L5097">
        <v>1200</v>
      </c>
      <c r="M5097" t="str">
        <f t="shared" si="509"/>
        <v xml:space="preserve">N35DC   </v>
      </c>
      <c r="N5097">
        <v>1</v>
      </c>
      <c r="O5097">
        <v>925</v>
      </c>
    </row>
    <row r="5098" spans="1:15" x14ac:dyDescent="0.25">
      <c r="A5098" t="str">
        <f>"10/21/2020 18:50:54.726"</f>
        <v>10/21/2020 18:50:54.726</v>
      </c>
      <c r="B5098" t="str">
        <f t="shared" si="512"/>
        <v>18:51:02.672</v>
      </c>
      <c r="C5098" t="str">
        <f t="shared" si="512"/>
        <v>18:51:02.672</v>
      </c>
      <c r="D5098" t="s">
        <v>2101</v>
      </c>
      <c r="E5098">
        <v>30.852442</v>
      </c>
      <c r="F5098" t="s">
        <v>1839</v>
      </c>
      <c r="G5098">
        <v>-89.854602999999997</v>
      </c>
      <c r="H5098">
        <v>900</v>
      </c>
      <c r="I5098">
        <v>-56</v>
      </c>
      <c r="J5098">
        <v>-110</v>
      </c>
      <c r="K5098">
        <v>-512</v>
      </c>
      <c r="L5098">
        <v>1200</v>
      </c>
      <c r="M5098" t="str">
        <f t="shared" si="509"/>
        <v xml:space="preserve">N35DC   </v>
      </c>
      <c r="N5098">
        <v>1</v>
      </c>
      <c r="O5098">
        <v>925</v>
      </c>
    </row>
    <row r="5099" spans="1:15" x14ac:dyDescent="0.25">
      <c r="A5099" t="str">
        <f>"10/21/2020 18:50:54.726"</f>
        <v>10/21/2020 18:50:54.726</v>
      </c>
      <c r="B5099" t="str">
        <f t="shared" si="512"/>
        <v>18:51:02.672</v>
      </c>
      <c r="C5099" t="str">
        <f t="shared" si="512"/>
        <v>18:51:02.672</v>
      </c>
      <c r="D5099" t="s">
        <v>2101</v>
      </c>
      <c r="E5099">
        <v>30.852442</v>
      </c>
      <c r="F5099" t="s">
        <v>1839</v>
      </c>
      <c r="G5099">
        <v>-89.854602999999997</v>
      </c>
      <c r="H5099">
        <v>900</v>
      </c>
      <c r="I5099">
        <v>-56</v>
      </c>
      <c r="J5099">
        <v>-110</v>
      </c>
      <c r="K5099">
        <v>-512</v>
      </c>
      <c r="L5099">
        <v>1200</v>
      </c>
      <c r="M5099" t="str">
        <f t="shared" si="509"/>
        <v xml:space="preserve">N35DC   </v>
      </c>
      <c r="N5099">
        <v>1</v>
      </c>
      <c r="O5099">
        <v>925</v>
      </c>
    </row>
    <row r="5100" spans="1:15" x14ac:dyDescent="0.25">
      <c r="A5100" t="str">
        <f>"10/21/2020 18:50:56.678"</f>
        <v>10/21/2020 18:50:56.678</v>
      </c>
      <c r="B5100" t="str">
        <f>"18:51:04.586"</f>
        <v>18:51:04.586</v>
      </c>
      <c r="C5100" t="str">
        <f>"18:51:04.186"</f>
        <v>18:51:04.186</v>
      </c>
      <c r="D5100" t="s">
        <v>2102</v>
      </c>
      <c r="E5100">
        <v>30.851476000000002</v>
      </c>
      <c r="F5100" t="s">
        <v>2103</v>
      </c>
      <c r="G5100">
        <v>-89.855138999999994</v>
      </c>
      <c r="H5100">
        <v>800</v>
      </c>
      <c r="I5100">
        <v>-56</v>
      </c>
      <c r="J5100">
        <v>-110</v>
      </c>
      <c r="K5100">
        <v>-896</v>
      </c>
      <c r="L5100">
        <v>1200</v>
      </c>
      <c r="M5100" t="str">
        <f t="shared" si="509"/>
        <v xml:space="preserve">N35DC   </v>
      </c>
      <c r="N5100">
        <v>1</v>
      </c>
      <c r="O5100">
        <v>900</v>
      </c>
    </row>
    <row r="5101" spans="1:15" x14ac:dyDescent="0.25">
      <c r="A5101" t="str">
        <f>"10/21/2020 18:50:56.678"</f>
        <v>10/21/2020 18:50:56.678</v>
      </c>
      <c r="B5101" t="str">
        <f>"18:51:04.586"</f>
        <v>18:51:04.586</v>
      </c>
      <c r="C5101" t="str">
        <f>"18:51:04.186"</f>
        <v>18:51:04.186</v>
      </c>
      <c r="D5101" t="s">
        <v>2102</v>
      </c>
      <c r="E5101">
        <v>30.851476000000002</v>
      </c>
      <c r="F5101" t="s">
        <v>2103</v>
      </c>
      <c r="G5101">
        <v>-89.855138999999994</v>
      </c>
      <c r="H5101">
        <v>800</v>
      </c>
      <c r="I5101">
        <v>-56</v>
      </c>
      <c r="J5101">
        <v>-110</v>
      </c>
      <c r="K5101">
        <v>-896</v>
      </c>
      <c r="L5101">
        <v>1200</v>
      </c>
      <c r="M5101" t="str">
        <f t="shared" si="509"/>
        <v xml:space="preserve">N35DC   </v>
      </c>
      <c r="N5101">
        <v>1</v>
      </c>
      <c r="O5101">
        <v>900</v>
      </c>
    </row>
    <row r="5102" spans="1:15" x14ac:dyDescent="0.25">
      <c r="A5102" t="str">
        <f>"10/21/2020 18:50:56.678"</f>
        <v>10/21/2020 18:50:56.678</v>
      </c>
      <c r="B5102" t="str">
        <f>"18:51:04.586"</f>
        <v>18:51:04.586</v>
      </c>
      <c r="C5102" t="str">
        <f>"18:51:04.186"</f>
        <v>18:51:04.186</v>
      </c>
      <c r="D5102" t="s">
        <v>2102</v>
      </c>
      <c r="E5102">
        <v>30.851476000000002</v>
      </c>
      <c r="F5102" t="s">
        <v>2103</v>
      </c>
      <c r="G5102">
        <v>-89.855138999999994</v>
      </c>
      <c r="H5102">
        <v>800</v>
      </c>
      <c r="I5102">
        <v>-56</v>
      </c>
      <c r="J5102">
        <v>-110</v>
      </c>
      <c r="K5102">
        <v>-896</v>
      </c>
      <c r="L5102">
        <v>1200</v>
      </c>
      <c r="M5102" t="str">
        <f t="shared" si="509"/>
        <v xml:space="preserve">N35DC   </v>
      </c>
      <c r="N5102">
        <v>1</v>
      </c>
      <c r="O5102">
        <v>900</v>
      </c>
    </row>
    <row r="5103" spans="1:15" x14ac:dyDescent="0.25">
      <c r="A5103" t="str">
        <f>"10/21/2020 18:50:56.678"</f>
        <v>10/21/2020 18:50:56.678</v>
      </c>
      <c r="B5103" t="str">
        <f>"18:51:04.586"</f>
        <v>18:51:04.586</v>
      </c>
      <c r="C5103" t="str">
        <f>"18:51:04.186"</f>
        <v>18:51:04.186</v>
      </c>
      <c r="D5103" t="s">
        <v>2102</v>
      </c>
      <c r="E5103">
        <v>30.851476000000002</v>
      </c>
      <c r="F5103" t="s">
        <v>2103</v>
      </c>
      <c r="G5103">
        <v>-89.855138999999994</v>
      </c>
      <c r="H5103">
        <v>800</v>
      </c>
      <c r="I5103">
        <v>-56</v>
      </c>
      <c r="J5103">
        <v>-110</v>
      </c>
      <c r="K5103">
        <v>-896</v>
      </c>
      <c r="L5103">
        <v>1200</v>
      </c>
      <c r="M5103" t="str">
        <f t="shared" si="509"/>
        <v xml:space="preserve">N35DC   </v>
      </c>
      <c r="N5103">
        <v>1</v>
      </c>
      <c r="O5103">
        <v>900</v>
      </c>
    </row>
    <row r="5104" spans="1:15" x14ac:dyDescent="0.25">
      <c r="A5104" t="str">
        <f>"10/21/2020 18:50:57.199"</f>
        <v>10/21/2020 18:50:57.199</v>
      </c>
      <c r="B5104" t="str">
        <f>"18:51:05.102"</f>
        <v>18:51:05.102</v>
      </c>
      <c r="C5104" t="str">
        <f>"18:51:04.702"</f>
        <v>18:51:04.702</v>
      </c>
      <c r="D5104" t="s">
        <v>2104</v>
      </c>
      <c r="E5104">
        <v>30.851196999999999</v>
      </c>
      <c r="F5104" t="s">
        <v>2105</v>
      </c>
      <c r="G5104">
        <v>-89.855374999999995</v>
      </c>
      <c r="H5104">
        <v>800</v>
      </c>
      <c r="I5104">
        <v>-56</v>
      </c>
      <c r="J5104">
        <v>-110</v>
      </c>
      <c r="K5104">
        <v>-896</v>
      </c>
      <c r="L5104">
        <v>1200</v>
      </c>
      <c r="M5104" t="str">
        <f t="shared" si="509"/>
        <v xml:space="preserve">N35DC   </v>
      </c>
      <c r="N5104">
        <v>1</v>
      </c>
      <c r="O5104">
        <v>900</v>
      </c>
    </row>
    <row r="5105" spans="1:15" x14ac:dyDescent="0.25">
      <c r="A5105" t="str">
        <f>"10/21/2020 18:50:57.787"</f>
        <v>10/21/2020 18:50:57.787</v>
      </c>
      <c r="B5105" t="str">
        <f>"18:51:05.688"</f>
        <v>18:51:05.688</v>
      </c>
      <c r="C5105" t="str">
        <f>"18:51:05.188"</f>
        <v>18:51:05.188</v>
      </c>
      <c r="D5105" t="s">
        <v>2106</v>
      </c>
      <c r="E5105">
        <v>30.850897</v>
      </c>
      <c r="F5105" t="s">
        <v>1856</v>
      </c>
      <c r="G5105">
        <v>-89.855503999999996</v>
      </c>
      <c r="H5105">
        <v>800</v>
      </c>
      <c r="I5105">
        <v>-56</v>
      </c>
      <c r="J5105">
        <v>-111</v>
      </c>
      <c r="K5105">
        <v>-896</v>
      </c>
      <c r="L5105">
        <v>1200</v>
      </c>
      <c r="M5105" t="str">
        <f t="shared" si="509"/>
        <v xml:space="preserve">N35DC   </v>
      </c>
      <c r="N5105">
        <v>1</v>
      </c>
      <c r="O5105">
        <v>875</v>
      </c>
    </row>
    <row r="5106" spans="1:15" x14ac:dyDescent="0.25">
      <c r="A5106" t="str">
        <f>"10/21/2020 18:50:57.787"</f>
        <v>10/21/2020 18:50:57.787</v>
      </c>
      <c r="B5106" t="str">
        <f>"18:51:05.688"</f>
        <v>18:51:05.688</v>
      </c>
      <c r="C5106" t="str">
        <f>"18:51:05.188"</f>
        <v>18:51:05.188</v>
      </c>
      <c r="D5106" t="s">
        <v>2106</v>
      </c>
      <c r="E5106">
        <v>30.850897</v>
      </c>
      <c r="F5106" t="s">
        <v>1856</v>
      </c>
      <c r="G5106">
        <v>-89.855503999999996</v>
      </c>
      <c r="H5106">
        <v>800</v>
      </c>
      <c r="I5106">
        <v>-56</v>
      </c>
      <c r="J5106">
        <v>-111</v>
      </c>
      <c r="K5106">
        <v>-896</v>
      </c>
      <c r="L5106">
        <v>1200</v>
      </c>
      <c r="M5106" t="str">
        <f t="shared" si="509"/>
        <v xml:space="preserve">N35DC   </v>
      </c>
      <c r="N5106">
        <v>1</v>
      </c>
      <c r="O5106">
        <v>875</v>
      </c>
    </row>
    <row r="5107" spans="1:15" x14ac:dyDescent="0.25">
      <c r="A5107" t="str">
        <f>"10/21/2020 18:50:57.787"</f>
        <v>10/21/2020 18:50:57.787</v>
      </c>
      <c r="B5107" t="str">
        <f>"18:51:05.688"</f>
        <v>18:51:05.688</v>
      </c>
      <c r="C5107" t="str">
        <f>"18:51:05.188"</f>
        <v>18:51:05.188</v>
      </c>
      <c r="D5107" t="s">
        <v>2106</v>
      </c>
      <c r="E5107">
        <v>30.850897</v>
      </c>
      <c r="F5107" t="s">
        <v>1856</v>
      </c>
      <c r="G5107">
        <v>-89.855503999999996</v>
      </c>
      <c r="H5107">
        <v>800</v>
      </c>
      <c r="I5107">
        <v>-56</v>
      </c>
      <c r="J5107">
        <v>-111</v>
      </c>
      <c r="K5107">
        <v>-896</v>
      </c>
      <c r="L5107">
        <v>1200</v>
      </c>
      <c r="M5107" t="str">
        <f t="shared" si="509"/>
        <v xml:space="preserve">N35DC   </v>
      </c>
      <c r="N5107">
        <v>1</v>
      </c>
      <c r="O5107">
        <v>875</v>
      </c>
    </row>
    <row r="5108" spans="1:15" x14ac:dyDescent="0.25">
      <c r="A5108" t="str">
        <f>"10/21/2020 18:50:57.787"</f>
        <v>10/21/2020 18:50:57.787</v>
      </c>
      <c r="B5108" t="str">
        <f>"18:51:05.688"</f>
        <v>18:51:05.688</v>
      </c>
      <c r="C5108" t="str">
        <f>"18:51:05.188"</f>
        <v>18:51:05.188</v>
      </c>
      <c r="D5108" t="s">
        <v>2106</v>
      </c>
      <c r="E5108">
        <v>30.850897</v>
      </c>
      <c r="F5108" t="s">
        <v>1856</v>
      </c>
      <c r="G5108">
        <v>-89.855503999999996</v>
      </c>
      <c r="H5108">
        <v>800</v>
      </c>
      <c r="I5108">
        <v>-56</v>
      </c>
      <c r="J5108">
        <v>-111</v>
      </c>
      <c r="K5108">
        <v>-896</v>
      </c>
      <c r="L5108">
        <v>1200</v>
      </c>
      <c r="M5108" t="str">
        <f t="shared" si="509"/>
        <v xml:space="preserve">N35DC   </v>
      </c>
      <c r="N5108">
        <v>1</v>
      </c>
      <c r="O5108">
        <v>875</v>
      </c>
    </row>
    <row r="5109" spans="1:15" x14ac:dyDescent="0.25">
      <c r="A5109" t="str">
        <f>"10/21/2020 18:51:00.887"</f>
        <v>10/21/2020 18:51:00.887</v>
      </c>
      <c r="B5109" t="str">
        <f>"18:51:08.820"</f>
        <v>18:51:08.820</v>
      </c>
      <c r="C5109" t="str">
        <f>"18:51:08.720"</f>
        <v>18:51:08.720</v>
      </c>
      <c r="D5109" t="s">
        <v>2107</v>
      </c>
      <c r="E5109">
        <v>30.849245</v>
      </c>
      <c r="F5109" t="s">
        <v>2108</v>
      </c>
      <c r="G5109">
        <v>-89.856426999999996</v>
      </c>
      <c r="H5109">
        <v>800</v>
      </c>
      <c r="I5109">
        <v>-54</v>
      </c>
      <c r="J5109">
        <v>-113</v>
      </c>
      <c r="K5109">
        <v>-704</v>
      </c>
      <c r="L5109">
        <v>1200</v>
      </c>
      <c r="M5109" t="str">
        <f t="shared" si="509"/>
        <v xml:space="preserve">N35DC   </v>
      </c>
      <c r="N5109">
        <v>1</v>
      </c>
      <c r="O5109">
        <v>825</v>
      </c>
    </row>
    <row r="5110" spans="1:15" x14ac:dyDescent="0.25">
      <c r="A5110" t="str">
        <f>"10/21/2020 18:51:00.887"</f>
        <v>10/21/2020 18:51:00.887</v>
      </c>
      <c r="B5110" t="str">
        <f>"18:51:08.820"</f>
        <v>18:51:08.820</v>
      </c>
      <c r="C5110" t="str">
        <f>"18:51:08.720"</f>
        <v>18:51:08.720</v>
      </c>
      <c r="D5110" t="s">
        <v>2107</v>
      </c>
      <c r="E5110">
        <v>30.849245</v>
      </c>
      <c r="F5110" t="s">
        <v>2108</v>
      </c>
      <c r="G5110">
        <v>-89.856426999999996</v>
      </c>
      <c r="H5110">
        <v>800</v>
      </c>
      <c r="I5110">
        <v>-54</v>
      </c>
      <c r="J5110">
        <v>-113</v>
      </c>
      <c r="K5110">
        <v>-704</v>
      </c>
      <c r="L5110">
        <v>1200</v>
      </c>
      <c r="M5110" t="str">
        <f t="shared" si="509"/>
        <v xml:space="preserve">N35DC   </v>
      </c>
      <c r="N5110">
        <v>1</v>
      </c>
      <c r="O5110">
        <v>825</v>
      </c>
    </row>
    <row r="5111" spans="1:15" x14ac:dyDescent="0.25">
      <c r="A5111" t="str">
        <f>"10/21/2020 18:51:00.887"</f>
        <v>10/21/2020 18:51:00.887</v>
      </c>
      <c r="B5111" t="str">
        <f>"18:51:08.820"</f>
        <v>18:51:08.820</v>
      </c>
      <c r="C5111" t="str">
        <f>"18:51:08.720"</f>
        <v>18:51:08.720</v>
      </c>
      <c r="D5111" t="s">
        <v>2107</v>
      </c>
      <c r="E5111">
        <v>30.849245</v>
      </c>
      <c r="F5111" t="s">
        <v>2108</v>
      </c>
      <c r="G5111">
        <v>-89.856426999999996</v>
      </c>
      <c r="H5111">
        <v>800</v>
      </c>
      <c r="I5111">
        <v>-54</v>
      </c>
      <c r="J5111">
        <v>-113</v>
      </c>
      <c r="K5111">
        <v>-704</v>
      </c>
      <c r="L5111">
        <v>1200</v>
      </c>
      <c r="M5111" t="str">
        <f t="shared" si="509"/>
        <v xml:space="preserve">N35DC   </v>
      </c>
      <c r="N5111">
        <v>1</v>
      </c>
      <c r="O5111">
        <v>825</v>
      </c>
    </row>
    <row r="5112" spans="1:15" x14ac:dyDescent="0.25">
      <c r="A5112" t="str">
        <f>"10/21/2020 18:51:00.887"</f>
        <v>10/21/2020 18:51:00.887</v>
      </c>
      <c r="B5112" t="str">
        <f>"18:51:08.820"</f>
        <v>18:51:08.820</v>
      </c>
      <c r="C5112" t="str">
        <f>"18:51:08.720"</f>
        <v>18:51:08.720</v>
      </c>
      <c r="D5112" t="s">
        <v>2107</v>
      </c>
      <c r="E5112">
        <v>30.849245</v>
      </c>
      <c r="F5112" t="s">
        <v>2108</v>
      </c>
      <c r="G5112">
        <v>-89.856426999999996</v>
      </c>
      <c r="H5112">
        <v>800</v>
      </c>
      <c r="I5112">
        <v>-54</v>
      </c>
      <c r="J5112">
        <v>-113</v>
      </c>
      <c r="K5112">
        <v>-704</v>
      </c>
      <c r="L5112">
        <v>1200</v>
      </c>
      <c r="M5112" t="str">
        <f t="shared" si="509"/>
        <v xml:space="preserve">N35DC   </v>
      </c>
      <c r="N5112">
        <v>1</v>
      </c>
      <c r="O5112">
        <v>825</v>
      </c>
    </row>
    <row r="5113" spans="1:15" x14ac:dyDescent="0.25">
      <c r="A5113" t="str">
        <f>"10/21/2020 18:51:01.323"</f>
        <v>10/21/2020 18:51:01.323</v>
      </c>
      <c r="B5113" t="str">
        <f>"18:51:09.281"</f>
        <v>18:51:09.281</v>
      </c>
      <c r="C5113" t="str">
        <f>"18:51:09.281"</f>
        <v>18:51:09.281</v>
      </c>
      <c r="D5113" t="s">
        <v>2109</v>
      </c>
      <c r="E5113">
        <v>30.849008999999999</v>
      </c>
      <c r="F5113" t="s">
        <v>446</v>
      </c>
      <c r="G5113">
        <v>-89.856577000000001</v>
      </c>
      <c r="H5113">
        <v>800</v>
      </c>
      <c r="I5113">
        <v>-54</v>
      </c>
      <c r="J5113">
        <v>-113</v>
      </c>
      <c r="K5113">
        <v>-768</v>
      </c>
      <c r="L5113">
        <v>1200</v>
      </c>
      <c r="M5113" t="str">
        <f t="shared" si="509"/>
        <v xml:space="preserve">N35DC   </v>
      </c>
      <c r="N5113">
        <v>1</v>
      </c>
      <c r="O5113">
        <v>825</v>
      </c>
    </row>
    <row r="5114" spans="1:15" x14ac:dyDescent="0.25">
      <c r="A5114" t="str">
        <f>"10/21/2020 18:51:03.366"</f>
        <v>10/21/2020 18:51:03.366</v>
      </c>
      <c r="B5114" t="str">
        <f>"18:51:11.281"</f>
        <v>18:51:11.281</v>
      </c>
      <c r="C5114" t="str">
        <f>"18:51:10.881"</f>
        <v>18:51:10.881</v>
      </c>
      <c r="D5114" t="s">
        <v>2110</v>
      </c>
      <c r="E5114">
        <v>30.847957000000001</v>
      </c>
      <c r="F5114" t="s">
        <v>2111</v>
      </c>
      <c r="G5114">
        <v>-89.857112999999998</v>
      </c>
      <c r="H5114">
        <v>800</v>
      </c>
      <c r="I5114">
        <v>-55</v>
      </c>
      <c r="J5114">
        <v>-113</v>
      </c>
      <c r="K5114">
        <v>-64</v>
      </c>
      <c r="L5114">
        <v>1200</v>
      </c>
      <c r="M5114" t="str">
        <f t="shared" si="509"/>
        <v xml:space="preserve">N35DC   </v>
      </c>
      <c r="N5114">
        <v>1</v>
      </c>
      <c r="O5114">
        <v>825</v>
      </c>
    </row>
    <row r="5115" spans="1:15" x14ac:dyDescent="0.25">
      <c r="A5115" t="str">
        <f>"10/21/2020 18:51:03.366"</f>
        <v>10/21/2020 18:51:03.366</v>
      </c>
      <c r="B5115" t="str">
        <f>"18:51:11.281"</f>
        <v>18:51:11.281</v>
      </c>
      <c r="C5115" t="str">
        <f>"18:51:10.881"</f>
        <v>18:51:10.881</v>
      </c>
      <c r="D5115" t="s">
        <v>2110</v>
      </c>
      <c r="E5115">
        <v>30.847957000000001</v>
      </c>
      <c r="F5115" t="s">
        <v>2111</v>
      </c>
      <c r="G5115">
        <v>-89.857112999999998</v>
      </c>
      <c r="H5115">
        <v>800</v>
      </c>
      <c r="I5115">
        <v>-55</v>
      </c>
      <c r="J5115">
        <v>-113</v>
      </c>
      <c r="K5115">
        <v>-64</v>
      </c>
      <c r="L5115">
        <v>1200</v>
      </c>
      <c r="M5115" t="str">
        <f t="shared" si="509"/>
        <v xml:space="preserve">N35DC   </v>
      </c>
      <c r="N5115">
        <v>1</v>
      </c>
      <c r="O5115">
        <v>825</v>
      </c>
    </row>
    <row r="5116" spans="1:15" x14ac:dyDescent="0.25">
      <c r="A5116" t="str">
        <f>"10/21/2020 18:51:03.366"</f>
        <v>10/21/2020 18:51:03.366</v>
      </c>
      <c r="B5116" t="str">
        <f>"18:51:11.281"</f>
        <v>18:51:11.281</v>
      </c>
      <c r="C5116" t="str">
        <f>"18:51:10.881"</f>
        <v>18:51:10.881</v>
      </c>
      <c r="D5116" t="s">
        <v>2110</v>
      </c>
      <c r="E5116">
        <v>30.847957000000001</v>
      </c>
      <c r="F5116" t="s">
        <v>2111</v>
      </c>
      <c r="G5116">
        <v>-89.857112999999998</v>
      </c>
      <c r="H5116">
        <v>800</v>
      </c>
      <c r="I5116">
        <v>-55</v>
      </c>
      <c r="J5116">
        <v>-113</v>
      </c>
      <c r="K5116">
        <v>-64</v>
      </c>
      <c r="L5116">
        <v>1200</v>
      </c>
      <c r="M5116" t="str">
        <f t="shared" si="509"/>
        <v xml:space="preserve">N35DC   </v>
      </c>
      <c r="N5116">
        <v>1</v>
      </c>
      <c r="O5116">
        <v>825</v>
      </c>
    </row>
    <row r="5117" spans="1:15" x14ac:dyDescent="0.25">
      <c r="A5117" t="str">
        <f>"10/21/2020 18:51:03.366"</f>
        <v>10/21/2020 18:51:03.366</v>
      </c>
      <c r="B5117" t="str">
        <f>"18:51:11.281"</f>
        <v>18:51:11.281</v>
      </c>
      <c r="C5117" t="str">
        <f>"18:51:10.881"</f>
        <v>18:51:10.881</v>
      </c>
      <c r="D5117" t="s">
        <v>2110</v>
      </c>
      <c r="E5117">
        <v>30.847957000000001</v>
      </c>
      <c r="F5117" t="s">
        <v>2111</v>
      </c>
      <c r="G5117">
        <v>-89.857112999999998</v>
      </c>
      <c r="H5117">
        <v>800</v>
      </c>
      <c r="I5117">
        <v>-55</v>
      </c>
      <c r="J5117">
        <v>-113</v>
      </c>
      <c r="K5117">
        <v>-64</v>
      </c>
      <c r="L5117">
        <v>1200</v>
      </c>
      <c r="M5117" t="str">
        <f t="shared" si="509"/>
        <v xml:space="preserve">N35DC   </v>
      </c>
      <c r="N5117">
        <v>1</v>
      </c>
      <c r="O5117">
        <v>825</v>
      </c>
    </row>
    <row r="5118" spans="1:15" x14ac:dyDescent="0.25">
      <c r="A5118" t="str">
        <f>"10/21/2020 18:51:03.366"</f>
        <v>10/21/2020 18:51:03.366</v>
      </c>
      <c r="B5118" t="str">
        <f>"18:51:11.281"</f>
        <v>18:51:11.281</v>
      </c>
      <c r="C5118" t="str">
        <f>"18:51:10.881"</f>
        <v>18:51:10.881</v>
      </c>
      <c r="D5118" t="s">
        <v>2110</v>
      </c>
      <c r="E5118">
        <v>30.847957000000001</v>
      </c>
      <c r="F5118" t="s">
        <v>2111</v>
      </c>
      <c r="G5118">
        <v>-89.857112999999998</v>
      </c>
      <c r="H5118">
        <v>800</v>
      </c>
      <c r="I5118">
        <v>-55</v>
      </c>
      <c r="J5118">
        <v>-113</v>
      </c>
      <c r="K5118">
        <v>-64</v>
      </c>
      <c r="L5118">
        <v>1200</v>
      </c>
      <c r="M5118" t="str">
        <f t="shared" si="509"/>
        <v xml:space="preserve">N35DC   </v>
      </c>
      <c r="N5118">
        <v>1</v>
      </c>
      <c r="O5118">
        <v>825</v>
      </c>
    </row>
    <row r="5119" spans="1:15" x14ac:dyDescent="0.25">
      <c r="A5119" t="str">
        <f>"10/21/2020 18:51:04.276"</f>
        <v>10/21/2020 18:51:04.276</v>
      </c>
      <c r="B5119" t="str">
        <f>"18:51:12.211"</f>
        <v>18:51:12.211</v>
      </c>
      <c r="C5119" t="str">
        <f>"18:51:11.811"</f>
        <v>18:51:11.811</v>
      </c>
      <c r="D5119" t="s">
        <v>2112</v>
      </c>
      <c r="E5119">
        <v>30.847463999999999</v>
      </c>
      <c r="F5119" t="s">
        <v>2113</v>
      </c>
      <c r="G5119">
        <v>-89.857392000000004</v>
      </c>
      <c r="H5119">
        <v>800</v>
      </c>
      <c r="I5119">
        <v>-55</v>
      </c>
      <c r="J5119">
        <v>-112</v>
      </c>
      <c r="K5119">
        <v>0</v>
      </c>
      <c r="L5119">
        <v>1200</v>
      </c>
      <c r="M5119" t="str">
        <f t="shared" si="509"/>
        <v xml:space="preserve">N35DC   </v>
      </c>
      <c r="N5119">
        <v>1</v>
      </c>
      <c r="O5119">
        <v>825</v>
      </c>
    </row>
    <row r="5120" spans="1:15" x14ac:dyDescent="0.25">
      <c r="A5120" t="str">
        <f>"10/21/2020 18:51:04.276"</f>
        <v>10/21/2020 18:51:04.276</v>
      </c>
      <c r="B5120" t="str">
        <f>"18:51:12.211"</f>
        <v>18:51:12.211</v>
      </c>
      <c r="C5120" t="str">
        <f>"18:51:11.811"</f>
        <v>18:51:11.811</v>
      </c>
      <c r="D5120" t="s">
        <v>2112</v>
      </c>
      <c r="E5120">
        <v>30.847463999999999</v>
      </c>
      <c r="F5120" t="s">
        <v>2113</v>
      </c>
      <c r="G5120">
        <v>-89.857392000000004</v>
      </c>
      <c r="H5120">
        <v>800</v>
      </c>
      <c r="I5120">
        <v>-55</v>
      </c>
      <c r="J5120">
        <v>-112</v>
      </c>
      <c r="K5120">
        <v>0</v>
      </c>
      <c r="L5120">
        <v>1200</v>
      </c>
      <c r="M5120" t="str">
        <f t="shared" si="509"/>
        <v xml:space="preserve">N35DC   </v>
      </c>
      <c r="N5120">
        <v>1</v>
      </c>
      <c r="O5120">
        <v>825</v>
      </c>
    </row>
    <row r="5121" spans="1:15" x14ac:dyDescent="0.25">
      <c r="A5121" t="str">
        <f>"10/21/2020 18:51:04.276"</f>
        <v>10/21/2020 18:51:04.276</v>
      </c>
      <c r="B5121" t="str">
        <f>"18:51:12.211"</f>
        <v>18:51:12.211</v>
      </c>
      <c r="C5121" t="str">
        <f>"18:51:11.811"</f>
        <v>18:51:11.811</v>
      </c>
      <c r="D5121" t="s">
        <v>2112</v>
      </c>
      <c r="E5121">
        <v>30.847463999999999</v>
      </c>
      <c r="F5121" t="s">
        <v>2113</v>
      </c>
      <c r="G5121">
        <v>-89.857392000000004</v>
      </c>
      <c r="H5121">
        <v>800</v>
      </c>
      <c r="I5121">
        <v>-55</v>
      </c>
      <c r="J5121">
        <v>-112</v>
      </c>
      <c r="K5121">
        <v>0</v>
      </c>
      <c r="L5121">
        <v>1200</v>
      </c>
      <c r="M5121" t="str">
        <f t="shared" si="509"/>
        <v xml:space="preserve">N35DC   </v>
      </c>
      <c r="N5121">
        <v>1</v>
      </c>
      <c r="O5121">
        <v>825</v>
      </c>
    </row>
    <row r="5122" spans="1:15" x14ac:dyDescent="0.25">
      <c r="A5122" t="str">
        <f>"10/21/2020 18:51:04.276"</f>
        <v>10/21/2020 18:51:04.276</v>
      </c>
      <c r="B5122" t="str">
        <f>"18:51:12.211"</f>
        <v>18:51:12.211</v>
      </c>
      <c r="C5122" t="str">
        <f>"18:51:11.811"</f>
        <v>18:51:11.811</v>
      </c>
      <c r="D5122" t="s">
        <v>2112</v>
      </c>
      <c r="E5122">
        <v>30.847463999999999</v>
      </c>
      <c r="F5122" t="s">
        <v>2113</v>
      </c>
      <c r="G5122">
        <v>-89.857392000000004</v>
      </c>
      <c r="H5122">
        <v>800</v>
      </c>
      <c r="I5122">
        <v>-55</v>
      </c>
      <c r="J5122">
        <v>-112</v>
      </c>
      <c r="K5122">
        <v>0</v>
      </c>
      <c r="L5122">
        <v>1200</v>
      </c>
      <c r="M5122" t="str">
        <f t="shared" si="509"/>
        <v xml:space="preserve">N35DC   </v>
      </c>
      <c r="N5122">
        <v>1</v>
      </c>
      <c r="O5122">
        <v>825</v>
      </c>
    </row>
    <row r="5123" spans="1:15" x14ac:dyDescent="0.25">
      <c r="A5123" t="str">
        <f>"10/21/2020 18:51:04.896"</f>
        <v>10/21/2020 18:51:04.896</v>
      </c>
      <c r="B5123" t="str">
        <f>"18:51:12.797"</f>
        <v>18:51:12.797</v>
      </c>
      <c r="C5123" t="str">
        <f>"18:51:12.697"</f>
        <v>18:51:12.697</v>
      </c>
      <c r="D5123" t="s">
        <v>2114</v>
      </c>
      <c r="E5123">
        <v>30.847185</v>
      </c>
      <c r="F5123" t="s">
        <v>2115</v>
      </c>
      <c r="G5123">
        <v>-89.857607000000002</v>
      </c>
      <c r="H5123">
        <v>800</v>
      </c>
      <c r="I5123">
        <v>-55</v>
      </c>
      <c r="J5123">
        <v>-111</v>
      </c>
      <c r="K5123">
        <v>-128</v>
      </c>
      <c r="L5123">
        <v>1200</v>
      </c>
      <c r="M5123" t="str">
        <f t="shared" si="509"/>
        <v xml:space="preserve">N35DC   </v>
      </c>
      <c r="N5123">
        <v>1</v>
      </c>
      <c r="O5123">
        <v>825</v>
      </c>
    </row>
    <row r="5124" spans="1:15" x14ac:dyDescent="0.25">
      <c r="A5124" t="str">
        <f>"10/21/2020 18:51:07.306"</f>
        <v>10/21/2020 18:51:07.306</v>
      </c>
      <c r="B5124" t="str">
        <f>"18:51:15.250"</f>
        <v>18:51:15.250</v>
      </c>
      <c r="C5124" t="str">
        <f>"18:51:14.950"</f>
        <v>18:51:14.950</v>
      </c>
      <c r="D5124" t="s">
        <v>2116</v>
      </c>
      <c r="E5124">
        <v>30.845897000000001</v>
      </c>
      <c r="F5124" t="s">
        <v>2117</v>
      </c>
      <c r="G5124">
        <v>-89.858315000000005</v>
      </c>
      <c r="H5124">
        <v>800</v>
      </c>
      <c r="I5124">
        <v>-53</v>
      </c>
      <c r="J5124">
        <v>-110</v>
      </c>
      <c r="K5124">
        <v>-64</v>
      </c>
      <c r="L5124">
        <v>1200</v>
      </c>
      <c r="M5124" t="str">
        <f t="shared" si="509"/>
        <v xml:space="preserve">N35DC   </v>
      </c>
      <c r="N5124">
        <v>1</v>
      </c>
      <c r="O5124">
        <v>800</v>
      </c>
    </row>
    <row r="5125" spans="1:15" x14ac:dyDescent="0.25">
      <c r="A5125" t="str">
        <f>"10/21/2020 18:51:07.306"</f>
        <v>10/21/2020 18:51:07.306</v>
      </c>
      <c r="B5125" t="str">
        <f>"18:51:15.250"</f>
        <v>18:51:15.250</v>
      </c>
      <c r="C5125" t="str">
        <f>"18:51:14.950"</f>
        <v>18:51:14.950</v>
      </c>
      <c r="D5125" t="s">
        <v>2116</v>
      </c>
      <c r="E5125">
        <v>30.845897000000001</v>
      </c>
      <c r="F5125" t="s">
        <v>2117</v>
      </c>
      <c r="G5125">
        <v>-89.858315000000005</v>
      </c>
      <c r="H5125">
        <v>800</v>
      </c>
      <c r="I5125">
        <v>-53</v>
      </c>
      <c r="J5125">
        <v>-110</v>
      </c>
      <c r="K5125">
        <v>-64</v>
      </c>
      <c r="L5125">
        <v>1200</v>
      </c>
      <c r="M5125" t="str">
        <f t="shared" si="509"/>
        <v xml:space="preserve">N35DC   </v>
      </c>
      <c r="N5125">
        <v>1</v>
      </c>
      <c r="O5125">
        <v>800</v>
      </c>
    </row>
    <row r="5126" spans="1:15" x14ac:dyDescent="0.25">
      <c r="A5126" t="str">
        <f>"10/21/2020 18:51:07.306"</f>
        <v>10/21/2020 18:51:07.306</v>
      </c>
      <c r="B5126" t="str">
        <f>"18:51:15.250"</f>
        <v>18:51:15.250</v>
      </c>
      <c r="C5126" t="str">
        <f>"18:51:14.950"</f>
        <v>18:51:14.950</v>
      </c>
      <c r="D5126" t="s">
        <v>2116</v>
      </c>
      <c r="E5126">
        <v>30.845897000000001</v>
      </c>
      <c r="F5126" t="s">
        <v>2117</v>
      </c>
      <c r="G5126">
        <v>-89.858315000000005</v>
      </c>
      <c r="H5126">
        <v>800</v>
      </c>
      <c r="I5126">
        <v>-53</v>
      </c>
      <c r="J5126">
        <v>-110</v>
      </c>
      <c r="K5126">
        <v>-64</v>
      </c>
      <c r="L5126">
        <v>1200</v>
      </c>
      <c r="M5126" t="str">
        <f t="shared" si="509"/>
        <v xml:space="preserve">N35DC   </v>
      </c>
      <c r="N5126">
        <v>1</v>
      </c>
      <c r="O5126">
        <v>800</v>
      </c>
    </row>
    <row r="5127" spans="1:15" x14ac:dyDescent="0.25">
      <c r="A5127" t="str">
        <f>"10/21/2020 18:51:07.306"</f>
        <v>10/21/2020 18:51:07.306</v>
      </c>
      <c r="B5127" t="str">
        <f>"18:51:15.250"</f>
        <v>18:51:15.250</v>
      </c>
      <c r="C5127" t="str">
        <f>"18:51:14.950"</f>
        <v>18:51:14.950</v>
      </c>
      <c r="D5127" t="s">
        <v>2116</v>
      </c>
      <c r="E5127">
        <v>30.845897000000001</v>
      </c>
      <c r="F5127" t="s">
        <v>2117</v>
      </c>
      <c r="G5127">
        <v>-89.858315000000005</v>
      </c>
      <c r="H5127">
        <v>800</v>
      </c>
      <c r="I5127">
        <v>-53</v>
      </c>
      <c r="J5127">
        <v>-110</v>
      </c>
      <c r="K5127">
        <v>-64</v>
      </c>
      <c r="L5127">
        <v>1200</v>
      </c>
      <c r="M5127" t="str">
        <f t="shared" ref="M5127:M5190" si="513">"N35DC   "</f>
        <v xml:space="preserve">N35DC   </v>
      </c>
      <c r="N5127">
        <v>1</v>
      </c>
      <c r="O5127">
        <v>800</v>
      </c>
    </row>
    <row r="5128" spans="1:15" x14ac:dyDescent="0.25">
      <c r="A5128" t="str">
        <f>"10/21/2020 18:51:07.306"</f>
        <v>10/21/2020 18:51:07.306</v>
      </c>
      <c r="B5128" t="str">
        <f>"18:51:15.250"</f>
        <v>18:51:15.250</v>
      </c>
      <c r="C5128" t="str">
        <f>"18:51:14.950"</f>
        <v>18:51:14.950</v>
      </c>
      <c r="D5128" t="s">
        <v>2116</v>
      </c>
      <c r="E5128">
        <v>30.845897000000001</v>
      </c>
      <c r="F5128" t="s">
        <v>2117</v>
      </c>
      <c r="G5128">
        <v>-89.858315000000005</v>
      </c>
      <c r="H5128">
        <v>800</v>
      </c>
      <c r="I5128">
        <v>-53</v>
      </c>
      <c r="J5128">
        <v>-110</v>
      </c>
      <c r="K5128">
        <v>-64</v>
      </c>
      <c r="L5128">
        <v>1200</v>
      </c>
      <c r="M5128" t="str">
        <f t="shared" si="513"/>
        <v xml:space="preserve">N35DC   </v>
      </c>
      <c r="N5128">
        <v>1</v>
      </c>
      <c r="O5128">
        <v>800</v>
      </c>
    </row>
    <row r="5129" spans="1:15" x14ac:dyDescent="0.25">
      <c r="A5129" t="str">
        <f>"10/21/2020 18:51:08.514"</f>
        <v>10/21/2020 18:51:08.514</v>
      </c>
      <c r="B5129" t="str">
        <f>"18:51:16.406"</f>
        <v>18:51:16.406</v>
      </c>
      <c r="C5129" t="str">
        <f>"18:51:15.906"</f>
        <v>18:51:15.906</v>
      </c>
      <c r="D5129" t="s">
        <v>2118</v>
      </c>
      <c r="E5129">
        <v>30.845296000000001</v>
      </c>
      <c r="F5129" t="s">
        <v>2119</v>
      </c>
      <c r="G5129">
        <v>-89.858637000000002</v>
      </c>
      <c r="H5129">
        <v>800</v>
      </c>
      <c r="I5129">
        <v>-51</v>
      </c>
      <c r="J5129">
        <v>-110</v>
      </c>
      <c r="K5129">
        <v>0</v>
      </c>
      <c r="L5129">
        <v>1200</v>
      </c>
      <c r="M5129" t="str">
        <f t="shared" si="513"/>
        <v xml:space="preserve">N35DC   </v>
      </c>
      <c r="N5129">
        <v>1</v>
      </c>
      <c r="O5129">
        <v>800</v>
      </c>
    </row>
    <row r="5130" spans="1:15" x14ac:dyDescent="0.25">
      <c r="A5130" t="str">
        <f>"10/21/2020 18:51:08.514"</f>
        <v>10/21/2020 18:51:08.514</v>
      </c>
      <c r="B5130" t="str">
        <f>"18:51:16.406"</f>
        <v>18:51:16.406</v>
      </c>
      <c r="C5130" t="str">
        <f>"18:51:15.906"</f>
        <v>18:51:15.906</v>
      </c>
      <c r="D5130" t="s">
        <v>2118</v>
      </c>
      <c r="E5130">
        <v>30.845296000000001</v>
      </c>
      <c r="F5130" t="s">
        <v>2119</v>
      </c>
      <c r="G5130">
        <v>-89.858637000000002</v>
      </c>
      <c r="H5130">
        <v>800</v>
      </c>
      <c r="I5130">
        <v>-51</v>
      </c>
      <c r="J5130">
        <v>-110</v>
      </c>
      <c r="K5130">
        <v>0</v>
      </c>
      <c r="L5130">
        <v>1200</v>
      </c>
      <c r="M5130" t="str">
        <f t="shared" si="513"/>
        <v xml:space="preserve">N35DC   </v>
      </c>
      <c r="N5130">
        <v>1</v>
      </c>
      <c r="O5130">
        <v>800</v>
      </c>
    </row>
    <row r="5131" spans="1:15" x14ac:dyDescent="0.25">
      <c r="A5131" t="str">
        <f>"10/21/2020 18:51:08.514"</f>
        <v>10/21/2020 18:51:08.514</v>
      </c>
      <c r="B5131" t="str">
        <f>"18:51:16.406"</f>
        <v>18:51:16.406</v>
      </c>
      <c r="C5131" t="str">
        <f>"18:51:15.906"</f>
        <v>18:51:15.906</v>
      </c>
      <c r="D5131" t="s">
        <v>2118</v>
      </c>
      <c r="E5131">
        <v>30.845296000000001</v>
      </c>
      <c r="F5131" t="s">
        <v>2119</v>
      </c>
      <c r="G5131">
        <v>-89.858637000000002</v>
      </c>
      <c r="H5131">
        <v>800</v>
      </c>
      <c r="I5131">
        <v>-51</v>
      </c>
      <c r="J5131">
        <v>-110</v>
      </c>
      <c r="K5131">
        <v>0</v>
      </c>
      <c r="L5131">
        <v>1200</v>
      </c>
      <c r="M5131" t="str">
        <f t="shared" si="513"/>
        <v xml:space="preserve">N35DC   </v>
      </c>
      <c r="N5131">
        <v>1</v>
      </c>
      <c r="O5131">
        <v>800</v>
      </c>
    </row>
    <row r="5132" spans="1:15" x14ac:dyDescent="0.25">
      <c r="A5132" t="str">
        <f>"10/21/2020 18:51:08.514"</f>
        <v>10/21/2020 18:51:08.514</v>
      </c>
      <c r="B5132" t="str">
        <f>"18:51:16.406"</f>
        <v>18:51:16.406</v>
      </c>
      <c r="C5132" t="str">
        <f>"18:51:15.906"</f>
        <v>18:51:15.906</v>
      </c>
      <c r="D5132" t="s">
        <v>2118</v>
      </c>
      <c r="E5132">
        <v>30.845296000000001</v>
      </c>
      <c r="F5132" t="s">
        <v>2119</v>
      </c>
      <c r="G5132">
        <v>-89.858637000000002</v>
      </c>
      <c r="H5132">
        <v>800</v>
      </c>
      <c r="I5132">
        <v>-51</v>
      </c>
      <c r="J5132">
        <v>-110</v>
      </c>
      <c r="K5132">
        <v>0</v>
      </c>
      <c r="L5132">
        <v>1200</v>
      </c>
      <c r="M5132" t="str">
        <f t="shared" si="513"/>
        <v xml:space="preserve">N35DC   </v>
      </c>
      <c r="N5132">
        <v>1</v>
      </c>
      <c r="O5132">
        <v>800</v>
      </c>
    </row>
    <row r="5133" spans="1:15" x14ac:dyDescent="0.25">
      <c r="A5133" t="str">
        <f>"10/21/2020 18:51:08.514"</f>
        <v>10/21/2020 18:51:08.514</v>
      </c>
      <c r="B5133" t="str">
        <f>"18:51:16.406"</f>
        <v>18:51:16.406</v>
      </c>
      <c r="C5133" t="str">
        <f>"18:51:15.906"</f>
        <v>18:51:15.906</v>
      </c>
      <c r="D5133" t="s">
        <v>2118</v>
      </c>
      <c r="E5133">
        <v>30.845296000000001</v>
      </c>
      <c r="F5133" t="s">
        <v>2119</v>
      </c>
      <c r="G5133">
        <v>-89.858637000000002</v>
      </c>
      <c r="H5133">
        <v>800</v>
      </c>
      <c r="I5133">
        <v>-51</v>
      </c>
      <c r="J5133">
        <v>-110</v>
      </c>
      <c r="K5133">
        <v>0</v>
      </c>
      <c r="L5133">
        <v>1200</v>
      </c>
      <c r="M5133" t="str">
        <f t="shared" si="513"/>
        <v xml:space="preserve">N35DC   </v>
      </c>
      <c r="N5133">
        <v>1</v>
      </c>
      <c r="O5133">
        <v>800</v>
      </c>
    </row>
    <row r="5134" spans="1:15" x14ac:dyDescent="0.25">
      <c r="A5134" t="str">
        <f>"10/21/2020 18:51:11.793"</f>
        <v>10/21/2020 18:51:11.793</v>
      </c>
      <c r="B5134" t="str">
        <f>"18:51:19.734"</f>
        <v>18:51:19.734</v>
      </c>
      <c r="C5134" t="str">
        <f>"18:51:19.434"</f>
        <v>18:51:19.434</v>
      </c>
      <c r="D5134" t="s">
        <v>2120</v>
      </c>
      <c r="E5134">
        <v>30.843623000000001</v>
      </c>
      <c r="F5134" t="s">
        <v>690</v>
      </c>
      <c r="G5134">
        <v>-89.859431000000001</v>
      </c>
      <c r="H5134">
        <v>800</v>
      </c>
      <c r="I5134">
        <v>-45</v>
      </c>
      <c r="J5134">
        <v>-111</v>
      </c>
      <c r="K5134">
        <v>-320</v>
      </c>
      <c r="L5134">
        <v>1200</v>
      </c>
      <c r="M5134" t="str">
        <f t="shared" si="513"/>
        <v xml:space="preserve">N35DC   </v>
      </c>
      <c r="N5134">
        <v>1</v>
      </c>
      <c r="O5134">
        <v>800</v>
      </c>
    </row>
    <row r="5135" spans="1:15" x14ac:dyDescent="0.25">
      <c r="A5135" t="str">
        <f>"10/21/2020 18:51:11.793"</f>
        <v>10/21/2020 18:51:11.793</v>
      </c>
      <c r="B5135" t="str">
        <f>"18:51:19.734"</f>
        <v>18:51:19.734</v>
      </c>
      <c r="C5135" t="str">
        <f>"18:51:19.434"</f>
        <v>18:51:19.434</v>
      </c>
      <c r="D5135" t="s">
        <v>2120</v>
      </c>
      <c r="E5135">
        <v>30.843623000000001</v>
      </c>
      <c r="F5135" t="s">
        <v>690</v>
      </c>
      <c r="G5135">
        <v>-89.859431000000001</v>
      </c>
      <c r="H5135">
        <v>800</v>
      </c>
      <c r="I5135">
        <v>-45</v>
      </c>
      <c r="J5135">
        <v>-111</v>
      </c>
      <c r="K5135">
        <v>-320</v>
      </c>
      <c r="L5135">
        <v>1200</v>
      </c>
      <c r="M5135" t="str">
        <f t="shared" si="513"/>
        <v xml:space="preserve">N35DC   </v>
      </c>
      <c r="N5135">
        <v>1</v>
      </c>
      <c r="O5135">
        <v>800</v>
      </c>
    </row>
    <row r="5136" spans="1:15" x14ac:dyDescent="0.25">
      <c r="A5136" t="str">
        <f>"10/21/2020 18:51:11.793"</f>
        <v>10/21/2020 18:51:11.793</v>
      </c>
      <c r="B5136" t="str">
        <f>"18:51:19.734"</f>
        <v>18:51:19.734</v>
      </c>
      <c r="C5136" t="str">
        <f>"18:51:19.434"</f>
        <v>18:51:19.434</v>
      </c>
      <c r="D5136" t="s">
        <v>2120</v>
      </c>
      <c r="E5136">
        <v>30.843623000000001</v>
      </c>
      <c r="F5136" t="s">
        <v>690</v>
      </c>
      <c r="G5136">
        <v>-89.859431000000001</v>
      </c>
      <c r="H5136">
        <v>800</v>
      </c>
      <c r="I5136">
        <v>-45</v>
      </c>
      <c r="J5136">
        <v>-111</v>
      </c>
      <c r="K5136">
        <v>-320</v>
      </c>
      <c r="L5136">
        <v>1200</v>
      </c>
      <c r="M5136" t="str">
        <f t="shared" si="513"/>
        <v xml:space="preserve">N35DC   </v>
      </c>
      <c r="N5136">
        <v>1</v>
      </c>
      <c r="O5136">
        <v>800</v>
      </c>
    </row>
    <row r="5137" spans="1:15" x14ac:dyDescent="0.25">
      <c r="A5137" t="str">
        <f>"10/21/2020 18:51:11.793"</f>
        <v>10/21/2020 18:51:11.793</v>
      </c>
      <c r="B5137" t="str">
        <f>"18:51:19.734"</f>
        <v>18:51:19.734</v>
      </c>
      <c r="C5137" t="str">
        <f>"18:51:19.434"</f>
        <v>18:51:19.434</v>
      </c>
      <c r="D5137" t="s">
        <v>2120</v>
      </c>
      <c r="E5137">
        <v>30.843623000000001</v>
      </c>
      <c r="F5137" t="s">
        <v>690</v>
      </c>
      <c r="G5137">
        <v>-89.859431000000001</v>
      </c>
      <c r="H5137">
        <v>800</v>
      </c>
      <c r="I5137">
        <v>-45</v>
      </c>
      <c r="J5137">
        <v>-111</v>
      </c>
      <c r="K5137">
        <v>-320</v>
      </c>
      <c r="L5137">
        <v>1200</v>
      </c>
      <c r="M5137" t="str">
        <f t="shared" si="513"/>
        <v xml:space="preserve">N35DC   </v>
      </c>
      <c r="N5137">
        <v>1</v>
      </c>
      <c r="O5137">
        <v>800</v>
      </c>
    </row>
    <row r="5138" spans="1:15" x14ac:dyDescent="0.25">
      <c r="A5138" t="str">
        <f>"10/21/2020 18:51:11.793"</f>
        <v>10/21/2020 18:51:11.793</v>
      </c>
      <c r="B5138" t="str">
        <f>"18:51:19.734"</f>
        <v>18:51:19.734</v>
      </c>
      <c r="C5138" t="str">
        <f>"18:51:19.434"</f>
        <v>18:51:19.434</v>
      </c>
      <c r="D5138" t="s">
        <v>2120</v>
      </c>
      <c r="E5138">
        <v>30.843623000000001</v>
      </c>
      <c r="F5138" t="s">
        <v>690</v>
      </c>
      <c r="G5138">
        <v>-89.859431000000001</v>
      </c>
      <c r="H5138">
        <v>800</v>
      </c>
      <c r="I5138">
        <v>-45</v>
      </c>
      <c r="J5138">
        <v>-111</v>
      </c>
      <c r="K5138">
        <v>-320</v>
      </c>
      <c r="L5138">
        <v>1200</v>
      </c>
      <c r="M5138" t="str">
        <f t="shared" si="513"/>
        <v xml:space="preserve">N35DC   </v>
      </c>
      <c r="N5138">
        <v>1</v>
      </c>
      <c r="O5138">
        <v>800</v>
      </c>
    </row>
    <row r="5139" spans="1:15" x14ac:dyDescent="0.25">
      <c r="A5139" t="str">
        <f>"10/21/2020 18:51:12.800"</f>
        <v>10/21/2020 18:51:12.800</v>
      </c>
      <c r="B5139" t="str">
        <f>"18:51:20.711"</f>
        <v>18:51:20.711</v>
      </c>
      <c r="C5139" t="str">
        <f>"18:51:20.511"</f>
        <v>18:51:20.511</v>
      </c>
      <c r="D5139" t="s">
        <v>2121</v>
      </c>
      <c r="E5139">
        <v>30.843086</v>
      </c>
      <c r="F5139" t="s">
        <v>1783</v>
      </c>
      <c r="G5139">
        <v>-89.859645</v>
      </c>
      <c r="H5139">
        <v>700</v>
      </c>
      <c r="I5139">
        <v>-44</v>
      </c>
      <c r="J5139">
        <v>-112</v>
      </c>
      <c r="K5139">
        <v>-448</v>
      </c>
      <c r="L5139">
        <v>1200</v>
      </c>
      <c r="M5139" t="str">
        <f t="shared" si="513"/>
        <v xml:space="preserve">N35DC   </v>
      </c>
      <c r="N5139">
        <v>1</v>
      </c>
      <c r="O5139">
        <v>800</v>
      </c>
    </row>
    <row r="5140" spans="1:15" x14ac:dyDescent="0.25">
      <c r="A5140" t="str">
        <f>"10/21/2020 18:51:12.800"</f>
        <v>10/21/2020 18:51:12.800</v>
      </c>
      <c r="B5140" t="str">
        <f>"18:51:20.711"</f>
        <v>18:51:20.711</v>
      </c>
      <c r="C5140" t="str">
        <f>"18:51:20.511"</f>
        <v>18:51:20.511</v>
      </c>
      <c r="D5140" t="s">
        <v>2121</v>
      </c>
      <c r="E5140">
        <v>30.843086</v>
      </c>
      <c r="F5140" t="s">
        <v>1783</v>
      </c>
      <c r="G5140">
        <v>-89.859645</v>
      </c>
      <c r="H5140">
        <v>700</v>
      </c>
      <c r="I5140">
        <v>-44</v>
      </c>
      <c r="J5140">
        <v>-112</v>
      </c>
      <c r="K5140">
        <v>-448</v>
      </c>
      <c r="L5140">
        <v>1200</v>
      </c>
      <c r="M5140" t="str">
        <f t="shared" si="513"/>
        <v xml:space="preserve">N35DC   </v>
      </c>
      <c r="N5140">
        <v>1</v>
      </c>
      <c r="O5140">
        <v>800</v>
      </c>
    </row>
    <row r="5141" spans="1:15" x14ac:dyDescent="0.25">
      <c r="A5141" t="str">
        <f>"10/21/2020 18:51:12.800"</f>
        <v>10/21/2020 18:51:12.800</v>
      </c>
      <c r="B5141" t="str">
        <f>"18:51:20.711"</f>
        <v>18:51:20.711</v>
      </c>
      <c r="C5141" t="str">
        <f>"18:51:20.511"</f>
        <v>18:51:20.511</v>
      </c>
      <c r="D5141" t="s">
        <v>2121</v>
      </c>
      <c r="E5141">
        <v>30.843086</v>
      </c>
      <c r="F5141" t="s">
        <v>1783</v>
      </c>
      <c r="G5141">
        <v>-89.859645</v>
      </c>
      <c r="H5141">
        <v>700</v>
      </c>
      <c r="I5141">
        <v>-44</v>
      </c>
      <c r="J5141">
        <v>-112</v>
      </c>
      <c r="K5141">
        <v>-448</v>
      </c>
      <c r="L5141">
        <v>1200</v>
      </c>
      <c r="M5141" t="str">
        <f t="shared" si="513"/>
        <v xml:space="preserve">N35DC   </v>
      </c>
      <c r="N5141">
        <v>1</v>
      </c>
      <c r="O5141">
        <v>800</v>
      </c>
    </row>
    <row r="5142" spans="1:15" x14ac:dyDescent="0.25">
      <c r="A5142" t="str">
        <f>"10/21/2020 18:51:12.800"</f>
        <v>10/21/2020 18:51:12.800</v>
      </c>
      <c r="B5142" t="str">
        <f>"18:51:20.711"</f>
        <v>18:51:20.711</v>
      </c>
      <c r="C5142" t="str">
        <f>"18:51:20.511"</f>
        <v>18:51:20.511</v>
      </c>
      <c r="D5142" t="s">
        <v>2121</v>
      </c>
      <c r="E5142">
        <v>30.843086</v>
      </c>
      <c r="F5142" t="s">
        <v>1783</v>
      </c>
      <c r="G5142">
        <v>-89.859645</v>
      </c>
      <c r="H5142">
        <v>700</v>
      </c>
      <c r="I5142">
        <v>-44</v>
      </c>
      <c r="J5142">
        <v>-112</v>
      </c>
      <c r="K5142">
        <v>-448</v>
      </c>
      <c r="L5142">
        <v>1200</v>
      </c>
      <c r="M5142" t="str">
        <f t="shared" si="513"/>
        <v xml:space="preserve">N35DC   </v>
      </c>
      <c r="N5142">
        <v>1</v>
      </c>
      <c r="O5142">
        <v>800</v>
      </c>
    </row>
    <row r="5143" spans="1:15" x14ac:dyDescent="0.25">
      <c r="A5143" t="str">
        <f>"10/21/2020 18:51:12.800"</f>
        <v>10/21/2020 18:51:12.800</v>
      </c>
      <c r="B5143" t="str">
        <f>"18:51:20.711"</f>
        <v>18:51:20.711</v>
      </c>
      <c r="C5143" t="str">
        <f>"18:51:20.511"</f>
        <v>18:51:20.511</v>
      </c>
      <c r="D5143" t="s">
        <v>2121</v>
      </c>
      <c r="E5143">
        <v>30.843086</v>
      </c>
      <c r="F5143" t="s">
        <v>1783</v>
      </c>
      <c r="G5143">
        <v>-89.859645</v>
      </c>
      <c r="H5143">
        <v>700</v>
      </c>
      <c r="I5143">
        <v>-44</v>
      </c>
      <c r="J5143">
        <v>-112</v>
      </c>
      <c r="K5143">
        <v>-448</v>
      </c>
      <c r="L5143">
        <v>1200</v>
      </c>
      <c r="M5143" t="str">
        <f t="shared" si="513"/>
        <v xml:space="preserve">N35DC   </v>
      </c>
      <c r="N5143">
        <v>1</v>
      </c>
      <c r="O5143">
        <v>800</v>
      </c>
    </row>
    <row r="5144" spans="1:15" x14ac:dyDescent="0.25">
      <c r="A5144" t="str">
        <f>"10/21/2020 18:51:14.810"</f>
        <v>10/21/2020 18:51:14.810</v>
      </c>
      <c r="B5144" t="str">
        <f>"18:51:22.766"</f>
        <v>18:51:22.766</v>
      </c>
      <c r="C5144" t="str">
        <f>"18:51:22.366"</f>
        <v>18:51:22.366</v>
      </c>
      <c r="D5144" t="s">
        <v>2122</v>
      </c>
      <c r="E5144">
        <v>30.842013000000001</v>
      </c>
      <c r="F5144" t="s">
        <v>2123</v>
      </c>
      <c r="G5144">
        <v>-89.860139000000004</v>
      </c>
      <c r="H5144">
        <v>700</v>
      </c>
      <c r="I5144">
        <v>-42</v>
      </c>
      <c r="J5144">
        <v>-113</v>
      </c>
      <c r="K5144">
        <v>-448</v>
      </c>
      <c r="L5144">
        <v>1200</v>
      </c>
      <c r="M5144" t="str">
        <f t="shared" si="513"/>
        <v xml:space="preserve">N35DC   </v>
      </c>
      <c r="N5144">
        <v>1</v>
      </c>
      <c r="O5144">
        <v>775</v>
      </c>
    </row>
    <row r="5145" spans="1:15" x14ac:dyDescent="0.25">
      <c r="A5145" t="str">
        <f>"10/21/2020 18:51:14.810"</f>
        <v>10/21/2020 18:51:14.810</v>
      </c>
      <c r="B5145" t="str">
        <f>"18:51:22.766"</f>
        <v>18:51:22.766</v>
      </c>
      <c r="C5145" t="str">
        <f>"18:51:22.366"</f>
        <v>18:51:22.366</v>
      </c>
      <c r="D5145" t="s">
        <v>2122</v>
      </c>
      <c r="E5145">
        <v>30.842013000000001</v>
      </c>
      <c r="F5145" t="s">
        <v>2123</v>
      </c>
      <c r="G5145">
        <v>-89.860139000000004</v>
      </c>
      <c r="H5145">
        <v>700</v>
      </c>
      <c r="I5145">
        <v>-42</v>
      </c>
      <c r="J5145">
        <v>-113</v>
      </c>
      <c r="K5145">
        <v>-448</v>
      </c>
      <c r="L5145">
        <v>1200</v>
      </c>
      <c r="M5145" t="str">
        <f t="shared" si="513"/>
        <v xml:space="preserve">N35DC   </v>
      </c>
      <c r="N5145">
        <v>1</v>
      </c>
      <c r="O5145">
        <v>775</v>
      </c>
    </row>
    <row r="5146" spans="1:15" x14ac:dyDescent="0.25">
      <c r="A5146" t="str">
        <f>"10/21/2020 18:51:14.810"</f>
        <v>10/21/2020 18:51:14.810</v>
      </c>
      <c r="B5146" t="str">
        <f>"18:51:22.766"</f>
        <v>18:51:22.766</v>
      </c>
      <c r="C5146" t="str">
        <f>"18:51:22.366"</f>
        <v>18:51:22.366</v>
      </c>
      <c r="D5146" t="s">
        <v>2122</v>
      </c>
      <c r="E5146">
        <v>30.842013000000001</v>
      </c>
      <c r="F5146" t="s">
        <v>2123</v>
      </c>
      <c r="G5146">
        <v>-89.860139000000004</v>
      </c>
      <c r="H5146">
        <v>700</v>
      </c>
      <c r="I5146">
        <v>-42</v>
      </c>
      <c r="J5146">
        <v>-113</v>
      </c>
      <c r="K5146">
        <v>-448</v>
      </c>
      <c r="L5146">
        <v>1200</v>
      </c>
      <c r="M5146" t="str">
        <f t="shared" si="513"/>
        <v xml:space="preserve">N35DC   </v>
      </c>
      <c r="N5146">
        <v>1</v>
      </c>
      <c r="O5146">
        <v>775</v>
      </c>
    </row>
    <row r="5147" spans="1:15" x14ac:dyDescent="0.25">
      <c r="A5147" t="str">
        <f>"10/21/2020 18:51:14.810"</f>
        <v>10/21/2020 18:51:14.810</v>
      </c>
      <c r="B5147" t="str">
        <f>"18:51:22.766"</f>
        <v>18:51:22.766</v>
      </c>
      <c r="C5147" t="str">
        <f>"18:51:22.366"</f>
        <v>18:51:22.366</v>
      </c>
      <c r="D5147" t="s">
        <v>2122</v>
      </c>
      <c r="E5147">
        <v>30.842013000000001</v>
      </c>
      <c r="F5147" t="s">
        <v>2123</v>
      </c>
      <c r="G5147">
        <v>-89.860139000000004</v>
      </c>
      <c r="H5147">
        <v>700</v>
      </c>
      <c r="I5147">
        <v>-42</v>
      </c>
      <c r="J5147">
        <v>-113</v>
      </c>
      <c r="K5147">
        <v>-448</v>
      </c>
      <c r="L5147">
        <v>1200</v>
      </c>
      <c r="M5147" t="str">
        <f t="shared" si="513"/>
        <v xml:space="preserve">N35DC   </v>
      </c>
      <c r="N5147">
        <v>1</v>
      </c>
      <c r="O5147">
        <v>775</v>
      </c>
    </row>
    <row r="5148" spans="1:15" x14ac:dyDescent="0.25">
      <c r="A5148" t="str">
        <f>"10/21/2020 18:51:15.266"</f>
        <v>10/21/2020 18:51:15.266</v>
      </c>
      <c r="B5148" t="str">
        <f>"18:51:23.188"</f>
        <v>18:51:23.188</v>
      </c>
      <c r="C5148" t="str">
        <f>"18:51:22.788"</f>
        <v>18:51:22.788</v>
      </c>
      <c r="D5148" t="s">
        <v>2124</v>
      </c>
      <c r="E5148">
        <v>30.841777</v>
      </c>
      <c r="F5148" t="s">
        <v>1546</v>
      </c>
      <c r="G5148">
        <v>-89.860246000000004</v>
      </c>
      <c r="H5148">
        <v>700</v>
      </c>
      <c r="I5148">
        <v>-42</v>
      </c>
      <c r="J5148">
        <v>-114</v>
      </c>
      <c r="K5148">
        <v>-448</v>
      </c>
      <c r="L5148">
        <v>1200</v>
      </c>
      <c r="M5148" t="str">
        <f t="shared" si="513"/>
        <v xml:space="preserve">N35DC   </v>
      </c>
      <c r="N5148">
        <v>1</v>
      </c>
      <c r="O5148">
        <v>775</v>
      </c>
    </row>
    <row r="5149" spans="1:15" x14ac:dyDescent="0.25">
      <c r="A5149" t="str">
        <f>"10/21/2020 18:51:15.812"</f>
        <v>10/21/2020 18:51:15.812</v>
      </c>
      <c r="B5149" t="str">
        <f>"18:51:23.742"</f>
        <v>18:51:23.742</v>
      </c>
      <c r="C5149" t="str">
        <f>"18:51:22.842"</f>
        <v>18:51:22.842</v>
      </c>
      <c r="D5149" t="s">
        <v>2125</v>
      </c>
      <c r="E5149">
        <v>30.841498000000001</v>
      </c>
      <c r="F5149" t="s">
        <v>2126</v>
      </c>
      <c r="G5149">
        <v>-89.860353000000003</v>
      </c>
      <c r="H5149">
        <v>700</v>
      </c>
      <c r="I5149">
        <v>-42</v>
      </c>
      <c r="J5149">
        <v>-114</v>
      </c>
      <c r="K5149">
        <v>-448</v>
      </c>
      <c r="L5149">
        <v>1200</v>
      </c>
      <c r="M5149" t="str">
        <f t="shared" si="513"/>
        <v xml:space="preserve">N35DC   </v>
      </c>
      <c r="N5149">
        <v>1</v>
      </c>
      <c r="O5149">
        <v>775</v>
      </c>
    </row>
    <row r="5150" spans="1:15" x14ac:dyDescent="0.25">
      <c r="A5150" t="str">
        <f>"10/21/2020 18:51:15.812"</f>
        <v>10/21/2020 18:51:15.812</v>
      </c>
      <c r="B5150" t="str">
        <f>"18:51:23.742"</f>
        <v>18:51:23.742</v>
      </c>
      <c r="C5150" t="str">
        <f>"18:51:22.842"</f>
        <v>18:51:22.842</v>
      </c>
      <c r="D5150" t="s">
        <v>2125</v>
      </c>
      <c r="E5150">
        <v>30.841498000000001</v>
      </c>
      <c r="F5150" t="s">
        <v>2126</v>
      </c>
      <c r="G5150">
        <v>-89.860353000000003</v>
      </c>
      <c r="H5150">
        <v>700</v>
      </c>
      <c r="I5150">
        <v>-42</v>
      </c>
      <c r="J5150">
        <v>-114</v>
      </c>
      <c r="K5150">
        <v>-448</v>
      </c>
      <c r="L5150">
        <v>1200</v>
      </c>
      <c r="M5150" t="str">
        <f t="shared" si="513"/>
        <v xml:space="preserve">N35DC   </v>
      </c>
      <c r="N5150">
        <v>1</v>
      </c>
      <c r="O5150">
        <v>775</v>
      </c>
    </row>
    <row r="5151" spans="1:15" x14ac:dyDescent="0.25">
      <c r="A5151" t="str">
        <f>"10/21/2020 18:51:15.812"</f>
        <v>10/21/2020 18:51:15.812</v>
      </c>
      <c r="B5151" t="str">
        <f>"18:51:23.742"</f>
        <v>18:51:23.742</v>
      </c>
      <c r="C5151" t="str">
        <f>"18:51:22.842"</f>
        <v>18:51:22.842</v>
      </c>
      <c r="D5151" t="s">
        <v>2125</v>
      </c>
      <c r="E5151">
        <v>30.841498000000001</v>
      </c>
      <c r="F5151" t="s">
        <v>2126</v>
      </c>
      <c r="G5151">
        <v>-89.860353000000003</v>
      </c>
      <c r="H5151">
        <v>700</v>
      </c>
      <c r="I5151">
        <v>-42</v>
      </c>
      <c r="J5151">
        <v>-114</v>
      </c>
      <c r="K5151">
        <v>-448</v>
      </c>
      <c r="L5151">
        <v>1200</v>
      </c>
      <c r="M5151" t="str">
        <f t="shared" si="513"/>
        <v xml:space="preserve">N35DC   </v>
      </c>
      <c r="N5151">
        <v>1</v>
      </c>
      <c r="O5151">
        <v>775</v>
      </c>
    </row>
    <row r="5152" spans="1:15" x14ac:dyDescent="0.25">
      <c r="A5152" t="str">
        <f>"10/21/2020 18:51:15.812"</f>
        <v>10/21/2020 18:51:15.812</v>
      </c>
      <c r="B5152" t="str">
        <f>"18:51:23.742"</f>
        <v>18:51:23.742</v>
      </c>
      <c r="C5152" t="str">
        <f>"18:51:22.842"</f>
        <v>18:51:22.842</v>
      </c>
      <c r="D5152" t="s">
        <v>2125</v>
      </c>
      <c r="E5152">
        <v>30.841498000000001</v>
      </c>
      <c r="F5152" t="s">
        <v>2126</v>
      </c>
      <c r="G5152">
        <v>-89.860353000000003</v>
      </c>
      <c r="H5152">
        <v>700</v>
      </c>
      <c r="I5152">
        <v>-42</v>
      </c>
      <c r="J5152">
        <v>-114</v>
      </c>
      <c r="K5152">
        <v>-448</v>
      </c>
      <c r="L5152">
        <v>1200</v>
      </c>
      <c r="M5152" t="str">
        <f t="shared" si="513"/>
        <v xml:space="preserve">N35DC   </v>
      </c>
      <c r="N5152">
        <v>1</v>
      </c>
      <c r="O5152">
        <v>775</v>
      </c>
    </row>
    <row r="5153" spans="1:15" x14ac:dyDescent="0.25">
      <c r="A5153" t="str">
        <f>"10/21/2020 18:51:18.427"</f>
        <v>10/21/2020 18:51:18.427</v>
      </c>
      <c r="B5153" t="str">
        <f>"18:51:26.352"</f>
        <v>18:51:26.352</v>
      </c>
      <c r="C5153" t="str">
        <f>"18:51:25.952"</f>
        <v>18:51:25.952</v>
      </c>
      <c r="D5153" t="s">
        <v>2127</v>
      </c>
      <c r="E5153">
        <v>30.840104</v>
      </c>
      <c r="F5153" t="s">
        <v>2128</v>
      </c>
      <c r="G5153">
        <v>-89.860911000000002</v>
      </c>
      <c r="H5153">
        <v>700</v>
      </c>
      <c r="I5153">
        <v>-38</v>
      </c>
      <c r="J5153">
        <v>-114</v>
      </c>
      <c r="K5153">
        <v>-128</v>
      </c>
      <c r="L5153">
        <v>1200</v>
      </c>
      <c r="M5153" t="str">
        <f t="shared" si="513"/>
        <v xml:space="preserve">N35DC   </v>
      </c>
      <c r="N5153">
        <v>1</v>
      </c>
      <c r="O5153">
        <v>750</v>
      </c>
    </row>
    <row r="5154" spans="1:15" x14ac:dyDescent="0.25">
      <c r="A5154" t="str">
        <f>"10/21/2020 18:51:18.427"</f>
        <v>10/21/2020 18:51:18.427</v>
      </c>
      <c r="B5154" t="str">
        <f>"18:51:26.352"</f>
        <v>18:51:26.352</v>
      </c>
      <c r="C5154" t="str">
        <f>"18:51:25.952"</f>
        <v>18:51:25.952</v>
      </c>
      <c r="D5154" t="s">
        <v>2127</v>
      </c>
      <c r="E5154">
        <v>30.840104</v>
      </c>
      <c r="F5154" t="s">
        <v>2128</v>
      </c>
      <c r="G5154">
        <v>-89.860911000000002</v>
      </c>
      <c r="H5154">
        <v>700</v>
      </c>
      <c r="I5154">
        <v>-38</v>
      </c>
      <c r="J5154">
        <v>-114</v>
      </c>
      <c r="K5154">
        <v>-128</v>
      </c>
      <c r="L5154">
        <v>1200</v>
      </c>
      <c r="M5154" t="str">
        <f t="shared" si="513"/>
        <v xml:space="preserve">N35DC   </v>
      </c>
      <c r="N5154">
        <v>1</v>
      </c>
      <c r="O5154">
        <v>750</v>
      </c>
    </row>
    <row r="5155" spans="1:15" x14ac:dyDescent="0.25">
      <c r="A5155" t="str">
        <f>"10/21/2020 18:51:18.427"</f>
        <v>10/21/2020 18:51:18.427</v>
      </c>
      <c r="B5155" t="str">
        <f>"18:51:26.352"</f>
        <v>18:51:26.352</v>
      </c>
      <c r="C5155" t="str">
        <f>"18:51:25.952"</f>
        <v>18:51:25.952</v>
      </c>
      <c r="D5155" t="s">
        <v>2127</v>
      </c>
      <c r="E5155">
        <v>30.840104</v>
      </c>
      <c r="F5155" t="s">
        <v>2128</v>
      </c>
      <c r="G5155">
        <v>-89.860911000000002</v>
      </c>
      <c r="H5155">
        <v>700</v>
      </c>
      <c r="I5155">
        <v>-38</v>
      </c>
      <c r="J5155">
        <v>-114</v>
      </c>
      <c r="K5155">
        <v>-128</v>
      </c>
      <c r="L5155">
        <v>1200</v>
      </c>
      <c r="M5155" t="str">
        <f t="shared" si="513"/>
        <v xml:space="preserve">N35DC   </v>
      </c>
      <c r="N5155">
        <v>1</v>
      </c>
      <c r="O5155">
        <v>750</v>
      </c>
    </row>
    <row r="5156" spans="1:15" x14ac:dyDescent="0.25">
      <c r="A5156" t="str">
        <f>"10/21/2020 18:51:18.427"</f>
        <v>10/21/2020 18:51:18.427</v>
      </c>
      <c r="B5156" t="str">
        <f>"18:51:26.352"</f>
        <v>18:51:26.352</v>
      </c>
      <c r="C5156" t="str">
        <f>"18:51:25.952"</f>
        <v>18:51:25.952</v>
      </c>
      <c r="D5156" t="s">
        <v>2127</v>
      </c>
      <c r="E5156">
        <v>30.840104</v>
      </c>
      <c r="F5156" t="s">
        <v>2128</v>
      </c>
      <c r="G5156">
        <v>-89.860911000000002</v>
      </c>
      <c r="H5156">
        <v>700</v>
      </c>
      <c r="I5156">
        <v>-38</v>
      </c>
      <c r="J5156">
        <v>-114</v>
      </c>
      <c r="K5156">
        <v>-128</v>
      </c>
      <c r="L5156">
        <v>1200</v>
      </c>
      <c r="M5156" t="str">
        <f t="shared" si="513"/>
        <v xml:space="preserve">N35DC   </v>
      </c>
      <c r="N5156">
        <v>1</v>
      </c>
      <c r="O5156">
        <v>750</v>
      </c>
    </row>
    <row r="5157" spans="1:15" x14ac:dyDescent="0.25">
      <c r="A5157" t="str">
        <f>"10/21/2020 18:51:18.427"</f>
        <v>10/21/2020 18:51:18.427</v>
      </c>
      <c r="B5157" t="str">
        <f>"18:51:26.352"</f>
        <v>18:51:26.352</v>
      </c>
      <c r="C5157" t="str">
        <f>"18:51:25.952"</f>
        <v>18:51:25.952</v>
      </c>
      <c r="D5157" t="s">
        <v>2127</v>
      </c>
      <c r="E5157">
        <v>30.840104</v>
      </c>
      <c r="F5157" t="s">
        <v>2128</v>
      </c>
      <c r="G5157">
        <v>-89.860911000000002</v>
      </c>
      <c r="H5157">
        <v>700</v>
      </c>
      <c r="I5157">
        <v>-38</v>
      </c>
      <c r="J5157">
        <v>-114</v>
      </c>
      <c r="K5157">
        <v>-128</v>
      </c>
      <c r="L5157">
        <v>1200</v>
      </c>
      <c r="M5157" t="str">
        <f t="shared" si="513"/>
        <v xml:space="preserve">N35DC   </v>
      </c>
      <c r="N5157">
        <v>1</v>
      </c>
      <c r="O5157">
        <v>750</v>
      </c>
    </row>
    <row r="5158" spans="1:15" x14ac:dyDescent="0.25">
      <c r="A5158" t="str">
        <f>"10/21/2020 18:51:19.286"</f>
        <v>10/21/2020 18:51:19.286</v>
      </c>
      <c r="B5158" t="str">
        <f>"18:51:27.250"</f>
        <v>18:51:27.250</v>
      </c>
      <c r="C5158" t="str">
        <f>"18:51:27.050"</f>
        <v>18:51:27.050</v>
      </c>
      <c r="D5158" t="s">
        <v>2129</v>
      </c>
      <c r="E5158">
        <v>30.839673999999999</v>
      </c>
      <c r="F5158" t="s">
        <v>1982</v>
      </c>
      <c r="G5158">
        <v>-89.861062000000004</v>
      </c>
      <c r="H5158">
        <v>700</v>
      </c>
      <c r="I5158">
        <v>-37</v>
      </c>
      <c r="J5158">
        <v>-113</v>
      </c>
      <c r="K5158">
        <v>-256</v>
      </c>
      <c r="L5158">
        <v>1200</v>
      </c>
      <c r="M5158" t="str">
        <f t="shared" si="513"/>
        <v xml:space="preserve">N35DC   </v>
      </c>
      <c r="N5158">
        <v>1</v>
      </c>
      <c r="O5158">
        <v>750</v>
      </c>
    </row>
    <row r="5159" spans="1:15" x14ac:dyDescent="0.25">
      <c r="A5159" t="str">
        <f>"10/21/2020 18:51:19.286"</f>
        <v>10/21/2020 18:51:19.286</v>
      </c>
      <c r="B5159" t="str">
        <f>"18:51:27.250"</f>
        <v>18:51:27.250</v>
      </c>
      <c r="C5159" t="str">
        <f>"18:51:27.050"</f>
        <v>18:51:27.050</v>
      </c>
      <c r="D5159" t="s">
        <v>2129</v>
      </c>
      <c r="E5159">
        <v>30.839673999999999</v>
      </c>
      <c r="F5159" t="s">
        <v>1982</v>
      </c>
      <c r="G5159">
        <v>-89.861062000000004</v>
      </c>
      <c r="H5159">
        <v>700</v>
      </c>
      <c r="I5159">
        <v>-37</v>
      </c>
      <c r="J5159">
        <v>-113</v>
      </c>
      <c r="K5159">
        <v>-256</v>
      </c>
      <c r="L5159">
        <v>1200</v>
      </c>
      <c r="M5159" t="str">
        <f t="shared" si="513"/>
        <v xml:space="preserve">N35DC   </v>
      </c>
      <c r="N5159">
        <v>1</v>
      </c>
      <c r="O5159">
        <v>750</v>
      </c>
    </row>
    <row r="5160" spans="1:15" x14ac:dyDescent="0.25">
      <c r="A5160" t="str">
        <f>"10/21/2020 18:51:19.286"</f>
        <v>10/21/2020 18:51:19.286</v>
      </c>
      <c r="B5160" t="str">
        <f>"18:51:27.250"</f>
        <v>18:51:27.250</v>
      </c>
      <c r="C5160" t="str">
        <f>"18:51:27.050"</f>
        <v>18:51:27.050</v>
      </c>
      <c r="D5160" t="s">
        <v>2129</v>
      </c>
      <c r="E5160">
        <v>30.839673999999999</v>
      </c>
      <c r="F5160" t="s">
        <v>1982</v>
      </c>
      <c r="G5160">
        <v>-89.861062000000004</v>
      </c>
      <c r="H5160">
        <v>700</v>
      </c>
      <c r="I5160">
        <v>-37</v>
      </c>
      <c r="J5160">
        <v>-113</v>
      </c>
      <c r="K5160">
        <v>-256</v>
      </c>
      <c r="L5160">
        <v>1200</v>
      </c>
      <c r="M5160" t="str">
        <f t="shared" si="513"/>
        <v xml:space="preserve">N35DC   </v>
      </c>
      <c r="N5160">
        <v>1</v>
      </c>
      <c r="O5160">
        <v>750</v>
      </c>
    </row>
    <row r="5161" spans="1:15" x14ac:dyDescent="0.25">
      <c r="A5161" t="str">
        <f>"10/21/2020 18:51:19.286"</f>
        <v>10/21/2020 18:51:19.286</v>
      </c>
      <c r="B5161" t="str">
        <f>"18:51:27.250"</f>
        <v>18:51:27.250</v>
      </c>
      <c r="C5161" t="str">
        <f>"18:51:27.050"</f>
        <v>18:51:27.050</v>
      </c>
      <c r="D5161" t="s">
        <v>2129</v>
      </c>
      <c r="E5161">
        <v>30.839673999999999</v>
      </c>
      <c r="F5161" t="s">
        <v>1982</v>
      </c>
      <c r="G5161">
        <v>-89.861062000000004</v>
      </c>
      <c r="H5161">
        <v>700</v>
      </c>
      <c r="I5161">
        <v>-37</v>
      </c>
      <c r="J5161">
        <v>-113</v>
      </c>
      <c r="K5161">
        <v>-256</v>
      </c>
      <c r="L5161">
        <v>1200</v>
      </c>
      <c r="M5161" t="str">
        <f t="shared" si="513"/>
        <v xml:space="preserve">N35DC   </v>
      </c>
      <c r="N5161">
        <v>1</v>
      </c>
      <c r="O5161">
        <v>750</v>
      </c>
    </row>
    <row r="5162" spans="1:15" x14ac:dyDescent="0.25">
      <c r="A5162" t="str">
        <f>"10/21/2020 18:51:19.286"</f>
        <v>10/21/2020 18:51:19.286</v>
      </c>
      <c r="B5162" t="str">
        <f>"18:51:27.250"</f>
        <v>18:51:27.250</v>
      </c>
      <c r="C5162" t="str">
        <f>"18:51:27.050"</f>
        <v>18:51:27.050</v>
      </c>
      <c r="D5162" t="s">
        <v>2129</v>
      </c>
      <c r="E5162">
        <v>30.839673999999999</v>
      </c>
      <c r="F5162" t="s">
        <v>1982</v>
      </c>
      <c r="G5162">
        <v>-89.861062000000004</v>
      </c>
      <c r="H5162">
        <v>700</v>
      </c>
      <c r="I5162">
        <v>-37</v>
      </c>
      <c r="J5162">
        <v>-113</v>
      </c>
      <c r="K5162">
        <v>-256</v>
      </c>
      <c r="L5162">
        <v>1200</v>
      </c>
      <c r="M5162" t="str">
        <f t="shared" si="513"/>
        <v xml:space="preserve">N35DC   </v>
      </c>
      <c r="N5162">
        <v>1</v>
      </c>
      <c r="O5162">
        <v>750</v>
      </c>
    </row>
    <row r="5163" spans="1:15" x14ac:dyDescent="0.25">
      <c r="A5163" t="str">
        <f>"10/21/2020 18:51:21.881"</f>
        <v>10/21/2020 18:51:21.881</v>
      </c>
      <c r="B5163" t="str">
        <f>"18:51:29.836"</f>
        <v>18:51:29.836</v>
      </c>
      <c r="C5163" t="str">
        <f>"18:51:29.436"</f>
        <v>18:51:29.436</v>
      </c>
      <c r="D5163" t="s">
        <v>2130</v>
      </c>
      <c r="E5163">
        <v>30.838301000000001</v>
      </c>
      <c r="F5163" t="s">
        <v>2131</v>
      </c>
      <c r="G5163">
        <v>-89.861576999999997</v>
      </c>
      <c r="H5163">
        <v>700</v>
      </c>
      <c r="I5163">
        <v>-34</v>
      </c>
      <c r="J5163">
        <v>-112</v>
      </c>
      <c r="K5163">
        <v>0</v>
      </c>
      <c r="L5163">
        <v>1200</v>
      </c>
      <c r="M5163" t="str">
        <f t="shared" si="513"/>
        <v xml:space="preserve">N35DC   </v>
      </c>
      <c r="N5163">
        <v>1</v>
      </c>
      <c r="O5163">
        <v>775</v>
      </c>
    </row>
    <row r="5164" spans="1:15" x14ac:dyDescent="0.25">
      <c r="A5164" t="str">
        <f>"10/21/2020 18:51:21.881"</f>
        <v>10/21/2020 18:51:21.881</v>
      </c>
      <c r="B5164" t="str">
        <f>"18:51:29.836"</f>
        <v>18:51:29.836</v>
      </c>
      <c r="C5164" t="str">
        <f>"18:51:29.436"</f>
        <v>18:51:29.436</v>
      </c>
      <c r="D5164" t="s">
        <v>2130</v>
      </c>
      <c r="E5164">
        <v>30.838301000000001</v>
      </c>
      <c r="F5164" t="s">
        <v>2131</v>
      </c>
      <c r="G5164">
        <v>-89.861576999999997</v>
      </c>
      <c r="H5164">
        <v>700</v>
      </c>
      <c r="I5164">
        <v>-34</v>
      </c>
      <c r="J5164">
        <v>-112</v>
      </c>
      <c r="K5164">
        <v>0</v>
      </c>
      <c r="L5164">
        <v>1200</v>
      </c>
      <c r="M5164" t="str">
        <f t="shared" si="513"/>
        <v xml:space="preserve">N35DC   </v>
      </c>
      <c r="N5164">
        <v>1</v>
      </c>
      <c r="O5164">
        <v>775</v>
      </c>
    </row>
    <row r="5165" spans="1:15" x14ac:dyDescent="0.25">
      <c r="A5165" t="str">
        <f>"10/21/2020 18:51:21.881"</f>
        <v>10/21/2020 18:51:21.881</v>
      </c>
      <c r="B5165" t="str">
        <f>"18:51:29.836"</f>
        <v>18:51:29.836</v>
      </c>
      <c r="C5165" t="str">
        <f>"18:51:29.436"</f>
        <v>18:51:29.436</v>
      </c>
      <c r="D5165" t="s">
        <v>2130</v>
      </c>
      <c r="E5165">
        <v>30.838301000000001</v>
      </c>
      <c r="F5165" t="s">
        <v>2131</v>
      </c>
      <c r="G5165">
        <v>-89.861576999999997</v>
      </c>
      <c r="H5165">
        <v>700</v>
      </c>
      <c r="I5165">
        <v>-34</v>
      </c>
      <c r="J5165">
        <v>-112</v>
      </c>
      <c r="K5165">
        <v>0</v>
      </c>
      <c r="L5165">
        <v>1200</v>
      </c>
      <c r="M5165" t="str">
        <f t="shared" si="513"/>
        <v xml:space="preserve">N35DC   </v>
      </c>
      <c r="N5165">
        <v>1</v>
      </c>
      <c r="O5165">
        <v>775</v>
      </c>
    </row>
    <row r="5166" spans="1:15" x14ac:dyDescent="0.25">
      <c r="A5166" t="str">
        <f>"10/21/2020 18:51:21.881"</f>
        <v>10/21/2020 18:51:21.881</v>
      </c>
      <c r="B5166" t="str">
        <f>"18:51:29.836"</f>
        <v>18:51:29.836</v>
      </c>
      <c r="C5166" t="str">
        <f>"18:51:29.436"</f>
        <v>18:51:29.436</v>
      </c>
      <c r="D5166" t="s">
        <v>2130</v>
      </c>
      <c r="E5166">
        <v>30.838301000000001</v>
      </c>
      <c r="F5166" t="s">
        <v>2131</v>
      </c>
      <c r="G5166">
        <v>-89.861576999999997</v>
      </c>
      <c r="H5166">
        <v>700</v>
      </c>
      <c r="I5166">
        <v>-34</v>
      </c>
      <c r="J5166">
        <v>-112</v>
      </c>
      <c r="K5166">
        <v>0</v>
      </c>
      <c r="L5166">
        <v>1200</v>
      </c>
      <c r="M5166" t="str">
        <f t="shared" si="513"/>
        <v xml:space="preserve">N35DC   </v>
      </c>
      <c r="N5166">
        <v>1</v>
      </c>
      <c r="O5166">
        <v>775</v>
      </c>
    </row>
    <row r="5167" spans="1:15" x14ac:dyDescent="0.25">
      <c r="A5167" t="str">
        <f>"10/21/2020 18:51:21.881"</f>
        <v>10/21/2020 18:51:21.881</v>
      </c>
      <c r="B5167" t="str">
        <f>"18:51:29.836"</f>
        <v>18:51:29.836</v>
      </c>
      <c r="C5167" t="str">
        <f>"18:51:29.436"</f>
        <v>18:51:29.436</v>
      </c>
      <c r="D5167" t="s">
        <v>2130</v>
      </c>
      <c r="E5167">
        <v>30.838301000000001</v>
      </c>
      <c r="F5167" t="s">
        <v>2131</v>
      </c>
      <c r="G5167">
        <v>-89.861576999999997</v>
      </c>
      <c r="H5167">
        <v>700</v>
      </c>
      <c r="I5167">
        <v>-34</v>
      </c>
      <c r="J5167">
        <v>-112</v>
      </c>
      <c r="K5167">
        <v>0</v>
      </c>
      <c r="L5167">
        <v>1200</v>
      </c>
      <c r="M5167" t="str">
        <f t="shared" si="513"/>
        <v xml:space="preserve">N35DC   </v>
      </c>
      <c r="N5167">
        <v>1</v>
      </c>
      <c r="O5167">
        <v>775</v>
      </c>
    </row>
    <row r="5168" spans="1:15" x14ac:dyDescent="0.25">
      <c r="A5168" t="str">
        <f>"10/21/2020 18:51:22.672"</f>
        <v>10/21/2020 18:51:22.672</v>
      </c>
      <c r="B5168" t="str">
        <f>"18:51:30.328"</f>
        <v>18:51:30.328</v>
      </c>
      <c r="C5168" t="str">
        <f>"18:51:29.528"</f>
        <v>18:51:29.528</v>
      </c>
      <c r="D5168" t="s">
        <v>2132</v>
      </c>
      <c r="E5168">
        <v>30.838065</v>
      </c>
      <c r="F5168" t="s">
        <v>2133</v>
      </c>
      <c r="G5168">
        <v>-89.861619000000005</v>
      </c>
      <c r="H5168">
        <v>700</v>
      </c>
      <c r="I5168">
        <v>-34</v>
      </c>
      <c r="J5168">
        <v>-112</v>
      </c>
      <c r="K5168">
        <v>0</v>
      </c>
      <c r="L5168">
        <v>1200</v>
      </c>
      <c r="M5168" t="str">
        <f t="shared" si="513"/>
        <v xml:space="preserve">N35DC   </v>
      </c>
      <c r="N5168">
        <v>1</v>
      </c>
      <c r="O5168">
        <v>775</v>
      </c>
    </row>
    <row r="5169" spans="1:15" x14ac:dyDescent="0.25">
      <c r="A5169" t="str">
        <f>"10/21/2020 18:51:22.672"</f>
        <v>10/21/2020 18:51:22.672</v>
      </c>
      <c r="B5169" t="str">
        <f>"18:51:30.328"</f>
        <v>18:51:30.328</v>
      </c>
      <c r="C5169" t="str">
        <f>"18:51:29.528"</f>
        <v>18:51:29.528</v>
      </c>
      <c r="D5169" t="s">
        <v>2132</v>
      </c>
      <c r="E5169">
        <v>30.838065</v>
      </c>
      <c r="F5169" t="s">
        <v>2133</v>
      </c>
      <c r="G5169">
        <v>-89.861619000000005</v>
      </c>
      <c r="H5169">
        <v>700</v>
      </c>
      <c r="I5169">
        <v>-34</v>
      </c>
      <c r="J5169">
        <v>-112</v>
      </c>
      <c r="K5169">
        <v>0</v>
      </c>
      <c r="L5169">
        <v>1200</v>
      </c>
      <c r="M5169" t="str">
        <f t="shared" si="513"/>
        <v xml:space="preserve">N35DC   </v>
      </c>
      <c r="N5169">
        <v>1</v>
      </c>
      <c r="O5169">
        <v>775</v>
      </c>
    </row>
    <row r="5170" spans="1:15" x14ac:dyDescent="0.25">
      <c r="A5170" t="str">
        <f>"10/21/2020 18:51:22.910"</f>
        <v>10/21/2020 18:51:22.910</v>
      </c>
      <c r="B5170" t="str">
        <f>"18:51:30.805"</f>
        <v>18:51:30.805</v>
      </c>
      <c r="C5170" t="str">
        <f>"18:51:30.505"</f>
        <v>18:51:30.505</v>
      </c>
      <c r="D5170" t="s">
        <v>2134</v>
      </c>
      <c r="E5170">
        <v>30.837807999999999</v>
      </c>
      <c r="F5170" t="s">
        <v>2135</v>
      </c>
      <c r="G5170">
        <v>-89.861705000000001</v>
      </c>
      <c r="H5170">
        <v>700</v>
      </c>
      <c r="I5170">
        <v>-32</v>
      </c>
      <c r="J5170">
        <v>-112</v>
      </c>
      <c r="K5170">
        <v>-128</v>
      </c>
      <c r="L5170">
        <v>1200</v>
      </c>
      <c r="M5170" t="str">
        <f t="shared" si="513"/>
        <v xml:space="preserve">N35DC   </v>
      </c>
      <c r="N5170">
        <v>1</v>
      </c>
      <c r="O5170">
        <v>750</v>
      </c>
    </row>
    <row r="5171" spans="1:15" x14ac:dyDescent="0.25">
      <c r="A5171" t="str">
        <f>"10/21/2020 18:51:25.339"</f>
        <v>10/21/2020 18:51:25.339</v>
      </c>
      <c r="B5171" t="str">
        <f>"18:51:33.266"</f>
        <v>18:51:33.266</v>
      </c>
      <c r="C5171" t="str">
        <f>"18:51:33.166"</f>
        <v>18:51:33.166</v>
      </c>
      <c r="D5171" t="s">
        <v>2136</v>
      </c>
      <c r="E5171">
        <v>30.836563000000002</v>
      </c>
      <c r="F5171" t="s">
        <v>1990</v>
      </c>
      <c r="G5171">
        <v>-89.862133999999998</v>
      </c>
      <c r="H5171">
        <v>700</v>
      </c>
      <c r="I5171">
        <v>-30</v>
      </c>
      <c r="J5171">
        <v>-111</v>
      </c>
      <c r="K5171">
        <v>0</v>
      </c>
      <c r="L5171">
        <v>1200</v>
      </c>
      <c r="M5171" t="str">
        <f t="shared" si="513"/>
        <v xml:space="preserve">N35DC   </v>
      </c>
      <c r="N5171">
        <v>1</v>
      </c>
      <c r="O5171">
        <v>750</v>
      </c>
    </row>
    <row r="5172" spans="1:15" x14ac:dyDescent="0.25">
      <c r="A5172" t="str">
        <f>"10/21/2020 18:51:25.339"</f>
        <v>10/21/2020 18:51:25.339</v>
      </c>
      <c r="B5172" t="str">
        <f>"18:51:33.266"</f>
        <v>18:51:33.266</v>
      </c>
      <c r="C5172" t="str">
        <f>"18:51:33.166"</f>
        <v>18:51:33.166</v>
      </c>
      <c r="D5172" t="s">
        <v>2136</v>
      </c>
      <c r="E5172">
        <v>30.836563000000002</v>
      </c>
      <c r="F5172" t="s">
        <v>1990</v>
      </c>
      <c r="G5172">
        <v>-89.862133999999998</v>
      </c>
      <c r="H5172">
        <v>700</v>
      </c>
      <c r="I5172">
        <v>-30</v>
      </c>
      <c r="J5172">
        <v>-111</v>
      </c>
      <c r="K5172">
        <v>0</v>
      </c>
      <c r="L5172">
        <v>1200</v>
      </c>
      <c r="M5172" t="str">
        <f t="shared" si="513"/>
        <v xml:space="preserve">N35DC   </v>
      </c>
      <c r="N5172">
        <v>1</v>
      </c>
      <c r="O5172">
        <v>750</v>
      </c>
    </row>
    <row r="5173" spans="1:15" x14ac:dyDescent="0.25">
      <c r="A5173" t="str">
        <f>"10/21/2020 18:51:25.339"</f>
        <v>10/21/2020 18:51:25.339</v>
      </c>
      <c r="B5173" t="str">
        <f>"18:51:33.266"</f>
        <v>18:51:33.266</v>
      </c>
      <c r="C5173" t="str">
        <f>"18:51:33.166"</f>
        <v>18:51:33.166</v>
      </c>
      <c r="D5173" t="s">
        <v>2136</v>
      </c>
      <c r="E5173">
        <v>30.836563000000002</v>
      </c>
      <c r="F5173" t="s">
        <v>1990</v>
      </c>
      <c r="G5173">
        <v>-89.862133999999998</v>
      </c>
      <c r="H5173">
        <v>700</v>
      </c>
      <c r="I5173">
        <v>-30</v>
      </c>
      <c r="J5173">
        <v>-111</v>
      </c>
      <c r="K5173">
        <v>0</v>
      </c>
      <c r="L5173">
        <v>1200</v>
      </c>
      <c r="M5173" t="str">
        <f t="shared" si="513"/>
        <v xml:space="preserve">N35DC   </v>
      </c>
      <c r="N5173">
        <v>1</v>
      </c>
      <c r="O5173">
        <v>750</v>
      </c>
    </row>
    <row r="5174" spans="1:15" x14ac:dyDescent="0.25">
      <c r="A5174" t="str">
        <f>"10/21/2020 18:51:25.339"</f>
        <v>10/21/2020 18:51:25.339</v>
      </c>
      <c r="B5174" t="str">
        <f>"18:51:33.266"</f>
        <v>18:51:33.266</v>
      </c>
      <c r="C5174" t="str">
        <f>"18:51:33.166"</f>
        <v>18:51:33.166</v>
      </c>
      <c r="D5174" t="s">
        <v>2136</v>
      </c>
      <c r="E5174">
        <v>30.836563000000002</v>
      </c>
      <c r="F5174" t="s">
        <v>1990</v>
      </c>
      <c r="G5174">
        <v>-89.862133999999998</v>
      </c>
      <c r="H5174">
        <v>700</v>
      </c>
      <c r="I5174">
        <v>-30</v>
      </c>
      <c r="J5174">
        <v>-111</v>
      </c>
      <c r="K5174">
        <v>0</v>
      </c>
      <c r="L5174">
        <v>1200</v>
      </c>
      <c r="M5174" t="str">
        <f t="shared" si="513"/>
        <v xml:space="preserve">N35DC   </v>
      </c>
      <c r="N5174">
        <v>1</v>
      </c>
      <c r="O5174">
        <v>750</v>
      </c>
    </row>
    <row r="5175" spans="1:15" x14ac:dyDescent="0.25">
      <c r="A5175" t="str">
        <f>"10/21/2020 18:51:25.928"</f>
        <v>10/21/2020 18:51:25.928</v>
      </c>
      <c r="B5175" t="str">
        <f>"18:51:33.820"</f>
        <v>18:51:33.820</v>
      </c>
      <c r="C5175" t="str">
        <f>"18:51:33.720"</f>
        <v>18:51:33.720</v>
      </c>
      <c r="D5175" t="s">
        <v>2137</v>
      </c>
      <c r="E5175">
        <v>30.836241000000001</v>
      </c>
      <c r="F5175" t="s">
        <v>1542</v>
      </c>
      <c r="G5175">
        <v>-89.862241999999995</v>
      </c>
      <c r="H5175">
        <v>700</v>
      </c>
      <c r="I5175">
        <v>-30</v>
      </c>
      <c r="J5175">
        <v>-110</v>
      </c>
      <c r="K5175">
        <v>0</v>
      </c>
      <c r="L5175">
        <v>1200</v>
      </c>
      <c r="M5175" t="str">
        <f t="shared" si="513"/>
        <v xml:space="preserve">N35DC   </v>
      </c>
      <c r="N5175">
        <v>1</v>
      </c>
      <c r="O5175">
        <v>750</v>
      </c>
    </row>
    <row r="5176" spans="1:15" x14ac:dyDescent="0.25">
      <c r="A5176" t="str">
        <f>"10/21/2020 18:51:26.365"</f>
        <v>10/21/2020 18:51:26.365</v>
      </c>
      <c r="B5176" t="str">
        <f>"18:51:34.289"</f>
        <v>18:51:34.289</v>
      </c>
      <c r="C5176" t="str">
        <f>"18:51:34.089"</f>
        <v>18:51:34.089</v>
      </c>
      <c r="D5176" t="s">
        <v>2138</v>
      </c>
      <c r="E5176">
        <v>30.836027000000001</v>
      </c>
      <c r="F5176" t="s">
        <v>516</v>
      </c>
      <c r="G5176">
        <v>-89.862285</v>
      </c>
      <c r="H5176">
        <v>700</v>
      </c>
      <c r="I5176">
        <v>-30</v>
      </c>
      <c r="J5176">
        <v>-110</v>
      </c>
      <c r="K5176">
        <v>0</v>
      </c>
      <c r="L5176">
        <v>1200</v>
      </c>
      <c r="M5176" t="str">
        <f t="shared" si="513"/>
        <v xml:space="preserve">N35DC   </v>
      </c>
      <c r="N5176">
        <v>1</v>
      </c>
      <c r="O5176">
        <v>750</v>
      </c>
    </row>
    <row r="5177" spans="1:15" x14ac:dyDescent="0.25">
      <c r="A5177" t="str">
        <f>"10/21/2020 18:51:26.365"</f>
        <v>10/21/2020 18:51:26.365</v>
      </c>
      <c r="B5177" t="str">
        <f>"18:51:34.289"</f>
        <v>18:51:34.289</v>
      </c>
      <c r="C5177" t="str">
        <f>"18:51:34.089"</f>
        <v>18:51:34.089</v>
      </c>
      <c r="D5177" t="s">
        <v>2138</v>
      </c>
      <c r="E5177">
        <v>30.836027000000001</v>
      </c>
      <c r="F5177" t="s">
        <v>516</v>
      </c>
      <c r="G5177">
        <v>-89.862285</v>
      </c>
      <c r="H5177">
        <v>700</v>
      </c>
      <c r="I5177">
        <v>-30</v>
      </c>
      <c r="J5177">
        <v>-110</v>
      </c>
      <c r="K5177">
        <v>0</v>
      </c>
      <c r="L5177">
        <v>1200</v>
      </c>
      <c r="M5177" t="str">
        <f t="shared" si="513"/>
        <v xml:space="preserve">N35DC   </v>
      </c>
      <c r="N5177">
        <v>1</v>
      </c>
      <c r="O5177">
        <v>750</v>
      </c>
    </row>
    <row r="5178" spans="1:15" x14ac:dyDescent="0.25">
      <c r="A5178" t="str">
        <f>"10/21/2020 18:51:26.365"</f>
        <v>10/21/2020 18:51:26.365</v>
      </c>
      <c r="B5178" t="str">
        <f>"18:51:34.289"</f>
        <v>18:51:34.289</v>
      </c>
      <c r="C5178" t="str">
        <f>"18:51:34.089"</f>
        <v>18:51:34.089</v>
      </c>
      <c r="D5178" t="s">
        <v>2138</v>
      </c>
      <c r="E5178">
        <v>30.836027000000001</v>
      </c>
      <c r="F5178" t="s">
        <v>516</v>
      </c>
      <c r="G5178">
        <v>-89.862285</v>
      </c>
      <c r="H5178">
        <v>700</v>
      </c>
      <c r="I5178">
        <v>-30</v>
      </c>
      <c r="J5178">
        <v>-110</v>
      </c>
      <c r="K5178">
        <v>0</v>
      </c>
      <c r="L5178">
        <v>1200</v>
      </c>
      <c r="M5178" t="str">
        <f t="shared" si="513"/>
        <v xml:space="preserve">N35DC   </v>
      </c>
      <c r="N5178">
        <v>1</v>
      </c>
      <c r="O5178">
        <v>750</v>
      </c>
    </row>
    <row r="5179" spans="1:15" x14ac:dyDescent="0.25">
      <c r="A5179" t="str">
        <f>"10/21/2020 18:51:26.365"</f>
        <v>10/21/2020 18:51:26.365</v>
      </c>
      <c r="B5179" t="str">
        <f>"18:51:34.289"</f>
        <v>18:51:34.289</v>
      </c>
      <c r="C5179" t="str">
        <f>"18:51:34.089"</f>
        <v>18:51:34.089</v>
      </c>
      <c r="D5179" t="s">
        <v>2138</v>
      </c>
      <c r="E5179">
        <v>30.836027000000001</v>
      </c>
      <c r="F5179" t="s">
        <v>516</v>
      </c>
      <c r="G5179">
        <v>-89.862285</v>
      </c>
      <c r="H5179">
        <v>700</v>
      </c>
      <c r="I5179">
        <v>-30</v>
      </c>
      <c r="J5179">
        <v>-110</v>
      </c>
      <c r="K5179">
        <v>0</v>
      </c>
      <c r="L5179">
        <v>1200</v>
      </c>
      <c r="M5179" t="str">
        <f t="shared" si="513"/>
        <v xml:space="preserve">N35DC   </v>
      </c>
      <c r="N5179">
        <v>1</v>
      </c>
      <c r="O5179">
        <v>750</v>
      </c>
    </row>
    <row r="5180" spans="1:15" x14ac:dyDescent="0.25">
      <c r="A5180" t="str">
        <f>"10/21/2020 18:51:28.380"</f>
        <v>10/21/2020 18:51:28.380</v>
      </c>
      <c r="B5180" t="str">
        <f>"18:51:36.328"</f>
        <v>18:51:36.328</v>
      </c>
      <c r="C5180" t="str">
        <f>"18:51:36.028"</f>
        <v>18:51:36.028</v>
      </c>
      <c r="D5180" t="s">
        <v>2139</v>
      </c>
      <c r="E5180">
        <v>30.834997000000001</v>
      </c>
      <c r="F5180" t="s">
        <v>694</v>
      </c>
      <c r="G5180">
        <v>-89.862606999999997</v>
      </c>
      <c r="H5180">
        <v>700</v>
      </c>
      <c r="I5180">
        <v>-29</v>
      </c>
      <c r="J5180">
        <v>-109</v>
      </c>
      <c r="K5180">
        <v>-64</v>
      </c>
      <c r="L5180">
        <v>1200</v>
      </c>
      <c r="M5180" t="str">
        <f t="shared" si="513"/>
        <v xml:space="preserve">N35DC   </v>
      </c>
      <c r="N5180">
        <v>1</v>
      </c>
      <c r="O5180">
        <v>750</v>
      </c>
    </row>
    <row r="5181" spans="1:15" x14ac:dyDescent="0.25">
      <c r="A5181" t="str">
        <f>"10/21/2020 18:51:28.380"</f>
        <v>10/21/2020 18:51:28.380</v>
      </c>
      <c r="B5181" t="str">
        <f>"18:51:36.328"</f>
        <v>18:51:36.328</v>
      </c>
      <c r="C5181" t="str">
        <f>"18:51:36.028"</f>
        <v>18:51:36.028</v>
      </c>
      <c r="D5181" t="s">
        <v>2139</v>
      </c>
      <c r="E5181">
        <v>30.834997000000001</v>
      </c>
      <c r="F5181" t="s">
        <v>694</v>
      </c>
      <c r="G5181">
        <v>-89.862606999999997</v>
      </c>
      <c r="H5181">
        <v>700</v>
      </c>
      <c r="I5181">
        <v>-29</v>
      </c>
      <c r="J5181">
        <v>-109</v>
      </c>
      <c r="K5181">
        <v>-64</v>
      </c>
      <c r="L5181">
        <v>1200</v>
      </c>
      <c r="M5181" t="str">
        <f t="shared" si="513"/>
        <v xml:space="preserve">N35DC   </v>
      </c>
      <c r="N5181">
        <v>1</v>
      </c>
      <c r="O5181">
        <v>750</v>
      </c>
    </row>
    <row r="5182" spans="1:15" x14ac:dyDescent="0.25">
      <c r="A5182" t="str">
        <f>"10/21/2020 18:51:28.380"</f>
        <v>10/21/2020 18:51:28.380</v>
      </c>
      <c r="B5182" t="str">
        <f>"18:51:36.328"</f>
        <v>18:51:36.328</v>
      </c>
      <c r="C5182" t="str">
        <f>"18:51:36.028"</f>
        <v>18:51:36.028</v>
      </c>
      <c r="D5182" t="s">
        <v>2139</v>
      </c>
      <c r="E5182">
        <v>30.834997000000001</v>
      </c>
      <c r="F5182" t="s">
        <v>694</v>
      </c>
      <c r="G5182">
        <v>-89.862606999999997</v>
      </c>
      <c r="H5182">
        <v>700</v>
      </c>
      <c r="I5182">
        <v>-29</v>
      </c>
      <c r="J5182">
        <v>-109</v>
      </c>
      <c r="K5182">
        <v>-64</v>
      </c>
      <c r="L5182">
        <v>1200</v>
      </c>
      <c r="M5182" t="str">
        <f t="shared" si="513"/>
        <v xml:space="preserve">N35DC   </v>
      </c>
      <c r="N5182">
        <v>1</v>
      </c>
      <c r="O5182">
        <v>750</v>
      </c>
    </row>
    <row r="5183" spans="1:15" x14ac:dyDescent="0.25">
      <c r="A5183" t="str">
        <f>"10/21/2020 18:51:28.380"</f>
        <v>10/21/2020 18:51:28.380</v>
      </c>
      <c r="B5183" t="str">
        <f>"18:51:36.328"</f>
        <v>18:51:36.328</v>
      </c>
      <c r="C5183" t="str">
        <f>"18:51:36.028"</f>
        <v>18:51:36.028</v>
      </c>
      <c r="D5183" t="s">
        <v>2139</v>
      </c>
      <c r="E5183">
        <v>30.834997000000001</v>
      </c>
      <c r="F5183" t="s">
        <v>694</v>
      </c>
      <c r="G5183">
        <v>-89.862606999999997</v>
      </c>
      <c r="H5183">
        <v>700</v>
      </c>
      <c r="I5183">
        <v>-29</v>
      </c>
      <c r="J5183">
        <v>-109</v>
      </c>
      <c r="K5183">
        <v>-64</v>
      </c>
      <c r="L5183">
        <v>1200</v>
      </c>
      <c r="M5183" t="str">
        <f t="shared" si="513"/>
        <v xml:space="preserve">N35DC   </v>
      </c>
      <c r="N5183">
        <v>1</v>
      </c>
      <c r="O5183">
        <v>750</v>
      </c>
    </row>
    <row r="5184" spans="1:15" x14ac:dyDescent="0.25">
      <c r="A5184" t="str">
        <f>"10/21/2020 18:51:29.391"</f>
        <v>10/21/2020 18:51:29.391</v>
      </c>
      <c r="B5184" t="str">
        <f>"18:51:37.313"</f>
        <v>18:51:37.313</v>
      </c>
      <c r="C5184" t="str">
        <f>"18:51:37.012"</f>
        <v>18:51:37.012</v>
      </c>
      <c r="D5184" t="s">
        <v>2140</v>
      </c>
      <c r="E5184">
        <v>30.834503000000002</v>
      </c>
      <c r="F5184" t="s">
        <v>1540</v>
      </c>
      <c r="G5184">
        <v>-89.862778000000006</v>
      </c>
      <c r="H5184">
        <v>700</v>
      </c>
      <c r="I5184">
        <v>-27</v>
      </c>
      <c r="J5184">
        <v>-109</v>
      </c>
      <c r="K5184">
        <v>64</v>
      </c>
      <c r="L5184">
        <v>1200</v>
      </c>
      <c r="M5184" t="str">
        <f t="shared" si="513"/>
        <v xml:space="preserve">N35DC   </v>
      </c>
      <c r="N5184">
        <v>1</v>
      </c>
      <c r="O5184">
        <v>750</v>
      </c>
    </row>
    <row r="5185" spans="1:15" x14ac:dyDescent="0.25">
      <c r="A5185" t="str">
        <f>"10/21/2020 18:51:29.391"</f>
        <v>10/21/2020 18:51:29.391</v>
      </c>
      <c r="B5185" t="str">
        <f>"18:51:37.313"</f>
        <v>18:51:37.313</v>
      </c>
      <c r="C5185" t="str">
        <f>"18:51:37.012"</f>
        <v>18:51:37.012</v>
      </c>
      <c r="D5185" t="s">
        <v>2140</v>
      </c>
      <c r="E5185">
        <v>30.834503000000002</v>
      </c>
      <c r="F5185" t="s">
        <v>1540</v>
      </c>
      <c r="G5185">
        <v>-89.862778000000006</v>
      </c>
      <c r="H5185">
        <v>700</v>
      </c>
      <c r="I5185">
        <v>-27</v>
      </c>
      <c r="J5185">
        <v>-109</v>
      </c>
      <c r="K5185">
        <v>64</v>
      </c>
      <c r="L5185">
        <v>1200</v>
      </c>
      <c r="M5185" t="str">
        <f t="shared" si="513"/>
        <v xml:space="preserve">N35DC   </v>
      </c>
      <c r="N5185">
        <v>1</v>
      </c>
      <c r="O5185">
        <v>750</v>
      </c>
    </row>
    <row r="5186" spans="1:15" x14ac:dyDescent="0.25">
      <c r="A5186" t="str">
        <f>"10/21/2020 18:51:29.391"</f>
        <v>10/21/2020 18:51:29.391</v>
      </c>
      <c r="B5186" t="str">
        <f>"18:51:37.313"</f>
        <v>18:51:37.313</v>
      </c>
      <c r="C5186" t="str">
        <f>"18:51:37.012"</f>
        <v>18:51:37.012</v>
      </c>
      <c r="D5186" t="s">
        <v>2140</v>
      </c>
      <c r="E5186">
        <v>30.834503000000002</v>
      </c>
      <c r="F5186" t="s">
        <v>1540</v>
      </c>
      <c r="G5186">
        <v>-89.862778000000006</v>
      </c>
      <c r="H5186">
        <v>700</v>
      </c>
      <c r="I5186">
        <v>-27</v>
      </c>
      <c r="J5186">
        <v>-109</v>
      </c>
      <c r="K5186">
        <v>64</v>
      </c>
      <c r="L5186">
        <v>1200</v>
      </c>
      <c r="M5186" t="str">
        <f t="shared" si="513"/>
        <v xml:space="preserve">N35DC   </v>
      </c>
      <c r="N5186">
        <v>1</v>
      </c>
      <c r="O5186">
        <v>750</v>
      </c>
    </row>
    <row r="5187" spans="1:15" x14ac:dyDescent="0.25">
      <c r="A5187" t="str">
        <f>"10/21/2020 18:51:29.391"</f>
        <v>10/21/2020 18:51:29.391</v>
      </c>
      <c r="B5187" t="str">
        <f>"18:51:37.313"</f>
        <v>18:51:37.313</v>
      </c>
      <c r="C5187" t="str">
        <f>"18:51:37.012"</f>
        <v>18:51:37.012</v>
      </c>
      <c r="D5187" t="s">
        <v>2140</v>
      </c>
      <c r="E5187">
        <v>30.834503000000002</v>
      </c>
      <c r="F5187" t="s">
        <v>1540</v>
      </c>
      <c r="G5187">
        <v>-89.862778000000006</v>
      </c>
      <c r="H5187">
        <v>700</v>
      </c>
      <c r="I5187">
        <v>-27</v>
      </c>
      <c r="J5187">
        <v>-109</v>
      </c>
      <c r="K5187">
        <v>64</v>
      </c>
      <c r="L5187">
        <v>1200</v>
      </c>
      <c r="M5187" t="str">
        <f t="shared" si="513"/>
        <v xml:space="preserve">N35DC   </v>
      </c>
      <c r="N5187">
        <v>1</v>
      </c>
      <c r="O5187">
        <v>750</v>
      </c>
    </row>
    <row r="5188" spans="1:15" x14ac:dyDescent="0.25">
      <c r="A5188" t="str">
        <f>"10/21/2020 18:51:29.391"</f>
        <v>10/21/2020 18:51:29.391</v>
      </c>
      <c r="B5188" t="str">
        <f>"18:51:37.313"</f>
        <v>18:51:37.313</v>
      </c>
      <c r="C5188" t="str">
        <f>"18:51:37.012"</f>
        <v>18:51:37.012</v>
      </c>
      <c r="D5188" t="s">
        <v>2140</v>
      </c>
      <c r="E5188">
        <v>30.834503000000002</v>
      </c>
      <c r="F5188" t="s">
        <v>1540</v>
      </c>
      <c r="G5188">
        <v>-89.862778000000006</v>
      </c>
      <c r="H5188">
        <v>700</v>
      </c>
      <c r="I5188">
        <v>-27</v>
      </c>
      <c r="J5188">
        <v>-109</v>
      </c>
      <c r="K5188">
        <v>64</v>
      </c>
      <c r="L5188">
        <v>1200</v>
      </c>
      <c r="M5188" t="str">
        <f t="shared" si="513"/>
        <v xml:space="preserve">N35DC   </v>
      </c>
      <c r="N5188">
        <v>1</v>
      </c>
      <c r="O5188">
        <v>750</v>
      </c>
    </row>
    <row r="5189" spans="1:15" x14ac:dyDescent="0.25">
      <c r="A5189" t="str">
        <f>"10/21/2020 18:51:30.200"</f>
        <v>10/21/2020 18:51:30.200</v>
      </c>
      <c r="B5189" t="str">
        <f>"18:51:37.844"</f>
        <v>18:51:37.844</v>
      </c>
      <c r="C5189" t="str">
        <f>"18:51:37.644"</f>
        <v>18:51:37.644</v>
      </c>
      <c r="D5189" t="s">
        <v>2141</v>
      </c>
      <c r="E5189">
        <v>30.834202999999999</v>
      </c>
      <c r="F5189" t="s">
        <v>2142</v>
      </c>
      <c r="G5189">
        <v>-89.862842999999998</v>
      </c>
      <c r="H5189">
        <v>700</v>
      </c>
      <c r="I5189">
        <v>-27</v>
      </c>
      <c r="J5189">
        <v>-109</v>
      </c>
      <c r="K5189">
        <v>128</v>
      </c>
      <c r="L5189">
        <v>1200</v>
      </c>
      <c r="M5189" t="str">
        <f t="shared" si="513"/>
        <v xml:space="preserve">N35DC   </v>
      </c>
      <c r="N5189">
        <v>1</v>
      </c>
      <c r="O5189">
        <v>750</v>
      </c>
    </row>
    <row r="5190" spans="1:15" x14ac:dyDescent="0.25">
      <c r="A5190" t="str">
        <f>"10/21/2020 18:51:30.200"</f>
        <v>10/21/2020 18:51:30.200</v>
      </c>
      <c r="B5190" t="str">
        <f>"18:51:37.844"</f>
        <v>18:51:37.844</v>
      </c>
      <c r="C5190" t="str">
        <f>"18:51:37.644"</f>
        <v>18:51:37.644</v>
      </c>
      <c r="D5190" t="s">
        <v>2141</v>
      </c>
      <c r="E5190">
        <v>30.834202999999999</v>
      </c>
      <c r="F5190" t="s">
        <v>2142</v>
      </c>
      <c r="G5190">
        <v>-89.862842999999998</v>
      </c>
      <c r="H5190">
        <v>700</v>
      </c>
      <c r="I5190">
        <v>-27</v>
      </c>
      <c r="J5190">
        <v>-109</v>
      </c>
      <c r="K5190">
        <v>128</v>
      </c>
      <c r="L5190">
        <v>1200</v>
      </c>
      <c r="M5190" t="str">
        <f t="shared" si="513"/>
        <v xml:space="preserve">N35DC   </v>
      </c>
      <c r="N5190">
        <v>1</v>
      </c>
      <c r="O5190">
        <v>750</v>
      </c>
    </row>
    <row r="5191" spans="1:15" x14ac:dyDescent="0.25">
      <c r="A5191" t="str">
        <f>"10/21/2020 18:51:30.561"</f>
        <v>10/21/2020 18:51:30.561</v>
      </c>
      <c r="B5191" t="str">
        <f>"18:51:38.438"</f>
        <v>18:51:38.438</v>
      </c>
      <c r="C5191" t="str">
        <f>"18:51:37.637"</f>
        <v>18:51:37.637</v>
      </c>
      <c r="D5191" t="s">
        <v>2143</v>
      </c>
      <c r="E5191">
        <v>30.833901999999998</v>
      </c>
      <c r="F5191" t="s">
        <v>2144</v>
      </c>
      <c r="G5191">
        <v>-89.862885000000006</v>
      </c>
      <c r="H5191">
        <v>700</v>
      </c>
      <c r="I5191">
        <v>-27</v>
      </c>
      <c r="J5191">
        <v>-109</v>
      </c>
      <c r="K5191">
        <v>128</v>
      </c>
      <c r="L5191">
        <v>1200</v>
      </c>
      <c r="M5191" t="str">
        <f t="shared" ref="M5191:M5254" si="514">"N35DC   "</f>
        <v xml:space="preserve">N35DC   </v>
      </c>
      <c r="N5191">
        <v>1</v>
      </c>
      <c r="O5191">
        <v>750</v>
      </c>
    </row>
    <row r="5192" spans="1:15" x14ac:dyDescent="0.25">
      <c r="A5192" t="str">
        <f>"10/21/2020 18:51:30.958"</f>
        <v>10/21/2020 18:51:30.958</v>
      </c>
      <c r="B5192" t="str">
        <f>"18:51:38.906"</f>
        <v>18:51:38.906</v>
      </c>
      <c r="C5192" t="str">
        <f>"18:51:37.606"</f>
        <v>18:51:37.606</v>
      </c>
      <c r="D5192" t="s">
        <v>2145</v>
      </c>
      <c r="E5192">
        <v>30.833687999999999</v>
      </c>
      <c r="F5192" t="s">
        <v>2146</v>
      </c>
      <c r="G5192">
        <v>-89.862993000000003</v>
      </c>
      <c r="H5192">
        <v>700</v>
      </c>
      <c r="I5192">
        <v>-27</v>
      </c>
      <c r="J5192">
        <v>-109</v>
      </c>
      <c r="K5192">
        <v>128</v>
      </c>
      <c r="L5192">
        <v>1200</v>
      </c>
      <c r="M5192" t="str">
        <f t="shared" si="514"/>
        <v xml:space="preserve">N35DC   </v>
      </c>
      <c r="N5192">
        <v>1</v>
      </c>
      <c r="O5192">
        <v>750</v>
      </c>
    </row>
    <row r="5193" spans="1:15" x14ac:dyDescent="0.25">
      <c r="A5193" t="str">
        <f>"10/21/2020 18:51:30.958"</f>
        <v>10/21/2020 18:51:30.958</v>
      </c>
      <c r="B5193" t="str">
        <f>"18:51:38.906"</f>
        <v>18:51:38.906</v>
      </c>
      <c r="C5193" t="str">
        <f>"18:51:37.606"</f>
        <v>18:51:37.606</v>
      </c>
      <c r="D5193" t="s">
        <v>2145</v>
      </c>
      <c r="E5193">
        <v>30.833687999999999</v>
      </c>
      <c r="F5193" t="s">
        <v>2146</v>
      </c>
      <c r="G5193">
        <v>-89.862993000000003</v>
      </c>
      <c r="H5193">
        <v>700</v>
      </c>
      <c r="I5193">
        <v>-27</v>
      </c>
      <c r="J5193">
        <v>-109</v>
      </c>
      <c r="K5193">
        <v>128</v>
      </c>
      <c r="L5193">
        <v>1200</v>
      </c>
      <c r="M5193" t="str">
        <f t="shared" si="514"/>
        <v xml:space="preserve">N35DC   </v>
      </c>
      <c r="N5193">
        <v>1</v>
      </c>
      <c r="O5193">
        <v>750</v>
      </c>
    </row>
    <row r="5194" spans="1:15" x14ac:dyDescent="0.25">
      <c r="A5194" t="str">
        <f>"10/21/2020 18:51:30.958"</f>
        <v>10/21/2020 18:51:30.958</v>
      </c>
      <c r="B5194" t="str">
        <f>"18:51:38.906"</f>
        <v>18:51:38.906</v>
      </c>
      <c r="C5194" t="str">
        <f>"18:51:37.606"</f>
        <v>18:51:37.606</v>
      </c>
      <c r="D5194" t="s">
        <v>2145</v>
      </c>
      <c r="E5194">
        <v>30.833687999999999</v>
      </c>
      <c r="F5194" t="s">
        <v>2146</v>
      </c>
      <c r="G5194">
        <v>-89.862993000000003</v>
      </c>
      <c r="H5194">
        <v>700</v>
      </c>
      <c r="I5194">
        <v>-27</v>
      </c>
      <c r="J5194">
        <v>-109</v>
      </c>
      <c r="K5194">
        <v>128</v>
      </c>
      <c r="L5194">
        <v>1200</v>
      </c>
      <c r="M5194" t="str">
        <f t="shared" si="514"/>
        <v xml:space="preserve">N35DC   </v>
      </c>
      <c r="N5194">
        <v>1</v>
      </c>
      <c r="O5194">
        <v>750</v>
      </c>
    </row>
    <row r="5195" spans="1:15" x14ac:dyDescent="0.25">
      <c r="A5195" t="str">
        <f>"10/21/2020 18:51:30.958"</f>
        <v>10/21/2020 18:51:30.958</v>
      </c>
      <c r="B5195" t="str">
        <f>"18:51:38.906"</f>
        <v>18:51:38.906</v>
      </c>
      <c r="C5195" t="str">
        <f>"18:51:37.606"</f>
        <v>18:51:37.606</v>
      </c>
      <c r="D5195" t="s">
        <v>2145</v>
      </c>
      <c r="E5195">
        <v>30.833687999999999</v>
      </c>
      <c r="F5195" t="s">
        <v>2146</v>
      </c>
      <c r="G5195">
        <v>-89.862993000000003</v>
      </c>
      <c r="H5195">
        <v>700</v>
      </c>
      <c r="I5195">
        <v>-27</v>
      </c>
      <c r="J5195">
        <v>-109</v>
      </c>
      <c r="K5195">
        <v>128</v>
      </c>
      <c r="L5195">
        <v>1200</v>
      </c>
      <c r="M5195" t="str">
        <f t="shared" si="514"/>
        <v xml:space="preserve">N35DC   </v>
      </c>
      <c r="N5195">
        <v>1</v>
      </c>
      <c r="O5195">
        <v>750</v>
      </c>
    </row>
    <row r="5196" spans="1:15" x14ac:dyDescent="0.25">
      <c r="A5196" t="str">
        <f>"10/21/2020 18:51:33.890"</f>
        <v>10/21/2020 18:51:33.890</v>
      </c>
      <c r="B5196" t="str">
        <f t="shared" ref="B5196:C5200" si="515">"18:51:41.813"</f>
        <v>18:51:41.813</v>
      </c>
      <c r="C5196" t="str">
        <f t="shared" si="515"/>
        <v>18:51:41.813</v>
      </c>
      <c r="D5196" t="s">
        <v>2147</v>
      </c>
      <c r="E5196">
        <v>30.832249999999998</v>
      </c>
      <c r="F5196" t="s">
        <v>2148</v>
      </c>
      <c r="G5196">
        <v>-89.863336000000004</v>
      </c>
      <c r="H5196">
        <v>700</v>
      </c>
      <c r="I5196">
        <v>-20</v>
      </c>
      <c r="J5196">
        <v>-108</v>
      </c>
      <c r="K5196">
        <v>256</v>
      </c>
      <c r="L5196">
        <v>1200</v>
      </c>
      <c r="M5196" t="str">
        <f t="shared" si="514"/>
        <v xml:space="preserve">N35DC   </v>
      </c>
      <c r="N5196">
        <v>1</v>
      </c>
      <c r="O5196">
        <v>775</v>
      </c>
    </row>
    <row r="5197" spans="1:15" x14ac:dyDescent="0.25">
      <c r="A5197" t="str">
        <f>"10/21/2020 18:51:33.890"</f>
        <v>10/21/2020 18:51:33.890</v>
      </c>
      <c r="B5197" t="str">
        <f t="shared" si="515"/>
        <v>18:51:41.813</v>
      </c>
      <c r="C5197" t="str">
        <f t="shared" si="515"/>
        <v>18:51:41.813</v>
      </c>
      <c r="D5197" t="s">
        <v>2147</v>
      </c>
      <c r="E5197">
        <v>30.832249999999998</v>
      </c>
      <c r="F5197" t="s">
        <v>2148</v>
      </c>
      <c r="G5197">
        <v>-89.863336000000004</v>
      </c>
      <c r="H5197">
        <v>700</v>
      </c>
      <c r="I5197">
        <v>-20</v>
      </c>
      <c r="J5197">
        <v>-108</v>
      </c>
      <c r="K5197">
        <v>256</v>
      </c>
      <c r="L5197">
        <v>1200</v>
      </c>
      <c r="M5197" t="str">
        <f t="shared" si="514"/>
        <v xml:space="preserve">N35DC   </v>
      </c>
      <c r="N5197">
        <v>1</v>
      </c>
      <c r="O5197">
        <v>775</v>
      </c>
    </row>
    <row r="5198" spans="1:15" x14ac:dyDescent="0.25">
      <c r="A5198" t="str">
        <f>"10/21/2020 18:51:33.890"</f>
        <v>10/21/2020 18:51:33.890</v>
      </c>
      <c r="B5198" t="str">
        <f t="shared" si="515"/>
        <v>18:51:41.813</v>
      </c>
      <c r="C5198" t="str">
        <f t="shared" si="515"/>
        <v>18:51:41.813</v>
      </c>
      <c r="D5198" t="s">
        <v>2147</v>
      </c>
      <c r="E5198">
        <v>30.832249999999998</v>
      </c>
      <c r="F5198" t="s">
        <v>2148</v>
      </c>
      <c r="G5198">
        <v>-89.863336000000004</v>
      </c>
      <c r="H5198">
        <v>700</v>
      </c>
      <c r="I5198">
        <v>-20</v>
      </c>
      <c r="J5198">
        <v>-108</v>
      </c>
      <c r="K5198">
        <v>256</v>
      </c>
      <c r="L5198">
        <v>1200</v>
      </c>
      <c r="M5198" t="str">
        <f t="shared" si="514"/>
        <v xml:space="preserve">N35DC   </v>
      </c>
      <c r="N5198">
        <v>1</v>
      </c>
      <c r="O5198">
        <v>775</v>
      </c>
    </row>
    <row r="5199" spans="1:15" x14ac:dyDescent="0.25">
      <c r="A5199" t="str">
        <f>"10/21/2020 18:51:33.890"</f>
        <v>10/21/2020 18:51:33.890</v>
      </c>
      <c r="B5199" t="str">
        <f t="shared" si="515"/>
        <v>18:51:41.813</v>
      </c>
      <c r="C5199" t="str">
        <f t="shared" si="515"/>
        <v>18:51:41.813</v>
      </c>
      <c r="D5199" t="s">
        <v>2147</v>
      </c>
      <c r="E5199">
        <v>30.832249999999998</v>
      </c>
      <c r="F5199" t="s">
        <v>2148</v>
      </c>
      <c r="G5199">
        <v>-89.863336000000004</v>
      </c>
      <c r="H5199">
        <v>700</v>
      </c>
      <c r="I5199">
        <v>-20</v>
      </c>
      <c r="J5199">
        <v>-108</v>
      </c>
      <c r="K5199">
        <v>256</v>
      </c>
      <c r="L5199">
        <v>1200</v>
      </c>
      <c r="M5199" t="str">
        <f t="shared" si="514"/>
        <v xml:space="preserve">N35DC   </v>
      </c>
      <c r="N5199">
        <v>1</v>
      </c>
      <c r="O5199">
        <v>775</v>
      </c>
    </row>
    <row r="5200" spans="1:15" x14ac:dyDescent="0.25">
      <c r="A5200" t="str">
        <f>"10/21/2020 18:51:33.890"</f>
        <v>10/21/2020 18:51:33.890</v>
      </c>
      <c r="B5200" t="str">
        <f t="shared" si="515"/>
        <v>18:51:41.813</v>
      </c>
      <c r="C5200" t="str">
        <f t="shared" si="515"/>
        <v>18:51:41.813</v>
      </c>
      <c r="D5200" t="s">
        <v>2147</v>
      </c>
      <c r="E5200">
        <v>30.832249999999998</v>
      </c>
      <c r="F5200" t="s">
        <v>2148</v>
      </c>
      <c r="G5200">
        <v>-89.863336000000004</v>
      </c>
      <c r="H5200">
        <v>700</v>
      </c>
      <c r="I5200">
        <v>-20</v>
      </c>
      <c r="J5200">
        <v>-108</v>
      </c>
      <c r="K5200">
        <v>256</v>
      </c>
      <c r="L5200">
        <v>1200</v>
      </c>
      <c r="M5200" t="str">
        <f t="shared" si="514"/>
        <v xml:space="preserve">N35DC   </v>
      </c>
      <c r="N5200">
        <v>1</v>
      </c>
      <c r="O5200">
        <v>775</v>
      </c>
    </row>
    <row r="5201" spans="1:15" x14ac:dyDescent="0.25">
      <c r="A5201" t="str">
        <f>"10/21/2020 18:51:37.327"</f>
        <v>10/21/2020 18:51:37.327</v>
      </c>
      <c r="B5201" t="str">
        <f>"18:51:45.266"</f>
        <v>18:51:45.266</v>
      </c>
      <c r="C5201" t="str">
        <f>"18:51:45.166"</f>
        <v>18:51:45.166</v>
      </c>
      <c r="D5201" t="s">
        <v>2149</v>
      </c>
      <c r="E5201">
        <v>30.830511999999999</v>
      </c>
      <c r="F5201" t="s">
        <v>2150</v>
      </c>
      <c r="G5201">
        <v>-89.863701000000006</v>
      </c>
      <c r="H5201">
        <v>700</v>
      </c>
      <c r="I5201">
        <v>-17</v>
      </c>
      <c r="J5201">
        <v>-107</v>
      </c>
      <c r="K5201">
        <v>384</v>
      </c>
      <c r="L5201">
        <v>1200</v>
      </c>
      <c r="M5201" t="str">
        <f t="shared" si="514"/>
        <v xml:space="preserve">N35DC   </v>
      </c>
      <c r="N5201">
        <v>1</v>
      </c>
      <c r="O5201">
        <v>800</v>
      </c>
    </row>
    <row r="5202" spans="1:15" x14ac:dyDescent="0.25">
      <c r="A5202" t="str">
        <f>"10/21/2020 18:51:37.327"</f>
        <v>10/21/2020 18:51:37.327</v>
      </c>
      <c r="B5202" t="str">
        <f>"18:51:45.266"</f>
        <v>18:51:45.266</v>
      </c>
      <c r="C5202" t="str">
        <f>"18:51:45.166"</f>
        <v>18:51:45.166</v>
      </c>
      <c r="D5202" t="s">
        <v>2149</v>
      </c>
      <c r="E5202">
        <v>30.830511999999999</v>
      </c>
      <c r="F5202" t="s">
        <v>2150</v>
      </c>
      <c r="G5202">
        <v>-89.863701000000006</v>
      </c>
      <c r="H5202">
        <v>700</v>
      </c>
      <c r="I5202">
        <v>-17</v>
      </c>
      <c r="J5202">
        <v>-107</v>
      </c>
      <c r="K5202">
        <v>384</v>
      </c>
      <c r="L5202">
        <v>1200</v>
      </c>
      <c r="M5202" t="str">
        <f t="shared" si="514"/>
        <v xml:space="preserve">N35DC   </v>
      </c>
      <c r="N5202">
        <v>1</v>
      </c>
      <c r="O5202">
        <v>800</v>
      </c>
    </row>
    <row r="5203" spans="1:15" x14ac:dyDescent="0.25">
      <c r="A5203" t="str">
        <f>"10/21/2020 18:51:37.327"</f>
        <v>10/21/2020 18:51:37.327</v>
      </c>
      <c r="B5203" t="str">
        <f>"18:51:45.266"</f>
        <v>18:51:45.266</v>
      </c>
      <c r="C5203" t="str">
        <f>"18:51:45.166"</f>
        <v>18:51:45.166</v>
      </c>
      <c r="D5203" t="s">
        <v>2149</v>
      </c>
      <c r="E5203">
        <v>30.830511999999999</v>
      </c>
      <c r="F5203" t="s">
        <v>2150</v>
      </c>
      <c r="G5203">
        <v>-89.863701000000006</v>
      </c>
      <c r="H5203">
        <v>700</v>
      </c>
      <c r="I5203">
        <v>-17</v>
      </c>
      <c r="J5203">
        <v>-107</v>
      </c>
      <c r="K5203">
        <v>384</v>
      </c>
      <c r="L5203">
        <v>1200</v>
      </c>
      <c r="M5203" t="str">
        <f t="shared" si="514"/>
        <v xml:space="preserve">N35DC   </v>
      </c>
      <c r="N5203">
        <v>1</v>
      </c>
      <c r="O5203">
        <v>800</v>
      </c>
    </row>
    <row r="5204" spans="1:15" x14ac:dyDescent="0.25">
      <c r="A5204" t="str">
        <f>"10/21/2020 18:51:37.327"</f>
        <v>10/21/2020 18:51:37.327</v>
      </c>
      <c r="B5204" t="str">
        <f>"18:51:45.266"</f>
        <v>18:51:45.266</v>
      </c>
      <c r="C5204" t="str">
        <f>"18:51:45.166"</f>
        <v>18:51:45.166</v>
      </c>
      <c r="D5204" t="s">
        <v>2149</v>
      </c>
      <c r="E5204">
        <v>30.830511999999999</v>
      </c>
      <c r="F5204" t="s">
        <v>2150</v>
      </c>
      <c r="G5204">
        <v>-89.863701000000006</v>
      </c>
      <c r="H5204">
        <v>700</v>
      </c>
      <c r="I5204">
        <v>-17</v>
      </c>
      <c r="J5204">
        <v>-107</v>
      </c>
      <c r="K5204">
        <v>384</v>
      </c>
      <c r="L5204">
        <v>1200</v>
      </c>
      <c r="M5204" t="str">
        <f t="shared" si="514"/>
        <v xml:space="preserve">N35DC   </v>
      </c>
      <c r="N5204">
        <v>1</v>
      </c>
      <c r="O5204">
        <v>800</v>
      </c>
    </row>
    <row r="5205" spans="1:15" x14ac:dyDescent="0.25">
      <c r="A5205" t="str">
        <f>"10/21/2020 18:51:37.854"</f>
        <v>10/21/2020 18:51:37.854</v>
      </c>
      <c r="B5205" t="str">
        <f>"18:51:45.758"</f>
        <v>18:51:45.758</v>
      </c>
      <c r="C5205" t="str">
        <f>"18:51:45.558"</f>
        <v>18:51:45.558</v>
      </c>
      <c r="D5205" t="s">
        <v>2151</v>
      </c>
      <c r="E5205">
        <v>30.830255000000001</v>
      </c>
      <c r="F5205" t="s">
        <v>2150</v>
      </c>
      <c r="G5205">
        <v>-89.863701000000006</v>
      </c>
      <c r="H5205">
        <v>800</v>
      </c>
      <c r="I5205">
        <v>-17</v>
      </c>
      <c r="J5205">
        <v>-107</v>
      </c>
      <c r="K5205">
        <v>384</v>
      </c>
      <c r="L5205">
        <v>1200</v>
      </c>
      <c r="M5205" t="str">
        <f t="shared" si="514"/>
        <v xml:space="preserve">N35DC   </v>
      </c>
      <c r="N5205">
        <v>1</v>
      </c>
      <c r="O5205">
        <v>700</v>
      </c>
    </row>
    <row r="5206" spans="1:15" x14ac:dyDescent="0.25">
      <c r="A5206" t="str">
        <f>"10/21/2020 18:51:38.385"</f>
        <v>10/21/2020 18:51:38.385</v>
      </c>
      <c r="B5206" t="str">
        <f>"18:51:46.313"</f>
        <v>18:51:46.313</v>
      </c>
      <c r="C5206" t="str">
        <f>"18:51:46.113"</f>
        <v>18:51:46.113</v>
      </c>
      <c r="D5206" t="s">
        <v>2152</v>
      </c>
      <c r="E5206">
        <v>30.829954000000001</v>
      </c>
      <c r="F5206" t="s">
        <v>2153</v>
      </c>
      <c r="G5206">
        <v>-89.863765000000001</v>
      </c>
      <c r="H5206">
        <v>800</v>
      </c>
      <c r="I5206">
        <v>-16</v>
      </c>
      <c r="J5206">
        <v>-107</v>
      </c>
      <c r="K5206">
        <v>320</v>
      </c>
      <c r="L5206">
        <v>1200</v>
      </c>
      <c r="M5206" t="str">
        <f t="shared" si="514"/>
        <v xml:space="preserve">N35DC   </v>
      </c>
      <c r="N5206">
        <v>1</v>
      </c>
      <c r="O5206">
        <v>800</v>
      </c>
    </row>
    <row r="5207" spans="1:15" x14ac:dyDescent="0.25">
      <c r="A5207" t="str">
        <f>"10/21/2020 18:51:38.385"</f>
        <v>10/21/2020 18:51:38.385</v>
      </c>
      <c r="B5207" t="str">
        <f>"18:51:46.313"</f>
        <v>18:51:46.313</v>
      </c>
      <c r="C5207" t="str">
        <f>"18:51:46.113"</f>
        <v>18:51:46.113</v>
      </c>
      <c r="D5207" t="s">
        <v>2152</v>
      </c>
      <c r="E5207">
        <v>30.829954000000001</v>
      </c>
      <c r="F5207" t="s">
        <v>2153</v>
      </c>
      <c r="G5207">
        <v>-89.863765000000001</v>
      </c>
      <c r="H5207">
        <v>800</v>
      </c>
      <c r="I5207">
        <v>-16</v>
      </c>
      <c r="J5207">
        <v>-107</v>
      </c>
      <c r="K5207">
        <v>320</v>
      </c>
      <c r="L5207">
        <v>1200</v>
      </c>
      <c r="M5207" t="str">
        <f t="shared" si="514"/>
        <v xml:space="preserve">N35DC   </v>
      </c>
      <c r="N5207">
        <v>1</v>
      </c>
      <c r="O5207">
        <v>800</v>
      </c>
    </row>
    <row r="5208" spans="1:15" x14ac:dyDescent="0.25">
      <c r="A5208" t="str">
        <f>"10/21/2020 18:51:38.385"</f>
        <v>10/21/2020 18:51:38.385</v>
      </c>
      <c r="B5208" t="str">
        <f>"18:51:46.313"</f>
        <v>18:51:46.313</v>
      </c>
      <c r="C5208" t="str">
        <f>"18:51:46.113"</f>
        <v>18:51:46.113</v>
      </c>
      <c r="D5208" t="s">
        <v>2152</v>
      </c>
      <c r="E5208">
        <v>30.829954000000001</v>
      </c>
      <c r="F5208" t="s">
        <v>2153</v>
      </c>
      <c r="G5208">
        <v>-89.863765000000001</v>
      </c>
      <c r="H5208">
        <v>800</v>
      </c>
      <c r="I5208">
        <v>-16</v>
      </c>
      <c r="J5208">
        <v>-107</v>
      </c>
      <c r="K5208">
        <v>320</v>
      </c>
      <c r="L5208">
        <v>1200</v>
      </c>
      <c r="M5208" t="str">
        <f t="shared" si="514"/>
        <v xml:space="preserve">N35DC   </v>
      </c>
      <c r="N5208">
        <v>1</v>
      </c>
      <c r="O5208">
        <v>800</v>
      </c>
    </row>
    <row r="5209" spans="1:15" x14ac:dyDescent="0.25">
      <c r="A5209" t="str">
        <f>"10/21/2020 18:51:38.385"</f>
        <v>10/21/2020 18:51:38.385</v>
      </c>
      <c r="B5209" t="str">
        <f>"18:51:46.313"</f>
        <v>18:51:46.313</v>
      </c>
      <c r="C5209" t="str">
        <f>"18:51:46.113"</f>
        <v>18:51:46.113</v>
      </c>
      <c r="D5209" t="s">
        <v>2152</v>
      </c>
      <c r="E5209">
        <v>30.829954000000001</v>
      </c>
      <c r="F5209" t="s">
        <v>2153</v>
      </c>
      <c r="G5209">
        <v>-89.863765000000001</v>
      </c>
      <c r="H5209">
        <v>800</v>
      </c>
      <c r="I5209">
        <v>-16</v>
      </c>
      <c r="J5209">
        <v>-107</v>
      </c>
      <c r="K5209">
        <v>320</v>
      </c>
      <c r="L5209">
        <v>1200</v>
      </c>
      <c r="M5209" t="str">
        <f t="shared" si="514"/>
        <v xml:space="preserve">N35DC   </v>
      </c>
      <c r="N5209">
        <v>1</v>
      </c>
      <c r="O5209">
        <v>800</v>
      </c>
    </row>
    <row r="5210" spans="1:15" x14ac:dyDescent="0.25">
      <c r="A5210" t="str">
        <f>"10/21/2020 18:51:40.979"</f>
        <v>10/21/2020 18:51:40.979</v>
      </c>
      <c r="B5210" t="str">
        <f>"18:51:48.938"</f>
        <v>18:51:48.938</v>
      </c>
      <c r="C5210" t="str">
        <f>"18:51:48.538"</f>
        <v>18:51:48.538</v>
      </c>
      <c r="D5210" t="s">
        <v>2154</v>
      </c>
      <c r="E5210">
        <v>30.828688</v>
      </c>
      <c r="F5210" t="s">
        <v>2155</v>
      </c>
      <c r="G5210">
        <v>-89.863957999999997</v>
      </c>
      <c r="H5210">
        <v>800</v>
      </c>
      <c r="I5210">
        <v>-13</v>
      </c>
      <c r="J5210">
        <v>-107</v>
      </c>
      <c r="K5210">
        <v>192</v>
      </c>
      <c r="L5210">
        <v>1200</v>
      </c>
      <c r="M5210" t="str">
        <f t="shared" si="514"/>
        <v xml:space="preserve">N35DC   </v>
      </c>
      <c r="N5210">
        <v>1</v>
      </c>
      <c r="O5210">
        <v>800</v>
      </c>
    </row>
    <row r="5211" spans="1:15" x14ac:dyDescent="0.25">
      <c r="A5211" t="str">
        <f>"10/21/2020 18:51:40.979"</f>
        <v>10/21/2020 18:51:40.979</v>
      </c>
      <c r="B5211" t="str">
        <f>"18:51:48.938"</f>
        <v>18:51:48.938</v>
      </c>
      <c r="C5211" t="str">
        <f>"18:51:48.538"</f>
        <v>18:51:48.538</v>
      </c>
      <c r="D5211" t="s">
        <v>2154</v>
      </c>
      <c r="E5211">
        <v>30.828688</v>
      </c>
      <c r="F5211" t="s">
        <v>2155</v>
      </c>
      <c r="G5211">
        <v>-89.863957999999997</v>
      </c>
      <c r="H5211">
        <v>800</v>
      </c>
      <c r="I5211">
        <v>-13</v>
      </c>
      <c r="J5211">
        <v>-107</v>
      </c>
      <c r="K5211">
        <v>192</v>
      </c>
      <c r="L5211">
        <v>1200</v>
      </c>
      <c r="M5211" t="str">
        <f t="shared" si="514"/>
        <v xml:space="preserve">N35DC   </v>
      </c>
      <c r="N5211">
        <v>1</v>
      </c>
      <c r="O5211">
        <v>800</v>
      </c>
    </row>
    <row r="5212" spans="1:15" x14ac:dyDescent="0.25">
      <c r="A5212" t="str">
        <f>"10/21/2020 18:51:40.979"</f>
        <v>10/21/2020 18:51:40.979</v>
      </c>
      <c r="B5212" t="str">
        <f>"18:51:48.938"</f>
        <v>18:51:48.938</v>
      </c>
      <c r="C5212" t="str">
        <f>"18:51:48.538"</f>
        <v>18:51:48.538</v>
      </c>
      <c r="D5212" t="s">
        <v>2154</v>
      </c>
      <c r="E5212">
        <v>30.828688</v>
      </c>
      <c r="F5212" t="s">
        <v>2155</v>
      </c>
      <c r="G5212">
        <v>-89.863957999999997</v>
      </c>
      <c r="H5212">
        <v>800</v>
      </c>
      <c r="I5212">
        <v>-13</v>
      </c>
      <c r="J5212">
        <v>-107</v>
      </c>
      <c r="K5212">
        <v>192</v>
      </c>
      <c r="L5212">
        <v>1200</v>
      </c>
      <c r="M5212" t="str">
        <f t="shared" si="514"/>
        <v xml:space="preserve">N35DC   </v>
      </c>
      <c r="N5212">
        <v>1</v>
      </c>
      <c r="O5212">
        <v>800</v>
      </c>
    </row>
    <row r="5213" spans="1:15" x14ac:dyDescent="0.25">
      <c r="A5213" t="str">
        <f>"10/21/2020 18:51:40.979"</f>
        <v>10/21/2020 18:51:40.979</v>
      </c>
      <c r="B5213" t="str">
        <f>"18:51:48.938"</f>
        <v>18:51:48.938</v>
      </c>
      <c r="C5213" t="str">
        <f>"18:51:48.538"</f>
        <v>18:51:48.538</v>
      </c>
      <c r="D5213" t="s">
        <v>2154</v>
      </c>
      <c r="E5213">
        <v>30.828688</v>
      </c>
      <c r="F5213" t="s">
        <v>2155</v>
      </c>
      <c r="G5213">
        <v>-89.863957999999997</v>
      </c>
      <c r="H5213">
        <v>800</v>
      </c>
      <c r="I5213">
        <v>-13</v>
      </c>
      <c r="J5213">
        <v>-107</v>
      </c>
      <c r="K5213">
        <v>192</v>
      </c>
      <c r="L5213">
        <v>1200</v>
      </c>
      <c r="M5213" t="str">
        <f t="shared" si="514"/>
        <v xml:space="preserve">N35DC   </v>
      </c>
      <c r="N5213">
        <v>1</v>
      </c>
      <c r="O5213">
        <v>800</v>
      </c>
    </row>
    <row r="5214" spans="1:15" x14ac:dyDescent="0.25">
      <c r="A5214" t="str">
        <f>"10/21/2020 18:51:40.979"</f>
        <v>10/21/2020 18:51:40.979</v>
      </c>
      <c r="B5214" t="str">
        <f>"18:51:48.938"</f>
        <v>18:51:48.938</v>
      </c>
      <c r="C5214" t="str">
        <f>"18:51:48.538"</f>
        <v>18:51:48.538</v>
      </c>
      <c r="D5214" t="s">
        <v>2154</v>
      </c>
      <c r="E5214">
        <v>30.828688</v>
      </c>
      <c r="F5214" t="s">
        <v>2155</v>
      </c>
      <c r="G5214">
        <v>-89.863957999999997</v>
      </c>
      <c r="H5214">
        <v>800</v>
      </c>
      <c r="I5214">
        <v>-13</v>
      </c>
      <c r="J5214">
        <v>-107</v>
      </c>
      <c r="K5214">
        <v>192</v>
      </c>
      <c r="L5214">
        <v>1200</v>
      </c>
      <c r="M5214" t="str">
        <f t="shared" si="514"/>
        <v xml:space="preserve">N35DC   </v>
      </c>
      <c r="N5214">
        <v>1</v>
      </c>
      <c r="O5214">
        <v>800</v>
      </c>
    </row>
    <row r="5215" spans="1:15" x14ac:dyDescent="0.25">
      <c r="A5215" t="str">
        <f>"10/21/2020 18:51:43.862"</f>
        <v>10/21/2020 18:51:43.862</v>
      </c>
      <c r="B5215" t="str">
        <f t="shared" ref="B5215:C5219" si="516">"18:51:51.789"</f>
        <v>18:51:51.789</v>
      </c>
      <c r="C5215" t="str">
        <f t="shared" si="516"/>
        <v>18:51:51.789</v>
      </c>
      <c r="D5215" t="s">
        <v>2156</v>
      </c>
      <c r="E5215">
        <v>30.827272000000001</v>
      </c>
      <c r="F5215" t="s">
        <v>2157</v>
      </c>
      <c r="G5215">
        <v>-89.864151000000007</v>
      </c>
      <c r="H5215">
        <v>800</v>
      </c>
      <c r="I5215">
        <v>-10</v>
      </c>
      <c r="J5215">
        <v>-106</v>
      </c>
      <c r="K5215">
        <v>-128</v>
      </c>
      <c r="L5215">
        <v>1200</v>
      </c>
      <c r="M5215" t="str">
        <f t="shared" si="514"/>
        <v xml:space="preserve">N35DC   </v>
      </c>
      <c r="N5215">
        <v>1</v>
      </c>
      <c r="O5215">
        <v>800</v>
      </c>
    </row>
    <row r="5216" spans="1:15" x14ac:dyDescent="0.25">
      <c r="A5216" t="str">
        <f>"10/21/2020 18:51:43.862"</f>
        <v>10/21/2020 18:51:43.862</v>
      </c>
      <c r="B5216" t="str">
        <f t="shared" si="516"/>
        <v>18:51:51.789</v>
      </c>
      <c r="C5216" t="str">
        <f t="shared" si="516"/>
        <v>18:51:51.789</v>
      </c>
      <c r="D5216" t="s">
        <v>2156</v>
      </c>
      <c r="E5216">
        <v>30.827272000000001</v>
      </c>
      <c r="F5216" t="s">
        <v>2157</v>
      </c>
      <c r="G5216">
        <v>-89.864151000000007</v>
      </c>
      <c r="H5216">
        <v>800</v>
      </c>
      <c r="I5216">
        <v>-10</v>
      </c>
      <c r="J5216">
        <v>-106</v>
      </c>
      <c r="K5216">
        <v>-128</v>
      </c>
      <c r="L5216">
        <v>1200</v>
      </c>
      <c r="M5216" t="str">
        <f t="shared" si="514"/>
        <v xml:space="preserve">N35DC   </v>
      </c>
      <c r="N5216">
        <v>1</v>
      </c>
      <c r="O5216">
        <v>800</v>
      </c>
    </row>
    <row r="5217" spans="1:15" x14ac:dyDescent="0.25">
      <c r="A5217" t="str">
        <f>"10/21/2020 18:51:43.862"</f>
        <v>10/21/2020 18:51:43.862</v>
      </c>
      <c r="B5217" t="str">
        <f t="shared" si="516"/>
        <v>18:51:51.789</v>
      </c>
      <c r="C5217" t="str">
        <f t="shared" si="516"/>
        <v>18:51:51.789</v>
      </c>
      <c r="D5217" t="s">
        <v>2156</v>
      </c>
      <c r="E5217">
        <v>30.827272000000001</v>
      </c>
      <c r="F5217" t="s">
        <v>2157</v>
      </c>
      <c r="G5217">
        <v>-89.864151000000007</v>
      </c>
      <c r="H5217">
        <v>800</v>
      </c>
      <c r="I5217">
        <v>-10</v>
      </c>
      <c r="J5217">
        <v>-106</v>
      </c>
      <c r="K5217">
        <v>-128</v>
      </c>
      <c r="L5217">
        <v>1200</v>
      </c>
      <c r="M5217" t="str">
        <f t="shared" si="514"/>
        <v xml:space="preserve">N35DC   </v>
      </c>
      <c r="N5217">
        <v>1</v>
      </c>
      <c r="O5217">
        <v>800</v>
      </c>
    </row>
    <row r="5218" spans="1:15" x14ac:dyDescent="0.25">
      <c r="A5218" t="str">
        <f>"10/21/2020 18:51:43.862"</f>
        <v>10/21/2020 18:51:43.862</v>
      </c>
      <c r="B5218" t="str">
        <f t="shared" si="516"/>
        <v>18:51:51.789</v>
      </c>
      <c r="C5218" t="str">
        <f t="shared" si="516"/>
        <v>18:51:51.789</v>
      </c>
      <c r="D5218" t="s">
        <v>2156</v>
      </c>
      <c r="E5218">
        <v>30.827272000000001</v>
      </c>
      <c r="F5218" t="s">
        <v>2157</v>
      </c>
      <c r="G5218">
        <v>-89.864151000000007</v>
      </c>
      <c r="H5218">
        <v>800</v>
      </c>
      <c r="I5218">
        <v>-10</v>
      </c>
      <c r="J5218">
        <v>-106</v>
      </c>
      <c r="K5218">
        <v>-128</v>
      </c>
      <c r="L5218">
        <v>1200</v>
      </c>
      <c r="M5218" t="str">
        <f t="shared" si="514"/>
        <v xml:space="preserve">N35DC   </v>
      </c>
      <c r="N5218">
        <v>1</v>
      </c>
      <c r="O5218">
        <v>800</v>
      </c>
    </row>
    <row r="5219" spans="1:15" x14ac:dyDescent="0.25">
      <c r="A5219" t="str">
        <f>"10/21/2020 18:51:43.862"</f>
        <v>10/21/2020 18:51:43.862</v>
      </c>
      <c r="B5219" t="str">
        <f t="shared" si="516"/>
        <v>18:51:51.789</v>
      </c>
      <c r="C5219" t="str">
        <f t="shared" si="516"/>
        <v>18:51:51.789</v>
      </c>
      <c r="D5219" t="s">
        <v>2156</v>
      </c>
      <c r="E5219">
        <v>30.827272000000001</v>
      </c>
      <c r="F5219" t="s">
        <v>2157</v>
      </c>
      <c r="G5219">
        <v>-89.864151000000007</v>
      </c>
      <c r="H5219">
        <v>800</v>
      </c>
      <c r="I5219">
        <v>-10</v>
      </c>
      <c r="J5219">
        <v>-106</v>
      </c>
      <c r="K5219">
        <v>-128</v>
      </c>
      <c r="L5219">
        <v>1200</v>
      </c>
      <c r="M5219" t="str">
        <f t="shared" si="514"/>
        <v xml:space="preserve">N35DC   </v>
      </c>
      <c r="N5219">
        <v>1</v>
      </c>
      <c r="O5219">
        <v>800</v>
      </c>
    </row>
    <row r="5220" spans="1:15" x14ac:dyDescent="0.25">
      <c r="A5220" t="str">
        <f>"10/21/2020 18:51:44.923"</f>
        <v>10/21/2020 18:51:44.923</v>
      </c>
      <c r="B5220" t="str">
        <f>"18:51:52.836"</f>
        <v>18:51:52.836</v>
      </c>
      <c r="C5220" t="str">
        <f>"18:51:52.636"</f>
        <v>18:51:52.636</v>
      </c>
      <c r="D5220" t="s">
        <v>1162</v>
      </c>
      <c r="E5220">
        <v>30.826757000000001</v>
      </c>
      <c r="F5220" t="s">
        <v>2158</v>
      </c>
      <c r="G5220">
        <v>-89.864172999999994</v>
      </c>
      <c r="H5220">
        <v>800</v>
      </c>
      <c r="I5220">
        <v>-9</v>
      </c>
      <c r="J5220">
        <v>-106</v>
      </c>
      <c r="K5220">
        <v>-192</v>
      </c>
      <c r="L5220">
        <v>1200</v>
      </c>
      <c r="M5220" t="str">
        <f t="shared" si="514"/>
        <v xml:space="preserve">N35DC   </v>
      </c>
      <c r="N5220">
        <v>1</v>
      </c>
      <c r="O5220">
        <v>800</v>
      </c>
    </row>
    <row r="5221" spans="1:15" x14ac:dyDescent="0.25">
      <c r="A5221" t="str">
        <f>"10/21/2020 18:51:44.923"</f>
        <v>10/21/2020 18:51:44.923</v>
      </c>
      <c r="B5221" t="str">
        <f>"18:51:52.836"</f>
        <v>18:51:52.836</v>
      </c>
      <c r="C5221" t="str">
        <f>"18:51:52.636"</f>
        <v>18:51:52.636</v>
      </c>
      <c r="D5221" t="s">
        <v>1162</v>
      </c>
      <c r="E5221">
        <v>30.826757000000001</v>
      </c>
      <c r="F5221" t="s">
        <v>2158</v>
      </c>
      <c r="G5221">
        <v>-89.864172999999994</v>
      </c>
      <c r="H5221">
        <v>800</v>
      </c>
      <c r="I5221">
        <v>-9</v>
      </c>
      <c r="J5221">
        <v>-106</v>
      </c>
      <c r="K5221">
        <v>-192</v>
      </c>
      <c r="L5221">
        <v>1200</v>
      </c>
      <c r="M5221" t="str">
        <f t="shared" si="514"/>
        <v xml:space="preserve">N35DC   </v>
      </c>
      <c r="N5221">
        <v>1</v>
      </c>
      <c r="O5221">
        <v>800</v>
      </c>
    </row>
    <row r="5222" spans="1:15" x14ac:dyDescent="0.25">
      <c r="A5222" t="str">
        <f>"10/21/2020 18:51:44.923"</f>
        <v>10/21/2020 18:51:44.923</v>
      </c>
      <c r="B5222" t="str">
        <f>"18:51:52.836"</f>
        <v>18:51:52.836</v>
      </c>
      <c r="C5222" t="str">
        <f>"18:51:52.636"</f>
        <v>18:51:52.636</v>
      </c>
      <c r="D5222" t="s">
        <v>1162</v>
      </c>
      <c r="E5222">
        <v>30.826757000000001</v>
      </c>
      <c r="F5222" t="s">
        <v>2158</v>
      </c>
      <c r="G5222">
        <v>-89.864172999999994</v>
      </c>
      <c r="H5222">
        <v>800</v>
      </c>
      <c r="I5222">
        <v>-9</v>
      </c>
      <c r="J5222">
        <v>-106</v>
      </c>
      <c r="K5222">
        <v>-192</v>
      </c>
      <c r="L5222">
        <v>1200</v>
      </c>
      <c r="M5222" t="str">
        <f t="shared" si="514"/>
        <v xml:space="preserve">N35DC   </v>
      </c>
      <c r="N5222">
        <v>1</v>
      </c>
      <c r="O5222">
        <v>800</v>
      </c>
    </row>
    <row r="5223" spans="1:15" x14ac:dyDescent="0.25">
      <c r="A5223" t="str">
        <f>"10/21/2020 18:51:44.923"</f>
        <v>10/21/2020 18:51:44.923</v>
      </c>
      <c r="B5223" t="str">
        <f>"18:51:52.836"</f>
        <v>18:51:52.836</v>
      </c>
      <c r="C5223" t="str">
        <f>"18:51:52.636"</f>
        <v>18:51:52.636</v>
      </c>
      <c r="D5223" t="s">
        <v>1162</v>
      </c>
      <c r="E5223">
        <v>30.826757000000001</v>
      </c>
      <c r="F5223" t="s">
        <v>2158</v>
      </c>
      <c r="G5223">
        <v>-89.864172999999994</v>
      </c>
      <c r="H5223">
        <v>800</v>
      </c>
      <c r="I5223">
        <v>-9</v>
      </c>
      <c r="J5223">
        <v>-106</v>
      </c>
      <c r="K5223">
        <v>-192</v>
      </c>
      <c r="L5223">
        <v>1200</v>
      </c>
      <c r="M5223" t="str">
        <f t="shared" si="514"/>
        <v xml:space="preserve">N35DC   </v>
      </c>
      <c r="N5223">
        <v>1</v>
      </c>
      <c r="O5223">
        <v>800</v>
      </c>
    </row>
    <row r="5224" spans="1:15" x14ac:dyDescent="0.25">
      <c r="A5224" t="str">
        <f>"10/21/2020 18:51:44.923"</f>
        <v>10/21/2020 18:51:44.923</v>
      </c>
      <c r="B5224" t="str">
        <f>"18:51:52.836"</f>
        <v>18:51:52.836</v>
      </c>
      <c r="C5224" t="str">
        <f>"18:51:52.636"</f>
        <v>18:51:52.636</v>
      </c>
      <c r="D5224" t="s">
        <v>1162</v>
      </c>
      <c r="E5224">
        <v>30.826757000000001</v>
      </c>
      <c r="F5224" t="s">
        <v>2158</v>
      </c>
      <c r="G5224">
        <v>-89.864172999999994</v>
      </c>
      <c r="H5224">
        <v>800</v>
      </c>
      <c r="I5224">
        <v>-9</v>
      </c>
      <c r="J5224">
        <v>-106</v>
      </c>
      <c r="K5224">
        <v>-192</v>
      </c>
      <c r="L5224">
        <v>1200</v>
      </c>
      <c r="M5224" t="str">
        <f t="shared" si="514"/>
        <v xml:space="preserve">N35DC   </v>
      </c>
      <c r="N5224">
        <v>1</v>
      </c>
      <c r="O5224">
        <v>800</v>
      </c>
    </row>
    <row r="5225" spans="1:15" x14ac:dyDescent="0.25">
      <c r="A5225" t="str">
        <f>"10/21/2020 18:51:46.871"</f>
        <v>10/21/2020 18:51:46.871</v>
      </c>
      <c r="B5225" t="str">
        <f>"18:51:54.773"</f>
        <v>18:51:54.773</v>
      </c>
      <c r="C5225" t="str">
        <f>"18:51:54.573"</f>
        <v>18:51:54.573</v>
      </c>
      <c r="D5225" t="s">
        <v>2159</v>
      </c>
      <c r="E5225">
        <v>30.825813</v>
      </c>
      <c r="F5225" t="s">
        <v>2160</v>
      </c>
      <c r="G5225">
        <v>-89.864259000000004</v>
      </c>
      <c r="H5225">
        <v>800</v>
      </c>
      <c r="I5225">
        <v>-7</v>
      </c>
      <c r="J5225">
        <v>-106</v>
      </c>
      <c r="K5225">
        <v>-320</v>
      </c>
      <c r="L5225">
        <v>1200</v>
      </c>
      <c r="M5225" t="str">
        <f t="shared" si="514"/>
        <v xml:space="preserve">N35DC   </v>
      </c>
      <c r="N5225">
        <v>1</v>
      </c>
      <c r="O5225">
        <v>800</v>
      </c>
    </row>
    <row r="5226" spans="1:15" x14ac:dyDescent="0.25">
      <c r="A5226" t="str">
        <f>"10/21/2020 18:51:46.871"</f>
        <v>10/21/2020 18:51:46.871</v>
      </c>
      <c r="B5226" t="str">
        <f>"18:51:54.773"</f>
        <v>18:51:54.773</v>
      </c>
      <c r="C5226" t="str">
        <f>"18:51:54.573"</f>
        <v>18:51:54.573</v>
      </c>
      <c r="D5226" t="s">
        <v>2159</v>
      </c>
      <c r="E5226">
        <v>30.825813</v>
      </c>
      <c r="F5226" t="s">
        <v>2160</v>
      </c>
      <c r="G5226">
        <v>-89.864259000000004</v>
      </c>
      <c r="H5226">
        <v>800</v>
      </c>
      <c r="I5226">
        <v>-7</v>
      </c>
      <c r="J5226">
        <v>-106</v>
      </c>
      <c r="K5226">
        <v>-320</v>
      </c>
      <c r="L5226">
        <v>1200</v>
      </c>
      <c r="M5226" t="str">
        <f t="shared" si="514"/>
        <v xml:space="preserve">N35DC   </v>
      </c>
      <c r="N5226">
        <v>1</v>
      </c>
      <c r="O5226">
        <v>800</v>
      </c>
    </row>
    <row r="5227" spans="1:15" x14ac:dyDescent="0.25">
      <c r="A5227" t="str">
        <f>"10/21/2020 18:51:46.871"</f>
        <v>10/21/2020 18:51:46.871</v>
      </c>
      <c r="B5227" t="str">
        <f>"18:51:54.773"</f>
        <v>18:51:54.773</v>
      </c>
      <c r="C5227" t="str">
        <f>"18:51:54.573"</f>
        <v>18:51:54.573</v>
      </c>
      <c r="D5227" t="s">
        <v>2159</v>
      </c>
      <c r="E5227">
        <v>30.825813</v>
      </c>
      <c r="F5227" t="s">
        <v>2160</v>
      </c>
      <c r="G5227">
        <v>-89.864259000000004</v>
      </c>
      <c r="H5227">
        <v>800</v>
      </c>
      <c r="I5227">
        <v>-7</v>
      </c>
      <c r="J5227">
        <v>-106</v>
      </c>
      <c r="K5227">
        <v>-320</v>
      </c>
      <c r="L5227">
        <v>1200</v>
      </c>
      <c r="M5227" t="str">
        <f t="shared" si="514"/>
        <v xml:space="preserve">N35DC   </v>
      </c>
      <c r="N5227">
        <v>1</v>
      </c>
      <c r="O5227">
        <v>800</v>
      </c>
    </row>
    <row r="5228" spans="1:15" x14ac:dyDescent="0.25">
      <c r="A5228" t="str">
        <f>"10/21/2020 18:51:46.871"</f>
        <v>10/21/2020 18:51:46.871</v>
      </c>
      <c r="B5228" t="str">
        <f>"18:51:54.773"</f>
        <v>18:51:54.773</v>
      </c>
      <c r="C5228" t="str">
        <f>"18:51:54.573"</f>
        <v>18:51:54.573</v>
      </c>
      <c r="D5228" t="s">
        <v>2159</v>
      </c>
      <c r="E5228">
        <v>30.825813</v>
      </c>
      <c r="F5228" t="s">
        <v>2160</v>
      </c>
      <c r="G5228">
        <v>-89.864259000000004</v>
      </c>
      <c r="H5228">
        <v>800</v>
      </c>
      <c r="I5228">
        <v>-7</v>
      </c>
      <c r="J5228">
        <v>-106</v>
      </c>
      <c r="K5228">
        <v>-320</v>
      </c>
      <c r="L5228">
        <v>1200</v>
      </c>
      <c r="M5228" t="str">
        <f t="shared" si="514"/>
        <v xml:space="preserve">N35DC   </v>
      </c>
      <c r="N5228">
        <v>1</v>
      </c>
      <c r="O5228">
        <v>800</v>
      </c>
    </row>
    <row r="5229" spans="1:15" x14ac:dyDescent="0.25">
      <c r="A5229" t="str">
        <f>"10/21/2020 18:51:46.871"</f>
        <v>10/21/2020 18:51:46.871</v>
      </c>
      <c r="B5229" t="str">
        <f>"18:51:54.773"</f>
        <v>18:51:54.773</v>
      </c>
      <c r="C5229" t="str">
        <f>"18:51:54.573"</f>
        <v>18:51:54.573</v>
      </c>
      <c r="D5229" t="s">
        <v>2159</v>
      </c>
      <c r="E5229">
        <v>30.825813</v>
      </c>
      <c r="F5229" t="s">
        <v>2160</v>
      </c>
      <c r="G5229">
        <v>-89.864259000000004</v>
      </c>
      <c r="H5229">
        <v>800</v>
      </c>
      <c r="I5229">
        <v>-7</v>
      </c>
      <c r="J5229">
        <v>-106</v>
      </c>
      <c r="K5229">
        <v>-320</v>
      </c>
      <c r="L5229">
        <v>1200</v>
      </c>
      <c r="M5229" t="str">
        <f t="shared" si="514"/>
        <v xml:space="preserve">N35DC   </v>
      </c>
      <c r="N5229">
        <v>1</v>
      </c>
      <c r="O5229">
        <v>800</v>
      </c>
    </row>
    <row r="5230" spans="1:15" x14ac:dyDescent="0.25">
      <c r="A5230" t="str">
        <f>"10/21/2020 18:51:47.931"</f>
        <v>10/21/2020 18:51:47.931</v>
      </c>
      <c r="B5230" t="str">
        <f>"18:51:55.852"</f>
        <v>18:51:55.852</v>
      </c>
      <c r="C5230" t="str">
        <f>"18:51:54.552"</f>
        <v>18:51:54.552</v>
      </c>
      <c r="D5230" t="s">
        <v>2161</v>
      </c>
      <c r="E5230">
        <v>30.825254999999999</v>
      </c>
      <c r="F5230" t="s">
        <v>2162</v>
      </c>
      <c r="G5230">
        <v>-89.864322999999999</v>
      </c>
      <c r="H5230">
        <v>700</v>
      </c>
      <c r="I5230">
        <v>-7</v>
      </c>
      <c r="J5230">
        <v>-106</v>
      </c>
      <c r="K5230">
        <v>-320</v>
      </c>
      <c r="L5230">
        <v>1200</v>
      </c>
      <c r="M5230" t="str">
        <f t="shared" si="514"/>
        <v xml:space="preserve">N35DC   </v>
      </c>
      <c r="N5230">
        <v>1</v>
      </c>
      <c r="O5230">
        <v>700</v>
      </c>
    </row>
    <row r="5231" spans="1:15" x14ac:dyDescent="0.25">
      <c r="A5231" t="str">
        <f>"10/21/2020 18:51:47.931"</f>
        <v>10/21/2020 18:51:47.931</v>
      </c>
      <c r="B5231" t="str">
        <f>"18:51:55.852"</f>
        <v>18:51:55.852</v>
      </c>
      <c r="C5231" t="str">
        <f>"18:51:54.552"</f>
        <v>18:51:54.552</v>
      </c>
      <c r="D5231" t="s">
        <v>2161</v>
      </c>
      <c r="E5231">
        <v>30.825254999999999</v>
      </c>
      <c r="F5231" t="s">
        <v>2162</v>
      </c>
      <c r="G5231">
        <v>-89.864322999999999</v>
      </c>
      <c r="H5231">
        <v>700</v>
      </c>
      <c r="I5231">
        <v>-7</v>
      </c>
      <c r="J5231">
        <v>-106</v>
      </c>
      <c r="K5231">
        <v>-320</v>
      </c>
      <c r="L5231">
        <v>1200</v>
      </c>
      <c r="M5231" t="str">
        <f t="shared" si="514"/>
        <v xml:space="preserve">N35DC   </v>
      </c>
      <c r="N5231">
        <v>1</v>
      </c>
      <c r="O5231">
        <v>700</v>
      </c>
    </row>
    <row r="5232" spans="1:15" x14ac:dyDescent="0.25">
      <c r="A5232" t="str">
        <f>"10/21/2020 18:51:50.155"</f>
        <v>10/21/2020 18:51:50.155</v>
      </c>
      <c r="B5232" t="str">
        <f>"18:51:58.078"</f>
        <v>18:51:58.078</v>
      </c>
      <c r="C5232" t="str">
        <f>"18:51:57.778"</f>
        <v>18:51:57.778</v>
      </c>
      <c r="D5232" t="s">
        <v>2163</v>
      </c>
      <c r="E5232">
        <v>30.824203000000001</v>
      </c>
      <c r="F5232" t="s">
        <v>2164</v>
      </c>
      <c r="G5232">
        <v>-89.864345</v>
      </c>
      <c r="H5232">
        <v>700</v>
      </c>
      <c r="I5232">
        <v>-2</v>
      </c>
      <c r="J5232">
        <v>-107</v>
      </c>
      <c r="K5232">
        <v>-64</v>
      </c>
      <c r="L5232">
        <v>1200</v>
      </c>
      <c r="M5232" t="str">
        <f t="shared" si="514"/>
        <v xml:space="preserve">N35DC   </v>
      </c>
      <c r="N5232">
        <v>1</v>
      </c>
      <c r="O5232">
        <v>800</v>
      </c>
    </row>
    <row r="5233" spans="1:15" x14ac:dyDescent="0.25">
      <c r="A5233" t="str">
        <f>"10/21/2020 18:51:50.155"</f>
        <v>10/21/2020 18:51:50.155</v>
      </c>
      <c r="B5233" t="str">
        <f>"18:51:58.078"</f>
        <v>18:51:58.078</v>
      </c>
      <c r="C5233" t="str">
        <f>"18:51:57.778"</f>
        <v>18:51:57.778</v>
      </c>
      <c r="D5233" t="s">
        <v>2163</v>
      </c>
      <c r="E5233">
        <v>30.824203000000001</v>
      </c>
      <c r="F5233" t="s">
        <v>2164</v>
      </c>
      <c r="G5233">
        <v>-89.864345</v>
      </c>
      <c r="H5233">
        <v>700</v>
      </c>
      <c r="I5233">
        <v>-2</v>
      </c>
      <c r="J5233">
        <v>-107</v>
      </c>
      <c r="K5233">
        <v>-64</v>
      </c>
      <c r="L5233">
        <v>1200</v>
      </c>
      <c r="M5233" t="str">
        <f t="shared" si="514"/>
        <v xml:space="preserve">N35DC   </v>
      </c>
      <c r="N5233">
        <v>1</v>
      </c>
      <c r="O5233">
        <v>800</v>
      </c>
    </row>
    <row r="5234" spans="1:15" x14ac:dyDescent="0.25">
      <c r="A5234" t="str">
        <f>"10/21/2020 18:51:50.688"</f>
        <v>10/21/2020 18:51:50.688</v>
      </c>
      <c r="B5234" t="str">
        <f>"18:51:58.570"</f>
        <v>18:51:58.570</v>
      </c>
      <c r="C5234" t="str">
        <f>"18:51:58.570"</f>
        <v>18:51:58.570</v>
      </c>
      <c r="D5234" t="s">
        <v>2165</v>
      </c>
      <c r="E5234">
        <v>30.823967</v>
      </c>
      <c r="F5234" t="s">
        <v>2162</v>
      </c>
      <c r="G5234">
        <v>-89.864322999999999</v>
      </c>
      <c r="H5234">
        <v>700</v>
      </c>
      <c r="I5234">
        <v>-2</v>
      </c>
      <c r="J5234">
        <v>-107</v>
      </c>
      <c r="K5234">
        <v>128</v>
      </c>
      <c r="L5234">
        <v>1200</v>
      </c>
      <c r="M5234" t="str">
        <f t="shared" si="514"/>
        <v xml:space="preserve">N35DC   </v>
      </c>
      <c r="N5234">
        <v>1</v>
      </c>
      <c r="O5234">
        <v>800</v>
      </c>
    </row>
    <row r="5235" spans="1:15" x14ac:dyDescent="0.25">
      <c r="A5235" t="str">
        <f>"10/21/2020 18:51:51.520"</f>
        <v>10/21/2020 18:51:51.520</v>
      </c>
      <c r="B5235" t="str">
        <f>"18:51:59.453"</f>
        <v>18:51:59.453</v>
      </c>
      <c r="C5235" t="str">
        <f>"18:51:57.753"</f>
        <v>18:51:57.753</v>
      </c>
      <c r="D5235" t="s">
        <v>2166</v>
      </c>
      <c r="E5235">
        <v>30.823495000000001</v>
      </c>
      <c r="F5235" t="s">
        <v>2162</v>
      </c>
      <c r="G5235">
        <v>-89.864322999999999</v>
      </c>
      <c r="H5235">
        <v>800</v>
      </c>
      <c r="I5235">
        <v>-2</v>
      </c>
      <c r="J5235">
        <v>-107</v>
      </c>
      <c r="K5235">
        <v>-64</v>
      </c>
      <c r="L5235">
        <v>1200</v>
      </c>
      <c r="M5235" t="str">
        <f t="shared" si="514"/>
        <v xml:space="preserve">N35DC   </v>
      </c>
      <c r="N5235">
        <v>1</v>
      </c>
      <c r="O5235">
        <v>900</v>
      </c>
    </row>
    <row r="5236" spans="1:15" x14ac:dyDescent="0.25">
      <c r="A5236" t="str">
        <f>"10/21/2020 18:51:51.520"</f>
        <v>10/21/2020 18:51:51.520</v>
      </c>
      <c r="B5236" t="str">
        <f>"18:51:59.453"</f>
        <v>18:51:59.453</v>
      </c>
      <c r="C5236" t="str">
        <f>"18:51:57.753"</f>
        <v>18:51:57.753</v>
      </c>
      <c r="D5236" t="s">
        <v>2166</v>
      </c>
      <c r="E5236">
        <v>30.823495000000001</v>
      </c>
      <c r="F5236" t="s">
        <v>2162</v>
      </c>
      <c r="G5236">
        <v>-89.864322999999999</v>
      </c>
      <c r="H5236">
        <v>800</v>
      </c>
      <c r="I5236">
        <v>-2</v>
      </c>
      <c r="J5236">
        <v>-107</v>
      </c>
      <c r="K5236">
        <v>-64</v>
      </c>
      <c r="L5236">
        <v>1200</v>
      </c>
      <c r="M5236" t="str">
        <f t="shared" si="514"/>
        <v xml:space="preserve">N35DC   </v>
      </c>
      <c r="N5236">
        <v>1</v>
      </c>
      <c r="O5236">
        <v>900</v>
      </c>
    </row>
    <row r="5237" spans="1:15" x14ac:dyDescent="0.25">
      <c r="A5237" t="str">
        <f>"10/21/2020 18:51:54.125"</f>
        <v>10/21/2020 18:51:54.125</v>
      </c>
      <c r="B5237" t="str">
        <f>"18:52:02.047"</f>
        <v>18:52:02.047</v>
      </c>
      <c r="C5237" t="str">
        <f>"18:52:01.647"</f>
        <v>18:52:01.647</v>
      </c>
      <c r="D5237" t="s">
        <v>2167</v>
      </c>
      <c r="E5237">
        <v>30.822229</v>
      </c>
      <c r="F5237" t="s">
        <v>2168</v>
      </c>
      <c r="G5237">
        <v>-89.864388000000005</v>
      </c>
      <c r="H5237">
        <v>800</v>
      </c>
      <c r="I5237">
        <v>-4</v>
      </c>
      <c r="J5237">
        <v>-106</v>
      </c>
      <c r="K5237">
        <v>128</v>
      </c>
      <c r="L5237">
        <v>1200</v>
      </c>
      <c r="M5237" t="str">
        <f t="shared" si="514"/>
        <v xml:space="preserve">N35DC   </v>
      </c>
      <c r="N5237">
        <v>1</v>
      </c>
      <c r="O5237">
        <v>800</v>
      </c>
    </row>
    <row r="5238" spans="1:15" x14ac:dyDescent="0.25">
      <c r="A5238" t="str">
        <f>"10/21/2020 18:51:54.125"</f>
        <v>10/21/2020 18:51:54.125</v>
      </c>
      <c r="B5238" t="str">
        <f>"18:52:02.047"</f>
        <v>18:52:02.047</v>
      </c>
      <c r="C5238" t="str">
        <f>"18:52:01.647"</f>
        <v>18:52:01.647</v>
      </c>
      <c r="D5238" t="s">
        <v>2167</v>
      </c>
      <c r="E5238">
        <v>30.822229</v>
      </c>
      <c r="F5238" t="s">
        <v>2168</v>
      </c>
      <c r="G5238">
        <v>-89.864388000000005</v>
      </c>
      <c r="H5238">
        <v>800</v>
      </c>
      <c r="I5238">
        <v>-4</v>
      </c>
      <c r="J5238">
        <v>-106</v>
      </c>
      <c r="K5238">
        <v>128</v>
      </c>
      <c r="L5238">
        <v>1200</v>
      </c>
      <c r="M5238" t="str">
        <f t="shared" si="514"/>
        <v xml:space="preserve">N35DC   </v>
      </c>
      <c r="N5238">
        <v>1</v>
      </c>
      <c r="O5238">
        <v>800</v>
      </c>
    </row>
    <row r="5239" spans="1:15" x14ac:dyDescent="0.25">
      <c r="A5239" t="str">
        <f>"10/21/2020 18:51:54.125"</f>
        <v>10/21/2020 18:51:54.125</v>
      </c>
      <c r="B5239" t="str">
        <f>"18:52:02.047"</f>
        <v>18:52:02.047</v>
      </c>
      <c r="C5239" t="str">
        <f>"18:52:01.647"</f>
        <v>18:52:01.647</v>
      </c>
      <c r="D5239" t="s">
        <v>2167</v>
      </c>
      <c r="E5239">
        <v>30.822229</v>
      </c>
      <c r="F5239" t="s">
        <v>2168</v>
      </c>
      <c r="G5239">
        <v>-89.864388000000005</v>
      </c>
      <c r="H5239">
        <v>800</v>
      </c>
      <c r="I5239">
        <v>-4</v>
      </c>
      <c r="J5239">
        <v>-106</v>
      </c>
      <c r="K5239">
        <v>128</v>
      </c>
      <c r="L5239">
        <v>1200</v>
      </c>
      <c r="M5239" t="str">
        <f t="shared" si="514"/>
        <v xml:space="preserve">N35DC   </v>
      </c>
      <c r="N5239">
        <v>1</v>
      </c>
      <c r="O5239">
        <v>800</v>
      </c>
    </row>
    <row r="5240" spans="1:15" x14ac:dyDescent="0.25">
      <c r="A5240" t="str">
        <f>"10/21/2020 18:51:54.125"</f>
        <v>10/21/2020 18:51:54.125</v>
      </c>
      <c r="B5240" t="str">
        <f>"18:52:02.047"</f>
        <v>18:52:02.047</v>
      </c>
      <c r="C5240" t="str">
        <f>"18:52:01.647"</f>
        <v>18:52:01.647</v>
      </c>
      <c r="D5240" t="s">
        <v>2167</v>
      </c>
      <c r="E5240">
        <v>30.822229</v>
      </c>
      <c r="F5240" t="s">
        <v>2168</v>
      </c>
      <c r="G5240">
        <v>-89.864388000000005</v>
      </c>
      <c r="H5240">
        <v>800</v>
      </c>
      <c r="I5240">
        <v>-4</v>
      </c>
      <c r="J5240">
        <v>-106</v>
      </c>
      <c r="K5240">
        <v>128</v>
      </c>
      <c r="L5240">
        <v>1200</v>
      </c>
      <c r="M5240" t="str">
        <f t="shared" si="514"/>
        <v xml:space="preserve">N35DC   </v>
      </c>
      <c r="N5240">
        <v>1</v>
      </c>
      <c r="O5240">
        <v>800</v>
      </c>
    </row>
    <row r="5241" spans="1:15" x14ac:dyDescent="0.25">
      <c r="A5241" t="str">
        <f>"10/21/2020 18:51:54.125"</f>
        <v>10/21/2020 18:51:54.125</v>
      </c>
      <c r="B5241" t="str">
        <f>"18:52:02.047"</f>
        <v>18:52:02.047</v>
      </c>
      <c r="C5241" t="str">
        <f>"18:52:01.647"</f>
        <v>18:52:01.647</v>
      </c>
      <c r="D5241" t="s">
        <v>2167</v>
      </c>
      <c r="E5241">
        <v>30.822229</v>
      </c>
      <c r="F5241" t="s">
        <v>2168</v>
      </c>
      <c r="G5241">
        <v>-89.864388000000005</v>
      </c>
      <c r="H5241">
        <v>800</v>
      </c>
      <c r="I5241">
        <v>-4</v>
      </c>
      <c r="J5241">
        <v>-106</v>
      </c>
      <c r="K5241">
        <v>128</v>
      </c>
      <c r="L5241">
        <v>1200</v>
      </c>
      <c r="M5241" t="str">
        <f t="shared" si="514"/>
        <v xml:space="preserve">N35DC   </v>
      </c>
      <c r="N5241">
        <v>1</v>
      </c>
      <c r="O5241">
        <v>800</v>
      </c>
    </row>
    <row r="5242" spans="1:15" x14ac:dyDescent="0.25">
      <c r="A5242" t="str">
        <f>"10/21/2020 18:51:57.712"</f>
        <v>10/21/2020 18:51:57.712</v>
      </c>
      <c r="B5242" t="str">
        <f>"18:52:05.617"</f>
        <v>18:52:05.617</v>
      </c>
      <c r="C5242" t="str">
        <f>"18:52:05.217"</f>
        <v>18:52:05.217</v>
      </c>
      <c r="D5242" t="s">
        <v>2169</v>
      </c>
      <c r="E5242">
        <v>30.820491000000001</v>
      </c>
      <c r="F5242" t="s">
        <v>2170</v>
      </c>
      <c r="G5242">
        <v>-89.864495000000005</v>
      </c>
      <c r="H5242">
        <v>800</v>
      </c>
      <c r="I5242">
        <v>-9</v>
      </c>
      <c r="J5242">
        <v>-104</v>
      </c>
      <c r="K5242">
        <v>0</v>
      </c>
      <c r="L5242">
        <v>1200</v>
      </c>
      <c r="M5242" t="str">
        <f t="shared" si="514"/>
        <v xml:space="preserve">N35DC   </v>
      </c>
      <c r="N5242">
        <v>1</v>
      </c>
      <c r="O5242">
        <v>800</v>
      </c>
    </row>
    <row r="5243" spans="1:15" x14ac:dyDescent="0.25">
      <c r="A5243" t="str">
        <f>"10/21/2020 18:51:57.712"</f>
        <v>10/21/2020 18:51:57.712</v>
      </c>
      <c r="B5243" t="str">
        <f>"18:52:05.617"</f>
        <v>18:52:05.617</v>
      </c>
      <c r="C5243" t="str">
        <f>"18:52:05.217"</f>
        <v>18:52:05.217</v>
      </c>
      <c r="D5243" t="s">
        <v>2169</v>
      </c>
      <c r="E5243">
        <v>30.820491000000001</v>
      </c>
      <c r="F5243" t="s">
        <v>2170</v>
      </c>
      <c r="G5243">
        <v>-89.864495000000005</v>
      </c>
      <c r="H5243">
        <v>800</v>
      </c>
      <c r="I5243">
        <v>-9</v>
      </c>
      <c r="J5243">
        <v>-104</v>
      </c>
      <c r="K5243">
        <v>0</v>
      </c>
      <c r="L5243">
        <v>1200</v>
      </c>
      <c r="M5243" t="str">
        <f t="shared" si="514"/>
        <v xml:space="preserve">N35DC   </v>
      </c>
      <c r="N5243">
        <v>1</v>
      </c>
      <c r="O5243">
        <v>800</v>
      </c>
    </row>
    <row r="5244" spans="1:15" x14ac:dyDescent="0.25">
      <c r="A5244" t="str">
        <f>"10/21/2020 18:51:57.712"</f>
        <v>10/21/2020 18:51:57.712</v>
      </c>
      <c r="B5244" t="str">
        <f>"18:52:05.617"</f>
        <v>18:52:05.617</v>
      </c>
      <c r="C5244" t="str">
        <f>"18:52:05.217"</f>
        <v>18:52:05.217</v>
      </c>
      <c r="D5244" t="s">
        <v>2169</v>
      </c>
      <c r="E5244">
        <v>30.820491000000001</v>
      </c>
      <c r="F5244" t="s">
        <v>2170</v>
      </c>
      <c r="G5244">
        <v>-89.864495000000005</v>
      </c>
      <c r="H5244">
        <v>800</v>
      </c>
      <c r="I5244">
        <v>-9</v>
      </c>
      <c r="J5244">
        <v>-104</v>
      </c>
      <c r="K5244">
        <v>0</v>
      </c>
      <c r="L5244">
        <v>1200</v>
      </c>
      <c r="M5244" t="str">
        <f t="shared" si="514"/>
        <v xml:space="preserve">N35DC   </v>
      </c>
      <c r="N5244">
        <v>1</v>
      </c>
      <c r="O5244">
        <v>800</v>
      </c>
    </row>
    <row r="5245" spans="1:15" x14ac:dyDescent="0.25">
      <c r="A5245" t="str">
        <f>"10/21/2020 18:51:57.712"</f>
        <v>10/21/2020 18:51:57.712</v>
      </c>
      <c r="B5245" t="str">
        <f>"18:52:05.617"</f>
        <v>18:52:05.617</v>
      </c>
      <c r="C5245" t="str">
        <f>"18:52:05.217"</f>
        <v>18:52:05.217</v>
      </c>
      <c r="D5245" t="s">
        <v>2169</v>
      </c>
      <c r="E5245">
        <v>30.820491000000001</v>
      </c>
      <c r="F5245" t="s">
        <v>2170</v>
      </c>
      <c r="G5245">
        <v>-89.864495000000005</v>
      </c>
      <c r="H5245">
        <v>800</v>
      </c>
      <c r="I5245">
        <v>-9</v>
      </c>
      <c r="J5245">
        <v>-104</v>
      </c>
      <c r="K5245">
        <v>0</v>
      </c>
      <c r="L5245">
        <v>1200</v>
      </c>
      <c r="M5245" t="str">
        <f t="shared" si="514"/>
        <v xml:space="preserve">N35DC   </v>
      </c>
      <c r="N5245">
        <v>1</v>
      </c>
      <c r="O5245">
        <v>800</v>
      </c>
    </row>
    <row r="5246" spans="1:15" x14ac:dyDescent="0.25">
      <c r="A5246" t="str">
        <f>"10/21/2020 18:51:57.712"</f>
        <v>10/21/2020 18:51:57.712</v>
      </c>
      <c r="B5246" t="str">
        <f>"18:52:05.617"</f>
        <v>18:52:05.617</v>
      </c>
      <c r="C5246" t="str">
        <f>"18:52:05.217"</f>
        <v>18:52:05.217</v>
      </c>
      <c r="D5246" t="s">
        <v>2169</v>
      </c>
      <c r="E5246">
        <v>30.820491000000001</v>
      </c>
      <c r="F5246" t="s">
        <v>2170</v>
      </c>
      <c r="G5246">
        <v>-89.864495000000005</v>
      </c>
      <c r="H5246">
        <v>800</v>
      </c>
      <c r="I5246">
        <v>-9</v>
      </c>
      <c r="J5246">
        <v>-104</v>
      </c>
      <c r="K5246">
        <v>0</v>
      </c>
      <c r="L5246">
        <v>1200</v>
      </c>
      <c r="M5246" t="str">
        <f t="shared" si="514"/>
        <v xml:space="preserve">N35DC   </v>
      </c>
      <c r="N5246">
        <v>1</v>
      </c>
      <c r="O5246">
        <v>800</v>
      </c>
    </row>
    <row r="5247" spans="1:15" x14ac:dyDescent="0.25">
      <c r="A5247" t="str">
        <f>"10/21/2020 18:51:58.520"</f>
        <v>10/21/2020 18:51:58.520</v>
      </c>
      <c r="B5247" t="str">
        <f>"18:52:06.492"</f>
        <v>18:52:06.492</v>
      </c>
      <c r="C5247" t="str">
        <f>"18:52:05.792"</f>
        <v>18:52:05.792</v>
      </c>
      <c r="D5247" t="s">
        <v>2171</v>
      </c>
      <c r="E5247">
        <v>30.820084000000001</v>
      </c>
      <c r="F5247" t="s">
        <v>2172</v>
      </c>
      <c r="G5247">
        <v>-89.864602000000005</v>
      </c>
      <c r="H5247">
        <v>800</v>
      </c>
      <c r="I5247">
        <v>-10</v>
      </c>
      <c r="J5247">
        <v>-104</v>
      </c>
      <c r="K5247">
        <v>0</v>
      </c>
      <c r="L5247">
        <v>1200</v>
      </c>
      <c r="M5247" t="str">
        <f t="shared" si="514"/>
        <v xml:space="preserve">N35DC   </v>
      </c>
      <c r="N5247">
        <v>1</v>
      </c>
      <c r="O5247">
        <v>800</v>
      </c>
    </row>
    <row r="5248" spans="1:15" x14ac:dyDescent="0.25">
      <c r="A5248" t="str">
        <f>"10/21/2020 18:51:58.520"</f>
        <v>10/21/2020 18:51:58.520</v>
      </c>
      <c r="B5248" t="str">
        <f>"18:52:06.492"</f>
        <v>18:52:06.492</v>
      </c>
      <c r="C5248" t="str">
        <f>"18:52:05.792"</f>
        <v>18:52:05.792</v>
      </c>
      <c r="D5248" t="s">
        <v>2171</v>
      </c>
      <c r="E5248">
        <v>30.820084000000001</v>
      </c>
      <c r="F5248" t="s">
        <v>2172</v>
      </c>
      <c r="G5248">
        <v>-89.864602000000005</v>
      </c>
      <c r="H5248">
        <v>800</v>
      </c>
      <c r="I5248">
        <v>-10</v>
      </c>
      <c r="J5248">
        <v>-104</v>
      </c>
      <c r="K5248">
        <v>0</v>
      </c>
      <c r="L5248">
        <v>1200</v>
      </c>
      <c r="M5248" t="str">
        <f t="shared" si="514"/>
        <v xml:space="preserve">N35DC   </v>
      </c>
      <c r="N5248">
        <v>1</v>
      </c>
      <c r="O5248">
        <v>800</v>
      </c>
    </row>
    <row r="5249" spans="1:15" x14ac:dyDescent="0.25">
      <c r="A5249" t="str">
        <f>"10/21/2020 18:51:58.520"</f>
        <v>10/21/2020 18:51:58.520</v>
      </c>
      <c r="B5249" t="str">
        <f>"18:52:06.492"</f>
        <v>18:52:06.492</v>
      </c>
      <c r="C5249" t="str">
        <f>"18:52:05.792"</f>
        <v>18:52:05.792</v>
      </c>
      <c r="D5249" t="s">
        <v>2171</v>
      </c>
      <c r="E5249">
        <v>30.820084000000001</v>
      </c>
      <c r="F5249" t="s">
        <v>2172</v>
      </c>
      <c r="G5249">
        <v>-89.864602000000005</v>
      </c>
      <c r="H5249">
        <v>800</v>
      </c>
      <c r="I5249">
        <v>-10</v>
      </c>
      <c r="J5249">
        <v>-104</v>
      </c>
      <c r="K5249">
        <v>0</v>
      </c>
      <c r="L5249">
        <v>1200</v>
      </c>
      <c r="M5249" t="str">
        <f t="shared" si="514"/>
        <v xml:space="preserve">N35DC   </v>
      </c>
      <c r="N5249">
        <v>1</v>
      </c>
      <c r="O5249">
        <v>800</v>
      </c>
    </row>
    <row r="5250" spans="1:15" x14ac:dyDescent="0.25">
      <c r="A5250" t="str">
        <f>"10/21/2020 18:51:58.520"</f>
        <v>10/21/2020 18:51:58.520</v>
      </c>
      <c r="B5250" t="str">
        <f>"18:52:06.492"</f>
        <v>18:52:06.492</v>
      </c>
      <c r="C5250" t="str">
        <f>"18:52:05.792"</f>
        <v>18:52:05.792</v>
      </c>
      <c r="D5250" t="s">
        <v>2171</v>
      </c>
      <c r="E5250">
        <v>30.820084000000001</v>
      </c>
      <c r="F5250" t="s">
        <v>2172</v>
      </c>
      <c r="G5250">
        <v>-89.864602000000005</v>
      </c>
      <c r="H5250">
        <v>800</v>
      </c>
      <c r="I5250">
        <v>-10</v>
      </c>
      <c r="J5250">
        <v>-104</v>
      </c>
      <c r="K5250">
        <v>0</v>
      </c>
      <c r="L5250">
        <v>1200</v>
      </c>
      <c r="M5250" t="str">
        <f t="shared" si="514"/>
        <v xml:space="preserve">N35DC   </v>
      </c>
      <c r="N5250">
        <v>1</v>
      </c>
      <c r="O5250">
        <v>800</v>
      </c>
    </row>
    <row r="5251" spans="1:15" x14ac:dyDescent="0.25">
      <c r="A5251" t="str">
        <f>"10/21/2020 18:51:58.520"</f>
        <v>10/21/2020 18:51:58.520</v>
      </c>
      <c r="B5251" t="str">
        <f>"18:52:06.492"</f>
        <v>18:52:06.492</v>
      </c>
      <c r="C5251" t="str">
        <f>"18:52:05.792"</f>
        <v>18:52:05.792</v>
      </c>
      <c r="D5251" t="s">
        <v>2171</v>
      </c>
      <c r="E5251">
        <v>30.820084000000001</v>
      </c>
      <c r="F5251" t="s">
        <v>2172</v>
      </c>
      <c r="G5251">
        <v>-89.864602000000005</v>
      </c>
      <c r="H5251">
        <v>800</v>
      </c>
      <c r="I5251">
        <v>-10</v>
      </c>
      <c r="J5251">
        <v>-104</v>
      </c>
      <c r="K5251">
        <v>0</v>
      </c>
      <c r="L5251">
        <v>1200</v>
      </c>
      <c r="M5251" t="str">
        <f t="shared" si="514"/>
        <v xml:space="preserve">N35DC   </v>
      </c>
      <c r="N5251">
        <v>1</v>
      </c>
      <c r="O5251">
        <v>800</v>
      </c>
    </row>
    <row r="5252" spans="1:15" x14ac:dyDescent="0.25">
      <c r="A5252" t="str">
        <f>"10/21/2020 18:51:59.582"</f>
        <v>10/21/2020 18:51:59.582</v>
      </c>
      <c r="B5252" t="str">
        <f>"18:52:07.492"</f>
        <v>18:52:07.492</v>
      </c>
      <c r="C5252" t="str">
        <f>"18:52:07.292"</f>
        <v>18:52:07.292</v>
      </c>
      <c r="D5252" t="s">
        <v>2173</v>
      </c>
      <c r="E5252">
        <v>30.819633</v>
      </c>
      <c r="F5252" t="s">
        <v>2172</v>
      </c>
      <c r="G5252">
        <v>-89.864602000000005</v>
      </c>
      <c r="H5252">
        <v>800</v>
      </c>
      <c r="I5252">
        <v>-9</v>
      </c>
      <c r="J5252">
        <v>-103</v>
      </c>
      <c r="K5252">
        <v>-64</v>
      </c>
      <c r="L5252">
        <v>1200</v>
      </c>
      <c r="M5252" t="str">
        <f t="shared" si="514"/>
        <v xml:space="preserve">N35DC   </v>
      </c>
      <c r="N5252">
        <v>1</v>
      </c>
      <c r="O5252">
        <v>800</v>
      </c>
    </row>
    <row r="5253" spans="1:15" x14ac:dyDescent="0.25">
      <c r="A5253" t="str">
        <f>"10/21/2020 18:51:59.582"</f>
        <v>10/21/2020 18:51:59.582</v>
      </c>
      <c r="B5253" t="str">
        <f>"18:52:07.492"</f>
        <v>18:52:07.492</v>
      </c>
      <c r="C5253" t="str">
        <f>"18:52:07.292"</f>
        <v>18:52:07.292</v>
      </c>
      <c r="D5253" t="s">
        <v>2173</v>
      </c>
      <c r="E5253">
        <v>30.819633</v>
      </c>
      <c r="F5253" t="s">
        <v>2172</v>
      </c>
      <c r="G5253">
        <v>-89.864602000000005</v>
      </c>
      <c r="H5253">
        <v>800</v>
      </c>
      <c r="I5253">
        <v>-9</v>
      </c>
      <c r="J5253">
        <v>-103</v>
      </c>
      <c r="K5253">
        <v>-64</v>
      </c>
      <c r="L5253">
        <v>1200</v>
      </c>
      <c r="M5253" t="str">
        <f t="shared" si="514"/>
        <v xml:space="preserve">N35DC   </v>
      </c>
      <c r="N5253">
        <v>1</v>
      </c>
      <c r="O5253">
        <v>800</v>
      </c>
    </row>
    <row r="5254" spans="1:15" x14ac:dyDescent="0.25">
      <c r="A5254" t="str">
        <f>"10/21/2020 18:51:59.582"</f>
        <v>10/21/2020 18:51:59.582</v>
      </c>
      <c r="B5254" t="str">
        <f>"18:52:07.492"</f>
        <v>18:52:07.492</v>
      </c>
      <c r="C5254" t="str">
        <f>"18:52:07.292"</f>
        <v>18:52:07.292</v>
      </c>
      <c r="D5254" t="s">
        <v>2173</v>
      </c>
      <c r="E5254">
        <v>30.819633</v>
      </c>
      <c r="F5254" t="s">
        <v>2172</v>
      </c>
      <c r="G5254">
        <v>-89.864602000000005</v>
      </c>
      <c r="H5254">
        <v>800</v>
      </c>
      <c r="I5254">
        <v>-9</v>
      </c>
      <c r="J5254">
        <v>-103</v>
      </c>
      <c r="K5254">
        <v>-64</v>
      </c>
      <c r="L5254">
        <v>1200</v>
      </c>
      <c r="M5254" t="str">
        <f t="shared" si="514"/>
        <v xml:space="preserve">N35DC   </v>
      </c>
      <c r="N5254">
        <v>1</v>
      </c>
      <c r="O5254">
        <v>800</v>
      </c>
    </row>
    <row r="5255" spans="1:15" x14ac:dyDescent="0.25">
      <c r="A5255" t="str">
        <f>"10/21/2020 18:51:59.582"</f>
        <v>10/21/2020 18:51:59.582</v>
      </c>
      <c r="B5255" t="str">
        <f>"18:52:07.492"</f>
        <v>18:52:07.492</v>
      </c>
      <c r="C5255" t="str">
        <f>"18:52:07.292"</f>
        <v>18:52:07.292</v>
      </c>
      <c r="D5255" t="s">
        <v>2173</v>
      </c>
      <c r="E5255">
        <v>30.819633</v>
      </c>
      <c r="F5255" t="s">
        <v>2172</v>
      </c>
      <c r="G5255">
        <v>-89.864602000000005</v>
      </c>
      <c r="H5255">
        <v>800</v>
      </c>
      <c r="I5255">
        <v>-9</v>
      </c>
      <c r="J5255">
        <v>-103</v>
      </c>
      <c r="K5255">
        <v>-64</v>
      </c>
      <c r="L5255">
        <v>1200</v>
      </c>
      <c r="M5255" t="str">
        <f t="shared" ref="M5255:M5318" si="517">"N35DC   "</f>
        <v xml:space="preserve">N35DC   </v>
      </c>
      <c r="N5255">
        <v>1</v>
      </c>
      <c r="O5255">
        <v>800</v>
      </c>
    </row>
    <row r="5256" spans="1:15" x14ac:dyDescent="0.25">
      <c r="A5256" t="str">
        <f>"10/21/2020 18:51:59.582"</f>
        <v>10/21/2020 18:51:59.582</v>
      </c>
      <c r="B5256" t="str">
        <f>"18:52:07.492"</f>
        <v>18:52:07.492</v>
      </c>
      <c r="C5256" t="str">
        <f>"18:52:07.292"</f>
        <v>18:52:07.292</v>
      </c>
      <c r="D5256" t="s">
        <v>2173</v>
      </c>
      <c r="E5256">
        <v>30.819633</v>
      </c>
      <c r="F5256" t="s">
        <v>2172</v>
      </c>
      <c r="G5256">
        <v>-89.864602000000005</v>
      </c>
      <c r="H5256">
        <v>800</v>
      </c>
      <c r="I5256">
        <v>-9</v>
      </c>
      <c r="J5256">
        <v>-103</v>
      </c>
      <c r="K5256">
        <v>-64</v>
      </c>
      <c r="L5256">
        <v>1200</v>
      </c>
      <c r="M5256" t="str">
        <f t="shared" si="517"/>
        <v xml:space="preserve">N35DC   </v>
      </c>
      <c r="N5256">
        <v>1</v>
      </c>
      <c r="O5256">
        <v>800</v>
      </c>
    </row>
    <row r="5257" spans="1:15" x14ac:dyDescent="0.25">
      <c r="A5257" t="str">
        <f>"10/21/2020 18:52:02.083"</f>
        <v>10/21/2020 18:52:02.083</v>
      </c>
      <c r="B5257" t="str">
        <f>"18:52:10.000"</f>
        <v>18:52:10.000</v>
      </c>
      <c r="C5257" t="str">
        <f>"18:52:09.800"</f>
        <v>18:52:09.800</v>
      </c>
      <c r="D5257" t="s">
        <v>2174</v>
      </c>
      <c r="E5257">
        <v>30.818431</v>
      </c>
      <c r="F5257" t="s">
        <v>510</v>
      </c>
      <c r="G5257">
        <v>-89.864709000000005</v>
      </c>
      <c r="H5257">
        <v>800</v>
      </c>
      <c r="I5257">
        <v>-7</v>
      </c>
      <c r="J5257">
        <v>-103</v>
      </c>
      <c r="K5257">
        <v>-192</v>
      </c>
      <c r="L5257">
        <v>1200</v>
      </c>
      <c r="M5257" t="str">
        <f t="shared" si="517"/>
        <v xml:space="preserve">N35DC   </v>
      </c>
      <c r="N5257">
        <v>1</v>
      </c>
      <c r="O5257">
        <v>800</v>
      </c>
    </row>
    <row r="5258" spans="1:15" x14ac:dyDescent="0.25">
      <c r="A5258" t="str">
        <f>"10/21/2020 18:52:02.083"</f>
        <v>10/21/2020 18:52:02.083</v>
      </c>
      <c r="B5258" t="str">
        <f>"18:52:10.000"</f>
        <v>18:52:10.000</v>
      </c>
      <c r="C5258" t="str">
        <f>"18:52:09.800"</f>
        <v>18:52:09.800</v>
      </c>
      <c r="D5258" t="s">
        <v>2174</v>
      </c>
      <c r="E5258">
        <v>30.818431</v>
      </c>
      <c r="F5258" t="s">
        <v>510</v>
      </c>
      <c r="G5258">
        <v>-89.864709000000005</v>
      </c>
      <c r="H5258">
        <v>800</v>
      </c>
      <c r="I5258">
        <v>-7</v>
      </c>
      <c r="J5258">
        <v>-103</v>
      </c>
      <c r="K5258">
        <v>-192</v>
      </c>
      <c r="L5258">
        <v>1200</v>
      </c>
      <c r="M5258" t="str">
        <f t="shared" si="517"/>
        <v xml:space="preserve">N35DC   </v>
      </c>
      <c r="N5258">
        <v>1</v>
      </c>
      <c r="O5258">
        <v>800</v>
      </c>
    </row>
    <row r="5259" spans="1:15" x14ac:dyDescent="0.25">
      <c r="A5259" t="str">
        <f>"10/21/2020 18:52:02.083"</f>
        <v>10/21/2020 18:52:02.083</v>
      </c>
      <c r="B5259" t="str">
        <f>"18:52:10.000"</f>
        <v>18:52:10.000</v>
      </c>
      <c r="C5259" t="str">
        <f>"18:52:09.800"</f>
        <v>18:52:09.800</v>
      </c>
      <c r="D5259" t="s">
        <v>2174</v>
      </c>
      <c r="E5259">
        <v>30.818431</v>
      </c>
      <c r="F5259" t="s">
        <v>510</v>
      </c>
      <c r="G5259">
        <v>-89.864709000000005</v>
      </c>
      <c r="H5259">
        <v>800</v>
      </c>
      <c r="I5259">
        <v>-7</v>
      </c>
      <c r="J5259">
        <v>-103</v>
      </c>
      <c r="K5259">
        <v>-192</v>
      </c>
      <c r="L5259">
        <v>1200</v>
      </c>
      <c r="M5259" t="str">
        <f t="shared" si="517"/>
        <v xml:space="preserve">N35DC   </v>
      </c>
      <c r="N5259">
        <v>1</v>
      </c>
      <c r="O5259">
        <v>800</v>
      </c>
    </row>
    <row r="5260" spans="1:15" x14ac:dyDescent="0.25">
      <c r="A5260" t="str">
        <f>"10/21/2020 18:52:02.083"</f>
        <v>10/21/2020 18:52:02.083</v>
      </c>
      <c r="B5260" t="str">
        <f>"18:52:10.000"</f>
        <v>18:52:10.000</v>
      </c>
      <c r="C5260" t="str">
        <f>"18:52:09.800"</f>
        <v>18:52:09.800</v>
      </c>
      <c r="D5260" t="s">
        <v>2174</v>
      </c>
      <c r="E5260">
        <v>30.818431</v>
      </c>
      <c r="F5260" t="s">
        <v>510</v>
      </c>
      <c r="G5260">
        <v>-89.864709000000005</v>
      </c>
      <c r="H5260">
        <v>800</v>
      </c>
      <c r="I5260">
        <v>-7</v>
      </c>
      <c r="J5260">
        <v>-103</v>
      </c>
      <c r="K5260">
        <v>-192</v>
      </c>
      <c r="L5260">
        <v>1200</v>
      </c>
      <c r="M5260" t="str">
        <f t="shared" si="517"/>
        <v xml:space="preserve">N35DC   </v>
      </c>
      <c r="N5260">
        <v>1</v>
      </c>
      <c r="O5260">
        <v>800</v>
      </c>
    </row>
    <row r="5261" spans="1:15" x14ac:dyDescent="0.25">
      <c r="A5261" t="str">
        <f>"10/21/2020 18:52:02.083"</f>
        <v>10/21/2020 18:52:02.083</v>
      </c>
      <c r="B5261" t="str">
        <f>"18:52:10.000"</f>
        <v>18:52:10.000</v>
      </c>
      <c r="C5261" t="str">
        <f>"18:52:09.800"</f>
        <v>18:52:09.800</v>
      </c>
      <c r="D5261" t="s">
        <v>2174</v>
      </c>
      <c r="E5261">
        <v>30.818431</v>
      </c>
      <c r="F5261" t="s">
        <v>510</v>
      </c>
      <c r="G5261">
        <v>-89.864709000000005</v>
      </c>
      <c r="H5261">
        <v>800</v>
      </c>
      <c r="I5261">
        <v>-7</v>
      </c>
      <c r="J5261">
        <v>-103</v>
      </c>
      <c r="K5261">
        <v>-192</v>
      </c>
      <c r="L5261">
        <v>1200</v>
      </c>
      <c r="M5261" t="str">
        <f t="shared" si="517"/>
        <v xml:space="preserve">N35DC   </v>
      </c>
      <c r="N5261">
        <v>1</v>
      </c>
      <c r="O5261">
        <v>800</v>
      </c>
    </row>
    <row r="5262" spans="1:15" x14ac:dyDescent="0.25">
      <c r="A5262" t="str">
        <f>"10/21/2020 18:52:03.678"</f>
        <v>10/21/2020 18:52:03.678</v>
      </c>
      <c r="B5262" t="str">
        <f>"18:52:11.586"</f>
        <v>18:52:11.586</v>
      </c>
      <c r="C5262" t="str">
        <f>"18:52:11.186"</f>
        <v>18:52:11.186</v>
      </c>
      <c r="D5262" t="s">
        <v>2175</v>
      </c>
      <c r="E5262">
        <v>30.817658999999999</v>
      </c>
      <c r="F5262" t="s">
        <v>2176</v>
      </c>
      <c r="G5262">
        <v>-89.864773999999997</v>
      </c>
      <c r="H5262">
        <v>700</v>
      </c>
      <c r="I5262">
        <v>-5</v>
      </c>
      <c r="J5262">
        <v>-103</v>
      </c>
      <c r="K5262">
        <v>-256</v>
      </c>
      <c r="L5262">
        <v>1200</v>
      </c>
      <c r="M5262" t="str">
        <f t="shared" si="517"/>
        <v xml:space="preserve">N35DC   </v>
      </c>
      <c r="N5262">
        <v>1</v>
      </c>
      <c r="O5262">
        <v>800</v>
      </c>
    </row>
    <row r="5263" spans="1:15" x14ac:dyDescent="0.25">
      <c r="A5263" t="str">
        <f>"10/21/2020 18:52:03.678"</f>
        <v>10/21/2020 18:52:03.678</v>
      </c>
      <c r="B5263" t="str">
        <f>"18:52:11.586"</f>
        <v>18:52:11.586</v>
      </c>
      <c r="C5263" t="str">
        <f>"18:52:11.186"</f>
        <v>18:52:11.186</v>
      </c>
      <c r="D5263" t="s">
        <v>2175</v>
      </c>
      <c r="E5263">
        <v>30.817658999999999</v>
      </c>
      <c r="F5263" t="s">
        <v>2176</v>
      </c>
      <c r="G5263">
        <v>-89.864773999999997</v>
      </c>
      <c r="H5263">
        <v>700</v>
      </c>
      <c r="I5263">
        <v>-5</v>
      </c>
      <c r="J5263">
        <v>-103</v>
      </c>
      <c r="K5263">
        <v>-256</v>
      </c>
      <c r="L5263">
        <v>1200</v>
      </c>
      <c r="M5263" t="str">
        <f t="shared" si="517"/>
        <v xml:space="preserve">N35DC   </v>
      </c>
      <c r="N5263">
        <v>1</v>
      </c>
      <c r="O5263">
        <v>800</v>
      </c>
    </row>
    <row r="5264" spans="1:15" x14ac:dyDescent="0.25">
      <c r="A5264" t="str">
        <f>"10/21/2020 18:52:06.156"</f>
        <v>10/21/2020 18:52:06.156</v>
      </c>
      <c r="B5264" t="str">
        <f>"18:52:14.109"</f>
        <v>18:52:14.109</v>
      </c>
      <c r="C5264" t="str">
        <f>"18:52:13.309"</f>
        <v>18:52:13.309</v>
      </c>
      <c r="D5264" t="s">
        <v>2177</v>
      </c>
      <c r="E5264">
        <v>30.816414000000002</v>
      </c>
      <c r="F5264" t="s">
        <v>458</v>
      </c>
      <c r="G5264">
        <v>-89.864817000000002</v>
      </c>
      <c r="H5264">
        <v>700</v>
      </c>
      <c r="I5264">
        <v>-2</v>
      </c>
      <c r="J5264">
        <v>-104</v>
      </c>
      <c r="K5264">
        <v>-384</v>
      </c>
      <c r="L5264">
        <v>1200</v>
      </c>
      <c r="M5264" t="str">
        <f t="shared" si="517"/>
        <v xml:space="preserve">N35DC   </v>
      </c>
      <c r="N5264">
        <v>1</v>
      </c>
      <c r="O5264">
        <v>775</v>
      </c>
    </row>
    <row r="5265" spans="1:15" x14ac:dyDescent="0.25">
      <c r="A5265" t="str">
        <f>"10/21/2020 18:52:06.156"</f>
        <v>10/21/2020 18:52:06.156</v>
      </c>
      <c r="B5265" t="str">
        <f>"18:52:14.109"</f>
        <v>18:52:14.109</v>
      </c>
      <c r="C5265" t="str">
        <f>"18:52:13.309"</f>
        <v>18:52:13.309</v>
      </c>
      <c r="D5265" t="s">
        <v>2177</v>
      </c>
      <c r="E5265">
        <v>30.816414000000002</v>
      </c>
      <c r="F5265" t="s">
        <v>458</v>
      </c>
      <c r="G5265">
        <v>-89.864817000000002</v>
      </c>
      <c r="H5265">
        <v>700</v>
      </c>
      <c r="I5265">
        <v>-2</v>
      </c>
      <c r="J5265">
        <v>-104</v>
      </c>
      <c r="K5265">
        <v>-384</v>
      </c>
      <c r="L5265">
        <v>1200</v>
      </c>
      <c r="M5265" t="str">
        <f t="shared" si="517"/>
        <v xml:space="preserve">N35DC   </v>
      </c>
      <c r="N5265">
        <v>1</v>
      </c>
      <c r="O5265">
        <v>775</v>
      </c>
    </row>
    <row r="5266" spans="1:15" x14ac:dyDescent="0.25">
      <c r="A5266" t="str">
        <f>"10/21/2020 18:52:06.156"</f>
        <v>10/21/2020 18:52:06.156</v>
      </c>
      <c r="B5266" t="str">
        <f>"18:52:14.109"</f>
        <v>18:52:14.109</v>
      </c>
      <c r="C5266" t="str">
        <f>"18:52:13.309"</f>
        <v>18:52:13.309</v>
      </c>
      <c r="D5266" t="s">
        <v>2177</v>
      </c>
      <c r="E5266">
        <v>30.816414000000002</v>
      </c>
      <c r="F5266" t="s">
        <v>458</v>
      </c>
      <c r="G5266">
        <v>-89.864817000000002</v>
      </c>
      <c r="H5266">
        <v>700</v>
      </c>
      <c r="I5266">
        <v>-2</v>
      </c>
      <c r="J5266">
        <v>-104</v>
      </c>
      <c r="K5266">
        <v>-384</v>
      </c>
      <c r="L5266">
        <v>1200</v>
      </c>
      <c r="M5266" t="str">
        <f t="shared" si="517"/>
        <v xml:space="preserve">N35DC   </v>
      </c>
      <c r="N5266">
        <v>1</v>
      </c>
      <c r="O5266">
        <v>775</v>
      </c>
    </row>
    <row r="5267" spans="1:15" x14ac:dyDescent="0.25">
      <c r="A5267" t="str">
        <f>"10/21/2020 18:52:06.156"</f>
        <v>10/21/2020 18:52:06.156</v>
      </c>
      <c r="B5267" t="str">
        <f>"18:52:14.109"</f>
        <v>18:52:14.109</v>
      </c>
      <c r="C5267" t="str">
        <f>"18:52:13.309"</f>
        <v>18:52:13.309</v>
      </c>
      <c r="D5267" t="s">
        <v>2177</v>
      </c>
      <c r="E5267">
        <v>30.816414000000002</v>
      </c>
      <c r="F5267" t="s">
        <v>458</v>
      </c>
      <c r="G5267">
        <v>-89.864817000000002</v>
      </c>
      <c r="H5267">
        <v>700</v>
      </c>
      <c r="I5267">
        <v>-2</v>
      </c>
      <c r="J5267">
        <v>-104</v>
      </c>
      <c r="K5267">
        <v>-384</v>
      </c>
      <c r="L5267">
        <v>1200</v>
      </c>
      <c r="M5267" t="str">
        <f t="shared" si="517"/>
        <v xml:space="preserve">N35DC   </v>
      </c>
      <c r="N5267">
        <v>1</v>
      </c>
      <c r="O5267">
        <v>775</v>
      </c>
    </row>
    <row r="5268" spans="1:15" x14ac:dyDescent="0.25">
      <c r="A5268" t="str">
        <f>"10/21/2020 18:52:06.156"</f>
        <v>10/21/2020 18:52:06.156</v>
      </c>
      <c r="B5268" t="str">
        <f>"18:52:14.109"</f>
        <v>18:52:14.109</v>
      </c>
      <c r="C5268" t="str">
        <f>"18:52:13.309"</f>
        <v>18:52:13.309</v>
      </c>
      <c r="D5268" t="s">
        <v>2177</v>
      </c>
      <c r="E5268">
        <v>30.816414000000002</v>
      </c>
      <c r="F5268" t="s">
        <v>458</v>
      </c>
      <c r="G5268">
        <v>-89.864817000000002</v>
      </c>
      <c r="H5268">
        <v>700</v>
      </c>
      <c r="I5268">
        <v>-2</v>
      </c>
      <c r="J5268">
        <v>-104</v>
      </c>
      <c r="K5268">
        <v>-384</v>
      </c>
      <c r="L5268">
        <v>1200</v>
      </c>
      <c r="M5268" t="str">
        <f t="shared" si="517"/>
        <v xml:space="preserve">N35DC   </v>
      </c>
      <c r="N5268">
        <v>1</v>
      </c>
      <c r="O5268">
        <v>775</v>
      </c>
    </row>
    <row r="5269" spans="1:15" x14ac:dyDescent="0.25">
      <c r="A5269" t="str">
        <f>"10/21/2020 18:52:09.618"</f>
        <v>10/21/2020 18:52:09.618</v>
      </c>
      <c r="B5269" t="str">
        <f>"18:52:17.539"</f>
        <v>18:52:17.539</v>
      </c>
      <c r="C5269" t="str">
        <f>"18:52:16.339"</f>
        <v>18:52:16.339</v>
      </c>
      <c r="D5269" t="s">
        <v>2178</v>
      </c>
      <c r="E5269">
        <v>30.814741000000001</v>
      </c>
      <c r="F5269" t="s">
        <v>458</v>
      </c>
      <c r="G5269">
        <v>-89.864817000000002</v>
      </c>
      <c r="H5269">
        <v>700</v>
      </c>
      <c r="I5269">
        <v>0</v>
      </c>
      <c r="J5269">
        <v>-107</v>
      </c>
      <c r="K5269">
        <v>-128</v>
      </c>
      <c r="L5269">
        <v>1200</v>
      </c>
      <c r="M5269" t="str">
        <f t="shared" si="517"/>
        <v xml:space="preserve">N35DC   </v>
      </c>
      <c r="N5269">
        <v>1</v>
      </c>
      <c r="O5269">
        <v>775</v>
      </c>
    </row>
    <row r="5270" spans="1:15" x14ac:dyDescent="0.25">
      <c r="A5270" t="str">
        <f>"10/21/2020 18:52:09.618"</f>
        <v>10/21/2020 18:52:09.618</v>
      </c>
      <c r="B5270" t="str">
        <f>"18:52:17.539"</f>
        <v>18:52:17.539</v>
      </c>
      <c r="C5270" t="str">
        <f>"18:52:16.339"</f>
        <v>18:52:16.339</v>
      </c>
      <c r="D5270" t="s">
        <v>2178</v>
      </c>
      <c r="E5270">
        <v>30.814741000000001</v>
      </c>
      <c r="F5270" t="s">
        <v>458</v>
      </c>
      <c r="G5270">
        <v>-89.864817000000002</v>
      </c>
      <c r="H5270">
        <v>700</v>
      </c>
      <c r="I5270">
        <v>0</v>
      </c>
      <c r="J5270">
        <v>-107</v>
      </c>
      <c r="K5270">
        <v>-128</v>
      </c>
      <c r="L5270">
        <v>1200</v>
      </c>
      <c r="M5270" t="str">
        <f t="shared" si="517"/>
        <v xml:space="preserve">N35DC   </v>
      </c>
      <c r="N5270">
        <v>1</v>
      </c>
      <c r="O5270">
        <v>775</v>
      </c>
    </row>
    <row r="5271" spans="1:15" x14ac:dyDescent="0.25">
      <c r="A5271" t="str">
        <f>"10/21/2020 18:52:09.618"</f>
        <v>10/21/2020 18:52:09.618</v>
      </c>
      <c r="B5271" t="str">
        <f>"18:52:17.539"</f>
        <v>18:52:17.539</v>
      </c>
      <c r="C5271" t="str">
        <f>"18:52:16.339"</f>
        <v>18:52:16.339</v>
      </c>
      <c r="D5271" t="s">
        <v>2178</v>
      </c>
      <c r="E5271">
        <v>30.814741000000001</v>
      </c>
      <c r="F5271" t="s">
        <v>458</v>
      </c>
      <c r="G5271">
        <v>-89.864817000000002</v>
      </c>
      <c r="H5271">
        <v>700</v>
      </c>
      <c r="I5271">
        <v>0</v>
      </c>
      <c r="J5271">
        <v>-107</v>
      </c>
      <c r="K5271">
        <v>-128</v>
      </c>
      <c r="L5271">
        <v>1200</v>
      </c>
      <c r="M5271" t="str">
        <f t="shared" si="517"/>
        <v xml:space="preserve">N35DC   </v>
      </c>
      <c r="N5271">
        <v>1</v>
      </c>
      <c r="O5271">
        <v>775</v>
      </c>
    </row>
    <row r="5272" spans="1:15" x14ac:dyDescent="0.25">
      <c r="A5272" t="str">
        <f>"10/21/2020 18:52:09.618"</f>
        <v>10/21/2020 18:52:09.618</v>
      </c>
      <c r="B5272" t="str">
        <f>"18:52:17.539"</f>
        <v>18:52:17.539</v>
      </c>
      <c r="C5272" t="str">
        <f>"18:52:16.339"</f>
        <v>18:52:16.339</v>
      </c>
      <c r="D5272" t="s">
        <v>2178</v>
      </c>
      <c r="E5272">
        <v>30.814741000000001</v>
      </c>
      <c r="F5272" t="s">
        <v>458</v>
      </c>
      <c r="G5272">
        <v>-89.864817000000002</v>
      </c>
      <c r="H5272">
        <v>700</v>
      </c>
      <c r="I5272">
        <v>0</v>
      </c>
      <c r="J5272">
        <v>-107</v>
      </c>
      <c r="K5272">
        <v>-128</v>
      </c>
      <c r="L5272">
        <v>1200</v>
      </c>
      <c r="M5272" t="str">
        <f t="shared" si="517"/>
        <v xml:space="preserve">N35DC   </v>
      </c>
      <c r="N5272">
        <v>1</v>
      </c>
      <c r="O5272">
        <v>775</v>
      </c>
    </row>
    <row r="5273" spans="1:15" x14ac:dyDescent="0.25">
      <c r="A5273" t="str">
        <f>"10/21/2020 18:52:09.618"</f>
        <v>10/21/2020 18:52:09.618</v>
      </c>
      <c r="B5273" t="str">
        <f>"18:52:17.539"</f>
        <v>18:52:17.539</v>
      </c>
      <c r="C5273" t="str">
        <f>"18:52:16.339"</f>
        <v>18:52:16.339</v>
      </c>
      <c r="D5273" t="s">
        <v>2178</v>
      </c>
      <c r="E5273">
        <v>30.814741000000001</v>
      </c>
      <c r="F5273" t="s">
        <v>458</v>
      </c>
      <c r="G5273">
        <v>-89.864817000000002</v>
      </c>
      <c r="H5273">
        <v>700</v>
      </c>
      <c r="I5273">
        <v>0</v>
      </c>
      <c r="J5273">
        <v>-107</v>
      </c>
      <c r="K5273">
        <v>-128</v>
      </c>
      <c r="L5273">
        <v>1200</v>
      </c>
      <c r="M5273" t="str">
        <f t="shared" si="517"/>
        <v xml:space="preserve">N35DC   </v>
      </c>
      <c r="N5273">
        <v>1</v>
      </c>
      <c r="O5273">
        <v>775</v>
      </c>
    </row>
    <row r="5274" spans="1:15" x14ac:dyDescent="0.25">
      <c r="A5274" t="str">
        <f>"10/21/2020 18:52:12.500"</f>
        <v>10/21/2020 18:52:12.500</v>
      </c>
      <c r="B5274" t="str">
        <f>"18:52:20.453"</f>
        <v>18:52:20.453</v>
      </c>
      <c r="C5274" t="str">
        <f>"18:52:20.253"</f>
        <v>18:52:20.253</v>
      </c>
      <c r="D5274" t="s">
        <v>2179</v>
      </c>
      <c r="E5274">
        <v>30.813303000000001</v>
      </c>
      <c r="F5274" t="s">
        <v>458</v>
      </c>
      <c r="G5274">
        <v>-89.864817000000002</v>
      </c>
      <c r="H5274">
        <v>800</v>
      </c>
      <c r="I5274">
        <v>1</v>
      </c>
      <c r="J5274">
        <v>-105</v>
      </c>
      <c r="K5274">
        <v>896</v>
      </c>
      <c r="L5274">
        <v>1200</v>
      </c>
      <c r="M5274" t="str">
        <f t="shared" si="517"/>
        <v xml:space="preserve">N35DC   </v>
      </c>
      <c r="N5274">
        <v>1</v>
      </c>
      <c r="O5274">
        <v>800</v>
      </c>
    </row>
    <row r="5275" spans="1:15" x14ac:dyDescent="0.25">
      <c r="A5275" t="str">
        <f>"10/21/2020 18:52:12.500"</f>
        <v>10/21/2020 18:52:12.500</v>
      </c>
      <c r="B5275" t="str">
        <f>"18:52:20.453"</f>
        <v>18:52:20.453</v>
      </c>
      <c r="C5275" t="str">
        <f>"18:52:20.253"</f>
        <v>18:52:20.253</v>
      </c>
      <c r="D5275" t="s">
        <v>2179</v>
      </c>
      <c r="E5275">
        <v>30.813303000000001</v>
      </c>
      <c r="F5275" t="s">
        <v>458</v>
      </c>
      <c r="G5275">
        <v>-89.864817000000002</v>
      </c>
      <c r="H5275">
        <v>800</v>
      </c>
      <c r="I5275">
        <v>1</v>
      </c>
      <c r="J5275">
        <v>-105</v>
      </c>
      <c r="K5275">
        <v>896</v>
      </c>
      <c r="L5275">
        <v>1200</v>
      </c>
      <c r="M5275" t="str">
        <f t="shared" si="517"/>
        <v xml:space="preserve">N35DC   </v>
      </c>
      <c r="N5275">
        <v>1</v>
      </c>
      <c r="O5275">
        <v>800</v>
      </c>
    </row>
    <row r="5276" spans="1:15" x14ac:dyDescent="0.25">
      <c r="A5276" t="str">
        <f>"10/21/2020 18:52:12.500"</f>
        <v>10/21/2020 18:52:12.500</v>
      </c>
      <c r="B5276" t="str">
        <f>"18:52:20.453"</f>
        <v>18:52:20.453</v>
      </c>
      <c r="C5276" t="str">
        <f>"18:52:20.253"</f>
        <v>18:52:20.253</v>
      </c>
      <c r="D5276" t="s">
        <v>2179</v>
      </c>
      <c r="E5276">
        <v>30.813303000000001</v>
      </c>
      <c r="F5276" t="s">
        <v>458</v>
      </c>
      <c r="G5276">
        <v>-89.864817000000002</v>
      </c>
      <c r="H5276">
        <v>800</v>
      </c>
      <c r="I5276">
        <v>1</v>
      </c>
      <c r="J5276">
        <v>-105</v>
      </c>
      <c r="K5276">
        <v>896</v>
      </c>
      <c r="L5276">
        <v>1200</v>
      </c>
      <c r="M5276" t="str">
        <f t="shared" si="517"/>
        <v xml:space="preserve">N35DC   </v>
      </c>
      <c r="N5276">
        <v>1</v>
      </c>
      <c r="O5276">
        <v>800</v>
      </c>
    </row>
    <row r="5277" spans="1:15" x14ac:dyDescent="0.25">
      <c r="A5277" t="str">
        <f>"10/21/2020 18:52:12.500"</f>
        <v>10/21/2020 18:52:12.500</v>
      </c>
      <c r="B5277" t="str">
        <f>"18:52:20.453"</f>
        <v>18:52:20.453</v>
      </c>
      <c r="C5277" t="str">
        <f>"18:52:20.253"</f>
        <v>18:52:20.253</v>
      </c>
      <c r="D5277" t="s">
        <v>2179</v>
      </c>
      <c r="E5277">
        <v>30.813303000000001</v>
      </c>
      <c r="F5277" t="s">
        <v>458</v>
      </c>
      <c r="G5277">
        <v>-89.864817000000002</v>
      </c>
      <c r="H5277">
        <v>800</v>
      </c>
      <c r="I5277">
        <v>1</v>
      </c>
      <c r="J5277">
        <v>-105</v>
      </c>
      <c r="K5277">
        <v>896</v>
      </c>
      <c r="L5277">
        <v>1200</v>
      </c>
      <c r="M5277" t="str">
        <f t="shared" si="517"/>
        <v xml:space="preserve">N35DC   </v>
      </c>
      <c r="N5277">
        <v>1</v>
      </c>
      <c r="O5277">
        <v>800</v>
      </c>
    </row>
    <row r="5278" spans="1:15" x14ac:dyDescent="0.25">
      <c r="A5278" t="str">
        <f>"10/21/2020 18:52:15.206"</f>
        <v>10/21/2020 18:52:15.206</v>
      </c>
      <c r="B5278" t="str">
        <f t="shared" ref="B5278:C5282" si="518">"18:52:23.148"</f>
        <v>18:52:23.148</v>
      </c>
      <c r="C5278" t="str">
        <f t="shared" si="518"/>
        <v>18:52:23.148</v>
      </c>
      <c r="D5278" t="s">
        <v>2180</v>
      </c>
      <c r="E5278">
        <v>30.811993999999999</v>
      </c>
      <c r="F5278" t="s">
        <v>2181</v>
      </c>
      <c r="G5278">
        <v>-89.864751999999996</v>
      </c>
      <c r="H5278">
        <v>800</v>
      </c>
      <c r="I5278">
        <v>4</v>
      </c>
      <c r="J5278">
        <v>-104</v>
      </c>
      <c r="K5278">
        <v>576</v>
      </c>
      <c r="L5278">
        <v>1200</v>
      </c>
      <c r="M5278" t="str">
        <f t="shared" si="517"/>
        <v xml:space="preserve">N35DC   </v>
      </c>
      <c r="N5278">
        <v>1</v>
      </c>
      <c r="O5278">
        <v>825</v>
      </c>
    </row>
    <row r="5279" spans="1:15" x14ac:dyDescent="0.25">
      <c r="A5279" t="str">
        <f>"10/21/2020 18:52:15.206"</f>
        <v>10/21/2020 18:52:15.206</v>
      </c>
      <c r="B5279" t="str">
        <f t="shared" si="518"/>
        <v>18:52:23.148</v>
      </c>
      <c r="C5279" t="str">
        <f t="shared" si="518"/>
        <v>18:52:23.148</v>
      </c>
      <c r="D5279" t="s">
        <v>2180</v>
      </c>
      <c r="E5279">
        <v>30.811993999999999</v>
      </c>
      <c r="F5279" t="s">
        <v>2181</v>
      </c>
      <c r="G5279">
        <v>-89.864751999999996</v>
      </c>
      <c r="H5279">
        <v>800</v>
      </c>
      <c r="I5279">
        <v>4</v>
      </c>
      <c r="J5279">
        <v>-104</v>
      </c>
      <c r="K5279">
        <v>576</v>
      </c>
      <c r="L5279">
        <v>1200</v>
      </c>
      <c r="M5279" t="str">
        <f t="shared" si="517"/>
        <v xml:space="preserve">N35DC   </v>
      </c>
      <c r="N5279">
        <v>1</v>
      </c>
      <c r="O5279">
        <v>825</v>
      </c>
    </row>
    <row r="5280" spans="1:15" x14ac:dyDescent="0.25">
      <c r="A5280" t="str">
        <f>"10/21/2020 18:52:15.206"</f>
        <v>10/21/2020 18:52:15.206</v>
      </c>
      <c r="B5280" t="str">
        <f t="shared" si="518"/>
        <v>18:52:23.148</v>
      </c>
      <c r="C5280" t="str">
        <f t="shared" si="518"/>
        <v>18:52:23.148</v>
      </c>
      <c r="D5280" t="s">
        <v>2180</v>
      </c>
      <c r="E5280">
        <v>30.811993999999999</v>
      </c>
      <c r="F5280" t="s">
        <v>2181</v>
      </c>
      <c r="G5280">
        <v>-89.864751999999996</v>
      </c>
      <c r="H5280">
        <v>800</v>
      </c>
      <c r="I5280">
        <v>4</v>
      </c>
      <c r="J5280">
        <v>-104</v>
      </c>
      <c r="K5280">
        <v>576</v>
      </c>
      <c r="L5280">
        <v>1200</v>
      </c>
      <c r="M5280" t="str">
        <f t="shared" si="517"/>
        <v xml:space="preserve">N35DC   </v>
      </c>
      <c r="N5280">
        <v>1</v>
      </c>
      <c r="O5280">
        <v>825</v>
      </c>
    </row>
    <row r="5281" spans="1:15" x14ac:dyDescent="0.25">
      <c r="A5281" t="str">
        <f>"10/21/2020 18:52:15.206"</f>
        <v>10/21/2020 18:52:15.206</v>
      </c>
      <c r="B5281" t="str">
        <f t="shared" si="518"/>
        <v>18:52:23.148</v>
      </c>
      <c r="C5281" t="str">
        <f t="shared" si="518"/>
        <v>18:52:23.148</v>
      </c>
      <c r="D5281" t="s">
        <v>2180</v>
      </c>
      <c r="E5281">
        <v>30.811993999999999</v>
      </c>
      <c r="F5281" t="s">
        <v>2181</v>
      </c>
      <c r="G5281">
        <v>-89.864751999999996</v>
      </c>
      <c r="H5281">
        <v>800</v>
      </c>
      <c r="I5281">
        <v>4</v>
      </c>
      <c r="J5281">
        <v>-104</v>
      </c>
      <c r="K5281">
        <v>576</v>
      </c>
      <c r="L5281">
        <v>1200</v>
      </c>
      <c r="M5281" t="str">
        <f t="shared" si="517"/>
        <v xml:space="preserve">N35DC   </v>
      </c>
      <c r="N5281">
        <v>1</v>
      </c>
      <c r="O5281">
        <v>825</v>
      </c>
    </row>
    <row r="5282" spans="1:15" x14ac:dyDescent="0.25">
      <c r="A5282" t="str">
        <f>"10/21/2020 18:52:15.206"</f>
        <v>10/21/2020 18:52:15.206</v>
      </c>
      <c r="B5282" t="str">
        <f t="shared" si="518"/>
        <v>18:52:23.148</v>
      </c>
      <c r="C5282" t="str">
        <f t="shared" si="518"/>
        <v>18:52:23.148</v>
      </c>
      <c r="D5282" t="s">
        <v>2180</v>
      </c>
      <c r="E5282">
        <v>30.811993999999999</v>
      </c>
      <c r="F5282" t="s">
        <v>2181</v>
      </c>
      <c r="G5282">
        <v>-89.864751999999996</v>
      </c>
      <c r="H5282">
        <v>800</v>
      </c>
      <c r="I5282">
        <v>4</v>
      </c>
      <c r="J5282">
        <v>-104</v>
      </c>
      <c r="K5282">
        <v>576</v>
      </c>
      <c r="L5282">
        <v>1200</v>
      </c>
      <c r="M5282" t="str">
        <f t="shared" si="517"/>
        <v xml:space="preserve">N35DC   </v>
      </c>
      <c r="N5282">
        <v>1</v>
      </c>
      <c r="O5282">
        <v>825</v>
      </c>
    </row>
    <row r="5283" spans="1:15" x14ac:dyDescent="0.25">
      <c r="A5283" t="str">
        <f>"10/21/2020 18:52:16.117"</f>
        <v>10/21/2020 18:52:16.117</v>
      </c>
      <c r="B5283" t="str">
        <f>"18:52:24.055"</f>
        <v>18:52:24.055</v>
      </c>
      <c r="C5283" t="str">
        <f>"18:52:23.755"</f>
        <v>18:52:23.755</v>
      </c>
      <c r="D5283" t="s">
        <v>2182</v>
      </c>
      <c r="E5283">
        <v>30.811565000000002</v>
      </c>
      <c r="F5283" t="s">
        <v>510</v>
      </c>
      <c r="G5283">
        <v>-89.864709000000005</v>
      </c>
      <c r="H5283">
        <v>800</v>
      </c>
      <c r="I5283">
        <v>5</v>
      </c>
      <c r="J5283">
        <v>-105</v>
      </c>
      <c r="K5283">
        <v>448</v>
      </c>
      <c r="L5283">
        <v>1200</v>
      </c>
      <c r="M5283" t="str">
        <f t="shared" si="517"/>
        <v xml:space="preserve">N35DC   </v>
      </c>
      <c r="N5283">
        <v>1</v>
      </c>
      <c r="O5283">
        <v>825</v>
      </c>
    </row>
    <row r="5284" spans="1:15" x14ac:dyDescent="0.25">
      <c r="A5284" t="str">
        <f>"10/21/2020 18:52:16.117"</f>
        <v>10/21/2020 18:52:16.117</v>
      </c>
      <c r="B5284" t="str">
        <f>"18:52:24.055"</f>
        <v>18:52:24.055</v>
      </c>
      <c r="C5284" t="str">
        <f>"18:52:23.755"</f>
        <v>18:52:23.755</v>
      </c>
      <c r="D5284" t="s">
        <v>2182</v>
      </c>
      <c r="E5284">
        <v>30.811565000000002</v>
      </c>
      <c r="F5284" t="s">
        <v>510</v>
      </c>
      <c r="G5284">
        <v>-89.864709000000005</v>
      </c>
      <c r="H5284">
        <v>800</v>
      </c>
      <c r="I5284">
        <v>5</v>
      </c>
      <c r="J5284">
        <v>-105</v>
      </c>
      <c r="K5284">
        <v>448</v>
      </c>
      <c r="L5284">
        <v>1200</v>
      </c>
      <c r="M5284" t="str">
        <f t="shared" si="517"/>
        <v xml:space="preserve">N35DC   </v>
      </c>
      <c r="N5284">
        <v>1</v>
      </c>
      <c r="O5284">
        <v>825</v>
      </c>
    </row>
    <row r="5285" spans="1:15" x14ac:dyDescent="0.25">
      <c r="A5285" t="str">
        <f>"10/21/2020 18:52:16.651"</f>
        <v>10/21/2020 18:52:16.651</v>
      </c>
      <c r="B5285" t="str">
        <f>"18:52:24.563"</f>
        <v>18:52:24.563</v>
      </c>
      <c r="C5285" t="str">
        <f>"18:52:24.262"</f>
        <v>18:52:24.262</v>
      </c>
      <c r="D5285" t="s">
        <v>2183</v>
      </c>
      <c r="E5285">
        <v>30.811285999999999</v>
      </c>
      <c r="F5285" t="s">
        <v>510</v>
      </c>
      <c r="G5285">
        <v>-89.864709000000005</v>
      </c>
      <c r="H5285">
        <v>800</v>
      </c>
      <c r="I5285">
        <v>6</v>
      </c>
      <c r="J5285">
        <v>-105</v>
      </c>
      <c r="K5285">
        <v>320</v>
      </c>
      <c r="L5285">
        <v>1200</v>
      </c>
      <c r="M5285" t="str">
        <f t="shared" si="517"/>
        <v xml:space="preserve">N35DC   </v>
      </c>
      <c r="N5285">
        <v>1</v>
      </c>
      <c r="O5285">
        <v>850</v>
      </c>
    </row>
    <row r="5286" spans="1:15" x14ac:dyDescent="0.25">
      <c r="A5286" t="str">
        <f>"10/21/2020 18:52:17.180"</f>
        <v>10/21/2020 18:52:17.180</v>
      </c>
      <c r="B5286" t="str">
        <f>"18:52:25.133"</f>
        <v>18:52:25.133</v>
      </c>
      <c r="C5286" t="str">
        <f>"18:52:24.733"</f>
        <v>18:52:24.733</v>
      </c>
      <c r="D5286" t="s">
        <v>2184</v>
      </c>
      <c r="E5286">
        <v>30.811007</v>
      </c>
      <c r="F5286" t="s">
        <v>510</v>
      </c>
      <c r="G5286">
        <v>-89.864709000000005</v>
      </c>
      <c r="H5286">
        <v>800</v>
      </c>
      <c r="I5286">
        <v>6</v>
      </c>
      <c r="J5286">
        <v>-106</v>
      </c>
      <c r="K5286">
        <v>256</v>
      </c>
      <c r="L5286">
        <v>1200</v>
      </c>
      <c r="M5286" t="str">
        <f t="shared" si="517"/>
        <v xml:space="preserve">N35DC   </v>
      </c>
      <c r="N5286">
        <v>1</v>
      </c>
      <c r="O5286">
        <v>850</v>
      </c>
    </row>
    <row r="5287" spans="1:15" x14ac:dyDescent="0.25">
      <c r="A5287" t="str">
        <f>"10/21/2020 18:52:17.180"</f>
        <v>10/21/2020 18:52:17.180</v>
      </c>
      <c r="B5287" t="str">
        <f>"18:52:25.133"</f>
        <v>18:52:25.133</v>
      </c>
      <c r="C5287" t="str">
        <f>"18:52:24.733"</f>
        <v>18:52:24.733</v>
      </c>
      <c r="D5287" t="s">
        <v>2184</v>
      </c>
      <c r="E5287">
        <v>30.811007</v>
      </c>
      <c r="F5287" t="s">
        <v>510</v>
      </c>
      <c r="G5287">
        <v>-89.864709000000005</v>
      </c>
      <c r="H5287">
        <v>800</v>
      </c>
      <c r="I5287">
        <v>6</v>
      </c>
      <c r="J5287">
        <v>-106</v>
      </c>
      <c r="K5287">
        <v>256</v>
      </c>
      <c r="L5287">
        <v>1200</v>
      </c>
      <c r="M5287" t="str">
        <f t="shared" si="517"/>
        <v xml:space="preserve">N35DC   </v>
      </c>
      <c r="N5287">
        <v>1</v>
      </c>
      <c r="O5287">
        <v>850</v>
      </c>
    </row>
    <row r="5288" spans="1:15" x14ac:dyDescent="0.25">
      <c r="A5288" t="str">
        <f>"10/21/2020 18:52:17.180"</f>
        <v>10/21/2020 18:52:17.180</v>
      </c>
      <c r="B5288" t="str">
        <f>"18:52:25.133"</f>
        <v>18:52:25.133</v>
      </c>
      <c r="C5288" t="str">
        <f>"18:52:24.733"</f>
        <v>18:52:24.733</v>
      </c>
      <c r="D5288" t="s">
        <v>2184</v>
      </c>
      <c r="E5288">
        <v>30.811007</v>
      </c>
      <c r="F5288" t="s">
        <v>510</v>
      </c>
      <c r="G5288">
        <v>-89.864709000000005</v>
      </c>
      <c r="H5288">
        <v>800</v>
      </c>
      <c r="I5288">
        <v>6</v>
      </c>
      <c r="J5288">
        <v>-106</v>
      </c>
      <c r="K5288">
        <v>256</v>
      </c>
      <c r="L5288">
        <v>1200</v>
      </c>
      <c r="M5288" t="str">
        <f t="shared" si="517"/>
        <v xml:space="preserve">N35DC   </v>
      </c>
      <c r="N5288">
        <v>1</v>
      </c>
      <c r="O5288">
        <v>850</v>
      </c>
    </row>
    <row r="5289" spans="1:15" x14ac:dyDescent="0.25">
      <c r="A5289" t="str">
        <f>"10/21/2020 18:52:17.180"</f>
        <v>10/21/2020 18:52:17.180</v>
      </c>
      <c r="B5289" t="str">
        <f>"18:52:25.133"</f>
        <v>18:52:25.133</v>
      </c>
      <c r="C5289" t="str">
        <f>"18:52:24.733"</f>
        <v>18:52:24.733</v>
      </c>
      <c r="D5289" t="s">
        <v>2184</v>
      </c>
      <c r="E5289">
        <v>30.811007</v>
      </c>
      <c r="F5289" t="s">
        <v>510</v>
      </c>
      <c r="G5289">
        <v>-89.864709000000005</v>
      </c>
      <c r="H5289">
        <v>800</v>
      </c>
      <c r="I5289">
        <v>6</v>
      </c>
      <c r="J5289">
        <v>-106</v>
      </c>
      <c r="K5289">
        <v>256</v>
      </c>
      <c r="L5289">
        <v>1200</v>
      </c>
      <c r="M5289" t="str">
        <f t="shared" si="517"/>
        <v xml:space="preserve">N35DC   </v>
      </c>
      <c r="N5289">
        <v>1</v>
      </c>
      <c r="O5289">
        <v>850</v>
      </c>
    </row>
    <row r="5290" spans="1:15" x14ac:dyDescent="0.25">
      <c r="A5290" t="str">
        <f>"10/21/2020 18:52:19.960"</f>
        <v>10/21/2020 18:52:19.960</v>
      </c>
      <c r="B5290" t="str">
        <f>"18:52:27.906"</f>
        <v>18:52:27.906</v>
      </c>
      <c r="C5290" t="str">
        <f>"18:52:27.406"</f>
        <v>18:52:27.406</v>
      </c>
      <c r="D5290" t="s">
        <v>2185</v>
      </c>
      <c r="E5290">
        <v>30.809612000000001</v>
      </c>
      <c r="F5290" t="s">
        <v>2172</v>
      </c>
      <c r="G5290">
        <v>-89.864602000000005</v>
      </c>
      <c r="H5290">
        <v>800</v>
      </c>
      <c r="I5290">
        <v>8</v>
      </c>
      <c r="J5290">
        <v>-109</v>
      </c>
      <c r="K5290">
        <v>256</v>
      </c>
      <c r="L5290">
        <v>1200</v>
      </c>
      <c r="M5290" t="str">
        <f t="shared" si="517"/>
        <v xml:space="preserve">N35DC   </v>
      </c>
      <c r="N5290">
        <v>1</v>
      </c>
      <c r="O5290">
        <v>850</v>
      </c>
    </row>
    <row r="5291" spans="1:15" x14ac:dyDescent="0.25">
      <c r="A5291" t="str">
        <f>"10/21/2020 18:52:19.960"</f>
        <v>10/21/2020 18:52:19.960</v>
      </c>
      <c r="B5291" t="str">
        <f>"18:52:27.906"</f>
        <v>18:52:27.906</v>
      </c>
      <c r="C5291" t="str">
        <f>"18:52:27.406"</f>
        <v>18:52:27.406</v>
      </c>
      <c r="D5291" t="s">
        <v>2185</v>
      </c>
      <c r="E5291">
        <v>30.809612000000001</v>
      </c>
      <c r="F5291" t="s">
        <v>2172</v>
      </c>
      <c r="G5291">
        <v>-89.864602000000005</v>
      </c>
      <c r="H5291">
        <v>800</v>
      </c>
      <c r="I5291">
        <v>8</v>
      </c>
      <c r="J5291">
        <v>-109</v>
      </c>
      <c r="K5291">
        <v>256</v>
      </c>
      <c r="L5291">
        <v>1200</v>
      </c>
      <c r="M5291" t="str">
        <f t="shared" si="517"/>
        <v xml:space="preserve">N35DC   </v>
      </c>
      <c r="N5291">
        <v>1</v>
      </c>
      <c r="O5291">
        <v>850</v>
      </c>
    </row>
    <row r="5292" spans="1:15" x14ac:dyDescent="0.25">
      <c r="A5292" t="str">
        <f>"10/21/2020 18:52:19.960"</f>
        <v>10/21/2020 18:52:19.960</v>
      </c>
      <c r="B5292" t="str">
        <f>"18:52:27.906"</f>
        <v>18:52:27.906</v>
      </c>
      <c r="C5292" t="str">
        <f>"18:52:27.406"</f>
        <v>18:52:27.406</v>
      </c>
      <c r="D5292" t="s">
        <v>2185</v>
      </c>
      <c r="E5292">
        <v>30.809612000000001</v>
      </c>
      <c r="F5292" t="s">
        <v>2172</v>
      </c>
      <c r="G5292">
        <v>-89.864602000000005</v>
      </c>
      <c r="H5292">
        <v>800</v>
      </c>
      <c r="I5292">
        <v>8</v>
      </c>
      <c r="J5292">
        <v>-109</v>
      </c>
      <c r="K5292">
        <v>256</v>
      </c>
      <c r="L5292">
        <v>1200</v>
      </c>
      <c r="M5292" t="str">
        <f t="shared" si="517"/>
        <v xml:space="preserve">N35DC   </v>
      </c>
      <c r="N5292">
        <v>1</v>
      </c>
      <c r="O5292">
        <v>850</v>
      </c>
    </row>
    <row r="5293" spans="1:15" x14ac:dyDescent="0.25">
      <c r="A5293" t="str">
        <f>"10/21/2020 18:52:19.960"</f>
        <v>10/21/2020 18:52:19.960</v>
      </c>
      <c r="B5293" t="str">
        <f>"18:52:27.906"</f>
        <v>18:52:27.906</v>
      </c>
      <c r="C5293" t="str">
        <f>"18:52:27.406"</f>
        <v>18:52:27.406</v>
      </c>
      <c r="D5293" t="s">
        <v>2185</v>
      </c>
      <c r="E5293">
        <v>30.809612000000001</v>
      </c>
      <c r="F5293" t="s">
        <v>2172</v>
      </c>
      <c r="G5293">
        <v>-89.864602000000005</v>
      </c>
      <c r="H5293">
        <v>800</v>
      </c>
      <c r="I5293">
        <v>8</v>
      </c>
      <c r="J5293">
        <v>-109</v>
      </c>
      <c r="K5293">
        <v>256</v>
      </c>
      <c r="L5293">
        <v>1200</v>
      </c>
      <c r="M5293" t="str">
        <f t="shared" si="517"/>
        <v xml:space="preserve">N35DC   </v>
      </c>
      <c r="N5293">
        <v>1</v>
      </c>
      <c r="O5293">
        <v>850</v>
      </c>
    </row>
    <row r="5294" spans="1:15" x14ac:dyDescent="0.25">
      <c r="A5294" t="str">
        <f>"10/21/2020 18:52:20.524"</f>
        <v>10/21/2020 18:52:20.524</v>
      </c>
      <c r="B5294" t="str">
        <f>"18:52:28.414"</f>
        <v>18:52:28.414</v>
      </c>
      <c r="C5294" t="str">
        <f>"18:52:28.314"</f>
        <v>18:52:28.314</v>
      </c>
      <c r="D5294" t="s">
        <v>2186</v>
      </c>
      <c r="E5294">
        <v>30.809376</v>
      </c>
      <c r="F5294" t="s">
        <v>2187</v>
      </c>
      <c r="G5294">
        <v>-89.864559</v>
      </c>
      <c r="H5294">
        <v>800</v>
      </c>
      <c r="I5294">
        <v>8</v>
      </c>
      <c r="J5294">
        <v>-110</v>
      </c>
      <c r="K5294">
        <v>384</v>
      </c>
      <c r="L5294">
        <v>1200</v>
      </c>
      <c r="M5294" t="str">
        <f t="shared" si="517"/>
        <v xml:space="preserve">N35DC   </v>
      </c>
      <c r="N5294">
        <v>1</v>
      </c>
      <c r="O5294">
        <v>850</v>
      </c>
    </row>
    <row r="5295" spans="1:15" x14ac:dyDescent="0.25">
      <c r="A5295" t="str">
        <f>"10/21/2020 18:52:21.073"</f>
        <v>10/21/2020 18:52:21.073</v>
      </c>
      <c r="B5295" t="str">
        <f t="shared" ref="B5295:C5298" si="519">"18:52:28.984"</f>
        <v>18:52:28.984</v>
      </c>
      <c r="C5295" t="str">
        <f t="shared" si="519"/>
        <v>18:52:28.984</v>
      </c>
      <c r="D5295" t="s">
        <v>2188</v>
      </c>
      <c r="E5295">
        <v>30.809054</v>
      </c>
      <c r="F5295" t="s">
        <v>2189</v>
      </c>
      <c r="G5295">
        <v>-89.864537999999996</v>
      </c>
      <c r="H5295">
        <v>800</v>
      </c>
      <c r="I5295">
        <v>8</v>
      </c>
      <c r="J5295">
        <v>-111</v>
      </c>
      <c r="K5295">
        <v>448</v>
      </c>
      <c r="L5295">
        <v>1200</v>
      </c>
      <c r="M5295" t="str">
        <f t="shared" si="517"/>
        <v xml:space="preserve">N35DC   </v>
      </c>
      <c r="N5295">
        <v>1</v>
      </c>
      <c r="O5295">
        <v>850</v>
      </c>
    </row>
    <row r="5296" spans="1:15" x14ac:dyDescent="0.25">
      <c r="A5296" t="str">
        <f>"10/21/2020 18:52:21.073"</f>
        <v>10/21/2020 18:52:21.073</v>
      </c>
      <c r="B5296" t="str">
        <f t="shared" si="519"/>
        <v>18:52:28.984</v>
      </c>
      <c r="C5296" t="str">
        <f t="shared" si="519"/>
        <v>18:52:28.984</v>
      </c>
      <c r="D5296" t="s">
        <v>2188</v>
      </c>
      <c r="E5296">
        <v>30.809054</v>
      </c>
      <c r="F5296" t="s">
        <v>2189</v>
      </c>
      <c r="G5296">
        <v>-89.864537999999996</v>
      </c>
      <c r="H5296">
        <v>800</v>
      </c>
      <c r="I5296">
        <v>8</v>
      </c>
      <c r="J5296">
        <v>-111</v>
      </c>
      <c r="K5296">
        <v>448</v>
      </c>
      <c r="L5296">
        <v>1200</v>
      </c>
      <c r="M5296" t="str">
        <f t="shared" si="517"/>
        <v xml:space="preserve">N35DC   </v>
      </c>
      <c r="N5296">
        <v>1</v>
      </c>
      <c r="O5296">
        <v>850</v>
      </c>
    </row>
    <row r="5297" spans="1:15" x14ac:dyDescent="0.25">
      <c r="A5297" t="str">
        <f>"10/21/2020 18:52:21.073"</f>
        <v>10/21/2020 18:52:21.073</v>
      </c>
      <c r="B5297" t="str">
        <f t="shared" si="519"/>
        <v>18:52:28.984</v>
      </c>
      <c r="C5297" t="str">
        <f t="shared" si="519"/>
        <v>18:52:28.984</v>
      </c>
      <c r="D5297" t="s">
        <v>2188</v>
      </c>
      <c r="E5297">
        <v>30.809054</v>
      </c>
      <c r="F5297" t="s">
        <v>2189</v>
      </c>
      <c r="G5297">
        <v>-89.864537999999996</v>
      </c>
      <c r="H5297">
        <v>800</v>
      </c>
      <c r="I5297">
        <v>8</v>
      </c>
      <c r="J5297">
        <v>-111</v>
      </c>
      <c r="K5297">
        <v>448</v>
      </c>
      <c r="L5297">
        <v>1200</v>
      </c>
      <c r="M5297" t="str">
        <f t="shared" si="517"/>
        <v xml:space="preserve">N35DC   </v>
      </c>
      <c r="N5297">
        <v>1</v>
      </c>
      <c r="O5297">
        <v>850</v>
      </c>
    </row>
    <row r="5298" spans="1:15" x14ac:dyDescent="0.25">
      <c r="A5298" t="str">
        <f>"10/21/2020 18:52:21.073"</f>
        <v>10/21/2020 18:52:21.073</v>
      </c>
      <c r="B5298" t="str">
        <f t="shared" si="519"/>
        <v>18:52:28.984</v>
      </c>
      <c r="C5298" t="str">
        <f t="shared" si="519"/>
        <v>18:52:28.984</v>
      </c>
      <c r="D5298" t="s">
        <v>2188</v>
      </c>
      <c r="E5298">
        <v>30.809054</v>
      </c>
      <c r="F5298" t="s">
        <v>2189</v>
      </c>
      <c r="G5298">
        <v>-89.864537999999996</v>
      </c>
      <c r="H5298">
        <v>800</v>
      </c>
      <c r="I5298">
        <v>8</v>
      </c>
      <c r="J5298">
        <v>-111</v>
      </c>
      <c r="K5298">
        <v>448</v>
      </c>
      <c r="L5298">
        <v>1200</v>
      </c>
      <c r="M5298" t="str">
        <f t="shared" si="517"/>
        <v xml:space="preserve">N35DC   </v>
      </c>
      <c r="N5298">
        <v>1</v>
      </c>
      <c r="O5298">
        <v>850</v>
      </c>
    </row>
    <row r="5299" spans="1:15" x14ac:dyDescent="0.25">
      <c r="A5299" t="str">
        <f>"10/21/2020 18:52:24.810"</f>
        <v>10/21/2020 18:52:24.810</v>
      </c>
      <c r="B5299" t="str">
        <f t="shared" ref="B5299:C5303" si="520">"18:52:32.766"</f>
        <v>18:52:32.766</v>
      </c>
      <c r="C5299" t="str">
        <f t="shared" si="520"/>
        <v>18:52:32.766</v>
      </c>
      <c r="D5299" t="s">
        <v>2190</v>
      </c>
      <c r="E5299">
        <v>30.807102</v>
      </c>
      <c r="F5299" t="s">
        <v>2191</v>
      </c>
      <c r="G5299">
        <v>-89.864429999999999</v>
      </c>
      <c r="H5299">
        <v>900</v>
      </c>
      <c r="I5299">
        <v>8</v>
      </c>
      <c r="J5299">
        <v>-113</v>
      </c>
      <c r="K5299">
        <v>576</v>
      </c>
      <c r="L5299">
        <v>1200</v>
      </c>
      <c r="M5299" t="str">
        <f t="shared" si="517"/>
        <v xml:space="preserve">N35DC   </v>
      </c>
      <c r="N5299">
        <v>1</v>
      </c>
      <c r="O5299">
        <v>800</v>
      </c>
    </row>
    <row r="5300" spans="1:15" x14ac:dyDescent="0.25">
      <c r="A5300" t="str">
        <f>"10/21/2020 18:52:24.810"</f>
        <v>10/21/2020 18:52:24.810</v>
      </c>
      <c r="B5300" t="str">
        <f t="shared" si="520"/>
        <v>18:52:32.766</v>
      </c>
      <c r="C5300" t="str">
        <f t="shared" si="520"/>
        <v>18:52:32.766</v>
      </c>
      <c r="D5300" t="s">
        <v>2190</v>
      </c>
      <c r="E5300">
        <v>30.807102</v>
      </c>
      <c r="F5300" t="s">
        <v>2191</v>
      </c>
      <c r="G5300">
        <v>-89.864429999999999</v>
      </c>
      <c r="H5300">
        <v>900</v>
      </c>
      <c r="I5300">
        <v>8</v>
      </c>
      <c r="J5300">
        <v>-113</v>
      </c>
      <c r="K5300">
        <v>576</v>
      </c>
      <c r="L5300">
        <v>1200</v>
      </c>
      <c r="M5300" t="str">
        <f t="shared" si="517"/>
        <v xml:space="preserve">N35DC   </v>
      </c>
      <c r="N5300">
        <v>1</v>
      </c>
      <c r="O5300">
        <v>800</v>
      </c>
    </row>
    <row r="5301" spans="1:15" x14ac:dyDescent="0.25">
      <c r="A5301" t="str">
        <f>"10/21/2020 18:52:24.810"</f>
        <v>10/21/2020 18:52:24.810</v>
      </c>
      <c r="B5301" t="str">
        <f t="shared" si="520"/>
        <v>18:52:32.766</v>
      </c>
      <c r="C5301" t="str">
        <f t="shared" si="520"/>
        <v>18:52:32.766</v>
      </c>
      <c r="D5301" t="s">
        <v>2190</v>
      </c>
      <c r="E5301">
        <v>30.807102</v>
      </c>
      <c r="F5301" t="s">
        <v>2191</v>
      </c>
      <c r="G5301">
        <v>-89.864429999999999</v>
      </c>
      <c r="H5301">
        <v>900</v>
      </c>
      <c r="I5301">
        <v>8</v>
      </c>
      <c r="J5301">
        <v>-113</v>
      </c>
      <c r="K5301">
        <v>576</v>
      </c>
      <c r="L5301">
        <v>1200</v>
      </c>
      <c r="M5301" t="str">
        <f t="shared" si="517"/>
        <v xml:space="preserve">N35DC   </v>
      </c>
      <c r="N5301">
        <v>1</v>
      </c>
      <c r="O5301">
        <v>800</v>
      </c>
    </row>
    <row r="5302" spans="1:15" x14ac:dyDescent="0.25">
      <c r="A5302" t="str">
        <f>"10/21/2020 18:52:24.810"</f>
        <v>10/21/2020 18:52:24.810</v>
      </c>
      <c r="B5302" t="str">
        <f t="shared" si="520"/>
        <v>18:52:32.766</v>
      </c>
      <c r="C5302" t="str">
        <f t="shared" si="520"/>
        <v>18:52:32.766</v>
      </c>
      <c r="D5302" t="s">
        <v>2190</v>
      </c>
      <c r="E5302">
        <v>30.807102</v>
      </c>
      <c r="F5302" t="s">
        <v>2191</v>
      </c>
      <c r="G5302">
        <v>-89.864429999999999</v>
      </c>
      <c r="H5302">
        <v>900</v>
      </c>
      <c r="I5302">
        <v>8</v>
      </c>
      <c r="J5302">
        <v>-113</v>
      </c>
      <c r="K5302">
        <v>576</v>
      </c>
      <c r="L5302">
        <v>1200</v>
      </c>
      <c r="M5302" t="str">
        <f t="shared" si="517"/>
        <v xml:space="preserve">N35DC   </v>
      </c>
      <c r="N5302">
        <v>1</v>
      </c>
      <c r="O5302">
        <v>800</v>
      </c>
    </row>
    <row r="5303" spans="1:15" x14ac:dyDescent="0.25">
      <c r="A5303" t="str">
        <f>"10/21/2020 18:52:24.810"</f>
        <v>10/21/2020 18:52:24.810</v>
      </c>
      <c r="B5303" t="str">
        <f t="shared" si="520"/>
        <v>18:52:32.766</v>
      </c>
      <c r="C5303" t="str">
        <f t="shared" si="520"/>
        <v>18:52:32.766</v>
      </c>
      <c r="D5303" t="s">
        <v>2190</v>
      </c>
      <c r="E5303">
        <v>30.807102</v>
      </c>
      <c r="F5303" t="s">
        <v>2191</v>
      </c>
      <c r="G5303">
        <v>-89.864429999999999</v>
      </c>
      <c r="H5303">
        <v>900</v>
      </c>
      <c r="I5303">
        <v>8</v>
      </c>
      <c r="J5303">
        <v>-113</v>
      </c>
      <c r="K5303">
        <v>576</v>
      </c>
      <c r="L5303">
        <v>1200</v>
      </c>
      <c r="M5303" t="str">
        <f t="shared" si="517"/>
        <v xml:space="preserve">N35DC   </v>
      </c>
      <c r="N5303">
        <v>1</v>
      </c>
      <c r="O5303">
        <v>800</v>
      </c>
    </row>
    <row r="5304" spans="1:15" x14ac:dyDescent="0.25">
      <c r="A5304" t="str">
        <f>"10/21/2020 18:52:26.848"</f>
        <v>10/21/2020 18:52:26.848</v>
      </c>
      <c r="B5304" t="str">
        <f t="shared" ref="B5304:C5308" si="521">"18:52:34.742"</f>
        <v>18:52:34.742</v>
      </c>
      <c r="C5304" t="str">
        <f t="shared" si="521"/>
        <v>18:52:34.742</v>
      </c>
      <c r="D5304" t="s">
        <v>2192</v>
      </c>
      <c r="E5304">
        <v>30.806028999999999</v>
      </c>
      <c r="F5304" t="s">
        <v>2160</v>
      </c>
      <c r="G5304">
        <v>-89.864259000000004</v>
      </c>
      <c r="H5304">
        <v>900</v>
      </c>
      <c r="I5304">
        <v>10</v>
      </c>
      <c r="J5304">
        <v>-114</v>
      </c>
      <c r="K5304">
        <v>640</v>
      </c>
      <c r="L5304">
        <v>1200</v>
      </c>
      <c r="M5304" t="str">
        <f t="shared" si="517"/>
        <v xml:space="preserve">N35DC   </v>
      </c>
      <c r="N5304">
        <v>1</v>
      </c>
      <c r="O5304">
        <v>925</v>
      </c>
    </row>
    <row r="5305" spans="1:15" x14ac:dyDescent="0.25">
      <c r="A5305" t="str">
        <f>"10/21/2020 18:52:26.848"</f>
        <v>10/21/2020 18:52:26.848</v>
      </c>
      <c r="B5305" t="str">
        <f t="shared" si="521"/>
        <v>18:52:34.742</v>
      </c>
      <c r="C5305" t="str">
        <f t="shared" si="521"/>
        <v>18:52:34.742</v>
      </c>
      <c r="D5305" t="s">
        <v>2192</v>
      </c>
      <c r="E5305">
        <v>30.806028999999999</v>
      </c>
      <c r="F5305" t="s">
        <v>2160</v>
      </c>
      <c r="G5305">
        <v>-89.864259000000004</v>
      </c>
      <c r="H5305">
        <v>900</v>
      </c>
      <c r="I5305">
        <v>10</v>
      </c>
      <c r="J5305">
        <v>-114</v>
      </c>
      <c r="K5305">
        <v>640</v>
      </c>
      <c r="L5305">
        <v>1200</v>
      </c>
      <c r="M5305" t="str">
        <f t="shared" si="517"/>
        <v xml:space="preserve">N35DC   </v>
      </c>
      <c r="N5305">
        <v>1</v>
      </c>
      <c r="O5305">
        <v>925</v>
      </c>
    </row>
    <row r="5306" spans="1:15" x14ac:dyDescent="0.25">
      <c r="A5306" t="str">
        <f>"10/21/2020 18:52:26.848"</f>
        <v>10/21/2020 18:52:26.848</v>
      </c>
      <c r="B5306" t="str">
        <f t="shared" si="521"/>
        <v>18:52:34.742</v>
      </c>
      <c r="C5306" t="str">
        <f t="shared" si="521"/>
        <v>18:52:34.742</v>
      </c>
      <c r="D5306" t="s">
        <v>2192</v>
      </c>
      <c r="E5306">
        <v>30.806028999999999</v>
      </c>
      <c r="F5306" t="s">
        <v>2160</v>
      </c>
      <c r="G5306">
        <v>-89.864259000000004</v>
      </c>
      <c r="H5306">
        <v>900</v>
      </c>
      <c r="I5306">
        <v>10</v>
      </c>
      <c r="J5306">
        <v>-114</v>
      </c>
      <c r="K5306">
        <v>640</v>
      </c>
      <c r="L5306">
        <v>1200</v>
      </c>
      <c r="M5306" t="str">
        <f t="shared" si="517"/>
        <v xml:space="preserve">N35DC   </v>
      </c>
      <c r="N5306">
        <v>1</v>
      </c>
      <c r="O5306">
        <v>925</v>
      </c>
    </row>
    <row r="5307" spans="1:15" x14ac:dyDescent="0.25">
      <c r="A5307" t="str">
        <f>"10/21/2020 18:52:26.848"</f>
        <v>10/21/2020 18:52:26.848</v>
      </c>
      <c r="B5307" t="str">
        <f t="shared" si="521"/>
        <v>18:52:34.742</v>
      </c>
      <c r="C5307" t="str">
        <f t="shared" si="521"/>
        <v>18:52:34.742</v>
      </c>
      <c r="D5307" t="s">
        <v>2192</v>
      </c>
      <c r="E5307">
        <v>30.806028999999999</v>
      </c>
      <c r="F5307" t="s">
        <v>2160</v>
      </c>
      <c r="G5307">
        <v>-89.864259000000004</v>
      </c>
      <c r="H5307">
        <v>900</v>
      </c>
      <c r="I5307">
        <v>10</v>
      </c>
      <c r="J5307">
        <v>-114</v>
      </c>
      <c r="K5307">
        <v>640</v>
      </c>
      <c r="L5307">
        <v>1200</v>
      </c>
      <c r="M5307" t="str">
        <f t="shared" si="517"/>
        <v xml:space="preserve">N35DC   </v>
      </c>
      <c r="N5307">
        <v>1</v>
      </c>
      <c r="O5307">
        <v>925</v>
      </c>
    </row>
    <row r="5308" spans="1:15" x14ac:dyDescent="0.25">
      <c r="A5308" t="str">
        <f>"10/21/2020 18:52:26.848"</f>
        <v>10/21/2020 18:52:26.848</v>
      </c>
      <c r="B5308" t="str">
        <f t="shared" si="521"/>
        <v>18:52:34.742</v>
      </c>
      <c r="C5308" t="str">
        <f t="shared" si="521"/>
        <v>18:52:34.742</v>
      </c>
      <c r="D5308" t="s">
        <v>2192</v>
      </c>
      <c r="E5308">
        <v>30.806028999999999</v>
      </c>
      <c r="F5308" t="s">
        <v>2160</v>
      </c>
      <c r="G5308">
        <v>-89.864259000000004</v>
      </c>
      <c r="H5308">
        <v>900</v>
      </c>
      <c r="I5308">
        <v>10</v>
      </c>
      <c r="J5308">
        <v>-114</v>
      </c>
      <c r="K5308">
        <v>640</v>
      </c>
      <c r="L5308">
        <v>1200</v>
      </c>
      <c r="M5308" t="str">
        <f t="shared" si="517"/>
        <v xml:space="preserve">N35DC   </v>
      </c>
      <c r="N5308">
        <v>1</v>
      </c>
      <c r="O5308">
        <v>925</v>
      </c>
    </row>
    <row r="5309" spans="1:15" x14ac:dyDescent="0.25">
      <c r="A5309" t="str">
        <f>"10/21/2020 18:52:27.819"</f>
        <v>10/21/2020 18:52:27.819</v>
      </c>
      <c r="B5309" t="str">
        <f t="shared" ref="B5309:C5313" si="522">"18:52:35.750"</f>
        <v>18:52:35.750</v>
      </c>
      <c r="C5309" t="str">
        <f t="shared" si="522"/>
        <v>18:52:35.750</v>
      </c>
      <c r="D5309" t="s">
        <v>2193</v>
      </c>
      <c r="E5309">
        <v>30.805534999999999</v>
      </c>
      <c r="F5309" t="s">
        <v>2194</v>
      </c>
      <c r="G5309">
        <v>-89.864237000000003</v>
      </c>
      <c r="H5309">
        <v>900</v>
      </c>
      <c r="I5309">
        <v>11</v>
      </c>
      <c r="J5309">
        <v>-114</v>
      </c>
      <c r="K5309">
        <v>704</v>
      </c>
      <c r="L5309">
        <v>1200</v>
      </c>
      <c r="M5309" t="str">
        <f t="shared" si="517"/>
        <v xml:space="preserve">N35DC   </v>
      </c>
      <c r="N5309">
        <v>1</v>
      </c>
      <c r="O5309">
        <v>925</v>
      </c>
    </row>
    <row r="5310" spans="1:15" x14ac:dyDescent="0.25">
      <c r="A5310" t="str">
        <f>"10/21/2020 18:52:27.819"</f>
        <v>10/21/2020 18:52:27.819</v>
      </c>
      <c r="B5310" t="str">
        <f t="shared" si="522"/>
        <v>18:52:35.750</v>
      </c>
      <c r="C5310" t="str">
        <f t="shared" si="522"/>
        <v>18:52:35.750</v>
      </c>
      <c r="D5310" t="s">
        <v>2193</v>
      </c>
      <c r="E5310">
        <v>30.805534999999999</v>
      </c>
      <c r="F5310" t="s">
        <v>2194</v>
      </c>
      <c r="G5310">
        <v>-89.864237000000003</v>
      </c>
      <c r="H5310">
        <v>900</v>
      </c>
      <c r="I5310">
        <v>11</v>
      </c>
      <c r="J5310">
        <v>-114</v>
      </c>
      <c r="K5310">
        <v>704</v>
      </c>
      <c r="L5310">
        <v>1200</v>
      </c>
      <c r="M5310" t="str">
        <f t="shared" si="517"/>
        <v xml:space="preserve">N35DC   </v>
      </c>
      <c r="N5310">
        <v>1</v>
      </c>
      <c r="O5310">
        <v>925</v>
      </c>
    </row>
    <row r="5311" spans="1:15" x14ac:dyDescent="0.25">
      <c r="A5311" t="str">
        <f>"10/21/2020 18:52:27.819"</f>
        <v>10/21/2020 18:52:27.819</v>
      </c>
      <c r="B5311" t="str">
        <f t="shared" si="522"/>
        <v>18:52:35.750</v>
      </c>
      <c r="C5311" t="str">
        <f t="shared" si="522"/>
        <v>18:52:35.750</v>
      </c>
      <c r="D5311" t="s">
        <v>2193</v>
      </c>
      <c r="E5311">
        <v>30.805534999999999</v>
      </c>
      <c r="F5311" t="s">
        <v>2194</v>
      </c>
      <c r="G5311">
        <v>-89.864237000000003</v>
      </c>
      <c r="H5311">
        <v>900</v>
      </c>
      <c r="I5311">
        <v>11</v>
      </c>
      <c r="J5311">
        <v>-114</v>
      </c>
      <c r="K5311">
        <v>704</v>
      </c>
      <c r="L5311">
        <v>1200</v>
      </c>
      <c r="M5311" t="str">
        <f t="shared" si="517"/>
        <v xml:space="preserve">N35DC   </v>
      </c>
      <c r="N5311">
        <v>1</v>
      </c>
      <c r="O5311">
        <v>925</v>
      </c>
    </row>
    <row r="5312" spans="1:15" x14ac:dyDescent="0.25">
      <c r="A5312" t="str">
        <f>"10/21/2020 18:52:27.819"</f>
        <v>10/21/2020 18:52:27.819</v>
      </c>
      <c r="B5312" t="str">
        <f t="shared" si="522"/>
        <v>18:52:35.750</v>
      </c>
      <c r="C5312" t="str">
        <f t="shared" si="522"/>
        <v>18:52:35.750</v>
      </c>
      <c r="D5312" t="s">
        <v>2193</v>
      </c>
      <c r="E5312">
        <v>30.805534999999999</v>
      </c>
      <c r="F5312" t="s">
        <v>2194</v>
      </c>
      <c r="G5312">
        <v>-89.864237000000003</v>
      </c>
      <c r="H5312">
        <v>900</v>
      </c>
      <c r="I5312">
        <v>11</v>
      </c>
      <c r="J5312">
        <v>-114</v>
      </c>
      <c r="K5312">
        <v>704</v>
      </c>
      <c r="L5312">
        <v>1200</v>
      </c>
      <c r="M5312" t="str">
        <f t="shared" si="517"/>
        <v xml:space="preserve">N35DC   </v>
      </c>
      <c r="N5312">
        <v>1</v>
      </c>
      <c r="O5312">
        <v>925</v>
      </c>
    </row>
    <row r="5313" spans="1:15" x14ac:dyDescent="0.25">
      <c r="A5313" t="str">
        <f>"10/21/2020 18:52:27.819"</f>
        <v>10/21/2020 18:52:27.819</v>
      </c>
      <c r="B5313" t="str">
        <f t="shared" si="522"/>
        <v>18:52:35.750</v>
      </c>
      <c r="C5313" t="str">
        <f t="shared" si="522"/>
        <v>18:52:35.750</v>
      </c>
      <c r="D5313" t="s">
        <v>2193</v>
      </c>
      <c r="E5313">
        <v>30.805534999999999</v>
      </c>
      <c r="F5313" t="s">
        <v>2194</v>
      </c>
      <c r="G5313">
        <v>-89.864237000000003</v>
      </c>
      <c r="H5313">
        <v>900</v>
      </c>
      <c r="I5313">
        <v>11</v>
      </c>
      <c r="J5313">
        <v>-114</v>
      </c>
      <c r="K5313">
        <v>704</v>
      </c>
      <c r="L5313">
        <v>1200</v>
      </c>
      <c r="M5313" t="str">
        <f t="shared" si="517"/>
        <v xml:space="preserve">N35DC   </v>
      </c>
      <c r="N5313">
        <v>1</v>
      </c>
      <c r="O5313">
        <v>925</v>
      </c>
    </row>
    <row r="5314" spans="1:15" x14ac:dyDescent="0.25">
      <c r="A5314" t="str">
        <f>"10/21/2020 18:52:28.849"</f>
        <v>10/21/2020 18:52:28.849</v>
      </c>
      <c r="B5314" t="str">
        <f>"18:52:36.773"</f>
        <v>18:52:36.773</v>
      </c>
      <c r="C5314" t="str">
        <f>"18:52:36.273"</f>
        <v>18:52:36.273</v>
      </c>
      <c r="D5314" t="s">
        <v>2195</v>
      </c>
      <c r="E5314">
        <v>30.804977000000001</v>
      </c>
      <c r="F5314" t="s">
        <v>2158</v>
      </c>
      <c r="G5314">
        <v>-89.864172999999994</v>
      </c>
      <c r="H5314">
        <v>900</v>
      </c>
      <c r="I5314">
        <v>12</v>
      </c>
      <c r="J5314">
        <v>-114</v>
      </c>
      <c r="K5314">
        <v>768</v>
      </c>
      <c r="L5314">
        <v>1200</v>
      </c>
      <c r="M5314" t="str">
        <f t="shared" si="517"/>
        <v xml:space="preserve">N35DC   </v>
      </c>
      <c r="N5314">
        <v>1</v>
      </c>
      <c r="O5314">
        <v>925</v>
      </c>
    </row>
    <row r="5315" spans="1:15" x14ac:dyDescent="0.25">
      <c r="A5315" t="str">
        <f>"10/21/2020 18:52:28.849"</f>
        <v>10/21/2020 18:52:28.849</v>
      </c>
      <c r="B5315" t="str">
        <f>"18:52:36.773"</f>
        <v>18:52:36.773</v>
      </c>
      <c r="D5315" t="s">
        <v>2195</v>
      </c>
      <c r="E5315">
        <v>30.804977000000001</v>
      </c>
      <c r="F5315" t="s">
        <v>2158</v>
      </c>
      <c r="G5315">
        <v>-89.864172999999994</v>
      </c>
      <c r="H5315">
        <v>900</v>
      </c>
      <c r="I5315">
        <v>13</v>
      </c>
      <c r="J5315">
        <v>-114</v>
      </c>
      <c r="K5315">
        <v>768</v>
      </c>
      <c r="L5315">
        <v>1200</v>
      </c>
      <c r="M5315" t="str">
        <f t="shared" si="517"/>
        <v xml:space="preserve">N35DC   </v>
      </c>
      <c r="N5315">
        <v>1</v>
      </c>
      <c r="O5315">
        <v>950</v>
      </c>
    </row>
    <row r="5316" spans="1:15" x14ac:dyDescent="0.25">
      <c r="A5316" t="str">
        <f>"10/21/2020 18:52:28.849"</f>
        <v>10/21/2020 18:52:28.849</v>
      </c>
      <c r="B5316" t="str">
        <f>"18:52:36.773"</f>
        <v>18:52:36.773</v>
      </c>
      <c r="C5316" t="str">
        <f>"18:52:36.273"</f>
        <v>18:52:36.273</v>
      </c>
      <c r="D5316" t="s">
        <v>2195</v>
      </c>
      <c r="E5316">
        <v>30.804977000000001</v>
      </c>
      <c r="F5316" t="s">
        <v>2158</v>
      </c>
      <c r="G5316">
        <v>-89.864172999999994</v>
      </c>
      <c r="H5316">
        <v>900</v>
      </c>
      <c r="I5316">
        <v>12</v>
      </c>
      <c r="J5316">
        <v>-114</v>
      </c>
      <c r="K5316">
        <v>768</v>
      </c>
      <c r="L5316">
        <v>1200</v>
      </c>
      <c r="M5316" t="str">
        <f t="shared" si="517"/>
        <v xml:space="preserve">N35DC   </v>
      </c>
      <c r="N5316">
        <v>1</v>
      </c>
      <c r="O5316">
        <v>925</v>
      </c>
    </row>
    <row r="5317" spans="1:15" x14ac:dyDescent="0.25">
      <c r="A5317" t="str">
        <f>"10/21/2020 18:52:28.849"</f>
        <v>10/21/2020 18:52:28.849</v>
      </c>
      <c r="B5317" t="str">
        <f>"18:52:36.773"</f>
        <v>18:52:36.773</v>
      </c>
      <c r="C5317" t="str">
        <f>"18:52:36.273"</f>
        <v>18:52:36.273</v>
      </c>
      <c r="D5317" t="s">
        <v>2195</v>
      </c>
      <c r="E5317">
        <v>30.804977000000001</v>
      </c>
      <c r="F5317" t="s">
        <v>2158</v>
      </c>
      <c r="G5317">
        <v>-89.864172999999994</v>
      </c>
      <c r="H5317">
        <v>900</v>
      </c>
      <c r="I5317">
        <v>12</v>
      </c>
      <c r="J5317">
        <v>-114</v>
      </c>
      <c r="K5317">
        <v>768</v>
      </c>
      <c r="L5317">
        <v>1200</v>
      </c>
      <c r="M5317" t="str">
        <f t="shared" si="517"/>
        <v xml:space="preserve">N35DC   </v>
      </c>
      <c r="N5317">
        <v>1</v>
      </c>
      <c r="O5317">
        <v>925</v>
      </c>
    </row>
    <row r="5318" spans="1:15" x14ac:dyDescent="0.25">
      <c r="A5318" t="str">
        <f>"10/21/2020 18:52:28.849"</f>
        <v>10/21/2020 18:52:28.849</v>
      </c>
      <c r="B5318" t="str">
        <f>"18:52:36.773"</f>
        <v>18:52:36.773</v>
      </c>
      <c r="D5318" t="s">
        <v>2195</v>
      </c>
      <c r="E5318">
        <v>30.804977000000001</v>
      </c>
      <c r="F5318" t="s">
        <v>2158</v>
      </c>
      <c r="G5318">
        <v>-89.864172999999994</v>
      </c>
      <c r="H5318">
        <v>900</v>
      </c>
      <c r="I5318">
        <v>13</v>
      </c>
      <c r="J5318">
        <v>-114</v>
      </c>
      <c r="K5318">
        <v>768</v>
      </c>
      <c r="L5318">
        <v>1200</v>
      </c>
      <c r="M5318" t="str">
        <f t="shared" si="517"/>
        <v xml:space="preserve">N35DC   </v>
      </c>
      <c r="N5318">
        <v>1</v>
      </c>
      <c r="O5318">
        <v>950</v>
      </c>
    </row>
    <row r="5319" spans="1:15" x14ac:dyDescent="0.25">
      <c r="A5319" t="str">
        <f>"10/21/2020 18:52:31.723"</f>
        <v>10/21/2020 18:52:31.723</v>
      </c>
      <c r="B5319" t="str">
        <f>"18:52:39.648"</f>
        <v>18:52:39.648</v>
      </c>
      <c r="C5319" t="str">
        <f>"18:52:39.348"</f>
        <v>18:52:39.348</v>
      </c>
      <c r="D5319" t="s">
        <v>2196</v>
      </c>
      <c r="E5319">
        <v>30.803474999999999</v>
      </c>
      <c r="F5319" t="s">
        <v>2155</v>
      </c>
      <c r="G5319">
        <v>-89.863957999999997</v>
      </c>
      <c r="H5319">
        <v>900</v>
      </c>
      <c r="I5319">
        <v>17</v>
      </c>
      <c r="J5319">
        <v>-113</v>
      </c>
      <c r="K5319">
        <v>960</v>
      </c>
      <c r="L5319">
        <v>1200</v>
      </c>
      <c r="M5319" t="str">
        <f t="shared" ref="M5319:M5382" si="523">"N35DC   "</f>
        <v xml:space="preserve">N35DC   </v>
      </c>
      <c r="N5319">
        <v>1</v>
      </c>
      <c r="O5319">
        <v>975</v>
      </c>
    </row>
    <row r="5320" spans="1:15" x14ac:dyDescent="0.25">
      <c r="A5320" t="str">
        <f>"10/21/2020 18:52:31.723"</f>
        <v>10/21/2020 18:52:31.723</v>
      </c>
      <c r="B5320" t="str">
        <f>"18:52:39.648"</f>
        <v>18:52:39.648</v>
      </c>
      <c r="C5320" t="str">
        <f>"18:52:39.348"</f>
        <v>18:52:39.348</v>
      </c>
      <c r="D5320" t="s">
        <v>2196</v>
      </c>
      <c r="E5320">
        <v>30.803474999999999</v>
      </c>
      <c r="F5320" t="s">
        <v>2155</v>
      </c>
      <c r="G5320">
        <v>-89.863957999999997</v>
      </c>
      <c r="H5320">
        <v>900</v>
      </c>
      <c r="I5320">
        <v>17</v>
      </c>
      <c r="J5320">
        <v>-113</v>
      </c>
      <c r="K5320">
        <v>960</v>
      </c>
      <c r="L5320">
        <v>1200</v>
      </c>
      <c r="M5320" t="str">
        <f t="shared" si="523"/>
        <v xml:space="preserve">N35DC   </v>
      </c>
      <c r="N5320">
        <v>1</v>
      </c>
      <c r="O5320">
        <v>975</v>
      </c>
    </row>
    <row r="5321" spans="1:15" x14ac:dyDescent="0.25">
      <c r="A5321" t="str">
        <f>"10/21/2020 18:52:31.723"</f>
        <v>10/21/2020 18:52:31.723</v>
      </c>
      <c r="B5321" t="str">
        <f>"18:52:39.648"</f>
        <v>18:52:39.648</v>
      </c>
      <c r="C5321" t="str">
        <f>"18:52:39.348"</f>
        <v>18:52:39.348</v>
      </c>
      <c r="D5321" t="s">
        <v>2196</v>
      </c>
      <c r="E5321">
        <v>30.803474999999999</v>
      </c>
      <c r="F5321" t="s">
        <v>2155</v>
      </c>
      <c r="G5321">
        <v>-89.863957999999997</v>
      </c>
      <c r="H5321">
        <v>900</v>
      </c>
      <c r="I5321">
        <v>17</v>
      </c>
      <c r="J5321">
        <v>-113</v>
      </c>
      <c r="K5321">
        <v>960</v>
      </c>
      <c r="L5321">
        <v>1200</v>
      </c>
      <c r="M5321" t="str">
        <f t="shared" si="523"/>
        <v xml:space="preserve">N35DC   </v>
      </c>
      <c r="N5321">
        <v>1</v>
      </c>
      <c r="O5321">
        <v>975</v>
      </c>
    </row>
    <row r="5322" spans="1:15" x14ac:dyDescent="0.25">
      <c r="A5322" t="str">
        <f>"10/21/2020 18:52:31.723"</f>
        <v>10/21/2020 18:52:31.723</v>
      </c>
      <c r="B5322" t="str">
        <f>"18:52:39.648"</f>
        <v>18:52:39.648</v>
      </c>
      <c r="C5322" t="str">
        <f>"18:52:39.348"</f>
        <v>18:52:39.348</v>
      </c>
      <c r="D5322" t="s">
        <v>2196</v>
      </c>
      <c r="E5322">
        <v>30.803474999999999</v>
      </c>
      <c r="F5322" t="s">
        <v>2155</v>
      </c>
      <c r="G5322">
        <v>-89.863957999999997</v>
      </c>
      <c r="H5322">
        <v>900</v>
      </c>
      <c r="I5322">
        <v>17</v>
      </c>
      <c r="J5322">
        <v>-113</v>
      </c>
      <c r="K5322">
        <v>960</v>
      </c>
      <c r="L5322">
        <v>1200</v>
      </c>
      <c r="M5322" t="str">
        <f t="shared" si="523"/>
        <v xml:space="preserve">N35DC   </v>
      </c>
      <c r="N5322">
        <v>1</v>
      </c>
      <c r="O5322">
        <v>975</v>
      </c>
    </row>
    <row r="5323" spans="1:15" x14ac:dyDescent="0.25">
      <c r="A5323" t="str">
        <f>"10/21/2020 18:52:32.299"</f>
        <v>10/21/2020 18:52:32.299</v>
      </c>
      <c r="B5323" t="str">
        <f>"18:52:40.188"</f>
        <v>18:52:40.188</v>
      </c>
      <c r="C5323" t="str">
        <f>"18:52:39.788"</f>
        <v>18:52:39.788</v>
      </c>
      <c r="D5323" t="s">
        <v>2197</v>
      </c>
      <c r="E5323">
        <v>30.803196</v>
      </c>
      <c r="F5323" t="s">
        <v>2198</v>
      </c>
      <c r="G5323">
        <v>-89.863872999999998</v>
      </c>
      <c r="H5323">
        <v>1000</v>
      </c>
      <c r="I5323">
        <v>17</v>
      </c>
      <c r="J5323">
        <v>-112</v>
      </c>
      <c r="K5323">
        <v>1088</v>
      </c>
      <c r="L5323">
        <v>1200</v>
      </c>
      <c r="M5323" t="str">
        <f t="shared" si="523"/>
        <v xml:space="preserve">N35DC   </v>
      </c>
      <c r="N5323">
        <v>1</v>
      </c>
      <c r="O5323">
        <v>975</v>
      </c>
    </row>
    <row r="5324" spans="1:15" x14ac:dyDescent="0.25">
      <c r="A5324" t="str">
        <f>"10/21/2020 18:52:34.987"</f>
        <v>10/21/2020 18:52:34.987</v>
      </c>
      <c r="B5324" t="str">
        <f>"18:52:42.938"</f>
        <v>18:52:42.938</v>
      </c>
      <c r="C5324" t="str">
        <f>"18:52:42.837"</f>
        <v>18:52:42.837</v>
      </c>
      <c r="D5324" t="s">
        <v>2199</v>
      </c>
      <c r="E5324">
        <v>30.801780000000001</v>
      </c>
      <c r="F5324" t="s">
        <v>2200</v>
      </c>
      <c r="G5324">
        <v>-89.863594000000006</v>
      </c>
      <c r="H5324">
        <v>1000</v>
      </c>
      <c r="I5324">
        <v>21</v>
      </c>
      <c r="J5324">
        <v>-110</v>
      </c>
      <c r="K5324">
        <v>1408</v>
      </c>
      <c r="L5324">
        <v>1200</v>
      </c>
      <c r="M5324" t="str">
        <f t="shared" si="523"/>
        <v xml:space="preserve">N35DC   </v>
      </c>
      <c r="N5324">
        <v>1</v>
      </c>
      <c r="O5324">
        <v>1050</v>
      </c>
    </row>
    <row r="5325" spans="1:15" x14ac:dyDescent="0.25">
      <c r="A5325" t="str">
        <f>"10/21/2020 18:52:34.987"</f>
        <v>10/21/2020 18:52:34.987</v>
      </c>
      <c r="B5325" t="str">
        <f>"18:52:42.938"</f>
        <v>18:52:42.938</v>
      </c>
      <c r="C5325" t="str">
        <f>"18:52:42.837"</f>
        <v>18:52:42.837</v>
      </c>
      <c r="D5325" t="s">
        <v>2199</v>
      </c>
      <c r="E5325">
        <v>30.801780000000001</v>
      </c>
      <c r="F5325" t="s">
        <v>2200</v>
      </c>
      <c r="G5325">
        <v>-89.863594000000006</v>
      </c>
      <c r="H5325">
        <v>1000</v>
      </c>
      <c r="I5325">
        <v>21</v>
      </c>
      <c r="J5325">
        <v>-110</v>
      </c>
      <c r="K5325">
        <v>1408</v>
      </c>
      <c r="L5325">
        <v>1200</v>
      </c>
      <c r="M5325" t="str">
        <f t="shared" si="523"/>
        <v xml:space="preserve">N35DC   </v>
      </c>
      <c r="N5325">
        <v>1</v>
      </c>
      <c r="O5325">
        <v>1050</v>
      </c>
    </row>
    <row r="5326" spans="1:15" x14ac:dyDescent="0.25">
      <c r="A5326" t="str">
        <f>"10/21/2020 18:52:34.987"</f>
        <v>10/21/2020 18:52:34.987</v>
      </c>
      <c r="B5326" t="str">
        <f>"18:52:42.938"</f>
        <v>18:52:42.938</v>
      </c>
      <c r="C5326" t="str">
        <f>"18:52:42.837"</f>
        <v>18:52:42.837</v>
      </c>
      <c r="D5326" t="s">
        <v>2199</v>
      </c>
      <c r="E5326">
        <v>30.801780000000001</v>
      </c>
      <c r="F5326" t="s">
        <v>2200</v>
      </c>
      <c r="G5326">
        <v>-89.863594000000006</v>
      </c>
      <c r="H5326">
        <v>1000</v>
      </c>
      <c r="I5326">
        <v>21</v>
      </c>
      <c r="J5326">
        <v>-110</v>
      </c>
      <c r="K5326">
        <v>1408</v>
      </c>
      <c r="L5326">
        <v>1200</v>
      </c>
      <c r="M5326" t="str">
        <f t="shared" si="523"/>
        <v xml:space="preserve">N35DC   </v>
      </c>
      <c r="N5326">
        <v>1</v>
      </c>
      <c r="O5326">
        <v>1050</v>
      </c>
    </row>
    <row r="5327" spans="1:15" x14ac:dyDescent="0.25">
      <c r="A5327" t="str">
        <f>"10/21/2020 18:52:34.987"</f>
        <v>10/21/2020 18:52:34.987</v>
      </c>
      <c r="B5327" t="str">
        <f>"18:52:42.938"</f>
        <v>18:52:42.938</v>
      </c>
      <c r="C5327" t="str">
        <f>"18:52:42.837"</f>
        <v>18:52:42.837</v>
      </c>
      <c r="D5327" t="s">
        <v>2199</v>
      </c>
      <c r="E5327">
        <v>30.801780000000001</v>
      </c>
      <c r="F5327" t="s">
        <v>2200</v>
      </c>
      <c r="G5327">
        <v>-89.863594000000006</v>
      </c>
      <c r="H5327">
        <v>1000</v>
      </c>
      <c r="I5327">
        <v>21</v>
      </c>
      <c r="J5327">
        <v>-110</v>
      </c>
      <c r="K5327">
        <v>1408</v>
      </c>
      <c r="L5327">
        <v>1200</v>
      </c>
      <c r="M5327" t="str">
        <f t="shared" si="523"/>
        <v xml:space="preserve">N35DC   </v>
      </c>
      <c r="N5327">
        <v>1</v>
      </c>
      <c r="O5327">
        <v>1050</v>
      </c>
    </row>
    <row r="5328" spans="1:15" x14ac:dyDescent="0.25">
      <c r="A5328" t="str">
        <f>"10/21/2020 18:52:34.987"</f>
        <v>10/21/2020 18:52:34.987</v>
      </c>
      <c r="B5328" t="str">
        <f>"18:52:42.938"</f>
        <v>18:52:42.938</v>
      </c>
      <c r="C5328" t="str">
        <f>"18:52:42.837"</f>
        <v>18:52:42.837</v>
      </c>
      <c r="D5328" t="s">
        <v>2199</v>
      </c>
      <c r="E5328">
        <v>30.801780000000001</v>
      </c>
      <c r="F5328" t="s">
        <v>2200</v>
      </c>
      <c r="G5328">
        <v>-89.863594000000006</v>
      </c>
      <c r="H5328">
        <v>1000</v>
      </c>
      <c r="I5328">
        <v>21</v>
      </c>
      <c r="J5328">
        <v>-110</v>
      </c>
      <c r="K5328">
        <v>1408</v>
      </c>
      <c r="L5328">
        <v>1200</v>
      </c>
      <c r="M5328" t="str">
        <f t="shared" si="523"/>
        <v xml:space="preserve">N35DC   </v>
      </c>
      <c r="N5328">
        <v>1</v>
      </c>
      <c r="O5328">
        <v>1050</v>
      </c>
    </row>
    <row r="5329" spans="1:15" x14ac:dyDescent="0.25">
      <c r="A5329" t="str">
        <f>"10/21/2020 18:52:35.878"</f>
        <v>10/21/2020 18:52:35.878</v>
      </c>
      <c r="B5329" t="str">
        <f t="shared" ref="B5329:C5333" si="524">"18:52:43.820"</f>
        <v>18:52:43.820</v>
      </c>
      <c r="C5329" t="str">
        <f t="shared" si="524"/>
        <v>18:52:43.820</v>
      </c>
      <c r="D5329" t="s">
        <v>2201</v>
      </c>
      <c r="E5329">
        <v>30.80133</v>
      </c>
      <c r="F5329" t="s">
        <v>2051</v>
      </c>
      <c r="G5329">
        <v>-89.863443000000004</v>
      </c>
      <c r="H5329">
        <v>1000</v>
      </c>
      <c r="I5329">
        <v>22</v>
      </c>
      <c r="J5329">
        <v>-109</v>
      </c>
      <c r="K5329">
        <v>1280</v>
      </c>
      <c r="L5329">
        <v>1200</v>
      </c>
      <c r="M5329" t="str">
        <f t="shared" si="523"/>
        <v xml:space="preserve">N35DC   </v>
      </c>
      <c r="N5329">
        <v>1</v>
      </c>
      <c r="O5329">
        <v>1075</v>
      </c>
    </row>
    <row r="5330" spans="1:15" x14ac:dyDescent="0.25">
      <c r="A5330" t="str">
        <f>"10/21/2020 18:52:35.878"</f>
        <v>10/21/2020 18:52:35.878</v>
      </c>
      <c r="B5330" t="str">
        <f t="shared" si="524"/>
        <v>18:52:43.820</v>
      </c>
      <c r="C5330" t="str">
        <f t="shared" si="524"/>
        <v>18:52:43.820</v>
      </c>
      <c r="D5330" t="s">
        <v>2201</v>
      </c>
      <c r="E5330">
        <v>30.80133</v>
      </c>
      <c r="F5330" t="s">
        <v>2051</v>
      </c>
      <c r="G5330">
        <v>-89.863443000000004</v>
      </c>
      <c r="H5330">
        <v>1000</v>
      </c>
      <c r="I5330">
        <v>22</v>
      </c>
      <c r="J5330">
        <v>-109</v>
      </c>
      <c r="K5330">
        <v>1280</v>
      </c>
      <c r="L5330">
        <v>1200</v>
      </c>
      <c r="M5330" t="str">
        <f t="shared" si="523"/>
        <v xml:space="preserve">N35DC   </v>
      </c>
      <c r="N5330">
        <v>1</v>
      </c>
      <c r="O5330">
        <v>1075</v>
      </c>
    </row>
    <row r="5331" spans="1:15" x14ac:dyDescent="0.25">
      <c r="A5331" t="str">
        <f>"10/21/2020 18:52:35.878"</f>
        <v>10/21/2020 18:52:35.878</v>
      </c>
      <c r="B5331" t="str">
        <f t="shared" si="524"/>
        <v>18:52:43.820</v>
      </c>
      <c r="C5331" t="str">
        <f t="shared" si="524"/>
        <v>18:52:43.820</v>
      </c>
      <c r="D5331" t="s">
        <v>2201</v>
      </c>
      <c r="E5331">
        <v>30.80133</v>
      </c>
      <c r="F5331" t="s">
        <v>2051</v>
      </c>
      <c r="G5331">
        <v>-89.863443000000004</v>
      </c>
      <c r="H5331">
        <v>1000</v>
      </c>
      <c r="I5331">
        <v>22</v>
      </c>
      <c r="J5331">
        <v>-109</v>
      </c>
      <c r="K5331">
        <v>1280</v>
      </c>
      <c r="L5331">
        <v>1200</v>
      </c>
      <c r="M5331" t="str">
        <f t="shared" si="523"/>
        <v xml:space="preserve">N35DC   </v>
      </c>
      <c r="N5331">
        <v>1</v>
      </c>
      <c r="O5331">
        <v>1075</v>
      </c>
    </row>
    <row r="5332" spans="1:15" x14ac:dyDescent="0.25">
      <c r="A5332" t="str">
        <f>"10/21/2020 18:52:35.878"</f>
        <v>10/21/2020 18:52:35.878</v>
      </c>
      <c r="B5332" t="str">
        <f t="shared" si="524"/>
        <v>18:52:43.820</v>
      </c>
      <c r="C5332" t="str">
        <f t="shared" si="524"/>
        <v>18:52:43.820</v>
      </c>
      <c r="D5332" t="s">
        <v>2201</v>
      </c>
      <c r="E5332">
        <v>30.80133</v>
      </c>
      <c r="F5332" t="s">
        <v>2051</v>
      </c>
      <c r="G5332">
        <v>-89.863443000000004</v>
      </c>
      <c r="H5332">
        <v>1000</v>
      </c>
      <c r="I5332">
        <v>22</v>
      </c>
      <c r="J5332">
        <v>-109</v>
      </c>
      <c r="K5332">
        <v>1280</v>
      </c>
      <c r="L5332">
        <v>1200</v>
      </c>
      <c r="M5332" t="str">
        <f t="shared" si="523"/>
        <v xml:space="preserve">N35DC   </v>
      </c>
      <c r="N5332">
        <v>1</v>
      </c>
      <c r="O5332">
        <v>1075</v>
      </c>
    </row>
    <row r="5333" spans="1:15" x14ac:dyDescent="0.25">
      <c r="A5333" t="str">
        <f>"10/21/2020 18:52:35.878"</f>
        <v>10/21/2020 18:52:35.878</v>
      </c>
      <c r="B5333" t="str">
        <f t="shared" si="524"/>
        <v>18:52:43.820</v>
      </c>
      <c r="C5333" t="str">
        <f t="shared" si="524"/>
        <v>18:52:43.820</v>
      </c>
      <c r="D5333" t="s">
        <v>2201</v>
      </c>
      <c r="E5333">
        <v>30.80133</v>
      </c>
      <c r="F5333" t="s">
        <v>2051</v>
      </c>
      <c r="G5333">
        <v>-89.863443000000004</v>
      </c>
      <c r="H5333">
        <v>1000</v>
      </c>
      <c r="I5333">
        <v>22</v>
      </c>
      <c r="J5333">
        <v>-109</v>
      </c>
      <c r="K5333">
        <v>1280</v>
      </c>
      <c r="L5333">
        <v>1200</v>
      </c>
      <c r="M5333" t="str">
        <f t="shared" si="523"/>
        <v xml:space="preserve">N35DC   </v>
      </c>
      <c r="N5333">
        <v>1</v>
      </c>
      <c r="O5333">
        <v>1075</v>
      </c>
    </row>
    <row r="5334" spans="1:15" x14ac:dyDescent="0.25">
      <c r="A5334" t="str">
        <f t="shared" ref="A5334:A5339" si="525">"10/21/2020 18:52:39.670"</f>
        <v>10/21/2020 18:52:39.670</v>
      </c>
      <c r="B5334" t="str">
        <f t="shared" ref="B5334:B5339" si="526">"18:52:47.602"</f>
        <v>18:52:47.602</v>
      </c>
      <c r="C5334" t="str">
        <f t="shared" ref="C5334:C5339" si="527">"18:52:47.202"</f>
        <v>18:52:47.202</v>
      </c>
      <c r="D5334" t="s">
        <v>2202</v>
      </c>
      <c r="E5334">
        <v>30.799398</v>
      </c>
      <c r="F5334" t="s">
        <v>2146</v>
      </c>
      <c r="G5334">
        <v>-89.862993000000003</v>
      </c>
      <c r="H5334">
        <v>1100</v>
      </c>
      <c r="I5334">
        <v>29</v>
      </c>
      <c r="J5334">
        <v>-110</v>
      </c>
      <c r="K5334">
        <v>1216</v>
      </c>
      <c r="L5334">
        <v>1200</v>
      </c>
      <c r="M5334" t="str">
        <f t="shared" si="523"/>
        <v xml:space="preserve">N35DC   </v>
      </c>
      <c r="N5334">
        <v>1</v>
      </c>
      <c r="O5334">
        <v>1150</v>
      </c>
    </row>
    <row r="5335" spans="1:15" x14ac:dyDescent="0.25">
      <c r="A5335" t="str">
        <f t="shared" si="525"/>
        <v>10/21/2020 18:52:39.670</v>
      </c>
      <c r="B5335" t="str">
        <f t="shared" si="526"/>
        <v>18:52:47.602</v>
      </c>
      <c r="C5335" t="str">
        <f t="shared" si="527"/>
        <v>18:52:47.202</v>
      </c>
      <c r="D5335" t="s">
        <v>2202</v>
      </c>
      <c r="E5335">
        <v>30.799398</v>
      </c>
      <c r="F5335" t="s">
        <v>2146</v>
      </c>
      <c r="G5335">
        <v>-89.862993000000003</v>
      </c>
      <c r="H5335">
        <v>1100</v>
      </c>
      <c r="I5335">
        <v>29</v>
      </c>
      <c r="J5335">
        <v>-110</v>
      </c>
      <c r="K5335">
        <v>1216</v>
      </c>
      <c r="L5335">
        <v>1200</v>
      </c>
      <c r="M5335" t="str">
        <f t="shared" si="523"/>
        <v xml:space="preserve">N35DC   </v>
      </c>
      <c r="N5335">
        <v>1</v>
      </c>
      <c r="O5335">
        <v>1150</v>
      </c>
    </row>
    <row r="5336" spans="1:15" x14ac:dyDescent="0.25">
      <c r="A5336" t="str">
        <f t="shared" si="525"/>
        <v>10/21/2020 18:52:39.670</v>
      </c>
      <c r="B5336" t="str">
        <f t="shared" si="526"/>
        <v>18:52:47.602</v>
      </c>
      <c r="C5336" t="str">
        <f t="shared" si="527"/>
        <v>18:52:47.202</v>
      </c>
      <c r="D5336" t="s">
        <v>2202</v>
      </c>
      <c r="E5336">
        <v>30.799398</v>
      </c>
      <c r="F5336" t="s">
        <v>2146</v>
      </c>
      <c r="G5336">
        <v>-89.862993000000003</v>
      </c>
      <c r="H5336">
        <v>1100</v>
      </c>
      <c r="I5336">
        <v>29</v>
      </c>
      <c r="J5336">
        <v>-110</v>
      </c>
      <c r="K5336">
        <v>1216</v>
      </c>
      <c r="L5336">
        <v>1200</v>
      </c>
      <c r="M5336" t="str">
        <f t="shared" si="523"/>
        <v xml:space="preserve">N35DC   </v>
      </c>
      <c r="N5336">
        <v>1</v>
      </c>
      <c r="O5336">
        <v>1150</v>
      </c>
    </row>
    <row r="5337" spans="1:15" x14ac:dyDescent="0.25">
      <c r="A5337" t="str">
        <f t="shared" si="525"/>
        <v>10/21/2020 18:52:39.670</v>
      </c>
      <c r="B5337" t="str">
        <f t="shared" si="526"/>
        <v>18:52:47.602</v>
      </c>
      <c r="C5337" t="str">
        <f t="shared" si="527"/>
        <v>18:52:47.202</v>
      </c>
      <c r="D5337" t="s">
        <v>2202</v>
      </c>
      <c r="E5337">
        <v>30.799398</v>
      </c>
      <c r="F5337" t="s">
        <v>2146</v>
      </c>
      <c r="G5337">
        <v>-89.862993000000003</v>
      </c>
      <c r="H5337">
        <v>1100</v>
      </c>
      <c r="I5337">
        <v>29</v>
      </c>
      <c r="J5337">
        <v>-110</v>
      </c>
      <c r="K5337">
        <v>1216</v>
      </c>
      <c r="L5337">
        <v>1200</v>
      </c>
      <c r="M5337" t="str">
        <f t="shared" si="523"/>
        <v xml:space="preserve">N35DC   </v>
      </c>
      <c r="N5337">
        <v>1</v>
      </c>
      <c r="O5337">
        <v>1150</v>
      </c>
    </row>
    <row r="5338" spans="1:15" x14ac:dyDescent="0.25">
      <c r="A5338" t="str">
        <f t="shared" si="525"/>
        <v>10/21/2020 18:52:39.670</v>
      </c>
      <c r="B5338" t="str">
        <f t="shared" si="526"/>
        <v>18:52:47.602</v>
      </c>
      <c r="C5338" t="str">
        <f t="shared" si="527"/>
        <v>18:52:47.202</v>
      </c>
      <c r="D5338" t="s">
        <v>2202</v>
      </c>
      <c r="E5338">
        <v>30.799398</v>
      </c>
      <c r="F5338" t="s">
        <v>2146</v>
      </c>
      <c r="G5338">
        <v>-89.862993000000003</v>
      </c>
      <c r="H5338">
        <v>1100</v>
      </c>
      <c r="I5338">
        <v>29</v>
      </c>
      <c r="J5338">
        <v>-110</v>
      </c>
      <c r="K5338">
        <v>1216</v>
      </c>
      <c r="L5338">
        <v>1200</v>
      </c>
      <c r="M5338" t="str">
        <f t="shared" si="523"/>
        <v xml:space="preserve">N35DC   </v>
      </c>
      <c r="N5338">
        <v>1</v>
      </c>
      <c r="O5338">
        <v>1150</v>
      </c>
    </row>
    <row r="5339" spans="1:15" x14ac:dyDescent="0.25">
      <c r="A5339" t="str">
        <f t="shared" si="525"/>
        <v>10/21/2020 18:52:39.670</v>
      </c>
      <c r="B5339" t="str">
        <f t="shared" si="526"/>
        <v>18:52:47.602</v>
      </c>
      <c r="C5339" t="str">
        <f t="shared" si="527"/>
        <v>18:52:47.202</v>
      </c>
      <c r="D5339" t="s">
        <v>2202</v>
      </c>
      <c r="E5339">
        <v>30.799398</v>
      </c>
      <c r="F5339" t="s">
        <v>2146</v>
      </c>
      <c r="G5339">
        <v>-89.862993000000003</v>
      </c>
      <c r="H5339">
        <v>1100</v>
      </c>
      <c r="I5339">
        <v>29</v>
      </c>
      <c r="J5339">
        <v>-110</v>
      </c>
      <c r="K5339">
        <v>1216</v>
      </c>
      <c r="L5339">
        <v>1200</v>
      </c>
      <c r="M5339" t="str">
        <f t="shared" si="523"/>
        <v xml:space="preserve">N35DC   </v>
      </c>
      <c r="N5339">
        <v>1</v>
      </c>
      <c r="O5339">
        <v>1150</v>
      </c>
    </row>
    <row r="5340" spans="1:15" x14ac:dyDescent="0.25">
      <c r="A5340" t="str">
        <f>"10/21/2020 18:52:40.733"</f>
        <v>10/21/2020 18:52:40.733</v>
      </c>
      <c r="B5340" t="str">
        <f>"18:52:48.680"</f>
        <v>18:52:48.680</v>
      </c>
      <c r="C5340" t="str">
        <f>"18:52:48.380"</f>
        <v>18:52:48.380</v>
      </c>
      <c r="D5340" t="s">
        <v>2203</v>
      </c>
      <c r="E5340">
        <v>30.798862</v>
      </c>
      <c r="F5340" t="s">
        <v>1540</v>
      </c>
      <c r="G5340">
        <v>-89.862778000000006</v>
      </c>
      <c r="H5340">
        <v>1100</v>
      </c>
      <c r="I5340">
        <v>31</v>
      </c>
      <c r="J5340">
        <v>-109</v>
      </c>
      <c r="K5340">
        <v>1152</v>
      </c>
      <c r="L5340">
        <v>1200</v>
      </c>
      <c r="M5340" t="str">
        <f t="shared" si="523"/>
        <v xml:space="preserve">N35DC   </v>
      </c>
      <c r="N5340">
        <v>1</v>
      </c>
      <c r="O5340">
        <v>1175</v>
      </c>
    </row>
    <row r="5341" spans="1:15" x14ac:dyDescent="0.25">
      <c r="A5341" t="str">
        <f>"10/21/2020 18:52:40.733"</f>
        <v>10/21/2020 18:52:40.733</v>
      </c>
      <c r="B5341" t="str">
        <f>"18:52:48.680"</f>
        <v>18:52:48.680</v>
      </c>
      <c r="C5341" t="str">
        <f>"18:52:48.380"</f>
        <v>18:52:48.380</v>
      </c>
      <c r="D5341" t="s">
        <v>2203</v>
      </c>
      <c r="E5341">
        <v>30.798862</v>
      </c>
      <c r="F5341" t="s">
        <v>1540</v>
      </c>
      <c r="G5341">
        <v>-89.862778000000006</v>
      </c>
      <c r="H5341">
        <v>1100</v>
      </c>
      <c r="I5341">
        <v>31</v>
      </c>
      <c r="J5341">
        <v>-109</v>
      </c>
      <c r="K5341">
        <v>1152</v>
      </c>
      <c r="L5341">
        <v>1200</v>
      </c>
      <c r="M5341" t="str">
        <f t="shared" si="523"/>
        <v xml:space="preserve">N35DC   </v>
      </c>
      <c r="N5341">
        <v>1</v>
      </c>
      <c r="O5341">
        <v>1175</v>
      </c>
    </row>
    <row r="5342" spans="1:15" x14ac:dyDescent="0.25">
      <c r="A5342" t="str">
        <f>"10/21/2020 18:52:40.733"</f>
        <v>10/21/2020 18:52:40.733</v>
      </c>
      <c r="B5342" t="str">
        <f>"18:52:48.680"</f>
        <v>18:52:48.680</v>
      </c>
      <c r="C5342" t="str">
        <f>"18:52:48.380"</f>
        <v>18:52:48.380</v>
      </c>
      <c r="D5342" t="s">
        <v>2203</v>
      </c>
      <c r="E5342">
        <v>30.798862</v>
      </c>
      <c r="F5342" t="s">
        <v>1540</v>
      </c>
      <c r="G5342">
        <v>-89.862778000000006</v>
      </c>
      <c r="H5342">
        <v>1100</v>
      </c>
      <c r="I5342">
        <v>31</v>
      </c>
      <c r="J5342">
        <v>-109</v>
      </c>
      <c r="K5342">
        <v>1152</v>
      </c>
      <c r="L5342">
        <v>1200</v>
      </c>
      <c r="M5342" t="str">
        <f t="shared" si="523"/>
        <v xml:space="preserve">N35DC   </v>
      </c>
      <c r="N5342">
        <v>1</v>
      </c>
      <c r="O5342">
        <v>1175</v>
      </c>
    </row>
    <row r="5343" spans="1:15" x14ac:dyDescent="0.25">
      <c r="A5343" t="str">
        <f>"10/21/2020 18:52:40.733"</f>
        <v>10/21/2020 18:52:40.733</v>
      </c>
      <c r="B5343" t="str">
        <f>"18:52:48.680"</f>
        <v>18:52:48.680</v>
      </c>
      <c r="C5343" t="str">
        <f>"18:52:48.380"</f>
        <v>18:52:48.380</v>
      </c>
      <c r="D5343" t="s">
        <v>2203</v>
      </c>
      <c r="E5343">
        <v>30.798862</v>
      </c>
      <c r="F5343" t="s">
        <v>1540</v>
      </c>
      <c r="G5343">
        <v>-89.862778000000006</v>
      </c>
      <c r="H5343">
        <v>1100</v>
      </c>
      <c r="I5343">
        <v>31</v>
      </c>
      <c r="J5343">
        <v>-109</v>
      </c>
      <c r="K5343">
        <v>1152</v>
      </c>
      <c r="L5343">
        <v>1200</v>
      </c>
      <c r="M5343" t="str">
        <f t="shared" si="523"/>
        <v xml:space="preserve">N35DC   </v>
      </c>
      <c r="N5343">
        <v>1</v>
      </c>
      <c r="O5343">
        <v>1175</v>
      </c>
    </row>
    <row r="5344" spans="1:15" x14ac:dyDescent="0.25">
      <c r="A5344" t="str">
        <f>"10/21/2020 18:52:41.350"</f>
        <v>10/21/2020 18:52:41.350</v>
      </c>
      <c r="B5344" t="str">
        <f>"18:52:49.266"</f>
        <v>18:52:49.266</v>
      </c>
      <c r="C5344" t="str">
        <f>"18:52:48.766"</f>
        <v>18:52:48.766</v>
      </c>
      <c r="D5344" t="s">
        <v>2204</v>
      </c>
      <c r="E5344">
        <v>30.798562</v>
      </c>
      <c r="F5344" t="s">
        <v>514</v>
      </c>
      <c r="G5344">
        <v>-89.862671000000006</v>
      </c>
      <c r="H5344">
        <v>1100</v>
      </c>
      <c r="I5344">
        <v>31</v>
      </c>
      <c r="J5344">
        <v>-109</v>
      </c>
      <c r="K5344">
        <v>1216</v>
      </c>
      <c r="L5344">
        <v>1200</v>
      </c>
      <c r="M5344" t="str">
        <f t="shared" si="523"/>
        <v xml:space="preserve">N35DC   </v>
      </c>
      <c r="N5344">
        <v>1</v>
      </c>
      <c r="O5344">
        <v>1175</v>
      </c>
    </row>
    <row r="5345" spans="1:15" x14ac:dyDescent="0.25">
      <c r="A5345" t="str">
        <f>"10/21/2020 18:52:43.690"</f>
        <v>10/21/2020 18:52:43.690</v>
      </c>
      <c r="B5345" t="str">
        <f>"18:52:51.648"</f>
        <v>18:52:51.648</v>
      </c>
      <c r="C5345" t="str">
        <f>"18:52:51.448"</f>
        <v>18:52:51.448</v>
      </c>
      <c r="D5345" t="s">
        <v>2205</v>
      </c>
      <c r="E5345">
        <v>30.797338</v>
      </c>
      <c r="F5345" t="s">
        <v>516</v>
      </c>
      <c r="G5345">
        <v>-89.862285</v>
      </c>
      <c r="H5345">
        <v>1200</v>
      </c>
      <c r="I5345">
        <v>32</v>
      </c>
      <c r="J5345">
        <v>-108</v>
      </c>
      <c r="K5345">
        <v>960</v>
      </c>
      <c r="L5345">
        <v>1200</v>
      </c>
      <c r="M5345" t="str">
        <f t="shared" si="523"/>
        <v xml:space="preserve">N35DC   </v>
      </c>
      <c r="N5345">
        <v>1</v>
      </c>
      <c r="O5345">
        <v>1225</v>
      </c>
    </row>
    <row r="5346" spans="1:15" x14ac:dyDescent="0.25">
      <c r="A5346" t="str">
        <f>"10/21/2020 18:52:43.690"</f>
        <v>10/21/2020 18:52:43.690</v>
      </c>
      <c r="B5346" t="str">
        <f>"18:52:51.648"</f>
        <v>18:52:51.648</v>
      </c>
      <c r="C5346" t="str">
        <f>"18:52:51.448"</f>
        <v>18:52:51.448</v>
      </c>
      <c r="D5346" t="s">
        <v>2205</v>
      </c>
      <c r="E5346">
        <v>30.797338</v>
      </c>
      <c r="F5346" t="s">
        <v>516</v>
      </c>
      <c r="G5346">
        <v>-89.862285</v>
      </c>
      <c r="H5346">
        <v>1200</v>
      </c>
      <c r="I5346">
        <v>32</v>
      </c>
      <c r="J5346">
        <v>-108</v>
      </c>
      <c r="K5346">
        <v>960</v>
      </c>
      <c r="L5346">
        <v>1200</v>
      </c>
      <c r="M5346" t="str">
        <f t="shared" si="523"/>
        <v xml:space="preserve">N35DC   </v>
      </c>
      <c r="N5346">
        <v>1</v>
      </c>
      <c r="O5346">
        <v>1225</v>
      </c>
    </row>
    <row r="5347" spans="1:15" x14ac:dyDescent="0.25">
      <c r="A5347" t="str">
        <f>"10/21/2020 18:52:43.690"</f>
        <v>10/21/2020 18:52:43.690</v>
      </c>
      <c r="B5347" t="str">
        <f>"18:52:51.648"</f>
        <v>18:52:51.648</v>
      </c>
      <c r="C5347" t="str">
        <f>"18:52:51.448"</f>
        <v>18:52:51.448</v>
      </c>
      <c r="D5347" t="s">
        <v>2205</v>
      </c>
      <c r="E5347">
        <v>30.797338</v>
      </c>
      <c r="F5347" t="s">
        <v>516</v>
      </c>
      <c r="G5347">
        <v>-89.862285</v>
      </c>
      <c r="H5347">
        <v>1200</v>
      </c>
      <c r="I5347">
        <v>32</v>
      </c>
      <c r="J5347">
        <v>-108</v>
      </c>
      <c r="K5347">
        <v>960</v>
      </c>
      <c r="L5347">
        <v>1200</v>
      </c>
      <c r="M5347" t="str">
        <f t="shared" si="523"/>
        <v xml:space="preserve">N35DC   </v>
      </c>
      <c r="N5347">
        <v>1</v>
      </c>
      <c r="O5347">
        <v>1225</v>
      </c>
    </row>
    <row r="5348" spans="1:15" x14ac:dyDescent="0.25">
      <c r="A5348" t="str">
        <f>"10/21/2020 18:52:43.690"</f>
        <v>10/21/2020 18:52:43.690</v>
      </c>
      <c r="B5348" t="str">
        <f>"18:52:51.648"</f>
        <v>18:52:51.648</v>
      </c>
      <c r="C5348" t="str">
        <f>"18:52:51.448"</f>
        <v>18:52:51.448</v>
      </c>
      <c r="D5348" t="s">
        <v>2205</v>
      </c>
      <c r="E5348">
        <v>30.797338</v>
      </c>
      <c r="F5348" t="s">
        <v>516</v>
      </c>
      <c r="G5348">
        <v>-89.862285</v>
      </c>
      <c r="H5348">
        <v>1200</v>
      </c>
      <c r="I5348">
        <v>32</v>
      </c>
      <c r="J5348">
        <v>-108</v>
      </c>
      <c r="K5348">
        <v>960</v>
      </c>
      <c r="L5348">
        <v>1200</v>
      </c>
      <c r="M5348" t="str">
        <f t="shared" si="523"/>
        <v xml:space="preserve">N35DC   </v>
      </c>
      <c r="N5348">
        <v>1</v>
      </c>
      <c r="O5348">
        <v>1225</v>
      </c>
    </row>
    <row r="5349" spans="1:15" x14ac:dyDescent="0.25">
      <c r="A5349" t="str">
        <f>"10/21/2020 18:52:43.690"</f>
        <v>10/21/2020 18:52:43.690</v>
      </c>
      <c r="B5349" t="str">
        <f>"18:52:51.648"</f>
        <v>18:52:51.648</v>
      </c>
      <c r="C5349" t="str">
        <f>"18:52:51.448"</f>
        <v>18:52:51.448</v>
      </c>
      <c r="D5349" t="s">
        <v>2205</v>
      </c>
      <c r="E5349">
        <v>30.797338</v>
      </c>
      <c r="F5349" t="s">
        <v>516</v>
      </c>
      <c r="G5349">
        <v>-89.862285</v>
      </c>
      <c r="H5349">
        <v>1200</v>
      </c>
      <c r="I5349">
        <v>32</v>
      </c>
      <c r="J5349">
        <v>-108</v>
      </c>
      <c r="K5349">
        <v>960</v>
      </c>
      <c r="L5349">
        <v>1200</v>
      </c>
      <c r="M5349" t="str">
        <f t="shared" si="523"/>
        <v xml:space="preserve">N35DC   </v>
      </c>
      <c r="N5349">
        <v>1</v>
      </c>
      <c r="O5349">
        <v>1225</v>
      </c>
    </row>
    <row r="5350" spans="1:15" x14ac:dyDescent="0.25">
      <c r="A5350" t="str">
        <f>"10/21/2020 18:52:44.319"</f>
        <v>10/21/2020 18:52:44.319</v>
      </c>
      <c r="B5350" t="str">
        <f>"18:52:52.203"</f>
        <v>18:52:52.203</v>
      </c>
      <c r="C5350" t="str">
        <f>"18:52:52.003"</f>
        <v>18:52:52.003</v>
      </c>
      <c r="D5350" t="s">
        <v>2206</v>
      </c>
      <c r="E5350">
        <v>30.797101999999999</v>
      </c>
      <c r="F5350" t="s">
        <v>2207</v>
      </c>
      <c r="G5350">
        <v>-89.862177000000003</v>
      </c>
      <c r="H5350">
        <v>1200</v>
      </c>
      <c r="I5350">
        <v>33</v>
      </c>
      <c r="J5350">
        <v>-107</v>
      </c>
      <c r="K5350">
        <v>1024</v>
      </c>
      <c r="L5350">
        <v>1200</v>
      </c>
      <c r="M5350" t="str">
        <f t="shared" si="523"/>
        <v xml:space="preserve">N35DC   </v>
      </c>
      <c r="N5350">
        <v>1</v>
      </c>
      <c r="O5350">
        <v>1225</v>
      </c>
    </row>
    <row r="5351" spans="1:15" x14ac:dyDescent="0.25">
      <c r="A5351" t="str">
        <f t="shared" ref="A5351:A5356" si="528">"10/21/2020 18:52:46.785"</f>
        <v>10/21/2020 18:52:46.785</v>
      </c>
      <c r="B5351" t="str">
        <f t="shared" ref="B5351:B5356" si="529">"18:52:54.695"</f>
        <v>18:52:54.695</v>
      </c>
      <c r="C5351" t="str">
        <f>"18:52:53.895"</f>
        <v>18:52:53.895</v>
      </c>
      <c r="D5351" t="s">
        <v>2208</v>
      </c>
      <c r="E5351">
        <v>30.795836000000001</v>
      </c>
      <c r="F5351" t="s">
        <v>2209</v>
      </c>
      <c r="G5351">
        <v>-89.861727000000002</v>
      </c>
      <c r="H5351">
        <v>1200</v>
      </c>
      <c r="I5351">
        <v>35</v>
      </c>
      <c r="J5351">
        <v>-106</v>
      </c>
      <c r="K5351">
        <v>896</v>
      </c>
      <c r="L5351">
        <v>1200</v>
      </c>
      <c r="M5351" t="str">
        <f t="shared" si="523"/>
        <v xml:space="preserve">N35DC   </v>
      </c>
      <c r="N5351">
        <v>1</v>
      </c>
      <c r="O5351">
        <v>1250</v>
      </c>
    </row>
    <row r="5352" spans="1:15" x14ac:dyDescent="0.25">
      <c r="A5352" t="str">
        <f t="shared" si="528"/>
        <v>10/21/2020 18:52:46.785</v>
      </c>
      <c r="B5352" t="str">
        <f t="shared" si="529"/>
        <v>18:52:54.695</v>
      </c>
      <c r="C5352" t="str">
        <f>"18:52:54.295"</f>
        <v>18:52:54.295</v>
      </c>
      <c r="D5352" t="s">
        <v>2208</v>
      </c>
      <c r="E5352">
        <v>30.795836000000001</v>
      </c>
      <c r="F5352" t="s">
        <v>2209</v>
      </c>
      <c r="G5352">
        <v>-89.861727000000002</v>
      </c>
      <c r="H5352">
        <v>1200</v>
      </c>
      <c r="I5352">
        <v>35</v>
      </c>
      <c r="J5352">
        <v>-106</v>
      </c>
      <c r="K5352">
        <v>896</v>
      </c>
      <c r="L5352">
        <v>1200</v>
      </c>
      <c r="M5352" t="str">
        <f t="shared" si="523"/>
        <v xml:space="preserve">N35DC   </v>
      </c>
      <c r="N5352">
        <v>1</v>
      </c>
      <c r="O5352">
        <v>1250</v>
      </c>
    </row>
    <row r="5353" spans="1:15" x14ac:dyDescent="0.25">
      <c r="A5353" t="str">
        <f t="shared" si="528"/>
        <v>10/21/2020 18:52:46.785</v>
      </c>
      <c r="B5353" t="str">
        <f t="shared" si="529"/>
        <v>18:52:54.695</v>
      </c>
      <c r="C5353" t="str">
        <f>"18:52:54.295"</f>
        <v>18:52:54.295</v>
      </c>
      <c r="D5353" t="s">
        <v>2208</v>
      </c>
      <c r="E5353">
        <v>30.795836000000001</v>
      </c>
      <c r="F5353" t="s">
        <v>2209</v>
      </c>
      <c r="G5353">
        <v>-89.861727000000002</v>
      </c>
      <c r="H5353">
        <v>1200</v>
      </c>
      <c r="I5353">
        <v>35</v>
      </c>
      <c r="J5353">
        <v>-106</v>
      </c>
      <c r="K5353">
        <v>896</v>
      </c>
      <c r="L5353">
        <v>1200</v>
      </c>
      <c r="M5353" t="str">
        <f t="shared" si="523"/>
        <v xml:space="preserve">N35DC   </v>
      </c>
      <c r="N5353">
        <v>1</v>
      </c>
      <c r="O5353">
        <v>1250</v>
      </c>
    </row>
    <row r="5354" spans="1:15" x14ac:dyDescent="0.25">
      <c r="A5354" t="str">
        <f t="shared" si="528"/>
        <v>10/21/2020 18:52:46.785</v>
      </c>
      <c r="B5354" t="str">
        <f t="shared" si="529"/>
        <v>18:52:54.695</v>
      </c>
      <c r="C5354" t="str">
        <f>"18:52:54.295"</f>
        <v>18:52:54.295</v>
      </c>
      <c r="D5354" t="s">
        <v>2208</v>
      </c>
      <c r="E5354">
        <v>30.795836000000001</v>
      </c>
      <c r="F5354" t="s">
        <v>2209</v>
      </c>
      <c r="G5354">
        <v>-89.861727000000002</v>
      </c>
      <c r="H5354">
        <v>1200</v>
      </c>
      <c r="I5354">
        <v>35</v>
      </c>
      <c r="J5354">
        <v>-106</v>
      </c>
      <c r="K5354">
        <v>896</v>
      </c>
      <c r="L5354">
        <v>1200</v>
      </c>
      <c r="M5354" t="str">
        <f t="shared" si="523"/>
        <v xml:space="preserve">N35DC   </v>
      </c>
      <c r="N5354">
        <v>1</v>
      </c>
      <c r="O5354">
        <v>1250</v>
      </c>
    </row>
    <row r="5355" spans="1:15" x14ac:dyDescent="0.25">
      <c r="A5355" t="str">
        <f t="shared" si="528"/>
        <v>10/21/2020 18:52:46.785</v>
      </c>
      <c r="B5355" t="str">
        <f t="shared" si="529"/>
        <v>18:52:54.695</v>
      </c>
      <c r="C5355" t="str">
        <f>"18:52:54.295"</f>
        <v>18:52:54.295</v>
      </c>
      <c r="D5355" t="s">
        <v>2208</v>
      </c>
      <c r="E5355">
        <v>30.795836000000001</v>
      </c>
      <c r="F5355" t="s">
        <v>2209</v>
      </c>
      <c r="G5355">
        <v>-89.861727000000002</v>
      </c>
      <c r="H5355">
        <v>1200</v>
      </c>
      <c r="I5355">
        <v>35</v>
      </c>
      <c r="J5355">
        <v>-106</v>
      </c>
      <c r="K5355">
        <v>896</v>
      </c>
      <c r="L5355">
        <v>1200</v>
      </c>
      <c r="M5355" t="str">
        <f t="shared" si="523"/>
        <v xml:space="preserve">N35DC   </v>
      </c>
      <c r="N5355">
        <v>1</v>
      </c>
      <c r="O5355">
        <v>1250</v>
      </c>
    </row>
    <row r="5356" spans="1:15" x14ac:dyDescent="0.25">
      <c r="A5356" t="str">
        <f t="shared" si="528"/>
        <v>10/21/2020 18:52:46.785</v>
      </c>
      <c r="B5356" t="str">
        <f t="shared" si="529"/>
        <v>18:52:54.695</v>
      </c>
      <c r="C5356" t="str">
        <f>"18:52:54.295"</f>
        <v>18:52:54.295</v>
      </c>
      <c r="D5356" t="s">
        <v>2208</v>
      </c>
      <c r="E5356">
        <v>30.795836000000001</v>
      </c>
      <c r="F5356" t="s">
        <v>2209</v>
      </c>
      <c r="G5356">
        <v>-89.861727000000002</v>
      </c>
      <c r="H5356">
        <v>1200</v>
      </c>
      <c r="I5356">
        <v>35</v>
      </c>
      <c r="J5356">
        <v>-106</v>
      </c>
      <c r="K5356">
        <v>896</v>
      </c>
      <c r="L5356">
        <v>1200</v>
      </c>
      <c r="M5356" t="str">
        <f t="shared" si="523"/>
        <v xml:space="preserve">N35DC   </v>
      </c>
      <c r="N5356">
        <v>1</v>
      </c>
      <c r="O5356">
        <v>1250</v>
      </c>
    </row>
    <row r="5357" spans="1:15" x14ac:dyDescent="0.25">
      <c r="A5357" t="str">
        <f>"10/21/2020 18:52:47.785"</f>
        <v>10/21/2020 18:52:47.785</v>
      </c>
      <c r="B5357" t="str">
        <f t="shared" ref="B5357:C5361" si="530">"18:52:55.742"</f>
        <v>18:52:55.742</v>
      </c>
      <c r="C5357" t="str">
        <f t="shared" si="530"/>
        <v>18:52:55.742</v>
      </c>
      <c r="D5357" t="s">
        <v>2210</v>
      </c>
      <c r="E5357">
        <v>30.795321000000001</v>
      </c>
      <c r="F5357" t="s">
        <v>2211</v>
      </c>
      <c r="G5357">
        <v>-89.861491000000001</v>
      </c>
      <c r="H5357">
        <v>1200</v>
      </c>
      <c r="I5357">
        <v>37</v>
      </c>
      <c r="J5357">
        <v>-106</v>
      </c>
      <c r="K5357">
        <v>704</v>
      </c>
      <c r="L5357">
        <v>1200</v>
      </c>
      <c r="M5357" t="str">
        <f t="shared" si="523"/>
        <v xml:space="preserve">N35DC   </v>
      </c>
      <c r="N5357">
        <v>1</v>
      </c>
      <c r="O5357">
        <v>1275</v>
      </c>
    </row>
    <row r="5358" spans="1:15" x14ac:dyDescent="0.25">
      <c r="A5358" t="str">
        <f>"10/21/2020 18:52:47.785"</f>
        <v>10/21/2020 18:52:47.785</v>
      </c>
      <c r="B5358" t="str">
        <f t="shared" si="530"/>
        <v>18:52:55.742</v>
      </c>
      <c r="C5358" t="str">
        <f t="shared" si="530"/>
        <v>18:52:55.742</v>
      </c>
      <c r="D5358" t="s">
        <v>2210</v>
      </c>
      <c r="E5358">
        <v>30.795321000000001</v>
      </c>
      <c r="F5358" t="s">
        <v>2211</v>
      </c>
      <c r="G5358">
        <v>-89.861491000000001</v>
      </c>
      <c r="H5358">
        <v>1200</v>
      </c>
      <c r="I5358">
        <v>37</v>
      </c>
      <c r="J5358">
        <v>-106</v>
      </c>
      <c r="K5358">
        <v>704</v>
      </c>
      <c r="L5358">
        <v>1200</v>
      </c>
      <c r="M5358" t="str">
        <f t="shared" si="523"/>
        <v xml:space="preserve">N35DC   </v>
      </c>
      <c r="N5358">
        <v>1</v>
      </c>
      <c r="O5358">
        <v>1275</v>
      </c>
    </row>
    <row r="5359" spans="1:15" x14ac:dyDescent="0.25">
      <c r="A5359" t="str">
        <f>"10/21/2020 18:52:47.785"</f>
        <v>10/21/2020 18:52:47.785</v>
      </c>
      <c r="B5359" t="str">
        <f t="shared" si="530"/>
        <v>18:52:55.742</v>
      </c>
      <c r="C5359" t="str">
        <f t="shared" si="530"/>
        <v>18:52:55.742</v>
      </c>
      <c r="D5359" t="s">
        <v>2210</v>
      </c>
      <c r="E5359">
        <v>30.795321000000001</v>
      </c>
      <c r="F5359" t="s">
        <v>2211</v>
      </c>
      <c r="G5359">
        <v>-89.861491000000001</v>
      </c>
      <c r="H5359">
        <v>1200</v>
      </c>
      <c r="I5359">
        <v>37</v>
      </c>
      <c r="J5359">
        <v>-106</v>
      </c>
      <c r="K5359">
        <v>704</v>
      </c>
      <c r="L5359">
        <v>1200</v>
      </c>
      <c r="M5359" t="str">
        <f t="shared" si="523"/>
        <v xml:space="preserve">N35DC   </v>
      </c>
      <c r="N5359">
        <v>1</v>
      </c>
      <c r="O5359">
        <v>1275</v>
      </c>
    </row>
    <row r="5360" spans="1:15" x14ac:dyDescent="0.25">
      <c r="A5360" t="str">
        <f>"10/21/2020 18:52:47.785"</f>
        <v>10/21/2020 18:52:47.785</v>
      </c>
      <c r="B5360" t="str">
        <f t="shared" si="530"/>
        <v>18:52:55.742</v>
      </c>
      <c r="C5360" t="str">
        <f t="shared" si="530"/>
        <v>18:52:55.742</v>
      </c>
      <c r="D5360" t="s">
        <v>2210</v>
      </c>
      <c r="E5360">
        <v>30.795321000000001</v>
      </c>
      <c r="F5360" t="s">
        <v>2211</v>
      </c>
      <c r="G5360">
        <v>-89.861491000000001</v>
      </c>
      <c r="H5360">
        <v>1200</v>
      </c>
      <c r="I5360">
        <v>37</v>
      </c>
      <c r="J5360">
        <v>-106</v>
      </c>
      <c r="K5360">
        <v>704</v>
      </c>
      <c r="L5360">
        <v>1200</v>
      </c>
      <c r="M5360" t="str">
        <f t="shared" si="523"/>
        <v xml:space="preserve">N35DC   </v>
      </c>
      <c r="N5360">
        <v>1</v>
      </c>
      <c r="O5360">
        <v>1275</v>
      </c>
    </row>
    <row r="5361" spans="1:15" x14ac:dyDescent="0.25">
      <c r="A5361" t="str">
        <f>"10/21/2020 18:52:47.785"</f>
        <v>10/21/2020 18:52:47.785</v>
      </c>
      <c r="B5361" t="str">
        <f t="shared" si="530"/>
        <v>18:52:55.742</v>
      </c>
      <c r="C5361" t="str">
        <f t="shared" si="530"/>
        <v>18:52:55.742</v>
      </c>
      <c r="D5361" t="s">
        <v>2210</v>
      </c>
      <c r="E5361">
        <v>30.795321000000001</v>
      </c>
      <c r="F5361" t="s">
        <v>2211</v>
      </c>
      <c r="G5361">
        <v>-89.861491000000001</v>
      </c>
      <c r="H5361">
        <v>1200</v>
      </c>
      <c r="I5361">
        <v>37</v>
      </c>
      <c r="J5361">
        <v>-106</v>
      </c>
      <c r="K5361">
        <v>704</v>
      </c>
      <c r="L5361">
        <v>1200</v>
      </c>
      <c r="M5361" t="str">
        <f t="shared" si="523"/>
        <v xml:space="preserve">N35DC   </v>
      </c>
      <c r="N5361">
        <v>1</v>
      </c>
      <c r="O5361">
        <v>1275</v>
      </c>
    </row>
    <row r="5362" spans="1:15" x14ac:dyDescent="0.25">
      <c r="A5362" t="str">
        <f>"10/21/2020 18:52:50.657"</f>
        <v>10/21/2020 18:52:50.657</v>
      </c>
      <c r="B5362" t="str">
        <f>"18:52:58.609"</f>
        <v>18:52:58.609</v>
      </c>
      <c r="C5362" t="str">
        <f>"18:52:58.509"</f>
        <v>18:52:58.509</v>
      </c>
      <c r="D5362" t="s">
        <v>2212</v>
      </c>
      <c r="E5362">
        <v>30.793927</v>
      </c>
      <c r="F5362" t="s">
        <v>2128</v>
      </c>
      <c r="G5362">
        <v>-89.860911000000002</v>
      </c>
      <c r="H5362">
        <v>1300</v>
      </c>
      <c r="I5362">
        <v>42</v>
      </c>
      <c r="J5362">
        <v>-107</v>
      </c>
      <c r="K5362">
        <v>512</v>
      </c>
      <c r="L5362">
        <v>1200</v>
      </c>
      <c r="M5362" t="str">
        <f t="shared" si="523"/>
        <v xml:space="preserve">N35DC   </v>
      </c>
      <c r="N5362">
        <v>1</v>
      </c>
      <c r="O5362">
        <v>1300</v>
      </c>
    </row>
    <row r="5363" spans="1:15" x14ac:dyDescent="0.25">
      <c r="A5363" t="str">
        <f>"10/21/2020 18:52:50.657"</f>
        <v>10/21/2020 18:52:50.657</v>
      </c>
      <c r="B5363" t="str">
        <f>"18:52:58.609"</f>
        <v>18:52:58.609</v>
      </c>
      <c r="C5363" t="str">
        <f>"18:52:58.509"</f>
        <v>18:52:58.509</v>
      </c>
      <c r="D5363" t="s">
        <v>2212</v>
      </c>
      <c r="E5363">
        <v>30.793927</v>
      </c>
      <c r="F5363" t="s">
        <v>2128</v>
      </c>
      <c r="G5363">
        <v>-89.860911000000002</v>
      </c>
      <c r="H5363">
        <v>1300</v>
      </c>
      <c r="I5363">
        <v>42</v>
      </c>
      <c r="J5363">
        <v>-107</v>
      </c>
      <c r="K5363">
        <v>512</v>
      </c>
      <c r="L5363">
        <v>1200</v>
      </c>
      <c r="M5363" t="str">
        <f t="shared" si="523"/>
        <v xml:space="preserve">N35DC   </v>
      </c>
      <c r="N5363">
        <v>1</v>
      </c>
      <c r="O5363">
        <v>1300</v>
      </c>
    </row>
    <row r="5364" spans="1:15" x14ac:dyDescent="0.25">
      <c r="A5364" t="str">
        <f>"10/21/2020 18:52:50.657"</f>
        <v>10/21/2020 18:52:50.657</v>
      </c>
      <c r="B5364" t="str">
        <f>"18:52:58.609"</f>
        <v>18:52:58.609</v>
      </c>
      <c r="C5364" t="str">
        <f>"18:52:58.509"</f>
        <v>18:52:58.509</v>
      </c>
      <c r="D5364" t="s">
        <v>2212</v>
      </c>
      <c r="E5364">
        <v>30.793927</v>
      </c>
      <c r="F5364" t="s">
        <v>2128</v>
      </c>
      <c r="G5364">
        <v>-89.860911000000002</v>
      </c>
      <c r="H5364">
        <v>1300</v>
      </c>
      <c r="I5364">
        <v>42</v>
      </c>
      <c r="J5364">
        <v>-107</v>
      </c>
      <c r="K5364">
        <v>512</v>
      </c>
      <c r="L5364">
        <v>1200</v>
      </c>
      <c r="M5364" t="str">
        <f t="shared" si="523"/>
        <v xml:space="preserve">N35DC   </v>
      </c>
      <c r="N5364">
        <v>1</v>
      </c>
      <c r="O5364">
        <v>1300</v>
      </c>
    </row>
    <row r="5365" spans="1:15" x14ac:dyDescent="0.25">
      <c r="A5365" t="str">
        <f>"10/21/2020 18:52:50.657"</f>
        <v>10/21/2020 18:52:50.657</v>
      </c>
      <c r="B5365" t="str">
        <f>"18:52:58.609"</f>
        <v>18:52:58.609</v>
      </c>
      <c r="C5365" t="str">
        <f>"18:52:58.509"</f>
        <v>18:52:58.509</v>
      </c>
      <c r="D5365" t="s">
        <v>2212</v>
      </c>
      <c r="E5365">
        <v>30.793927</v>
      </c>
      <c r="F5365" t="s">
        <v>2128</v>
      </c>
      <c r="G5365">
        <v>-89.860911000000002</v>
      </c>
      <c r="H5365">
        <v>1300</v>
      </c>
      <c r="I5365">
        <v>42</v>
      </c>
      <c r="J5365">
        <v>-107</v>
      </c>
      <c r="K5365">
        <v>512</v>
      </c>
      <c r="L5365">
        <v>1200</v>
      </c>
      <c r="M5365" t="str">
        <f t="shared" si="523"/>
        <v xml:space="preserve">N35DC   </v>
      </c>
      <c r="N5365">
        <v>1</v>
      </c>
      <c r="O5365">
        <v>1300</v>
      </c>
    </row>
    <row r="5366" spans="1:15" x14ac:dyDescent="0.25">
      <c r="A5366" t="str">
        <f>"10/21/2020 18:52:50.657"</f>
        <v>10/21/2020 18:52:50.657</v>
      </c>
      <c r="B5366" t="str">
        <f>"18:52:58.609"</f>
        <v>18:52:58.609</v>
      </c>
      <c r="C5366" t="str">
        <f>"18:52:58.509"</f>
        <v>18:52:58.509</v>
      </c>
      <c r="D5366" t="s">
        <v>2212</v>
      </c>
      <c r="E5366">
        <v>30.793927</v>
      </c>
      <c r="F5366" t="s">
        <v>2128</v>
      </c>
      <c r="G5366">
        <v>-89.860911000000002</v>
      </c>
      <c r="H5366">
        <v>1300</v>
      </c>
      <c r="I5366">
        <v>42</v>
      </c>
      <c r="J5366">
        <v>-107</v>
      </c>
      <c r="K5366">
        <v>512</v>
      </c>
      <c r="L5366">
        <v>1200</v>
      </c>
      <c r="M5366" t="str">
        <f t="shared" si="523"/>
        <v xml:space="preserve">N35DC   </v>
      </c>
      <c r="N5366">
        <v>1</v>
      </c>
      <c r="O5366">
        <v>1300</v>
      </c>
    </row>
    <row r="5367" spans="1:15" x14ac:dyDescent="0.25">
      <c r="A5367" t="str">
        <f>"10/21/2020 18:52:51.207"</f>
        <v>10/21/2020 18:52:51.207</v>
      </c>
      <c r="B5367" t="str">
        <f>"18:52:59.117"</f>
        <v>18:52:59.117</v>
      </c>
      <c r="C5367" t="str">
        <f>"18:52:58.917"</f>
        <v>18:52:58.917</v>
      </c>
      <c r="D5367" t="s">
        <v>2213</v>
      </c>
      <c r="E5367">
        <v>30.793648000000001</v>
      </c>
      <c r="F5367" t="s">
        <v>1977</v>
      </c>
      <c r="G5367">
        <v>-89.860740000000007</v>
      </c>
      <c r="H5367">
        <v>1300</v>
      </c>
      <c r="I5367">
        <v>43</v>
      </c>
      <c r="J5367">
        <v>-107</v>
      </c>
      <c r="K5367">
        <v>448</v>
      </c>
      <c r="L5367">
        <v>1200</v>
      </c>
      <c r="M5367" t="str">
        <f t="shared" si="523"/>
        <v xml:space="preserve">N35DC   </v>
      </c>
      <c r="N5367">
        <v>1</v>
      </c>
      <c r="O5367">
        <v>1300</v>
      </c>
    </row>
    <row r="5368" spans="1:15" x14ac:dyDescent="0.25">
      <c r="A5368" t="str">
        <f t="shared" ref="A5368:A5373" si="531">"10/21/2020 18:52:53.828"</f>
        <v>10/21/2020 18:52:53.828</v>
      </c>
      <c r="B5368" t="str">
        <f t="shared" ref="B5368:B5373" si="532">"18:53:01.773"</f>
        <v>18:53:01.773</v>
      </c>
      <c r="C5368" t="str">
        <f t="shared" ref="C5368:C5373" si="533">"18:53:01.573"</f>
        <v>18:53:01.573</v>
      </c>
      <c r="D5368" t="s">
        <v>2214</v>
      </c>
      <c r="E5368">
        <v>30.792338999999998</v>
      </c>
      <c r="F5368" t="s">
        <v>2123</v>
      </c>
      <c r="G5368">
        <v>-89.860139000000004</v>
      </c>
      <c r="H5368">
        <v>1300</v>
      </c>
      <c r="I5368">
        <v>46</v>
      </c>
      <c r="J5368">
        <v>-107</v>
      </c>
      <c r="K5368">
        <v>512</v>
      </c>
      <c r="L5368">
        <v>1200</v>
      </c>
      <c r="M5368" t="str">
        <f t="shared" si="523"/>
        <v xml:space="preserve">N35DC   </v>
      </c>
      <c r="N5368">
        <v>1</v>
      </c>
      <c r="O5368">
        <v>1325</v>
      </c>
    </row>
    <row r="5369" spans="1:15" x14ac:dyDescent="0.25">
      <c r="A5369" t="str">
        <f t="shared" si="531"/>
        <v>10/21/2020 18:52:53.828</v>
      </c>
      <c r="B5369" t="str">
        <f t="shared" si="532"/>
        <v>18:53:01.773</v>
      </c>
      <c r="C5369" t="str">
        <f t="shared" si="533"/>
        <v>18:53:01.573</v>
      </c>
      <c r="D5369" t="s">
        <v>2214</v>
      </c>
      <c r="E5369">
        <v>30.792338999999998</v>
      </c>
      <c r="F5369" t="s">
        <v>2123</v>
      </c>
      <c r="G5369">
        <v>-89.860139000000004</v>
      </c>
      <c r="H5369">
        <v>1300</v>
      </c>
      <c r="I5369">
        <v>46</v>
      </c>
      <c r="J5369">
        <v>-107</v>
      </c>
      <c r="K5369">
        <v>512</v>
      </c>
      <c r="L5369">
        <v>1200</v>
      </c>
      <c r="M5369" t="str">
        <f t="shared" si="523"/>
        <v xml:space="preserve">N35DC   </v>
      </c>
      <c r="N5369">
        <v>1</v>
      </c>
      <c r="O5369">
        <v>1325</v>
      </c>
    </row>
    <row r="5370" spans="1:15" x14ac:dyDescent="0.25">
      <c r="A5370" t="str">
        <f t="shared" si="531"/>
        <v>10/21/2020 18:52:53.828</v>
      </c>
      <c r="B5370" t="str">
        <f t="shared" si="532"/>
        <v>18:53:01.773</v>
      </c>
      <c r="C5370" t="str">
        <f t="shared" si="533"/>
        <v>18:53:01.573</v>
      </c>
      <c r="D5370" t="s">
        <v>2214</v>
      </c>
      <c r="E5370">
        <v>30.792338999999998</v>
      </c>
      <c r="F5370" t="s">
        <v>2123</v>
      </c>
      <c r="G5370">
        <v>-89.860139000000004</v>
      </c>
      <c r="H5370">
        <v>1300</v>
      </c>
      <c r="I5370">
        <v>46</v>
      </c>
      <c r="J5370">
        <v>-107</v>
      </c>
      <c r="K5370">
        <v>512</v>
      </c>
      <c r="L5370">
        <v>1200</v>
      </c>
      <c r="M5370" t="str">
        <f t="shared" si="523"/>
        <v xml:space="preserve">N35DC   </v>
      </c>
      <c r="N5370">
        <v>1</v>
      </c>
      <c r="O5370">
        <v>1325</v>
      </c>
    </row>
    <row r="5371" spans="1:15" x14ac:dyDescent="0.25">
      <c r="A5371" t="str">
        <f t="shared" si="531"/>
        <v>10/21/2020 18:52:53.828</v>
      </c>
      <c r="B5371" t="str">
        <f t="shared" si="532"/>
        <v>18:53:01.773</v>
      </c>
      <c r="C5371" t="str">
        <f t="shared" si="533"/>
        <v>18:53:01.573</v>
      </c>
      <c r="D5371" t="s">
        <v>2214</v>
      </c>
      <c r="E5371">
        <v>30.792338999999998</v>
      </c>
      <c r="F5371" t="s">
        <v>2123</v>
      </c>
      <c r="G5371">
        <v>-89.860139000000004</v>
      </c>
      <c r="H5371">
        <v>1300</v>
      </c>
      <c r="I5371">
        <v>46</v>
      </c>
      <c r="J5371">
        <v>-107</v>
      </c>
      <c r="K5371">
        <v>512</v>
      </c>
      <c r="L5371">
        <v>1200</v>
      </c>
      <c r="M5371" t="str">
        <f t="shared" si="523"/>
        <v xml:space="preserve">N35DC   </v>
      </c>
      <c r="N5371">
        <v>1</v>
      </c>
      <c r="O5371">
        <v>1325</v>
      </c>
    </row>
    <row r="5372" spans="1:15" x14ac:dyDescent="0.25">
      <c r="A5372" t="str">
        <f t="shared" si="531"/>
        <v>10/21/2020 18:52:53.828</v>
      </c>
      <c r="B5372" t="str">
        <f t="shared" si="532"/>
        <v>18:53:01.773</v>
      </c>
      <c r="C5372" t="str">
        <f t="shared" si="533"/>
        <v>18:53:01.573</v>
      </c>
      <c r="D5372" t="s">
        <v>2214</v>
      </c>
      <c r="E5372">
        <v>30.792338999999998</v>
      </c>
      <c r="F5372" t="s">
        <v>2123</v>
      </c>
      <c r="G5372">
        <v>-89.860139000000004</v>
      </c>
      <c r="H5372">
        <v>1300</v>
      </c>
      <c r="I5372">
        <v>46</v>
      </c>
      <c r="J5372">
        <v>-107</v>
      </c>
      <c r="K5372">
        <v>512</v>
      </c>
      <c r="L5372">
        <v>1200</v>
      </c>
      <c r="M5372" t="str">
        <f t="shared" si="523"/>
        <v xml:space="preserve">N35DC   </v>
      </c>
      <c r="N5372">
        <v>1</v>
      </c>
      <c r="O5372">
        <v>1325</v>
      </c>
    </row>
    <row r="5373" spans="1:15" x14ac:dyDescent="0.25">
      <c r="A5373" t="str">
        <f t="shared" si="531"/>
        <v>10/21/2020 18:52:53.828</v>
      </c>
      <c r="B5373" t="str">
        <f t="shared" si="532"/>
        <v>18:53:01.773</v>
      </c>
      <c r="C5373" t="str">
        <f t="shared" si="533"/>
        <v>18:53:01.573</v>
      </c>
      <c r="D5373" t="s">
        <v>2214</v>
      </c>
      <c r="E5373">
        <v>30.792338999999998</v>
      </c>
      <c r="F5373" t="s">
        <v>2123</v>
      </c>
      <c r="G5373">
        <v>-89.860139000000004</v>
      </c>
      <c r="H5373">
        <v>1300</v>
      </c>
      <c r="I5373">
        <v>46</v>
      </c>
      <c r="J5373">
        <v>-107</v>
      </c>
      <c r="K5373">
        <v>512</v>
      </c>
      <c r="L5373">
        <v>1200</v>
      </c>
      <c r="M5373" t="str">
        <f t="shared" si="523"/>
        <v xml:space="preserve">N35DC   </v>
      </c>
      <c r="N5373">
        <v>1</v>
      </c>
      <c r="O5373">
        <v>1325</v>
      </c>
    </row>
    <row r="5374" spans="1:15" x14ac:dyDescent="0.25">
      <c r="A5374" t="str">
        <f t="shared" ref="A5374:A5379" si="534">"10/21/2020 18:52:55.015"</f>
        <v>10/21/2020 18:52:55.015</v>
      </c>
      <c r="B5374" t="str">
        <f t="shared" ref="B5374:C5379" si="535">"18:53:02.961"</f>
        <v>18:53:02.961</v>
      </c>
      <c r="C5374" t="str">
        <f t="shared" si="535"/>
        <v>18:53:02.961</v>
      </c>
      <c r="D5374" t="s">
        <v>2215</v>
      </c>
      <c r="E5374">
        <v>30.791737999999999</v>
      </c>
      <c r="F5374" t="s">
        <v>2216</v>
      </c>
      <c r="G5374">
        <v>-89.859817000000007</v>
      </c>
      <c r="H5374">
        <v>1300</v>
      </c>
      <c r="I5374">
        <v>48</v>
      </c>
      <c r="J5374">
        <v>-107</v>
      </c>
      <c r="K5374">
        <v>576</v>
      </c>
      <c r="L5374">
        <v>1200</v>
      </c>
      <c r="M5374" t="str">
        <f t="shared" si="523"/>
        <v xml:space="preserve">N35DC   </v>
      </c>
      <c r="N5374">
        <v>1</v>
      </c>
      <c r="O5374">
        <v>1350</v>
      </c>
    </row>
    <row r="5375" spans="1:15" x14ac:dyDescent="0.25">
      <c r="A5375" t="str">
        <f t="shared" si="534"/>
        <v>10/21/2020 18:52:55.015</v>
      </c>
      <c r="B5375" t="str">
        <f t="shared" si="535"/>
        <v>18:53:02.961</v>
      </c>
      <c r="C5375" t="str">
        <f t="shared" si="535"/>
        <v>18:53:02.961</v>
      </c>
      <c r="D5375" t="s">
        <v>2215</v>
      </c>
      <c r="E5375">
        <v>30.791737999999999</v>
      </c>
      <c r="F5375" t="s">
        <v>2216</v>
      </c>
      <c r="G5375">
        <v>-89.859817000000007</v>
      </c>
      <c r="H5375">
        <v>1300</v>
      </c>
      <c r="I5375">
        <v>48</v>
      </c>
      <c r="J5375">
        <v>-107</v>
      </c>
      <c r="K5375">
        <v>576</v>
      </c>
      <c r="L5375">
        <v>1200</v>
      </c>
      <c r="M5375" t="str">
        <f t="shared" si="523"/>
        <v xml:space="preserve">N35DC   </v>
      </c>
      <c r="N5375">
        <v>1</v>
      </c>
      <c r="O5375">
        <v>1350</v>
      </c>
    </row>
    <row r="5376" spans="1:15" x14ac:dyDescent="0.25">
      <c r="A5376" t="str">
        <f t="shared" si="534"/>
        <v>10/21/2020 18:52:55.015</v>
      </c>
      <c r="B5376" t="str">
        <f t="shared" si="535"/>
        <v>18:53:02.961</v>
      </c>
      <c r="C5376" t="str">
        <f t="shared" si="535"/>
        <v>18:53:02.961</v>
      </c>
      <c r="D5376" t="s">
        <v>2215</v>
      </c>
      <c r="E5376">
        <v>30.791737999999999</v>
      </c>
      <c r="F5376" t="s">
        <v>2216</v>
      </c>
      <c r="G5376">
        <v>-89.859817000000007</v>
      </c>
      <c r="H5376">
        <v>1300</v>
      </c>
      <c r="I5376">
        <v>48</v>
      </c>
      <c r="J5376">
        <v>-107</v>
      </c>
      <c r="K5376">
        <v>576</v>
      </c>
      <c r="L5376">
        <v>1200</v>
      </c>
      <c r="M5376" t="str">
        <f t="shared" si="523"/>
        <v xml:space="preserve">N35DC   </v>
      </c>
      <c r="N5376">
        <v>1</v>
      </c>
      <c r="O5376">
        <v>1350</v>
      </c>
    </row>
    <row r="5377" spans="1:15" x14ac:dyDescent="0.25">
      <c r="A5377" t="str">
        <f t="shared" si="534"/>
        <v>10/21/2020 18:52:55.015</v>
      </c>
      <c r="B5377" t="str">
        <f t="shared" si="535"/>
        <v>18:53:02.961</v>
      </c>
      <c r="C5377" t="str">
        <f t="shared" si="535"/>
        <v>18:53:02.961</v>
      </c>
      <c r="D5377" t="s">
        <v>2215</v>
      </c>
      <c r="E5377">
        <v>30.791737999999999</v>
      </c>
      <c r="F5377" t="s">
        <v>2216</v>
      </c>
      <c r="G5377">
        <v>-89.859817000000007</v>
      </c>
      <c r="H5377">
        <v>1300</v>
      </c>
      <c r="I5377">
        <v>48</v>
      </c>
      <c r="J5377">
        <v>-107</v>
      </c>
      <c r="K5377">
        <v>576</v>
      </c>
      <c r="L5377">
        <v>1200</v>
      </c>
      <c r="M5377" t="str">
        <f t="shared" si="523"/>
        <v xml:space="preserve">N35DC   </v>
      </c>
      <c r="N5377">
        <v>1</v>
      </c>
      <c r="O5377">
        <v>1350</v>
      </c>
    </row>
    <row r="5378" spans="1:15" x14ac:dyDescent="0.25">
      <c r="A5378" t="str">
        <f t="shared" si="534"/>
        <v>10/21/2020 18:52:55.015</v>
      </c>
      <c r="B5378" t="str">
        <f t="shared" si="535"/>
        <v>18:53:02.961</v>
      </c>
      <c r="C5378" t="str">
        <f t="shared" si="535"/>
        <v>18:53:02.961</v>
      </c>
      <c r="D5378" t="s">
        <v>2215</v>
      </c>
      <c r="E5378">
        <v>30.791737999999999</v>
      </c>
      <c r="F5378" t="s">
        <v>2216</v>
      </c>
      <c r="G5378">
        <v>-89.859817000000007</v>
      </c>
      <c r="H5378">
        <v>1300</v>
      </c>
      <c r="I5378">
        <v>48</v>
      </c>
      <c r="J5378">
        <v>-107</v>
      </c>
      <c r="K5378">
        <v>576</v>
      </c>
      <c r="L5378">
        <v>1200</v>
      </c>
      <c r="M5378" t="str">
        <f t="shared" si="523"/>
        <v xml:space="preserve">N35DC   </v>
      </c>
      <c r="N5378">
        <v>1</v>
      </c>
      <c r="O5378">
        <v>1350</v>
      </c>
    </row>
    <row r="5379" spans="1:15" x14ac:dyDescent="0.25">
      <c r="A5379" t="str">
        <f t="shared" si="534"/>
        <v>10/21/2020 18:52:55.015</v>
      </c>
      <c r="B5379" t="str">
        <f t="shared" si="535"/>
        <v>18:53:02.961</v>
      </c>
      <c r="C5379" t="str">
        <f t="shared" si="535"/>
        <v>18:53:02.961</v>
      </c>
      <c r="D5379" t="s">
        <v>2215</v>
      </c>
      <c r="E5379">
        <v>30.791737999999999</v>
      </c>
      <c r="F5379" t="s">
        <v>2216</v>
      </c>
      <c r="G5379">
        <v>-89.859817000000007</v>
      </c>
      <c r="H5379">
        <v>1300</v>
      </c>
      <c r="I5379">
        <v>48</v>
      </c>
      <c r="J5379">
        <v>-107</v>
      </c>
      <c r="K5379">
        <v>576</v>
      </c>
      <c r="L5379">
        <v>1200</v>
      </c>
      <c r="M5379" t="str">
        <f t="shared" si="523"/>
        <v xml:space="preserve">N35DC   </v>
      </c>
      <c r="N5379">
        <v>1</v>
      </c>
      <c r="O5379">
        <v>1350</v>
      </c>
    </row>
    <row r="5380" spans="1:15" x14ac:dyDescent="0.25">
      <c r="A5380" t="str">
        <f t="shared" ref="A5380:A5385" si="536">"10/21/2020 18:52:57.829"</f>
        <v>10/21/2020 18:52:57.829</v>
      </c>
      <c r="B5380" t="str">
        <f t="shared" ref="B5380:B5385" si="537">"18:53:05.781"</f>
        <v>18:53:05.781</v>
      </c>
      <c r="C5380" t="str">
        <f>"18:53:05.581"</f>
        <v>18:53:05.581</v>
      </c>
      <c r="D5380" t="s">
        <v>2217</v>
      </c>
      <c r="E5380">
        <v>30.790343</v>
      </c>
      <c r="F5380" t="s">
        <v>2218</v>
      </c>
      <c r="G5380">
        <v>-89.859109000000004</v>
      </c>
      <c r="H5380">
        <v>1300</v>
      </c>
      <c r="I5380">
        <v>49</v>
      </c>
      <c r="J5380">
        <v>-107</v>
      </c>
      <c r="K5380">
        <v>832</v>
      </c>
      <c r="L5380">
        <v>1200</v>
      </c>
      <c r="M5380" t="str">
        <f t="shared" si="523"/>
        <v xml:space="preserve">N35DC   </v>
      </c>
      <c r="N5380">
        <v>1</v>
      </c>
      <c r="O5380">
        <v>1375</v>
      </c>
    </row>
    <row r="5381" spans="1:15" x14ac:dyDescent="0.25">
      <c r="A5381" t="str">
        <f t="shared" si="536"/>
        <v>10/21/2020 18:52:57.829</v>
      </c>
      <c r="B5381" t="str">
        <f t="shared" si="537"/>
        <v>18:53:05.781</v>
      </c>
      <c r="C5381" t="str">
        <f>"18:53:04.581"</f>
        <v>18:53:04.581</v>
      </c>
      <c r="D5381" t="s">
        <v>2217</v>
      </c>
      <c r="E5381">
        <v>30.790343</v>
      </c>
      <c r="F5381" t="s">
        <v>2218</v>
      </c>
      <c r="G5381">
        <v>-89.859109000000004</v>
      </c>
      <c r="H5381">
        <v>1300</v>
      </c>
      <c r="I5381">
        <v>49</v>
      </c>
      <c r="J5381">
        <v>-107</v>
      </c>
      <c r="K5381">
        <v>768</v>
      </c>
      <c r="L5381">
        <v>1200</v>
      </c>
      <c r="M5381" t="str">
        <f t="shared" si="523"/>
        <v xml:space="preserve">N35DC   </v>
      </c>
      <c r="N5381">
        <v>1</v>
      </c>
      <c r="O5381">
        <v>1350</v>
      </c>
    </row>
    <row r="5382" spans="1:15" x14ac:dyDescent="0.25">
      <c r="A5382" t="str">
        <f t="shared" si="536"/>
        <v>10/21/2020 18:52:57.829</v>
      </c>
      <c r="B5382" t="str">
        <f t="shared" si="537"/>
        <v>18:53:05.781</v>
      </c>
      <c r="C5382" t="str">
        <f>"18:53:05.581"</f>
        <v>18:53:05.581</v>
      </c>
      <c r="D5382" t="s">
        <v>2217</v>
      </c>
      <c r="E5382">
        <v>30.790343</v>
      </c>
      <c r="F5382" t="s">
        <v>2218</v>
      </c>
      <c r="G5382">
        <v>-89.859109000000004</v>
      </c>
      <c r="H5382">
        <v>1300</v>
      </c>
      <c r="I5382">
        <v>49</v>
      </c>
      <c r="J5382">
        <v>-107</v>
      </c>
      <c r="K5382">
        <v>832</v>
      </c>
      <c r="L5382">
        <v>1200</v>
      </c>
      <c r="M5382" t="str">
        <f t="shared" si="523"/>
        <v xml:space="preserve">N35DC   </v>
      </c>
      <c r="N5382">
        <v>1</v>
      </c>
      <c r="O5382">
        <v>1375</v>
      </c>
    </row>
    <row r="5383" spans="1:15" x14ac:dyDescent="0.25">
      <c r="A5383" t="str">
        <f t="shared" si="536"/>
        <v>10/21/2020 18:52:57.829</v>
      </c>
      <c r="B5383" t="str">
        <f t="shared" si="537"/>
        <v>18:53:05.781</v>
      </c>
      <c r="C5383" t="str">
        <f>"18:53:05.581"</f>
        <v>18:53:05.581</v>
      </c>
      <c r="D5383" t="s">
        <v>2217</v>
      </c>
      <c r="E5383">
        <v>30.790343</v>
      </c>
      <c r="F5383" t="s">
        <v>2218</v>
      </c>
      <c r="G5383">
        <v>-89.859109000000004</v>
      </c>
      <c r="H5383">
        <v>1300</v>
      </c>
      <c r="I5383">
        <v>49</v>
      </c>
      <c r="J5383">
        <v>-107</v>
      </c>
      <c r="K5383">
        <v>832</v>
      </c>
      <c r="L5383">
        <v>1200</v>
      </c>
      <c r="M5383" t="str">
        <f t="shared" ref="M5383:M5446" si="538">"N35DC   "</f>
        <v xml:space="preserve">N35DC   </v>
      </c>
      <c r="N5383">
        <v>1</v>
      </c>
      <c r="O5383">
        <v>1375</v>
      </c>
    </row>
    <row r="5384" spans="1:15" x14ac:dyDescent="0.25">
      <c r="A5384" t="str">
        <f t="shared" si="536"/>
        <v>10/21/2020 18:52:57.829</v>
      </c>
      <c r="B5384" t="str">
        <f t="shared" si="537"/>
        <v>18:53:05.781</v>
      </c>
      <c r="C5384" t="str">
        <f>"18:53:05.581"</f>
        <v>18:53:05.581</v>
      </c>
      <c r="D5384" t="s">
        <v>2217</v>
      </c>
      <c r="E5384">
        <v>30.790343</v>
      </c>
      <c r="F5384" t="s">
        <v>2218</v>
      </c>
      <c r="G5384">
        <v>-89.859109000000004</v>
      </c>
      <c r="H5384">
        <v>1300</v>
      </c>
      <c r="I5384">
        <v>49</v>
      </c>
      <c r="J5384">
        <v>-107</v>
      </c>
      <c r="K5384">
        <v>832</v>
      </c>
      <c r="L5384">
        <v>1200</v>
      </c>
      <c r="M5384" t="str">
        <f t="shared" si="538"/>
        <v xml:space="preserve">N35DC   </v>
      </c>
      <c r="N5384">
        <v>1</v>
      </c>
      <c r="O5384">
        <v>1375</v>
      </c>
    </row>
    <row r="5385" spans="1:15" x14ac:dyDescent="0.25">
      <c r="A5385" t="str">
        <f t="shared" si="536"/>
        <v>10/21/2020 18:52:57.829</v>
      </c>
      <c r="B5385" t="str">
        <f t="shared" si="537"/>
        <v>18:53:05.781</v>
      </c>
      <c r="C5385" t="str">
        <f>"18:53:05.581"</f>
        <v>18:53:05.581</v>
      </c>
      <c r="D5385" t="s">
        <v>2217</v>
      </c>
      <c r="E5385">
        <v>30.790343</v>
      </c>
      <c r="F5385" t="s">
        <v>2218</v>
      </c>
      <c r="G5385">
        <v>-89.859109000000004</v>
      </c>
      <c r="H5385">
        <v>1300</v>
      </c>
      <c r="I5385">
        <v>49</v>
      </c>
      <c r="J5385">
        <v>-107</v>
      </c>
      <c r="K5385">
        <v>832</v>
      </c>
      <c r="L5385">
        <v>1200</v>
      </c>
      <c r="M5385" t="str">
        <f t="shared" si="538"/>
        <v xml:space="preserve">N35DC   </v>
      </c>
      <c r="N5385">
        <v>1</v>
      </c>
      <c r="O5385">
        <v>1375</v>
      </c>
    </row>
    <row r="5386" spans="1:15" x14ac:dyDescent="0.25">
      <c r="A5386" t="str">
        <f>"10/21/2020 18:52:58.872"</f>
        <v>10/21/2020 18:52:58.872</v>
      </c>
      <c r="B5386" t="str">
        <f>"18:53:06.813"</f>
        <v>18:53:06.813</v>
      </c>
      <c r="C5386" t="str">
        <f>"18:53:06.512"</f>
        <v>18:53:06.512</v>
      </c>
      <c r="D5386" t="s">
        <v>2219</v>
      </c>
      <c r="E5386">
        <v>30.789828</v>
      </c>
      <c r="F5386" t="s">
        <v>2220</v>
      </c>
      <c r="G5386">
        <v>-89.858851000000001</v>
      </c>
      <c r="H5386">
        <v>1300</v>
      </c>
      <c r="I5386">
        <v>49</v>
      </c>
      <c r="J5386">
        <v>-107</v>
      </c>
      <c r="K5386">
        <v>896</v>
      </c>
      <c r="L5386">
        <v>1200</v>
      </c>
      <c r="M5386" t="str">
        <f t="shared" si="538"/>
        <v xml:space="preserve">N35DC   </v>
      </c>
      <c r="N5386">
        <v>1</v>
      </c>
      <c r="O5386">
        <v>1400</v>
      </c>
    </row>
    <row r="5387" spans="1:15" x14ac:dyDescent="0.25">
      <c r="A5387" t="str">
        <f>"10/21/2020 18:52:58.872"</f>
        <v>10/21/2020 18:52:58.872</v>
      </c>
      <c r="B5387" t="str">
        <f>"18:53:06.813"</f>
        <v>18:53:06.813</v>
      </c>
      <c r="C5387" t="str">
        <f>"18:53:06.512"</f>
        <v>18:53:06.512</v>
      </c>
      <c r="D5387" t="s">
        <v>2219</v>
      </c>
      <c r="E5387">
        <v>30.789828</v>
      </c>
      <c r="F5387" t="s">
        <v>2220</v>
      </c>
      <c r="G5387">
        <v>-89.858851000000001</v>
      </c>
      <c r="H5387">
        <v>1300</v>
      </c>
      <c r="I5387">
        <v>49</v>
      </c>
      <c r="J5387">
        <v>-107</v>
      </c>
      <c r="K5387">
        <v>896</v>
      </c>
      <c r="L5387">
        <v>1200</v>
      </c>
      <c r="M5387" t="str">
        <f t="shared" si="538"/>
        <v xml:space="preserve">N35DC   </v>
      </c>
      <c r="N5387">
        <v>1</v>
      </c>
      <c r="O5387">
        <v>1400</v>
      </c>
    </row>
    <row r="5388" spans="1:15" x14ac:dyDescent="0.25">
      <c r="A5388" t="str">
        <f>"10/21/2020 18:52:58.872"</f>
        <v>10/21/2020 18:52:58.872</v>
      </c>
      <c r="B5388" t="str">
        <f>"18:53:06.813"</f>
        <v>18:53:06.813</v>
      </c>
      <c r="C5388" t="str">
        <f>"18:53:06.512"</f>
        <v>18:53:06.512</v>
      </c>
      <c r="D5388" t="s">
        <v>2219</v>
      </c>
      <c r="E5388">
        <v>30.789828</v>
      </c>
      <c r="F5388" t="s">
        <v>2220</v>
      </c>
      <c r="G5388">
        <v>-89.858851000000001</v>
      </c>
      <c r="H5388">
        <v>1300</v>
      </c>
      <c r="I5388">
        <v>49</v>
      </c>
      <c r="J5388">
        <v>-107</v>
      </c>
      <c r="K5388">
        <v>896</v>
      </c>
      <c r="L5388">
        <v>1200</v>
      </c>
      <c r="M5388" t="str">
        <f t="shared" si="538"/>
        <v xml:space="preserve">N35DC   </v>
      </c>
      <c r="N5388">
        <v>1</v>
      </c>
      <c r="O5388">
        <v>1400</v>
      </c>
    </row>
    <row r="5389" spans="1:15" x14ac:dyDescent="0.25">
      <c r="A5389" t="str">
        <f>"10/21/2020 18:52:58.872"</f>
        <v>10/21/2020 18:52:58.872</v>
      </c>
      <c r="B5389" t="str">
        <f>"18:53:06.813"</f>
        <v>18:53:06.813</v>
      </c>
      <c r="C5389" t="str">
        <f>"18:53:06.512"</f>
        <v>18:53:06.512</v>
      </c>
      <c r="D5389" t="s">
        <v>2219</v>
      </c>
      <c r="E5389">
        <v>30.789828</v>
      </c>
      <c r="F5389" t="s">
        <v>2220</v>
      </c>
      <c r="G5389">
        <v>-89.858851000000001</v>
      </c>
      <c r="H5389">
        <v>1300</v>
      </c>
      <c r="I5389">
        <v>49</v>
      </c>
      <c r="J5389">
        <v>-107</v>
      </c>
      <c r="K5389">
        <v>896</v>
      </c>
      <c r="L5389">
        <v>1200</v>
      </c>
      <c r="M5389" t="str">
        <f t="shared" si="538"/>
        <v xml:space="preserve">N35DC   </v>
      </c>
      <c r="N5389">
        <v>1</v>
      </c>
      <c r="O5389">
        <v>1400</v>
      </c>
    </row>
    <row r="5390" spans="1:15" x14ac:dyDescent="0.25">
      <c r="A5390" t="str">
        <f>"10/21/2020 18:52:58.872"</f>
        <v>10/21/2020 18:52:58.872</v>
      </c>
      <c r="B5390" t="str">
        <f>"18:53:06.813"</f>
        <v>18:53:06.813</v>
      </c>
      <c r="C5390" t="str">
        <f>"18:53:06.512"</f>
        <v>18:53:06.512</v>
      </c>
      <c r="D5390" t="s">
        <v>2219</v>
      </c>
      <c r="E5390">
        <v>30.789828</v>
      </c>
      <c r="F5390" t="s">
        <v>2220</v>
      </c>
      <c r="G5390">
        <v>-89.858851000000001</v>
      </c>
      <c r="H5390">
        <v>1300</v>
      </c>
      <c r="I5390">
        <v>49</v>
      </c>
      <c r="J5390">
        <v>-107</v>
      </c>
      <c r="K5390">
        <v>896</v>
      </c>
      <c r="L5390">
        <v>1200</v>
      </c>
      <c r="M5390" t="str">
        <f t="shared" si="538"/>
        <v xml:space="preserve">N35DC   </v>
      </c>
      <c r="N5390">
        <v>1</v>
      </c>
      <c r="O5390">
        <v>1400</v>
      </c>
    </row>
    <row r="5391" spans="1:15" x14ac:dyDescent="0.25">
      <c r="A5391" t="str">
        <f>"10/21/2020 18:52:59.401"</f>
        <v>10/21/2020 18:52:59.401</v>
      </c>
      <c r="B5391" t="str">
        <f>"18:53:07.336"</f>
        <v>18:53:07.336</v>
      </c>
      <c r="C5391" t="str">
        <f>"18:53:07.036"</f>
        <v>18:53:07.036</v>
      </c>
      <c r="D5391" t="s">
        <v>2221</v>
      </c>
      <c r="E5391">
        <v>30.789549000000001</v>
      </c>
      <c r="F5391" t="s">
        <v>1966</v>
      </c>
      <c r="G5391">
        <v>-89.858680000000007</v>
      </c>
      <c r="H5391">
        <v>1300</v>
      </c>
      <c r="I5391">
        <v>49</v>
      </c>
      <c r="J5391">
        <v>-107</v>
      </c>
      <c r="K5391">
        <v>832</v>
      </c>
      <c r="L5391">
        <v>1200</v>
      </c>
      <c r="M5391" t="str">
        <f t="shared" si="538"/>
        <v xml:space="preserve">N35DC   </v>
      </c>
      <c r="N5391">
        <v>1</v>
      </c>
      <c r="O5391">
        <v>1400</v>
      </c>
    </row>
    <row r="5392" spans="1:15" x14ac:dyDescent="0.25">
      <c r="A5392" t="str">
        <f>"10/21/2020 18:52:59.872"</f>
        <v>10/21/2020 18:52:59.872</v>
      </c>
      <c r="B5392" t="str">
        <f>"18:53:07.844"</f>
        <v>18:53:07.844</v>
      </c>
      <c r="C5392" t="str">
        <f>"18:53:07.444"</f>
        <v>18:53:07.444</v>
      </c>
      <c r="D5392" t="s">
        <v>2222</v>
      </c>
      <c r="E5392">
        <v>30.789335000000001</v>
      </c>
      <c r="F5392" t="s">
        <v>1962</v>
      </c>
      <c r="G5392">
        <v>-89.858551000000006</v>
      </c>
      <c r="H5392">
        <v>1300</v>
      </c>
      <c r="I5392">
        <v>49</v>
      </c>
      <c r="J5392">
        <v>-107</v>
      </c>
      <c r="K5392">
        <v>896</v>
      </c>
      <c r="L5392">
        <v>1200</v>
      </c>
      <c r="M5392" t="str">
        <f t="shared" si="538"/>
        <v xml:space="preserve">N35DC   </v>
      </c>
      <c r="N5392">
        <v>1</v>
      </c>
      <c r="O5392">
        <v>1400</v>
      </c>
    </row>
    <row r="5393" spans="1:15" x14ac:dyDescent="0.25">
      <c r="A5393" t="str">
        <f>"10/21/2020 18:52:59.872"</f>
        <v>10/21/2020 18:52:59.872</v>
      </c>
      <c r="B5393" t="str">
        <f>"18:53:07.844"</f>
        <v>18:53:07.844</v>
      </c>
      <c r="C5393" t="str">
        <f>"18:53:07.444"</f>
        <v>18:53:07.444</v>
      </c>
      <c r="D5393" t="s">
        <v>2222</v>
      </c>
      <c r="E5393">
        <v>30.789335000000001</v>
      </c>
      <c r="F5393" t="s">
        <v>1962</v>
      </c>
      <c r="G5393">
        <v>-89.858551000000006</v>
      </c>
      <c r="H5393">
        <v>1300</v>
      </c>
      <c r="I5393">
        <v>49</v>
      </c>
      <c r="J5393">
        <v>-107</v>
      </c>
      <c r="K5393">
        <v>896</v>
      </c>
      <c r="L5393">
        <v>1200</v>
      </c>
      <c r="M5393" t="str">
        <f t="shared" si="538"/>
        <v xml:space="preserve">N35DC   </v>
      </c>
      <c r="N5393">
        <v>1</v>
      </c>
      <c r="O5393">
        <v>1400</v>
      </c>
    </row>
    <row r="5394" spans="1:15" x14ac:dyDescent="0.25">
      <c r="A5394" t="str">
        <f>"10/21/2020 18:52:59.872"</f>
        <v>10/21/2020 18:52:59.872</v>
      </c>
      <c r="B5394" t="str">
        <f>"18:53:07.844"</f>
        <v>18:53:07.844</v>
      </c>
      <c r="C5394" t="str">
        <f>"18:53:07.544"</f>
        <v>18:53:07.544</v>
      </c>
      <c r="D5394" t="s">
        <v>2222</v>
      </c>
      <c r="E5394">
        <v>30.789335000000001</v>
      </c>
      <c r="F5394" t="s">
        <v>1962</v>
      </c>
      <c r="G5394">
        <v>-89.858551000000006</v>
      </c>
      <c r="H5394">
        <v>1300</v>
      </c>
      <c r="I5394">
        <v>49</v>
      </c>
      <c r="J5394">
        <v>-107</v>
      </c>
      <c r="K5394">
        <v>896</v>
      </c>
      <c r="L5394">
        <v>1200</v>
      </c>
      <c r="M5394" t="str">
        <f t="shared" si="538"/>
        <v xml:space="preserve">N35DC   </v>
      </c>
      <c r="N5394">
        <v>1</v>
      </c>
      <c r="O5394">
        <v>1400</v>
      </c>
    </row>
    <row r="5395" spans="1:15" x14ac:dyDescent="0.25">
      <c r="A5395" t="str">
        <f>"10/21/2020 18:52:59.872"</f>
        <v>10/21/2020 18:52:59.872</v>
      </c>
      <c r="B5395" t="str">
        <f>"18:53:07.844"</f>
        <v>18:53:07.844</v>
      </c>
      <c r="C5395" t="str">
        <f>"18:53:07.544"</f>
        <v>18:53:07.544</v>
      </c>
      <c r="D5395" t="s">
        <v>2222</v>
      </c>
      <c r="E5395">
        <v>30.789335000000001</v>
      </c>
      <c r="F5395" t="s">
        <v>1962</v>
      </c>
      <c r="G5395">
        <v>-89.858551000000006</v>
      </c>
      <c r="H5395">
        <v>1300</v>
      </c>
      <c r="I5395">
        <v>49</v>
      </c>
      <c r="J5395">
        <v>-107</v>
      </c>
      <c r="K5395">
        <v>896</v>
      </c>
      <c r="L5395">
        <v>1200</v>
      </c>
      <c r="M5395" t="str">
        <f t="shared" si="538"/>
        <v xml:space="preserve">N35DC   </v>
      </c>
      <c r="N5395">
        <v>1</v>
      </c>
      <c r="O5395">
        <v>1400</v>
      </c>
    </row>
    <row r="5396" spans="1:15" x14ac:dyDescent="0.25">
      <c r="A5396" t="str">
        <f>"10/21/2020 18:53:02.369"</f>
        <v>10/21/2020 18:53:02.369</v>
      </c>
      <c r="B5396" t="str">
        <f>"18:53:10.266"</f>
        <v>18:53:10.266</v>
      </c>
      <c r="C5396" t="str">
        <f>"18:53:09.766"</f>
        <v>18:53:09.766</v>
      </c>
      <c r="D5396" t="s">
        <v>2223</v>
      </c>
      <c r="E5396">
        <v>30.788112000000002</v>
      </c>
      <c r="F5396" t="s">
        <v>2224</v>
      </c>
      <c r="G5396">
        <v>-89.857885999999993</v>
      </c>
      <c r="H5396">
        <v>1400</v>
      </c>
      <c r="I5396">
        <v>50</v>
      </c>
      <c r="J5396">
        <v>-106</v>
      </c>
      <c r="K5396">
        <v>1024</v>
      </c>
      <c r="L5396">
        <v>1200</v>
      </c>
      <c r="M5396" t="str">
        <f t="shared" si="538"/>
        <v xml:space="preserve">N35DC   </v>
      </c>
      <c r="N5396">
        <v>1</v>
      </c>
      <c r="O5396">
        <v>1450</v>
      </c>
    </row>
    <row r="5397" spans="1:15" x14ac:dyDescent="0.25">
      <c r="A5397" t="str">
        <f>"10/21/2020 18:53:02.906"</f>
        <v>10/21/2020 18:53:02.906</v>
      </c>
      <c r="B5397" t="str">
        <f t="shared" ref="B5397:C5401" si="539">"18:53:10.859"</f>
        <v>18:53:10.859</v>
      </c>
      <c r="C5397" t="str">
        <f t="shared" si="539"/>
        <v>18:53:10.859</v>
      </c>
      <c r="D5397" t="s">
        <v>2225</v>
      </c>
      <c r="E5397">
        <v>30.787853999999999</v>
      </c>
      <c r="F5397" t="s">
        <v>2226</v>
      </c>
      <c r="G5397">
        <v>-89.857714000000001</v>
      </c>
      <c r="H5397">
        <v>1400</v>
      </c>
      <c r="I5397">
        <v>50</v>
      </c>
      <c r="J5397">
        <v>-105</v>
      </c>
      <c r="K5397">
        <v>960</v>
      </c>
      <c r="L5397">
        <v>1200</v>
      </c>
      <c r="M5397" t="str">
        <f t="shared" si="538"/>
        <v xml:space="preserve">N35DC   </v>
      </c>
      <c r="N5397">
        <v>1</v>
      </c>
      <c r="O5397">
        <v>1450</v>
      </c>
    </row>
    <row r="5398" spans="1:15" x14ac:dyDescent="0.25">
      <c r="A5398" t="str">
        <f>"10/21/2020 18:53:02.906"</f>
        <v>10/21/2020 18:53:02.906</v>
      </c>
      <c r="B5398" t="str">
        <f t="shared" si="539"/>
        <v>18:53:10.859</v>
      </c>
      <c r="C5398" t="str">
        <f t="shared" si="539"/>
        <v>18:53:10.859</v>
      </c>
      <c r="D5398" t="s">
        <v>2225</v>
      </c>
      <c r="E5398">
        <v>30.787853999999999</v>
      </c>
      <c r="F5398" t="s">
        <v>2226</v>
      </c>
      <c r="G5398">
        <v>-89.857714000000001</v>
      </c>
      <c r="H5398">
        <v>1400</v>
      </c>
      <c r="I5398">
        <v>50</v>
      </c>
      <c r="J5398">
        <v>-105</v>
      </c>
      <c r="K5398">
        <v>960</v>
      </c>
      <c r="L5398">
        <v>1200</v>
      </c>
      <c r="M5398" t="str">
        <f t="shared" si="538"/>
        <v xml:space="preserve">N35DC   </v>
      </c>
      <c r="N5398">
        <v>1</v>
      </c>
      <c r="O5398">
        <v>1450</v>
      </c>
    </row>
    <row r="5399" spans="1:15" x14ac:dyDescent="0.25">
      <c r="A5399" t="str">
        <f>"10/21/2020 18:53:02.906"</f>
        <v>10/21/2020 18:53:02.906</v>
      </c>
      <c r="B5399" t="str">
        <f t="shared" si="539"/>
        <v>18:53:10.859</v>
      </c>
      <c r="C5399" t="str">
        <f t="shared" si="539"/>
        <v>18:53:10.859</v>
      </c>
      <c r="D5399" t="s">
        <v>2225</v>
      </c>
      <c r="E5399">
        <v>30.787853999999999</v>
      </c>
      <c r="F5399" t="s">
        <v>2226</v>
      </c>
      <c r="G5399">
        <v>-89.857714000000001</v>
      </c>
      <c r="H5399">
        <v>1400</v>
      </c>
      <c r="I5399">
        <v>50</v>
      </c>
      <c r="J5399">
        <v>-105</v>
      </c>
      <c r="K5399">
        <v>960</v>
      </c>
      <c r="L5399">
        <v>1200</v>
      </c>
      <c r="M5399" t="str">
        <f t="shared" si="538"/>
        <v xml:space="preserve">N35DC   </v>
      </c>
      <c r="N5399">
        <v>1</v>
      </c>
      <c r="O5399">
        <v>1450</v>
      </c>
    </row>
    <row r="5400" spans="1:15" x14ac:dyDescent="0.25">
      <c r="A5400" t="str">
        <f>"10/21/2020 18:53:02.906"</f>
        <v>10/21/2020 18:53:02.906</v>
      </c>
      <c r="B5400" t="str">
        <f t="shared" si="539"/>
        <v>18:53:10.859</v>
      </c>
      <c r="C5400" t="str">
        <f t="shared" si="539"/>
        <v>18:53:10.859</v>
      </c>
      <c r="D5400" t="s">
        <v>2225</v>
      </c>
      <c r="E5400">
        <v>30.787853999999999</v>
      </c>
      <c r="F5400" t="s">
        <v>2226</v>
      </c>
      <c r="G5400">
        <v>-89.857714000000001</v>
      </c>
      <c r="H5400">
        <v>1400</v>
      </c>
      <c r="I5400">
        <v>50</v>
      </c>
      <c r="J5400">
        <v>-105</v>
      </c>
      <c r="K5400">
        <v>960</v>
      </c>
      <c r="L5400">
        <v>1200</v>
      </c>
      <c r="M5400" t="str">
        <f t="shared" si="538"/>
        <v xml:space="preserve">N35DC   </v>
      </c>
      <c r="N5400">
        <v>1</v>
      </c>
      <c r="O5400">
        <v>1450</v>
      </c>
    </row>
    <row r="5401" spans="1:15" x14ac:dyDescent="0.25">
      <c r="A5401" t="str">
        <f>"10/21/2020 18:53:02.906"</f>
        <v>10/21/2020 18:53:02.906</v>
      </c>
      <c r="B5401" t="str">
        <f t="shared" si="539"/>
        <v>18:53:10.859</v>
      </c>
      <c r="C5401" t="str">
        <f t="shared" si="539"/>
        <v>18:53:10.859</v>
      </c>
      <c r="D5401" t="s">
        <v>2225</v>
      </c>
      <c r="E5401">
        <v>30.787853999999999</v>
      </c>
      <c r="F5401" t="s">
        <v>2226</v>
      </c>
      <c r="G5401">
        <v>-89.857714000000001</v>
      </c>
      <c r="H5401">
        <v>1400</v>
      </c>
      <c r="I5401">
        <v>50</v>
      </c>
      <c r="J5401">
        <v>-105</v>
      </c>
      <c r="K5401">
        <v>960</v>
      </c>
      <c r="L5401">
        <v>1200</v>
      </c>
      <c r="M5401" t="str">
        <f t="shared" si="538"/>
        <v xml:space="preserve">N35DC   </v>
      </c>
      <c r="N5401">
        <v>1</v>
      </c>
      <c r="O5401">
        <v>1450</v>
      </c>
    </row>
    <row r="5402" spans="1:15" x14ac:dyDescent="0.25">
      <c r="A5402" t="str">
        <f>"10/21/2020 18:53:05.485"</f>
        <v>10/21/2020 18:53:05.485</v>
      </c>
      <c r="B5402" t="str">
        <f>"18:53:13.383"</f>
        <v>18:53:13.383</v>
      </c>
      <c r="C5402" t="str">
        <f>"18:53:13.383"</f>
        <v>18:53:13.383</v>
      </c>
      <c r="D5402" t="s">
        <v>2227</v>
      </c>
      <c r="E5402">
        <v>30.786631</v>
      </c>
      <c r="F5402" t="s">
        <v>1905</v>
      </c>
      <c r="G5402">
        <v>-89.857069999999993</v>
      </c>
      <c r="H5402">
        <v>1400</v>
      </c>
      <c r="I5402">
        <v>52</v>
      </c>
      <c r="J5402">
        <v>-104</v>
      </c>
      <c r="K5402">
        <v>832</v>
      </c>
      <c r="L5402">
        <v>1200</v>
      </c>
      <c r="M5402" t="str">
        <f t="shared" si="538"/>
        <v xml:space="preserve">N35DC   </v>
      </c>
      <c r="N5402">
        <v>1</v>
      </c>
      <c r="O5402">
        <v>1500</v>
      </c>
    </row>
    <row r="5403" spans="1:15" x14ac:dyDescent="0.25">
      <c r="A5403" t="str">
        <f>"10/21/2020 18:53:06.007"</f>
        <v>10/21/2020 18:53:06.007</v>
      </c>
      <c r="B5403" t="str">
        <f t="shared" ref="B5403:C5406" si="540">"18:53:13.938"</f>
        <v>18:53:13.938</v>
      </c>
      <c r="C5403" t="str">
        <f t="shared" si="540"/>
        <v>18:53:13.938</v>
      </c>
      <c r="D5403" t="s">
        <v>2228</v>
      </c>
      <c r="E5403">
        <v>30.786352000000001</v>
      </c>
      <c r="F5403" t="s">
        <v>1900</v>
      </c>
      <c r="G5403">
        <v>-89.856898999999999</v>
      </c>
      <c r="H5403">
        <v>1400</v>
      </c>
      <c r="I5403">
        <v>52</v>
      </c>
      <c r="J5403">
        <v>-104</v>
      </c>
      <c r="K5403">
        <v>832</v>
      </c>
      <c r="L5403">
        <v>1200</v>
      </c>
      <c r="M5403" t="str">
        <f t="shared" si="538"/>
        <v xml:space="preserve">N35DC   </v>
      </c>
      <c r="N5403">
        <v>1</v>
      </c>
      <c r="O5403">
        <v>1500</v>
      </c>
    </row>
    <row r="5404" spans="1:15" x14ac:dyDescent="0.25">
      <c r="A5404" t="str">
        <f>"10/21/2020 18:53:06.007"</f>
        <v>10/21/2020 18:53:06.007</v>
      </c>
      <c r="B5404" t="str">
        <f t="shared" si="540"/>
        <v>18:53:13.938</v>
      </c>
      <c r="C5404" t="str">
        <f t="shared" si="540"/>
        <v>18:53:13.938</v>
      </c>
      <c r="D5404" t="s">
        <v>2228</v>
      </c>
      <c r="E5404">
        <v>30.786352000000001</v>
      </c>
      <c r="F5404" t="s">
        <v>1900</v>
      </c>
      <c r="G5404">
        <v>-89.856898999999999</v>
      </c>
      <c r="H5404">
        <v>1400</v>
      </c>
      <c r="I5404">
        <v>52</v>
      </c>
      <c r="J5404">
        <v>-104</v>
      </c>
      <c r="K5404">
        <v>832</v>
      </c>
      <c r="L5404">
        <v>1200</v>
      </c>
      <c r="M5404" t="str">
        <f t="shared" si="538"/>
        <v xml:space="preserve">N35DC   </v>
      </c>
      <c r="N5404">
        <v>1</v>
      </c>
      <c r="O5404">
        <v>1500</v>
      </c>
    </row>
    <row r="5405" spans="1:15" x14ac:dyDescent="0.25">
      <c r="A5405" t="str">
        <f>"10/21/2020 18:53:06.007"</f>
        <v>10/21/2020 18:53:06.007</v>
      </c>
      <c r="B5405" t="str">
        <f t="shared" si="540"/>
        <v>18:53:13.938</v>
      </c>
      <c r="C5405" t="str">
        <f t="shared" si="540"/>
        <v>18:53:13.938</v>
      </c>
      <c r="D5405" t="s">
        <v>2228</v>
      </c>
      <c r="E5405">
        <v>30.786352000000001</v>
      </c>
      <c r="F5405" t="s">
        <v>1900</v>
      </c>
      <c r="G5405">
        <v>-89.856898999999999</v>
      </c>
      <c r="H5405">
        <v>1400</v>
      </c>
      <c r="I5405">
        <v>52</v>
      </c>
      <c r="J5405">
        <v>-104</v>
      </c>
      <c r="K5405">
        <v>832</v>
      </c>
      <c r="L5405">
        <v>1200</v>
      </c>
      <c r="M5405" t="str">
        <f t="shared" si="538"/>
        <v xml:space="preserve">N35DC   </v>
      </c>
      <c r="N5405">
        <v>1</v>
      </c>
      <c r="O5405">
        <v>1500</v>
      </c>
    </row>
    <row r="5406" spans="1:15" x14ac:dyDescent="0.25">
      <c r="A5406" t="str">
        <f>"10/21/2020 18:53:06.007"</f>
        <v>10/21/2020 18:53:06.007</v>
      </c>
      <c r="B5406" t="str">
        <f t="shared" si="540"/>
        <v>18:53:13.938</v>
      </c>
      <c r="C5406" t="str">
        <f t="shared" si="540"/>
        <v>18:53:13.938</v>
      </c>
      <c r="D5406" t="s">
        <v>2228</v>
      </c>
      <c r="E5406">
        <v>30.786352000000001</v>
      </c>
      <c r="F5406" t="s">
        <v>1900</v>
      </c>
      <c r="G5406">
        <v>-89.856898999999999</v>
      </c>
      <c r="H5406">
        <v>1400</v>
      </c>
      <c r="I5406">
        <v>52</v>
      </c>
      <c r="J5406">
        <v>-104</v>
      </c>
      <c r="K5406">
        <v>832</v>
      </c>
      <c r="L5406">
        <v>1200</v>
      </c>
      <c r="M5406" t="str">
        <f t="shared" si="538"/>
        <v xml:space="preserve">N35DC   </v>
      </c>
      <c r="N5406">
        <v>1</v>
      </c>
      <c r="O5406">
        <v>1500</v>
      </c>
    </row>
    <row r="5407" spans="1:15" x14ac:dyDescent="0.25">
      <c r="A5407" t="str">
        <f>"10/21/2020 18:53:06.826"</f>
        <v>10/21/2020 18:53:06.826</v>
      </c>
      <c r="B5407" t="str">
        <f>"18:53:14.789"</f>
        <v>18:53:14.789</v>
      </c>
      <c r="C5407" t="str">
        <f>"18:53:14.489"</f>
        <v>18:53:14.489</v>
      </c>
      <c r="D5407" t="s">
        <v>2229</v>
      </c>
      <c r="E5407">
        <v>30.785944000000001</v>
      </c>
      <c r="F5407" t="s">
        <v>2230</v>
      </c>
      <c r="G5407">
        <v>-89.856640999999996</v>
      </c>
      <c r="H5407">
        <v>1500</v>
      </c>
      <c r="I5407">
        <v>53</v>
      </c>
      <c r="J5407">
        <v>-104</v>
      </c>
      <c r="K5407">
        <v>832</v>
      </c>
      <c r="L5407">
        <v>1200</v>
      </c>
      <c r="M5407" t="str">
        <f t="shared" si="538"/>
        <v xml:space="preserve">N35DC   </v>
      </c>
      <c r="N5407">
        <v>1</v>
      </c>
      <c r="O5407">
        <v>1500</v>
      </c>
    </row>
    <row r="5408" spans="1:15" x14ac:dyDescent="0.25">
      <c r="A5408" t="str">
        <f>"10/21/2020 18:53:06.826"</f>
        <v>10/21/2020 18:53:06.826</v>
      </c>
      <c r="B5408" t="str">
        <f>"18:53:14.789"</f>
        <v>18:53:14.789</v>
      </c>
      <c r="C5408" t="str">
        <f>"18:53:14.489"</f>
        <v>18:53:14.489</v>
      </c>
      <c r="D5408" t="s">
        <v>2229</v>
      </c>
      <c r="E5408">
        <v>30.785944000000001</v>
      </c>
      <c r="F5408" t="s">
        <v>2230</v>
      </c>
      <c r="G5408">
        <v>-89.856640999999996</v>
      </c>
      <c r="H5408">
        <v>1500</v>
      </c>
      <c r="I5408">
        <v>53</v>
      </c>
      <c r="J5408">
        <v>-104</v>
      </c>
      <c r="K5408">
        <v>832</v>
      </c>
      <c r="L5408">
        <v>1200</v>
      </c>
      <c r="M5408" t="str">
        <f t="shared" si="538"/>
        <v xml:space="preserve">N35DC   </v>
      </c>
      <c r="N5408">
        <v>1</v>
      </c>
      <c r="O5408">
        <v>1500</v>
      </c>
    </row>
    <row r="5409" spans="1:15" x14ac:dyDescent="0.25">
      <c r="A5409" t="str">
        <f>"10/21/2020 18:53:06.826"</f>
        <v>10/21/2020 18:53:06.826</v>
      </c>
      <c r="B5409" t="str">
        <f>"18:53:14.789"</f>
        <v>18:53:14.789</v>
      </c>
      <c r="C5409" t="str">
        <f>"18:53:14.489"</f>
        <v>18:53:14.489</v>
      </c>
      <c r="D5409" t="s">
        <v>2229</v>
      </c>
      <c r="E5409">
        <v>30.785944000000001</v>
      </c>
      <c r="F5409" t="s">
        <v>2230</v>
      </c>
      <c r="G5409">
        <v>-89.856640999999996</v>
      </c>
      <c r="H5409">
        <v>1500</v>
      </c>
      <c r="I5409">
        <v>53</v>
      </c>
      <c r="J5409">
        <v>-104</v>
      </c>
      <c r="K5409">
        <v>832</v>
      </c>
      <c r="L5409">
        <v>1200</v>
      </c>
      <c r="M5409" t="str">
        <f t="shared" si="538"/>
        <v xml:space="preserve">N35DC   </v>
      </c>
      <c r="N5409">
        <v>1</v>
      </c>
      <c r="O5409">
        <v>1500</v>
      </c>
    </row>
    <row r="5410" spans="1:15" x14ac:dyDescent="0.25">
      <c r="A5410" t="str">
        <f>"10/21/2020 18:53:06.826"</f>
        <v>10/21/2020 18:53:06.826</v>
      </c>
      <c r="B5410" t="str">
        <f>"18:53:14.789"</f>
        <v>18:53:14.789</v>
      </c>
      <c r="C5410" t="str">
        <f>"18:53:14.489"</f>
        <v>18:53:14.489</v>
      </c>
      <c r="D5410" t="s">
        <v>2229</v>
      </c>
      <c r="E5410">
        <v>30.785944000000001</v>
      </c>
      <c r="F5410" t="s">
        <v>2230</v>
      </c>
      <c r="G5410">
        <v>-89.856640999999996</v>
      </c>
      <c r="H5410">
        <v>1500</v>
      </c>
      <c r="I5410">
        <v>53</v>
      </c>
      <c r="J5410">
        <v>-104</v>
      </c>
      <c r="K5410">
        <v>832</v>
      </c>
      <c r="L5410">
        <v>1200</v>
      </c>
      <c r="M5410" t="str">
        <f t="shared" si="538"/>
        <v xml:space="preserve">N35DC   </v>
      </c>
      <c r="N5410">
        <v>1</v>
      </c>
      <c r="O5410">
        <v>1500</v>
      </c>
    </row>
    <row r="5411" spans="1:15" x14ac:dyDescent="0.25">
      <c r="A5411" t="str">
        <f>"10/21/2020 18:53:06.826"</f>
        <v>10/21/2020 18:53:06.826</v>
      </c>
      <c r="B5411" t="str">
        <f>"18:53:14.789"</f>
        <v>18:53:14.789</v>
      </c>
      <c r="C5411" t="str">
        <f>"18:53:14.489"</f>
        <v>18:53:14.489</v>
      </c>
      <c r="D5411" t="s">
        <v>2229</v>
      </c>
      <c r="E5411">
        <v>30.785944000000001</v>
      </c>
      <c r="F5411" t="s">
        <v>2230</v>
      </c>
      <c r="G5411">
        <v>-89.856640999999996</v>
      </c>
      <c r="H5411">
        <v>1500</v>
      </c>
      <c r="I5411">
        <v>53</v>
      </c>
      <c r="J5411">
        <v>-104</v>
      </c>
      <c r="K5411">
        <v>832</v>
      </c>
      <c r="L5411">
        <v>1200</v>
      </c>
      <c r="M5411" t="str">
        <f t="shared" si="538"/>
        <v xml:space="preserve">N35DC   </v>
      </c>
      <c r="N5411">
        <v>1</v>
      </c>
      <c r="O5411">
        <v>1500</v>
      </c>
    </row>
    <row r="5412" spans="1:15" x14ac:dyDescent="0.25">
      <c r="A5412" t="str">
        <f t="shared" ref="A5412:A5417" si="541">"10/21/2020 18:53:09.684"</f>
        <v>10/21/2020 18:53:09.684</v>
      </c>
      <c r="B5412" t="str">
        <f t="shared" ref="B5412:B5417" si="542">"18:53:17.656"</f>
        <v>18:53:17.656</v>
      </c>
      <c r="C5412" t="str">
        <f t="shared" ref="C5412:C5417" si="543">"18:53:17.456"</f>
        <v>18:53:17.456</v>
      </c>
      <c r="D5412" t="s">
        <v>2231</v>
      </c>
      <c r="E5412">
        <v>30.784571</v>
      </c>
      <c r="F5412" t="s">
        <v>2232</v>
      </c>
      <c r="G5412">
        <v>-89.855783000000002</v>
      </c>
      <c r="H5412">
        <v>1500</v>
      </c>
      <c r="I5412">
        <v>57</v>
      </c>
      <c r="J5412">
        <v>-101</v>
      </c>
      <c r="K5412">
        <v>896</v>
      </c>
      <c r="L5412">
        <v>1200</v>
      </c>
      <c r="M5412" t="str">
        <f t="shared" si="538"/>
        <v xml:space="preserve">N35DC   </v>
      </c>
      <c r="N5412">
        <v>1</v>
      </c>
      <c r="O5412">
        <v>1550</v>
      </c>
    </row>
    <row r="5413" spans="1:15" x14ac:dyDescent="0.25">
      <c r="A5413" t="str">
        <f t="shared" si="541"/>
        <v>10/21/2020 18:53:09.684</v>
      </c>
      <c r="B5413" t="str">
        <f t="shared" si="542"/>
        <v>18:53:17.656</v>
      </c>
      <c r="C5413" t="str">
        <f t="shared" si="543"/>
        <v>18:53:17.456</v>
      </c>
      <c r="D5413" t="s">
        <v>2231</v>
      </c>
      <c r="E5413">
        <v>30.784571</v>
      </c>
      <c r="F5413" t="s">
        <v>2232</v>
      </c>
      <c r="G5413">
        <v>-89.855783000000002</v>
      </c>
      <c r="H5413">
        <v>1500</v>
      </c>
      <c r="I5413">
        <v>57</v>
      </c>
      <c r="J5413">
        <v>-101</v>
      </c>
      <c r="K5413">
        <v>896</v>
      </c>
      <c r="L5413">
        <v>1200</v>
      </c>
      <c r="M5413" t="str">
        <f t="shared" si="538"/>
        <v xml:space="preserve">N35DC   </v>
      </c>
      <c r="N5413">
        <v>1</v>
      </c>
      <c r="O5413">
        <v>1550</v>
      </c>
    </row>
    <row r="5414" spans="1:15" x14ac:dyDescent="0.25">
      <c r="A5414" t="str">
        <f t="shared" si="541"/>
        <v>10/21/2020 18:53:09.684</v>
      </c>
      <c r="B5414" t="str">
        <f t="shared" si="542"/>
        <v>18:53:17.656</v>
      </c>
      <c r="C5414" t="str">
        <f t="shared" si="543"/>
        <v>18:53:17.456</v>
      </c>
      <c r="D5414" t="s">
        <v>2231</v>
      </c>
      <c r="E5414">
        <v>30.784571</v>
      </c>
      <c r="F5414" t="s">
        <v>2232</v>
      </c>
      <c r="G5414">
        <v>-89.855783000000002</v>
      </c>
      <c r="H5414">
        <v>1500</v>
      </c>
      <c r="I5414">
        <v>57</v>
      </c>
      <c r="J5414">
        <v>-101</v>
      </c>
      <c r="K5414">
        <v>896</v>
      </c>
      <c r="L5414">
        <v>1200</v>
      </c>
      <c r="M5414" t="str">
        <f t="shared" si="538"/>
        <v xml:space="preserve">N35DC   </v>
      </c>
      <c r="N5414">
        <v>1</v>
      </c>
      <c r="O5414">
        <v>1550</v>
      </c>
    </row>
    <row r="5415" spans="1:15" x14ac:dyDescent="0.25">
      <c r="A5415" t="str">
        <f t="shared" si="541"/>
        <v>10/21/2020 18:53:09.684</v>
      </c>
      <c r="B5415" t="str">
        <f t="shared" si="542"/>
        <v>18:53:17.656</v>
      </c>
      <c r="C5415" t="str">
        <f t="shared" si="543"/>
        <v>18:53:17.456</v>
      </c>
      <c r="D5415" t="s">
        <v>2231</v>
      </c>
      <c r="E5415">
        <v>30.784571</v>
      </c>
      <c r="F5415" t="s">
        <v>2232</v>
      </c>
      <c r="G5415">
        <v>-89.855783000000002</v>
      </c>
      <c r="H5415">
        <v>1500</v>
      </c>
      <c r="I5415">
        <v>57</v>
      </c>
      <c r="J5415">
        <v>-101</v>
      </c>
      <c r="K5415">
        <v>896</v>
      </c>
      <c r="L5415">
        <v>1200</v>
      </c>
      <c r="M5415" t="str">
        <f t="shared" si="538"/>
        <v xml:space="preserve">N35DC   </v>
      </c>
      <c r="N5415">
        <v>1</v>
      </c>
      <c r="O5415">
        <v>1550</v>
      </c>
    </row>
    <row r="5416" spans="1:15" x14ac:dyDescent="0.25">
      <c r="A5416" t="str">
        <f t="shared" si="541"/>
        <v>10/21/2020 18:53:09.684</v>
      </c>
      <c r="B5416" t="str">
        <f t="shared" si="542"/>
        <v>18:53:17.656</v>
      </c>
      <c r="C5416" t="str">
        <f t="shared" si="543"/>
        <v>18:53:17.456</v>
      </c>
      <c r="D5416" t="s">
        <v>2231</v>
      </c>
      <c r="E5416">
        <v>30.784571</v>
      </c>
      <c r="F5416" t="s">
        <v>2232</v>
      </c>
      <c r="G5416">
        <v>-89.855783000000002</v>
      </c>
      <c r="H5416">
        <v>1500</v>
      </c>
      <c r="I5416">
        <v>57</v>
      </c>
      <c r="J5416">
        <v>-101</v>
      </c>
      <c r="K5416">
        <v>896</v>
      </c>
      <c r="L5416">
        <v>1200</v>
      </c>
      <c r="M5416" t="str">
        <f t="shared" si="538"/>
        <v xml:space="preserve">N35DC   </v>
      </c>
      <c r="N5416">
        <v>1</v>
      </c>
      <c r="O5416">
        <v>1550</v>
      </c>
    </row>
    <row r="5417" spans="1:15" x14ac:dyDescent="0.25">
      <c r="A5417" t="str">
        <f t="shared" si="541"/>
        <v>10/21/2020 18:53:09.684</v>
      </c>
      <c r="B5417" t="str">
        <f t="shared" si="542"/>
        <v>18:53:17.656</v>
      </c>
      <c r="C5417" t="str">
        <f t="shared" si="543"/>
        <v>18:53:17.456</v>
      </c>
      <c r="D5417" t="s">
        <v>2231</v>
      </c>
      <c r="E5417">
        <v>30.784571</v>
      </c>
      <c r="F5417" t="s">
        <v>2232</v>
      </c>
      <c r="G5417">
        <v>-89.855783000000002</v>
      </c>
      <c r="H5417">
        <v>1500</v>
      </c>
      <c r="I5417">
        <v>57</v>
      </c>
      <c r="J5417">
        <v>-101</v>
      </c>
      <c r="K5417">
        <v>896</v>
      </c>
      <c r="L5417">
        <v>1200</v>
      </c>
      <c r="M5417" t="str">
        <f t="shared" si="538"/>
        <v xml:space="preserve">N35DC   </v>
      </c>
      <c r="N5417">
        <v>1</v>
      </c>
      <c r="O5417">
        <v>1550</v>
      </c>
    </row>
    <row r="5418" spans="1:15" x14ac:dyDescent="0.25">
      <c r="A5418" t="str">
        <f t="shared" ref="A5418:A5423" si="544">"10/21/2020 18:53:10.798"</f>
        <v>10/21/2020 18:53:10.798</v>
      </c>
      <c r="B5418" t="str">
        <f t="shared" ref="B5418:B5423" si="545">"18:53:18.750"</f>
        <v>18:53:18.750</v>
      </c>
      <c r="C5418" t="str">
        <f>"18:53:18.450"</f>
        <v>18:53:18.450</v>
      </c>
      <c r="D5418" t="s">
        <v>2233</v>
      </c>
      <c r="E5418">
        <v>30.784056</v>
      </c>
      <c r="F5418" t="s">
        <v>2234</v>
      </c>
      <c r="G5418">
        <v>-89.855418</v>
      </c>
      <c r="H5418">
        <v>1500</v>
      </c>
      <c r="I5418">
        <v>58</v>
      </c>
      <c r="J5418">
        <v>-101</v>
      </c>
      <c r="K5418">
        <v>832</v>
      </c>
      <c r="L5418">
        <v>1200</v>
      </c>
      <c r="M5418" t="str">
        <f t="shared" si="538"/>
        <v xml:space="preserve">N35DC   </v>
      </c>
      <c r="N5418">
        <v>1</v>
      </c>
      <c r="O5418">
        <v>1575</v>
      </c>
    </row>
    <row r="5419" spans="1:15" x14ac:dyDescent="0.25">
      <c r="A5419" t="str">
        <f t="shared" si="544"/>
        <v>10/21/2020 18:53:10.798</v>
      </c>
      <c r="B5419" t="str">
        <f t="shared" si="545"/>
        <v>18:53:18.750</v>
      </c>
      <c r="C5419" t="str">
        <f>"18:53:18.450"</f>
        <v>18:53:18.450</v>
      </c>
      <c r="D5419" t="s">
        <v>2233</v>
      </c>
      <c r="E5419">
        <v>30.784056</v>
      </c>
      <c r="F5419" t="s">
        <v>2234</v>
      </c>
      <c r="G5419">
        <v>-89.855418</v>
      </c>
      <c r="H5419">
        <v>1500</v>
      </c>
      <c r="I5419">
        <v>58</v>
      </c>
      <c r="J5419">
        <v>-101</v>
      </c>
      <c r="K5419">
        <v>832</v>
      </c>
      <c r="L5419">
        <v>1200</v>
      </c>
      <c r="M5419" t="str">
        <f t="shared" si="538"/>
        <v xml:space="preserve">N35DC   </v>
      </c>
      <c r="N5419">
        <v>1</v>
      </c>
      <c r="O5419">
        <v>1575</v>
      </c>
    </row>
    <row r="5420" spans="1:15" x14ac:dyDescent="0.25">
      <c r="A5420" t="str">
        <f t="shared" si="544"/>
        <v>10/21/2020 18:53:10.798</v>
      </c>
      <c r="B5420" t="str">
        <f t="shared" si="545"/>
        <v>18:53:18.750</v>
      </c>
      <c r="C5420" t="str">
        <f>"18:53:18.450"</f>
        <v>18:53:18.450</v>
      </c>
      <c r="D5420" t="s">
        <v>2233</v>
      </c>
      <c r="E5420">
        <v>30.784056</v>
      </c>
      <c r="F5420" t="s">
        <v>2234</v>
      </c>
      <c r="G5420">
        <v>-89.855418</v>
      </c>
      <c r="H5420">
        <v>1500</v>
      </c>
      <c r="I5420">
        <v>58</v>
      </c>
      <c r="J5420">
        <v>-101</v>
      </c>
      <c r="K5420">
        <v>832</v>
      </c>
      <c r="L5420">
        <v>1200</v>
      </c>
      <c r="M5420" t="str">
        <f t="shared" si="538"/>
        <v xml:space="preserve">N35DC   </v>
      </c>
      <c r="N5420">
        <v>1</v>
      </c>
      <c r="O5420">
        <v>1575</v>
      </c>
    </row>
    <row r="5421" spans="1:15" x14ac:dyDescent="0.25">
      <c r="A5421" t="str">
        <f t="shared" si="544"/>
        <v>10/21/2020 18:53:10.798</v>
      </c>
      <c r="B5421" t="str">
        <f t="shared" si="545"/>
        <v>18:53:18.750</v>
      </c>
      <c r="C5421" t="str">
        <f>"18:53:18.450"</f>
        <v>18:53:18.450</v>
      </c>
      <c r="D5421" t="s">
        <v>2233</v>
      </c>
      <c r="E5421">
        <v>30.784056</v>
      </c>
      <c r="F5421" t="s">
        <v>2234</v>
      </c>
      <c r="G5421">
        <v>-89.855418</v>
      </c>
      <c r="H5421">
        <v>1500</v>
      </c>
      <c r="I5421">
        <v>58</v>
      </c>
      <c r="J5421">
        <v>-101</v>
      </c>
      <c r="K5421">
        <v>832</v>
      </c>
      <c r="L5421">
        <v>1200</v>
      </c>
      <c r="M5421" t="str">
        <f t="shared" si="538"/>
        <v xml:space="preserve">N35DC   </v>
      </c>
      <c r="N5421">
        <v>1</v>
      </c>
      <c r="O5421">
        <v>1575</v>
      </c>
    </row>
    <row r="5422" spans="1:15" x14ac:dyDescent="0.25">
      <c r="A5422" t="str">
        <f t="shared" si="544"/>
        <v>10/21/2020 18:53:10.798</v>
      </c>
      <c r="B5422" t="str">
        <f t="shared" si="545"/>
        <v>18:53:18.750</v>
      </c>
      <c r="C5422" t="str">
        <f>"18:53:18.450"</f>
        <v>18:53:18.450</v>
      </c>
      <c r="D5422" t="s">
        <v>2233</v>
      </c>
      <c r="E5422">
        <v>30.784056</v>
      </c>
      <c r="F5422" t="s">
        <v>2234</v>
      </c>
      <c r="G5422">
        <v>-89.855418</v>
      </c>
      <c r="H5422">
        <v>1500</v>
      </c>
      <c r="I5422">
        <v>58</v>
      </c>
      <c r="J5422">
        <v>-101</v>
      </c>
      <c r="K5422">
        <v>832</v>
      </c>
      <c r="L5422">
        <v>1200</v>
      </c>
      <c r="M5422" t="str">
        <f t="shared" si="538"/>
        <v xml:space="preserve">N35DC   </v>
      </c>
      <c r="N5422">
        <v>1</v>
      </c>
      <c r="O5422">
        <v>1575</v>
      </c>
    </row>
    <row r="5423" spans="1:15" x14ac:dyDescent="0.25">
      <c r="A5423" t="str">
        <f t="shared" si="544"/>
        <v>10/21/2020 18:53:10.798</v>
      </c>
      <c r="B5423" t="str">
        <f t="shared" si="545"/>
        <v>18:53:18.750</v>
      </c>
      <c r="C5423" t="str">
        <f>"18:53:17.850"</f>
        <v>18:53:17.850</v>
      </c>
      <c r="D5423" t="s">
        <v>2233</v>
      </c>
      <c r="E5423">
        <v>30.784056</v>
      </c>
      <c r="F5423" t="s">
        <v>2234</v>
      </c>
      <c r="G5423">
        <v>-89.855418</v>
      </c>
      <c r="H5423">
        <v>1500</v>
      </c>
      <c r="I5423">
        <v>57</v>
      </c>
      <c r="J5423">
        <v>-101</v>
      </c>
      <c r="K5423">
        <v>896</v>
      </c>
      <c r="L5423">
        <v>1200</v>
      </c>
      <c r="M5423" t="str">
        <f t="shared" si="538"/>
        <v xml:space="preserve">N35DC   </v>
      </c>
      <c r="N5423">
        <v>1</v>
      </c>
      <c r="O5423">
        <v>1550</v>
      </c>
    </row>
    <row r="5424" spans="1:15" x14ac:dyDescent="0.25">
      <c r="A5424" t="str">
        <f t="shared" ref="A5424:A5429" si="546">"10/21/2020 18:53:13.881"</f>
        <v>10/21/2020 18:53:13.881</v>
      </c>
      <c r="B5424" t="str">
        <f t="shared" ref="B5424:B5429" si="547">"18:53:21.828"</f>
        <v>18:53:21.828</v>
      </c>
      <c r="C5424" t="str">
        <f t="shared" ref="C5424:C5429" si="548">"18:53:21.528"</f>
        <v>18:53:21.528</v>
      </c>
      <c r="D5424" t="s">
        <v>2235</v>
      </c>
      <c r="E5424">
        <v>30.782661000000001</v>
      </c>
      <c r="F5424" t="s">
        <v>531</v>
      </c>
      <c r="G5424">
        <v>-89.854431000000005</v>
      </c>
      <c r="H5424">
        <v>1500</v>
      </c>
      <c r="I5424">
        <v>61</v>
      </c>
      <c r="J5424">
        <v>-99</v>
      </c>
      <c r="K5424">
        <v>704</v>
      </c>
      <c r="L5424">
        <v>1200</v>
      </c>
      <c r="M5424" t="str">
        <f t="shared" si="538"/>
        <v xml:space="preserve">N35DC   </v>
      </c>
      <c r="N5424">
        <v>1</v>
      </c>
      <c r="O5424">
        <v>1600</v>
      </c>
    </row>
    <row r="5425" spans="1:15" x14ac:dyDescent="0.25">
      <c r="A5425" t="str">
        <f t="shared" si="546"/>
        <v>10/21/2020 18:53:13.881</v>
      </c>
      <c r="B5425" t="str">
        <f t="shared" si="547"/>
        <v>18:53:21.828</v>
      </c>
      <c r="C5425" t="str">
        <f t="shared" si="548"/>
        <v>18:53:21.528</v>
      </c>
      <c r="D5425" t="s">
        <v>2235</v>
      </c>
      <c r="E5425">
        <v>30.782661000000001</v>
      </c>
      <c r="F5425" t="s">
        <v>531</v>
      </c>
      <c r="G5425">
        <v>-89.854431000000005</v>
      </c>
      <c r="H5425">
        <v>1500</v>
      </c>
      <c r="I5425">
        <v>61</v>
      </c>
      <c r="J5425">
        <v>-99</v>
      </c>
      <c r="K5425">
        <v>704</v>
      </c>
      <c r="L5425">
        <v>1200</v>
      </c>
      <c r="M5425" t="str">
        <f t="shared" si="538"/>
        <v xml:space="preserve">N35DC   </v>
      </c>
      <c r="N5425">
        <v>1</v>
      </c>
      <c r="O5425">
        <v>1600</v>
      </c>
    </row>
    <row r="5426" spans="1:15" x14ac:dyDescent="0.25">
      <c r="A5426" t="str">
        <f t="shared" si="546"/>
        <v>10/21/2020 18:53:13.881</v>
      </c>
      <c r="B5426" t="str">
        <f t="shared" si="547"/>
        <v>18:53:21.828</v>
      </c>
      <c r="C5426" t="str">
        <f t="shared" si="548"/>
        <v>18:53:21.528</v>
      </c>
      <c r="D5426" t="s">
        <v>2235</v>
      </c>
      <c r="E5426">
        <v>30.782661000000001</v>
      </c>
      <c r="F5426" t="s">
        <v>531</v>
      </c>
      <c r="G5426">
        <v>-89.854431000000005</v>
      </c>
      <c r="H5426">
        <v>1500</v>
      </c>
      <c r="I5426">
        <v>61</v>
      </c>
      <c r="J5426">
        <v>-99</v>
      </c>
      <c r="K5426">
        <v>704</v>
      </c>
      <c r="L5426">
        <v>1200</v>
      </c>
      <c r="M5426" t="str">
        <f t="shared" si="538"/>
        <v xml:space="preserve">N35DC   </v>
      </c>
      <c r="N5426">
        <v>1</v>
      </c>
      <c r="O5426">
        <v>1600</v>
      </c>
    </row>
    <row r="5427" spans="1:15" x14ac:dyDescent="0.25">
      <c r="A5427" t="str">
        <f t="shared" si="546"/>
        <v>10/21/2020 18:53:13.881</v>
      </c>
      <c r="B5427" t="str">
        <f t="shared" si="547"/>
        <v>18:53:21.828</v>
      </c>
      <c r="C5427" t="str">
        <f t="shared" si="548"/>
        <v>18:53:21.528</v>
      </c>
      <c r="D5427" t="s">
        <v>2235</v>
      </c>
      <c r="E5427">
        <v>30.782661000000001</v>
      </c>
      <c r="F5427" t="s">
        <v>531</v>
      </c>
      <c r="G5427">
        <v>-89.854431000000005</v>
      </c>
      <c r="H5427">
        <v>1500</v>
      </c>
      <c r="I5427">
        <v>61</v>
      </c>
      <c r="J5427">
        <v>-99</v>
      </c>
      <c r="K5427">
        <v>704</v>
      </c>
      <c r="L5427">
        <v>1200</v>
      </c>
      <c r="M5427" t="str">
        <f t="shared" si="538"/>
        <v xml:space="preserve">N35DC   </v>
      </c>
      <c r="N5427">
        <v>1</v>
      </c>
      <c r="O5427">
        <v>1600</v>
      </c>
    </row>
    <row r="5428" spans="1:15" x14ac:dyDescent="0.25">
      <c r="A5428" t="str">
        <f t="shared" si="546"/>
        <v>10/21/2020 18:53:13.881</v>
      </c>
      <c r="B5428" t="str">
        <f t="shared" si="547"/>
        <v>18:53:21.828</v>
      </c>
      <c r="C5428" t="str">
        <f t="shared" si="548"/>
        <v>18:53:21.528</v>
      </c>
      <c r="D5428" t="s">
        <v>2235</v>
      </c>
      <c r="E5428">
        <v>30.782661000000001</v>
      </c>
      <c r="F5428" t="s">
        <v>531</v>
      </c>
      <c r="G5428">
        <v>-89.854431000000005</v>
      </c>
      <c r="H5428">
        <v>1500</v>
      </c>
      <c r="I5428">
        <v>61</v>
      </c>
      <c r="J5428">
        <v>-99</v>
      </c>
      <c r="K5428">
        <v>704</v>
      </c>
      <c r="L5428">
        <v>1200</v>
      </c>
      <c r="M5428" t="str">
        <f t="shared" si="538"/>
        <v xml:space="preserve">N35DC   </v>
      </c>
      <c r="N5428">
        <v>1</v>
      </c>
      <c r="O5428">
        <v>1600</v>
      </c>
    </row>
    <row r="5429" spans="1:15" x14ac:dyDescent="0.25">
      <c r="A5429" t="str">
        <f t="shared" si="546"/>
        <v>10/21/2020 18:53:13.881</v>
      </c>
      <c r="B5429" t="str">
        <f t="shared" si="547"/>
        <v>18:53:21.828</v>
      </c>
      <c r="C5429" t="str">
        <f t="shared" si="548"/>
        <v>18:53:21.528</v>
      </c>
      <c r="D5429" t="s">
        <v>2235</v>
      </c>
      <c r="E5429">
        <v>30.782661000000001</v>
      </c>
      <c r="F5429" t="s">
        <v>531</v>
      </c>
      <c r="G5429">
        <v>-89.854431000000005</v>
      </c>
      <c r="H5429">
        <v>1500</v>
      </c>
      <c r="I5429">
        <v>61</v>
      </c>
      <c r="J5429">
        <v>-99</v>
      </c>
      <c r="K5429">
        <v>704</v>
      </c>
      <c r="L5429">
        <v>1200</v>
      </c>
      <c r="M5429" t="str">
        <f t="shared" si="538"/>
        <v xml:space="preserve">N35DC   </v>
      </c>
      <c r="N5429">
        <v>1</v>
      </c>
      <c r="O5429">
        <v>1600</v>
      </c>
    </row>
    <row r="5430" spans="1:15" x14ac:dyDescent="0.25">
      <c r="A5430" t="str">
        <f t="shared" ref="A5430:A5435" si="549">"10/21/2020 18:53:16.804"</f>
        <v>10/21/2020 18:53:16.804</v>
      </c>
      <c r="B5430" t="str">
        <f t="shared" ref="B5430:B5435" si="550">"18:53:24.734"</f>
        <v>18:53:24.734</v>
      </c>
      <c r="C5430" t="str">
        <f>"18:53:24.234"</f>
        <v>18:53:24.234</v>
      </c>
      <c r="D5430" t="s">
        <v>2236</v>
      </c>
      <c r="E5430">
        <v>30.781310000000001</v>
      </c>
      <c r="F5430" t="s">
        <v>2237</v>
      </c>
      <c r="G5430">
        <v>-89.853443999999996</v>
      </c>
      <c r="H5430">
        <v>1600</v>
      </c>
      <c r="I5430">
        <v>64</v>
      </c>
      <c r="J5430">
        <v>-99</v>
      </c>
      <c r="K5430">
        <v>384</v>
      </c>
      <c r="L5430">
        <v>1200</v>
      </c>
      <c r="M5430" t="str">
        <f t="shared" si="538"/>
        <v xml:space="preserve">N35DC   </v>
      </c>
      <c r="N5430">
        <v>1</v>
      </c>
      <c r="O5430">
        <v>1625</v>
      </c>
    </row>
    <row r="5431" spans="1:15" x14ac:dyDescent="0.25">
      <c r="A5431" t="str">
        <f t="shared" si="549"/>
        <v>10/21/2020 18:53:16.804</v>
      </c>
      <c r="B5431" t="str">
        <f t="shared" si="550"/>
        <v>18:53:24.734</v>
      </c>
      <c r="C5431" t="str">
        <f>"18:53:24.234"</f>
        <v>18:53:24.234</v>
      </c>
      <c r="D5431" t="s">
        <v>2236</v>
      </c>
      <c r="E5431">
        <v>30.781310000000001</v>
      </c>
      <c r="F5431" t="s">
        <v>2237</v>
      </c>
      <c r="G5431">
        <v>-89.853443999999996</v>
      </c>
      <c r="H5431">
        <v>1600</v>
      </c>
      <c r="I5431">
        <v>64</v>
      </c>
      <c r="J5431">
        <v>-99</v>
      </c>
      <c r="K5431">
        <v>384</v>
      </c>
      <c r="L5431">
        <v>1200</v>
      </c>
      <c r="M5431" t="str">
        <f t="shared" si="538"/>
        <v xml:space="preserve">N35DC   </v>
      </c>
      <c r="N5431">
        <v>1</v>
      </c>
      <c r="O5431">
        <v>1625</v>
      </c>
    </row>
    <row r="5432" spans="1:15" x14ac:dyDescent="0.25">
      <c r="A5432" t="str">
        <f t="shared" si="549"/>
        <v>10/21/2020 18:53:16.804</v>
      </c>
      <c r="B5432" t="str">
        <f t="shared" si="550"/>
        <v>18:53:24.734</v>
      </c>
      <c r="C5432" t="str">
        <f>"18:53:24.234"</f>
        <v>18:53:24.234</v>
      </c>
      <c r="D5432" t="s">
        <v>2236</v>
      </c>
      <c r="E5432">
        <v>30.781310000000001</v>
      </c>
      <c r="F5432" t="s">
        <v>2237</v>
      </c>
      <c r="G5432">
        <v>-89.853443999999996</v>
      </c>
      <c r="H5432">
        <v>1600</v>
      </c>
      <c r="I5432">
        <v>64</v>
      </c>
      <c r="J5432">
        <v>-99</v>
      </c>
      <c r="K5432">
        <v>384</v>
      </c>
      <c r="L5432">
        <v>1200</v>
      </c>
      <c r="M5432" t="str">
        <f t="shared" si="538"/>
        <v xml:space="preserve">N35DC   </v>
      </c>
      <c r="N5432">
        <v>1</v>
      </c>
      <c r="O5432">
        <v>1625</v>
      </c>
    </row>
    <row r="5433" spans="1:15" x14ac:dyDescent="0.25">
      <c r="A5433" t="str">
        <f t="shared" si="549"/>
        <v>10/21/2020 18:53:16.804</v>
      </c>
      <c r="B5433" t="str">
        <f t="shared" si="550"/>
        <v>18:53:24.734</v>
      </c>
      <c r="C5433" t="str">
        <f>"18:53:23.834"</f>
        <v>18:53:23.834</v>
      </c>
      <c r="D5433" t="s">
        <v>2236</v>
      </c>
      <c r="E5433">
        <v>30.781310000000001</v>
      </c>
      <c r="F5433" t="s">
        <v>2237</v>
      </c>
      <c r="G5433">
        <v>-89.853443999999996</v>
      </c>
      <c r="H5433">
        <v>1600</v>
      </c>
      <c r="I5433">
        <v>64</v>
      </c>
      <c r="J5433">
        <v>-99</v>
      </c>
      <c r="K5433">
        <v>320</v>
      </c>
      <c r="L5433">
        <v>1200</v>
      </c>
      <c r="M5433" t="str">
        <f t="shared" si="538"/>
        <v xml:space="preserve">N35DC   </v>
      </c>
      <c r="N5433">
        <v>1</v>
      </c>
      <c r="O5433">
        <v>1525</v>
      </c>
    </row>
    <row r="5434" spans="1:15" x14ac:dyDescent="0.25">
      <c r="A5434" t="str">
        <f t="shared" si="549"/>
        <v>10/21/2020 18:53:16.804</v>
      </c>
      <c r="B5434" t="str">
        <f t="shared" si="550"/>
        <v>18:53:24.734</v>
      </c>
      <c r="C5434" t="str">
        <f>"18:53:24.234"</f>
        <v>18:53:24.234</v>
      </c>
      <c r="D5434" t="s">
        <v>2236</v>
      </c>
      <c r="E5434">
        <v>30.781310000000001</v>
      </c>
      <c r="F5434" t="s">
        <v>2237</v>
      </c>
      <c r="G5434">
        <v>-89.853443999999996</v>
      </c>
      <c r="H5434">
        <v>1600</v>
      </c>
      <c r="I5434">
        <v>64</v>
      </c>
      <c r="J5434">
        <v>-99</v>
      </c>
      <c r="K5434">
        <v>384</v>
      </c>
      <c r="L5434">
        <v>1200</v>
      </c>
      <c r="M5434" t="str">
        <f t="shared" si="538"/>
        <v xml:space="preserve">N35DC   </v>
      </c>
      <c r="N5434">
        <v>1</v>
      </c>
      <c r="O5434">
        <v>1625</v>
      </c>
    </row>
    <row r="5435" spans="1:15" x14ac:dyDescent="0.25">
      <c r="A5435" t="str">
        <f t="shared" si="549"/>
        <v>10/21/2020 18:53:16.804</v>
      </c>
      <c r="B5435" t="str">
        <f t="shared" si="550"/>
        <v>18:53:24.734</v>
      </c>
      <c r="C5435" t="str">
        <f>"18:53:24.234"</f>
        <v>18:53:24.234</v>
      </c>
      <c r="D5435" t="s">
        <v>2236</v>
      </c>
      <c r="E5435">
        <v>30.781310000000001</v>
      </c>
      <c r="F5435" t="s">
        <v>2237</v>
      </c>
      <c r="G5435">
        <v>-89.853443999999996</v>
      </c>
      <c r="H5435">
        <v>1600</v>
      </c>
      <c r="I5435">
        <v>64</v>
      </c>
      <c r="J5435">
        <v>-99</v>
      </c>
      <c r="K5435">
        <v>384</v>
      </c>
      <c r="L5435">
        <v>1200</v>
      </c>
      <c r="M5435" t="str">
        <f t="shared" si="538"/>
        <v xml:space="preserve">N35DC   </v>
      </c>
      <c r="N5435">
        <v>1</v>
      </c>
      <c r="O5435">
        <v>1625</v>
      </c>
    </row>
    <row r="5436" spans="1:15" x14ac:dyDescent="0.25">
      <c r="A5436" t="str">
        <f t="shared" ref="A5436:A5441" si="551">"10/21/2020 18:53:17.979"</f>
        <v>10/21/2020 18:53:17.979</v>
      </c>
      <c r="B5436" t="str">
        <f t="shared" ref="B5436:B5441" si="552">"18:53:25.922"</f>
        <v>18:53:25.922</v>
      </c>
      <c r="C5436" t="str">
        <f t="shared" ref="C5436:C5441" si="553">"18:53:25.422"</f>
        <v>18:53:25.422</v>
      </c>
      <c r="D5436" t="s">
        <v>2238</v>
      </c>
      <c r="E5436">
        <v>30.780752</v>
      </c>
      <c r="F5436" t="s">
        <v>2239</v>
      </c>
      <c r="G5436">
        <v>-89.852992999999998</v>
      </c>
      <c r="H5436">
        <v>1600</v>
      </c>
      <c r="I5436">
        <v>66</v>
      </c>
      <c r="J5436">
        <v>-99</v>
      </c>
      <c r="K5436">
        <v>320</v>
      </c>
      <c r="L5436">
        <v>1200</v>
      </c>
      <c r="M5436" t="str">
        <f t="shared" si="538"/>
        <v xml:space="preserve">N35DC   </v>
      </c>
      <c r="N5436">
        <v>1</v>
      </c>
      <c r="O5436">
        <v>1625</v>
      </c>
    </row>
    <row r="5437" spans="1:15" x14ac:dyDescent="0.25">
      <c r="A5437" t="str">
        <f t="shared" si="551"/>
        <v>10/21/2020 18:53:17.979</v>
      </c>
      <c r="B5437" t="str">
        <f t="shared" si="552"/>
        <v>18:53:25.922</v>
      </c>
      <c r="C5437" t="str">
        <f t="shared" si="553"/>
        <v>18:53:25.422</v>
      </c>
      <c r="D5437" t="s">
        <v>2238</v>
      </c>
      <c r="E5437">
        <v>30.780752</v>
      </c>
      <c r="F5437" t="s">
        <v>2239</v>
      </c>
      <c r="G5437">
        <v>-89.852992999999998</v>
      </c>
      <c r="H5437">
        <v>1600</v>
      </c>
      <c r="I5437">
        <v>66</v>
      </c>
      <c r="J5437">
        <v>-99</v>
      </c>
      <c r="K5437">
        <v>320</v>
      </c>
      <c r="L5437">
        <v>1200</v>
      </c>
      <c r="M5437" t="str">
        <f t="shared" si="538"/>
        <v xml:space="preserve">N35DC   </v>
      </c>
      <c r="N5437">
        <v>1</v>
      </c>
      <c r="O5437">
        <v>1625</v>
      </c>
    </row>
    <row r="5438" spans="1:15" x14ac:dyDescent="0.25">
      <c r="A5438" t="str">
        <f t="shared" si="551"/>
        <v>10/21/2020 18:53:17.979</v>
      </c>
      <c r="B5438" t="str">
        <f t="shared" si="552"/>
        <v>18:53:25.922</v>
      </c>
      <c r="C5438" t="str">
        <f t="shared" si="553"/>
        <v>18:53:25.422</v>
      </c>
      <c r="D5438" t="s">
        <v>2238</v>
      </c>
      <c r="E5438">
        <v>30.780752</v>
      </c>
      <c r="F5438" t="s">
        <v>2239</v>
      </c>
      <c r="G5438">
        <v>-89.852992999999998</v>
      </c>
      <c r="H5438">
        <v>1600</v>
      </c>
      <c r="I5438">
        <v>66</v>
      </c>
      <c r="J5438">
        <v>-99</v>
      </c>
      <c r="K5438">
        <v>320</v>
      </c>
      <c r="L5438">
        <v>1200</v>
      </c>
      <c r="M5438" t="str">
        <f t="shared" si="538"/>
        <v xml:space="preserve">N35DC   </v>
      </c>
      <c r="N5438">
        <v>1</v>
      </c>
      <c r="O5438">
        <v>1625</v>
      </c>
    </row>
    <row r="5439" spans="1:15" x14ac:dyDescent="0.25">
      <c r="A5439" t="str">
        <f t="shared" si="551"/>
        <v>10/21/2020 18:53:17.979</v>
      </c>
      <c r="B5439" t="str">
        <f t="shared" si="552"/>
        <v>18:53:25.922</v>
      </c>
      <c r="C5439" t="str">
        <f t="shared" si="553"/>
        <v>18:53:25.422</v>
      </c>
      <c r="D5439" t="s">
        <v>2238</v>
      </c>
      <c r="E5439">
        <v>30.780752</v>
      </c>
      <c r="F5439" t="s">
        <v>2239</v>
      </c>
      <c r="G5439">
        <v>-89.852992999999998</v>
      </c>
      <c r="H5439">
        <v>1600</v>
      </c>
      <c r="I5439">
        <v>66</v>
      </c>
      <c r="J5439">
        <v>-99</v>
      </c>
      <c r="K5439">
        <v>320</v>
      </c>
      <c r="L5439">
        <v>1200</v>
      </c>
      <c r="M5439" t="str">
        <f t="shared" si="538"/>
        <v xml:space="preserve">N35DC   </v>
      </c>
      <c r="N5439">
        <v>1</v>
      </c>
      <c r="O5439">
        <v>1625</v>
      </c>
    </row>
    <row r="5440" spans="1:15" x14ac:dyDescent="0.25">
      <c r="A5440" t="str">
        <f t="shared" si="551"/>
        <v>10/21/2020 18:53:17.979</v>
      </c>
      <c r="B5440" t="str">
        <f t="shared" si="552"/>
        <v>18:53:25.922</v>
      </c>
      <c r="C5440" t="str">
        <f t="shared" si="553"/>
        <v>18:53:25.422</v>
      </c>
      <c r="D5440" t="s">
        <v>2238</v>
      </c>
      <c r="E5440">
        <v>30.780752</v>
      </c>
      <c r="F5440" t="s">
        <v>2239</v>
      </c>
      <c r="G5440">
        <v>-89.852992999999998</v>
      </c>
      <c r="H5440">
        <v>1600</v>
      </c>
      <c r="I5440">
        <v>66</v>
      </c>
      <c r="J5440">
        <v>-99</v>
      </c>
      <c r="K5440">
        <v>320</v>
      </c>
      <c r="L5440">
        <v>1200</v>
      </c>
      <c r="M5440" t="str">
        <f t="shared" si="538"/>
        <v xml:space="preserve">N35DC   </v>
      </c>
      <c r="N5440">
        <v>1</v>
      </c>
      <c r="O5440">
        <v>1625</v>
      </c>
    </row>
    <row r="5441" spans="1:15" x14ac:dyDescent="0.25">
      <c r="A5441" t="str">
        <f t="shared" si="551"/>
        <v>10/21/2020 18:53:17.979</v>
      </c>
      <c r="B5441" t="str">
        <f t="shared" si="552"/>
        <v>18:53:25.922</v>
      </c>
      <c r="C5441" t="str">
        <f t="shared" si="553"/>
        <v>18:53:25.422</v>
      </c>
      <c r="D5441" t="s">
        <v>2238</v>
      </c>
      <c r="E5441">
        <v>30.780752</v>
      </c>
      <c r="F5441" t="s">
        <v>2239</v>
      </c>
      <c r="G5441">
        <v>-89.852992999999998</v>
      </c>
      <c r="H5441">
        <v>1600</v>
      </c>
      <c r="I5441">
        <v>66</v>
      </c>
      <c r="J5441">
        <v>-99</v>
      </c>
      <c r="K5441">
        <v>320</v>
      </c>
      <c r="L5441">
        <v>1200</v>
      </c>
      <c r="M5441" t="str">
        <f t="shared" si="538"/>
        <v xml:space="preserve">N35DC   </v>
      </c>
      <c r="N5441">
        <v>1</v>
      </c>
      <c r="O5441">
        <v>1625</v>
      </c>
    </row>
    <row r="5442" spans="1:15" x14ac:dyDescent="0.25">
      <c r="A5442" t="str">
        <f>"10/21/2020 18:53:20.527"</f>
        <v>10/21/2020 18:53:20.527</v>
      </c>
      <c r="B5442" t="str">
        <f>"18:53:28.438"</f>
        <v>18:53:28.438</v>
      </c>
      <c r="C5442" t="str">
        <f>"18:53:28.038"</f>
        <v>18:53:28.038</v>
      </c>
      <c r="D5442" t="s">
        <v>2240</v>
      </c>
      <c r="E5442">
        <v>30.779613999999999</v>
      </c>
      <c r="F5442" t="s">
        <v>1805</v>
      </c>
      <c r="G5442">
        <v>-89.852114</v>
      </c>
      <c r="H5442">
        <v>1600</v>
      </c>
      <c r="I5442">
        <v>69</v>
      </c>
      <c r="J5442">
        <v>-100</v>
      </c>
      <c r="K5442">
        <v>128</v>
      </c>
      <c r="L5442">
        <v>1200</v>
      </c>
      <c r="M5442" t="str">
        <f t="shared" si="538"/>
        <v xml:space="preserve">N35DC   </v>
      </c>
      <c r="N5442">
        <v>1</v>
      </c>
      <c r="O5442">
        <v>1650</v>
      </c>
    </row>
    <row r="5443" spans="1:15" x14ac:dyDescent="0.25">
      <c r="A5443" t="str">
        <f>"10/21/2020 18:53:21.033"</f>
        <v>10/21/2020 18:53:21.033</v>
      </c>
      <c r="B5443" t="str">
        <f>"18:53:28.969"</f>
        <v>18:53:28.969</v>
      </c>
      <c r="C5443" t="str">
        <f>"18:53:28.569"</f>
        <v>18:53:28.569</v>
      </c>
      <c r="D5443" t="s">
        <v>2241</v>
      </c>
      <c r="E5443">
        <v>30.779357000000001</v>
      </c>
      <c r="F5443" t="s">
        <v>2242</v>
      </c>
      <c r="G5443">
        <v>-89.851899000000003</v>
      </c>
      <c r="H5443">
        <v>1600</v>
      </c>
      <c r="I5443">
        <v>69</v>
      </c>
      <c r="J5443">
        <v>-101</v>
      </c>
      <c r="K5443">
        <v>192</v>
      </c>
      <c r="L5443">
        <v>1200</v>
      </c>
      <c r="M5443" t="str">
        <f t="shared" si="538"/>
        <v xml:space="preserve">N35DC   </v>
      </c>
      <c r="N5443">
        <v>1</v>
      </c>
      <c r="O5443">
        <v>1650</v>
      </c>
    </row>
    <row r="5444" spans="1:15" x14ac:dyDescent="0.25">
      <c r="A5444" t="str">
        <f>"10/21/2020 18:53:21.033"</f>
        <v>10/21/2020 18:53:21.033</v>
      </c>
      <c r="B5444" t="str">
        <f>"18:53:28.969"</f>
        <v>18:53:28.969</v>
      </c>
      <c r="C5444" t="str">
        <f>"18:53:28.569"</f>
        <v>18:53:28.569</v>
      </c>
      <c r="D5444" t="s">
        <v>2241</v>
      </c>
      <c r="E5444">
        <v>30.779357000000001</v>
      </c>
      <c r="F5444" t="s">
        <v>2242</v>
      </c>
      <c r="G5444">
        <v>-89.851899000000003</v>
      </c>
      <c r="H5444">
        <v>1600</v>
      </c>
      <c r="I5444">
        <v>69</v>
      </c>
      <c r="J5444">
        <v>-101</v>
      </c>
      <c r="K5444">
        <v>192</v>
      </c>
      <c r="L5444">
        <v>1200</v>
      </c>
      <c r="M5444" t="str">
        <f t="shared" si="538"/>
        <v xml:space="preserve">N35DC   </v>
      </c>
      <c r="N5444">
        <v>1</v>
      </c>
      <c r="O5444">
        <v>1650</v>
      </c>
    </row>
    <row r="5445" spans="1:15" x14ac:dyDescent="0.25">
      <c r="A5445" t="str">
        <f>"10/21/2020 18:53:21.033"</f>
        <v>10/21/2020 18:53:21.033</v>
      </c>
      <c r="B5445" t="str">
        <f>"18:53:28.969"</f>
        <v>18:53:28.969</v>
      </c>
      <c r="C5445" t="str">
        <f>"18:53:28.569"</f>
        <v>18:53:28.569</v>
      </c>
      <c r="D5445" t="s">
        <v>2241</v>
      </c>
      <c r="E5445">
        <v>30.779357000000001</v>
      </c>
      <c r="F5445" t="s">
        <v>2242</v>
      </c>
      <c r="G5445">
        <v>-89.851899000000003</v>
      </c>
      <c r="H5445">
        <v>1600</v>
      </c>
      <c r="I5445">
        <v>69</v>
      </c>
      <c r="J5445">
        <v>-101</v>
      </c>
      <c r="K5445">
        <v>192</v>
      </c>
      <c r="L5445">
        <v>1200</v>
      </c>
      <c r="M5445" t="str">
        <f t="shared" si="538"/>
        <v xml:space="preserve">N35DC   </v>
      </c>
      <c r="N5445">
        <v>1</v>
      </c>
      <c r="O5445">
        <v>1650</v>
      </c>
    </row>
    <row r="5446" spans="1:15" x14ac:dyDescent="0.25">
      <c r="A5446" t="str">
        <f>"10/21/2020 18:53:21.033"</f>
        <v>10/21/2020 18:53:21.033</v>
      </c>
      <c r="B5446" t="str">
        <f>"18:53:28.969"</f>
        <v>18:53:28.969</v>
      </c>
      <c r="C5446" t="str">
        <f>"18:53:28.569"</f>
        <v>18:53:28.569</v>
      </c>
      <c r="D5446" t="s">
        <v>2241</v>
      </c>
      <c r="E5446">
        <v>30.779357000000001</v>
      </c>
      <c r="F5446" t="s">
        <v>2242</v>
      </c>
      <c r="G5446">
        <v>-89.851899000000003</v>
      </c>
      <c r="H5446">
        <v>1600</v>
      </c>
      <c r="I5446">
        <v>69</v>
      </c>
      <c r="J5446">
        <v>-101</v>
      </c>
      <c r="K5446">
        <v>192</v>
      </c>
      <c r="L5446">
        <v>1200</v>
      </c>
      <c r="M5446" t="str">
        <f t="shared" si="538"/>
        <v xml:space="preserve">N35DC   </v>
      </c>
      <c r="N5446">
        <v>1</v>
      </c>
      <c r="O5446">
        <v>1650</v>
      </c>
    </row>
    <row r="5447" spans="1:15" x14ac:dyDescent="0.25">
      <c r="A5447" t="str">
        <f>"10/21/2020 18:53:21.033"</f>
        <v>10/21/2020 18:53:21.033</v>
      </c>
      <c r="B5447" t="str">
        <f>"18:53:28.969"</f>
        <v>18:53:28.969</v>
      </c>
      <c r="C5447" t="str">
        <f>"18:53:28.569"</f>
        <v>18:53:28.569</v>
      </c>
      <c r="D5447" t="s">
        <v>2241</v>
      </c>
      <c r="E5447">
        <v>30.779357000000001</v>
      </c>
      <c r="F5447" t="s">
        <v>2242</v>
      </c>
      <c r="G5447">
        <v>-89.851899000000003</v>
      </c>
      <c r="H5447">
        <v>1600</v>
      </c>
      <c r="I5447">
        <v>69</v>
      </c>
      <c r="J5447">
        <v>-101</v>
      </c>
      <c r="K5447">
        <v>192</v>
      </c>
      <c r="L5447">
        <v>1200</v>
      </c>
      <c r="M5447" t="str">
        <f t="shared" ref="M5447:M5510" si="554">"N35DC   "</f>
        <v xml:space="preserve">N35DC   </v>
      </c>
      <c r="N5447">
        <v>1</v>
      </c>
      <c r="O5447">
        <v>1650</v>
      </c>
    </row>
    <row r="5448" spans="1:15" x14ac:dyDescent="0.25">
      <c r="A5448" t="str">
        <f>"10/21/2020 18:53:21.635"</f>
        <v>10/21/2020 18:53:21.635</v>
      </c>
      <c r="B5448" t="str">
        <f>"18:53:29.547"</f>
        <v>18:53:29.547</v>
      </c>
      <c r="C5448" t="str">
        <f>"18:53:29.547"</f>
        <v>18:53:29.547</v>
      </c>
      <c r="D5448" t="s">
        <v>2243</v>
      </c>
      <c r="E5448">
        <v>30.779077999999998</v>
      </c>
      <c r="F5448" t="s">
        <v>2244</v>
      </c>
      <c r="G5448">
        <v>-89.851685000000003</v>
      </c>
      <c r="H5448">
        <v>1600</v>
      </c>
      <c r="I5448">
        <v>70</v>
      </c>
      <c r="J5448">
        <v>-101</v>
      </c>
      <c r="K5448">
        <v>256</v>
      </c>
      <c r="L5448">
        <v>1200</v>
      </c>
      <c r="M5448" t="str">
        <f t="shared" si="554"/>
        <v xml:space="preserve">N35DC   </v>
      </c>
      <c r="N5448">
        <v>1</v>
      </c>
      <c r="O5448">
        <v>1650</v>
      </c>
    </row>
    <row r="5449" spans="1:15" x14ac:dyDescent="0.25">
      <c r="A5449" t="str">
        <f t="shared" ref="A5449:A5454" si="555">"10/21/2020 18:53:23.692"</f>
        <v>10/21/2020 18:53:23.692</v>
      </c>
      <c r="B5449" t="str">
        <f t="shared" ref="B5449:B5454" si="556">"18:53:31.617"</f>
        <v>18:53:31.617</v>
      </c>
      <c r="C5449" t="str">
        <f t="shared" ref="C5449:C5454" si="557">"18:53:31.417"</f>
        <v>18:53:31.417</v>
      </c>
      <c r="D5449" t="s">
        <v>2245</v>
      </c>
      <c r="E5449">
        <v>30.778112</v>
      </c>
      <c r="F5449" t="s">
        <v>1675</v>
      </c>
      <c r="G5449">
        <v>-89.850869000000003</v>
      </c>
      <c r="H5449">
        <v>1600</v>
      </c>
      <c r="I5449">
        <v>71</v>
      </c>
      <c r="J5449">
        <v>-101</v>
      </c>
      <c r="K5449">
        <v>448</v>
      </c>
      <c r="L5449">
        <v>1200</v>
      </c>
      <c r="M5449" t="str">
        <f t="shared" si="554"/>
        <v xml:space="preserve">N35DC   </v>
      </c>
      <c r="N5449">
        <v>1</v>
      </c>
      <c r="O5449">
        <v>1650</v>
      </c>
    </row>
    <row r="5450" spans="1:15" x14ac:dyDescent="0.25">
      <c r="A5450" t="str">
        <f t="shared" si="555"/>
        <v>10/21/2020 18:53:23.692</v>
      </c>
      <c r="B5450" t="str">
        <f t="shared" si="556"/>
        <v>18:53:31.617</v>
      </c>
      <c r="C5450" t="str">
        <f t="shared" si="557"/>
        <v>18:53:31.417</v>
      </c>
      <c r="D5450" t="s">
        <v>2245</v>
      </c>
      <c r="E5450">
        <v>30.778112</v>
      </c>
      <c r="F5450" t="s">
        <v>1675</v>
      </c>
      <c r="G5450">
        <v>-89.850869000000003</v>
      </c>
      <c r="H5450">
        <v>1600</v>
      </c>
      <c r="I5450">
        <v>71</v>
      </c>
      <c r="J5450">
        <v>-101</v>
      </c>
      <c r="K5450">
        <v>448</v>
      </c>
      <c r="L5450">
        <v>1200</v>
      </c>
      <c r="M5450" t="str">
        <f t="shared" si="554"/>
        <v xml:space="preserve">N35DC   </v>
      </c>
      <c r="N5450">
        <v>1</v>
      </c>
      <c r="O5450">
        <v>1650</v>
      </c>
    </row>
    <row r="5451" spans="1:15" x14ac:dyDescent="0.25">
      <c r="A5451" t="str">
        <f t="shared" si="555"/>
        <v>10/21/2020 18:53:23.692</v>
      </c>
      <c r="B5451" t="str">
        <f t="shared" si="556"/>
        <v>18:53:31.617</v>
      </c>
      <c r="C5451" t="str">
        <f t="shared" si="557"/>
        <v>18:53:31.417</v>
      </c>
      <c r="D5451" t="s">
        <v>2245</v>
      </c>
      <c r="E5451">
        <v>30.778112</v>
      </c>
      <c r="F5451" t="s">
        <v>1675</v>
      </c>
      <c r="G5451">
        <v>-89.850869000000003</v>
      </c>
      <c r="H5451">
        <v>1600</v>
      </c>
      <c r="I5451">
        <v>71</v>
      </c>
      <c r="J5451">
        <v>-101</v>
      </c>
      <c r="K5451">
        <v>448</v>
      </c>
      <c r="L5451">
        <v>1200</v>
      </c>
      <c r="M5451" t="str">
        <f t="shared" si="554"/>
        <v xml:space="preserve">N35DC   </v>
      </c>
      <c r="N5451">
        <v>1</v>
      </c>
      <c r="O5451">
        <v>1650</v>
      </c>
    </row>
    <row r="5452" spans="1:15" x14ac:dyDescent="0.25">
      <c r="A5452" t="str">
        <f t="shared" si="555"/>
        <v>10/21/2020 18:53:23.692</v>
      </c>
      <c r="B5452" t="str">
        <f t="shared" si="556"/>
        <v>18:53:31.617</v>
      </c>
      <c r="C5452" t="str">
        <f t="shared" si="557"/>
        <v>18:53:31.417</v>
      </c>
      <c r="D5452" t="s">
        <v>2245</v>
      </c>
      <c r="E5452">
        <v>30.778112</v>
      </c>
      <c r="F5452" t="s">
        <v>1675</v>
      </c>
      <c r="G5452">
        <v>-89.850869000000003</v>
      </c>
      <c r="H5452">
        <v>1600</v>
      </c>
      <c r="I5452">
        <v>71</v>
      </c>
      <c r="J5452">
        <v>-101</v>
      </c>
      <c r="K5452">
        <v>448</v>
      </c>
      <c r="L5452">
        <v>1200</v>
      </c>
      <c r="M5452" t="str">
        <f t="shared" si="554"/>
        <v xml:space="preserve">N35DC   </v>
      </c>
      <c r="N5452">
        <v>1</v>
      </c>
      <c r="O5452">
        <v>1650</v>
      </c>
    </row>
    <row r="5453" spans="1:15" x14ac:dyDescent="0.25">
      <c r="A5453" t="str">
        <f t="shared" si="555"/>
        <v>10/21/2020 18:53:23.692</v>
      </c>
      <c r="B5453" t="str">
        <f t="shared" si="556"/>
        <v>18:53:31.617</v>
      </c>
      <c r="C5453" t="str">
        <f t="shared" si="557"/>
        <v>18:53:31.417</v>
      </c>
      <c r="D5453" t="s">
        <v>2245</v>
      </c>
      <c r="E5453">
        <v>30.778112</v>
      </c>
      <c r="F5453" t="s">
        <v>1675</v>
      </c>
      <c r="G5453">
        <v>-89.850869000000003</v>
      </c>
      <c r="H5453">
        <v>1600</v>
      </c>
      <c r="I5453">
        <v>71</v>
      </c>
      <c r="J5453">
        <v>-101</v>
      </c>
      <c r="K5453">
        <v>448</v>
      </c>
      <c r="L5453">
        <v>1200</v>
      </c>
      <c r="M5453" t="str">
        <f t="shared" si="554"/>
        <v xml:space="preserve">N35DC   </v>
      </c>
      <c r="N5453">
        <v>1</v>
      </c>
      <c r="O5453">
        <v>1650</v>
      </c>
    </row>
    <row r="5454" spans="1:15" x14ac:dyDescent="0.25">
      <c r="A5454" t="str">
        <f t="shared" si="555"/>
        <v>10/21/2020 18:53:23.692</v>
      </c>
      <c r="B5454" t="str">
        <f t="shared" si="556"/>
        <v>18:53:31.617</v>
      </c>
      <c r="C5454" t="str">
        <f t="shared" si="557"/>
        <v>18:53:31.417</v>
      </c>
      <c r="D5454" t="s">
        <v>2245</v>
      </c>
      <c r="E5454">
        <v>30.778112</v>
      </c>
      <c r="F5454" t="s">
        <v>1675</v>
      </c>
      <c r="G5454">
        <v>-89.850869000000003</v>
      </c>
      <c r="H5454">
        <v>1600</v>
      </c>
      <c r="I5454">
        <v>71</v>
      </c>
      <c r="J5454">
        <v>-101</v>
      </c>
      <c r="K5454">
        <v>448</v>
      </c>
      <c r="L5454">
        <v>1200</v>
      </c>
      <c r="M5454" t="str">
        <f t="shared" si="554"/>
        <v xml:space="preserve">N35DC   </v>
      </c>
      <c r="N5454">
        <v>1</v>
      </c>
      <c r="O5454">
        <v>1650</v>
      </c>
    </row>
    <row r="5455" spans="1:15" x14ac:dyDescent="0.25">
      <c r="A5455" t="str">
        <f t="shared" ref="A5455:A5460" si="558">"10/21/2020 18:53:24.703"</f>
        <v>10/21/2020 18:53:24.703</v>
      </c>
      <c r="B5455" t="str">
        <f t="shared" ref="B5455:B5460" si="559">"18:53:32.609"</f>
        <v>18:53:32.609</v>
      </c>
      <c r="C5455" t="str">
        <f t="shared" ref="C5455:C5460" si="560">"18:53:32.509"</f>
        <v>18:53:32.509</v>
      </c>
      <c r="D5455" t="s">
        <v>2246</v>
      </c>
      <c r="E5455">
        <v>30.777640000000002</v>
      </c>
      <c r="F5455" t="s">
        <v>2247</v>
      </c>
      <c r="G5455">
        <v>-89.850526000000002</v>
      </c>
      <c r="H5455">
        <v>1600</v>
      </c>
      <c r="I5455">
        <v>72</v>
      </c>
      <c r="J5455">
        <v>-101</v>
      </c>
      <c r="K5455">
        <v>512</v>
      </c>
      <c r="L5455">
        <v>1200</v>
      </c>
      <c r="M5455" t="str">
        <f t="shared" si="554"/>
        <v xml:space="preserve">N35DC   </v>
      </c>
      <c r="N5455">
        <v>1</v>
      </c>
      <c r="O5455">
        <v>1675</v>
      </c>
    </row>
    <row r="5456" spans="1:15" x14ac:dyDescent="0.25">
      <c r="A5456" t="str">
        <f t="shared" si="558"/>
        <v>10/21/2020 18:53:24.703</v>
      </c>
      <c r="B5456" t="str">
        <f t="shared" si="559"/>
        <v>18:53:32.609</v>
      </c>
      <c r="C5456" t="str">
        <f t="shared" si="560"/>
        <v>18:53:32.509</v>
      </c>
      <c r="D5456" t="s">
        <v>2246</v>
      </c>
      <c r="E5456">
        <v>30.777640000000002</v>
      </c>
      <c r="F5456" t="s">
        <v>2247</v>
      </c>
      <c r="G5456">
        <v>-89.850526000000002</v>
      </c>
      <c r="H5456">
        <v>1600</v>
      </c>
      <c r="I5456">
        <v>72</v>
      </c>
      <c r="J5456">
        <v>-101</v>
      </c>
      <c r="K5456">
        <v>512</v>
      </c>
      <c r="L5456">
        <v>1200</v>
      </c>
      <c r="M5456" t="str">
        <f t="shared" si="554"/>
        <v xml:space="preserve">N35DC   </v>
      </c>
      <c r="N5456">
        <v>1</v>
      </c>
      <c r="O5456">
        <v>1675</v>
      </c>
    </row>
    <row r="5457" spans="1:15" x14ac:dyDescent="0.25">
      <c r="A5457" t="str">
        <f t="shared" si="558"/>
        <v>10/21/2020 18:53:24.703</v>
      </c>
      <c r="B5457" t="str">
        <f t="shared" si="559"/>
        <v>18:53:32.609</v>
      </c>
      <c r="C5457" t="str">
        <f t="shared" si="560"/>
        <v>18:53:32.509</v>
      </c>
      <c r="D5457" t="s">
        <v>2246</v>
      </c>
      <c r="E5457">
        <v>30.777640000000002</v>
      </c>
      <c r="F5457" t="s">
        <v>2247</v>
      </c>
      <c r="G5457">
        <v>-89.850526000000002</v>
      </c>
      <c r="H5457">
        <v>1600</v>
      </c>
      <c r="I5457">
        <v>72</v>
      </c>
      <c r="J5457">
        <v>-101</v>
      </c>
      <c r="K5457">
        <v>512</v>
      </c>
      <c r="L5457">
        <v>1200</v>
      </c>
      <c r="M5457" t="str">
        <f t="shared" si="554"/>
        <v xml:space="preserve">N35DC   </v>
      </c>
      <c r="N5457">
        <v>1</v>
      </c>
      <c r="O5457">
        <v>1675</v>
      </c>
    </row>
    <row r="5458" spans="1:15" x14ac:dyDescent="0.25">
      <c r="A5458" t="str">
        <f t="shared" si="558"/>
        <v>10/21/2020 18:53:24.703</v>
      </c>
      <c r="B5458" t="str">
        <f t="shared" si="559"/>
        <v>18:53:32.609</v>
      </c>
      <c r="C5458" t="str">
        <f t="shared" si="560"/>
        <v>18:53:32.509</v>
      </c>
      <c r="D5458" t="s">
        <v>2246</v>
      </c>
      <c r="E5458">
        <v>30.777640000000002</v>
      </c>
      <c r="F5458" t="s">
        <v>2247</v>
      </c>
      <c r="G5458">
        <v>-89.850526000000002</v>
      </c>
      <c r="H5458">
        <v>1600</v>
      </c>
      <c r="I5458">
        <v>72</v>
      </c>
      <c r="J5458">
        <v>-101</v>
      </c>
      <c r="K5458">
        <v>512</v>
      </c>
      <c r="L5458">
        <v>1200</v>
      </c>
      <c r="M5458" t="str">
        <f t="shared" si="554"/>
        <v xml:space="preserve">N35DC   </v>
      </c>
      <c r="N5458">
        <v>1</v>
      </c>
      <c r="O5458">
        <v>1675</v>
      </c>
    </row>
    <row r="5459" spans="1:15" x14ac:dyDescent="0.25">
      <c r="A5459" t="str">
        <f t="shared" si="558"/>
        <v>10/21/2020 18:53:24.703</v>
      </c>
      <c r="B5459" t="str">
        <f t="shared" si="559"/>
        <v>18:53:32.609</v>
      </c>
      <c r="C5459" t="str">
        <f t="shared" si="560"/>
        <v>18:53:32.509</v>
      </c>
      <c r="D5459" t="s">
        <v>2246</v>
      </c>
      <c r="E5459">
        <v>30.777640000000002</v>
      </c>
      <c r="F5459" t="s">
        <v>2247</v>
      </c>
      <c r="G5459">
        <v>-89.850526000000002</v>
      </c>
      <c r="H5459">
        <v>1600</v>
      </c>
      <c r="I5459">
        <v>72</v>
      </c>
      <c r="J5459">
        <v>-101</v>
      </c>
      <c r="K5459">
        <v>512</v>
      </c>
      <c r="L5459">
        <v>1200</v>
      </c>
      <c r="M5459" t="str">
        <f t="shared" si="554"/>
        <v xml:space="preserve">N35DC   </v>
      </c>
      <c r="N5459">
        <v>1</v>
      </c>
      <c r="O5459">
        <v>1675</v>
      </c>
    </row>
    <row r="5460" spans="1:15" x14ac:dyDescent="0.25">
      <c r="A5460" t="str">
        <f t="shared" si="558"/>
        <v>10/21/2020 18:53:24.703</v>
      </c>
      <c r="B5460" t="str">
        <f t="shared" si="559"/>
        <v>18:53:32.609</v>
      </c>
      <c r="C5460" t="str">
        <f t="shared" si="560"/>
        <v>18:53:32.509</v>
      </c>
      <c r="D5460" t="s">
        <v>2246</v>
      </c>
      <c r="E5460">
        <v>30.777640000000002</v>
      </c>
      <c r="F5460" t="s">
        <v>2247</v>
      </c>
      <c r="G5460">
        <v>-89.850526000000002</v>
      </c>
      <c r="H5460">
        <v>1600</v>
      </c>
      <c r="I5460">
        <v>72</v>
      </c>
      <c r="J5460">
        <v>-101</v>
      </c>
      <c r="K5460">
        <v>512</v>
      </c>
      <c r="L5460">
        <v>1200</v>
      </c>
      <c r="M5460" t="str">
        <f t="shared" si="554"/>
        <v xml:space="preserve">N35DC   </v>
      </c>
      <c r="N5460">
        <v>1</v>
      </c>
      <c r="O5460">
        <v>1675</v>
      </c>
    </row>
    <row r="5461" spans="1:15" x14ac:dyDescent="0.25">
      <c r="A5461" t="str">
        <f t="shared" ref="A5461:A5466" si="561">"10/21/2020 18:53:25.619"</f>
        <v>10/21/2020 18:53:25.619</v>
      </c>
      <c r="B5461" t="str">
        <f t="shared" ref="B5461:C5466" si="562">"18:53:33.570"</f>
        <v>18:53:33.570</v>
      </c>
      <c r="C5461" t="str">
        <f t="shared" si="562"/>
        <v>18:53:33.570</v>
      </c>
      <c r="D5461" t="s">
        <v>2248</v>
      </c>
      <c r="E5461">
        <v>30.777211000000001</v>
      </c>
      <c r="F5461" t="s">
        <v>1651</v>
      </c>
      <c r="G5461">
        <v>-89.850139999999996</v>
      </c>
      <c r="H5461">
        <v>1600</v>
      </c>
      <c r="I5461">
        <v>73</v>
      </c>
      <c r="J5461">
        <v>-101</v>
      </c>
      <c r="K5461">
        <v>704</v>
      </c>
      <c r="L5461">
        <v>1200</v>
      </c>
      <c r="M5461" t="str">
        <f t="shared" si="554"/>
        <v xml:space="preserve">N35DC   </v>
      </c>
      <c r="N5461">
        <v>1</v>
      </c>
      <c r="O5461">
        <v>1675</v>
      </c>
    </row>
    <row r="5462" spans="1:15" x14ac:dyDescent="0.25">
      <c r="A5462" t="str">
        <f t="shared" si="561"/>
        <v>10/21/2020 18:53:25.619</v>
      </c>
      <c r="B5462" t="str">
        <f t="shared" si="562"/>
        <v>18:53:33.570</v>
      </c>
      <c r="C5462" t="str">
        <f t="shared" si="562"/>
        <v>18:53:33.570</v>
      </c>
      <c r="D5462" t="s">
        <v>2248</v>
      </c>
      <c r="E5462">
        <v>30.777211000000001</v>
      </c>
      <c r="F5462" t="s">
        <v>1651</v>
      </c>
      <c r="G5462">
        <v>-89.850139999999996</v>
      </c>
      <c r="H5462">
        <v>1600</v>
      </c>
      <c r="I5462">
        <v>73</v>
      </c>
      <c r="J5462">
        <v>-101</v>
      </c>
      <c r="K5462">
        <v>704</v>
      </c>
      <c r="L5462">
        <v>1200</v>
      </c>
      <c r="M5462" t="str">
        <f t="shared" si="554"/>
        <v xml:space="preserve">N35DC   </v>
      </c>
      <c r="N5462">
        <v>1</v>
      </c>
      <c r="O5462">
        <v>1675</v>
      </c>
    </row>
    <row r="5463" spans="1:15" x14ac:dyDescent="0.25">
      <c r="A5463" t="str">
        <f t="shared" si="561"/>
        <v>10/21/2020 18:53:25.619</v>
      </c>
      <c r="B5463" t="str">
        <f t="shared" si="562"/>
        <v>18:53:33.570</v>
      </c>
      <c r="C5463" t="str">
        <f t="shared" si="562"/>
        <v>18:53:33.570</v>
      </c>
      <c r="D5463" t="s">
        <v>2248</v>
      </c>
      <c r="E5463">
        <v>30.777211000000001</v>
      </c>
      <c r="F5463" t="s">
        <v>1651</v>
      </c>
      <c r="G5463">
        <v>-89.850139999999996</v>
      </c>
      <c r="H5463">
        <v>1600</v>
      </c>
      <c r="I5463">
        <v>73</v>
      </c>
      <c r="J5463">
        <v>-101</v>
      </c>
      <c r="K5463">
        <v>704</v>
      </c>
      <c r="L5463">
        <v>1200</v>
      </c>
      <c r="M5463" t="str">
        <f t="shared" si="554"/>
        <v xml:space="preserve">N35DC   </v>
      </c>
      <c r="N5463">
        <v>1</v>
      </c>
      <c r="O5463">
        <v>1675</v>
      </c>
    </row>
    <row r="5464" spans="1:15" x14ac:dyDescent="0.25">
      <c r="A5464" t="str">
        <f t="shared" si="561"/>
        <v>10/21/2020 18:53:25.619</v>
      </c>
      <c r="B5464" t="str">
        <f t="shared" si="562"/>
        <v>18:53:33.570</v>
      </c>
      <c r="C5464" t="str">
        <f t="shared" si="562"/>
        <v>18:53:33.570</v>
      </c>
      <c r="D5464" t="s">
        <v>2248</v>
      </c>
      <c r="E5464">
        <v>30.777211000000001</v>
      </c>
      <c r="F5464" t="s">
        <v>1651</v>
      </c>
      <c r="G5464">
        <v>-89.850139999999996</v>
      </c>
      <c r="H5464">
        <v>1600</v>
      </c>
      <c r="I5464">
        <v>73</v>
      </c>
      <c r="J5464">
        <v>-101</v>
      </c>
      <c r="K5464">
        <v>704</v>
      </c>
      <c r="L5464">
        <v>1200</v>
      </c>
      <c r="M5464" t="str">
        <f t="shared" si="554"/>
        <v xml:space="preserve">N35DC   </v>
      </c>
      <c r="N5464">
        <v>1</v>
      </c>
      <c r="O5464">
        <v>1675</v>
      </c>
    </row>
    <row r="5465" spans="1:15" x14ac:dyDescent="0.25">
      <c r="A5465" t="str">
        <f t="shared" si="561"/>
        <v>10/21/2020 18:53:25.619</v>
      </c>
      <c r="B5465" t="str">
        <f t="shared" si="562"/>
        <v>18:53:33.570</v>
      </c>
      <c r="C5465" t="str">
        <f t="shared" si="562"/>
        <v>18:53:33.570</v>
      </c>
      <c r="D5465" t="s">
        <v>2248</v>
      </c>
      <c r="E5465">
        <v>30.777211000000001</v>
      </c>
      <c r="F5465" t="s">
        <v>1651</v>
      </c>
      <c r="G5465">
        <v>-89.850139999999996</v>
      </c>
      <c r="H5465">
        <v>1600</v>
      </c>
      <c r="I5465">
        <v>73</v>
      </c>
      <c r="J5465">
        <v>-101</v>
      </c>
      <c r="K5465">
        <v>704</v>
      </c>
      <c r="L5465">
        <v>1200</v>
      </c>
      <c r="M5465" t="str">
        <f t="shared" si="554"/>
        <v xml:space="preserve">N35DC   </v>
      </c>
      <c r="N5465">
        <v>1</v>
      </c>
      <c r="O5465">
        <v>1675</v>
      </c>
    </row>
    <row r="5466" spans="1:15" x14ac:dyDescent="0.25">
      <c r="A5466" t="str">
        <f t="shared" si="561"/>
        <v>10/21/2020 18:53:25.619</v>
      </c>
      <c r="B5466" t="str">
        <f t="shared" si="562"/>
        <v>18:53:33.570</v>
      </c>
      <c r="C5466" t="str">
        <f t="shared" si="562"/>
        <v>18:53:33.570</v>
      </c>
      <c r="D5466" t="s">
        <v>2248</v>
      </c>
      <c r="E5466">
        <v>30.777211000000001</v>
      </c>
      <c r="F5466" t="s">
        <v>1651</v>
      </c>
      <c r="G5466">
        <v>-89.850139999999996</v>
      </c>
      <c r="H5466">
        <v>1600</v>
      </c>
      <c r="I5466">
        <v>73</v>
      </c>
      <c r="J5466">
        <v>-101</v>
      </c>
      <c r="K5466">
        <v>704</v>
      </c>
      <c r="L5466">
        <v>1200</v>
      </c>
      <c r="M5466" t="str">
        <f t="shared" si="554"/>
        <v xml:space="preserve">N35DC   </v>
      </c>
      <c r="N5466">
        <v>1</v>
      </c>
      <c r="O5466">
        <v>1675</v>
      </c>
    </row>
    <row r="5467" spans="1:15" x14ac:dyDescent="0.25">
      <c r="A5467" t="str">
        <f>"10/21/2020 18:53:26.521"</f>
        <v>10/21/2020 18:53:26.521</v>
      </c>
      <c r="B5467" t="str">
        <f>"18:53:34.438"</f>
        <v>18:53:34.438</v>
      </c>
      <c r="C5467" t="str">
        <f>"18:53:34.038"</f>
        <v>18:53:34.038</v>
      </c>
      <c r="D5467" t="s">
        <v>2249</v>
      </c>
      <c r="E5467">
        <v>30.776782000000001</v>
      </c>
      <c r="F5467" t="s">
        <v>1662</v>
      </c>
      <c r="G5467">
        <v>-89.849795999999998</v>
      </c>
      <c r="H5467">
        <v>1600</v>
      </c>
      <c r="I5467">
        <v>74</v>
      </c>
      <c r="J5467">
        <v>-100</v>
      </c>
      <c r="K5467">
        <v>832</v>
      </c>
      <c r="L5467">
        <v>1200</v>
      </c>
      <c r="M5467" t="str">
        <f t="shared" si="554"/>
        <v xml:space="preserve">N35DC   </v>
      </c>
      <c r="N5467">
        <v>1</v>
      </c>
      <c r="O5467">
        <v>1700</v>
      </c>
    </row>
    <row r="5468" spans="1:15" x14ac:dyDescent="0.25">
      <c r="A5468" t="str">
        <f>"10/21/2020 18:53:26.521"</f>
        <v>10/21/2020 18:53:26.521</v>
      </c>
      <c r="B5468" t="str">
        <f>"18:53:34.438"</f>
        <v>18:53:34.438</v>
      </c>
      <c r="C5468" t="str">
        <f>"18:53:34.038"</f>
        <v>18:53:34.038</v>
      </c>
      <c r="D5468" t="s">
        <v>2249</v>
      </c>
      <c r="E5468">
        <v>30.776782000000001</v>
      </c>
      <c r="F5468" t="s">
        <v>1662</v>
      </c>
      <c r="G5468">
        <v>-89.849795999999998</v>
      </c>
      <c r="H5468">
        <v>1600</v>
      </c>
      <c r="I5468">
        <v>74</v>
      </c>
      <c r="J5468">
        <v>-100</v>
      </c>
      <c r="K5468">
        <v>832</v>
      </c>
      <c r="L5468">
        <v>1200</v>
      </c>
      <c r="M5468" t="str">
        <f t="shared" si="554"/>
        <v xml:space="preserve">N35DC   </v>
      </c>
      <c r="N5468">
        <v>1</v>
      </c>
      <c r="O5468">
        <v>1700</v>
      </c>
    </row>
    <row r="5469" spans="1:15" x14ac:dyDescent="0.25">
      <c r="A5469" t="str">
        <f>"10/21/2020 18:53:26.521"</f>
        <v>10/21/2020 18:53:26.521</v>
      </c>
      <c r="B5469" t="str">
        <f>"18:53:34.438"</f>
        <v>18:53:34.438</v>
      </c>
      <c r="C5469" t="str">
        <f>"18:53:34.038"</f>
        <v>18:53:34.038</v>
      </c>
      <c r="D5469" t="s">
        <v>2249</v>
      </c>
      <c r="E5469">
        <v>30.776782000000001</v>
      </c>
      <c r="F5469" t="s">
        <v>1662</v>
      </c>
      <c r="G5469">
        <v>-89.849795999999998</v>
      </c>
      <c r="H5469">
        <v>1600</v>
      </c>
      <c r="I5469">
        <v>74</v>
      </c>
      <c r="J5469">
        <v>-100</v>
      </c>
      <c r="K5469">
        <v>832</v>
      </c>
      <c r="L5469">
        <v>1200</v>
      </c>
      <c r="M5469" t="str">
        <f t="shared" si="554"/>
        <v xml:space="preserve">N35DC   </v>
      </c>
      <c r="N5469">
        <v>1</v>
      </c>
      <c r="O5469">
        <v>1700</v>
      </c>
    </row>
    <row r="5470" spans="1:15" x14ac:dyDescent="0.25">
      <c r="A5470" t="str">
        <f>"10/21/2020 18:53:26.521"</f>
        <v>10/21/2020 18:53:26.521</v>
      </c>
      <c r="B5470" t="str">
        <f>"18:53:34.438"</f>
        <v>18:53:34.438</v>
      </c>
      <c r="C5470" t="str">
        <f>"18:53:34.038"</f>
        <v>18:53:34.038</v>
      </c>
      <c r="D5470" t="s">
        <v>2249</v>
      </c>
      <c r="E5470">
        <v>30.776782000000001</v>
      </c>
      <c r="F5470" t="s">
        <v>1662</v>
      </c>
      <c r="G5470">
        <v>-89.849795999999998</v>
      </c>
      <c r="H5470">
        <v>1600</v>
      </c>
      <c r="I5470">
        <v>74</v>
      </c>
      <c r="J5470">
        <v>-100</v>
      </c>
      <c r="K5470">
        <v>832</v>
      </c>
      <c r="L5470">
        <v>1200</v>
      </c>
      <c r="M5470" t="str">
        <f t="shared" si="554"/>
        <v xml:space="preserve">N35DC   </v>
      </c>
      <c r="N5470">
        <v>1</v>
      </c>
      <c r="O5470">
        <v>1700</v>
      </c>
    </row>
    <row r="5471" spans="1:15" x14ac:dyDescent="0.25">
      <c r="A5471" t="str">
        <f>"10/21/2020 18:53:26.521"</f>
        <v>10/21/2020 18:53:26.521</v>
      </c>
      <c r="B5471" t="str">
        <f>"18:53:34.438"</f>
        <v>18:53:34.438</v>
      </c>
      <c r="C5471" t="str">
        <f>"18:53:34.038"</f>
        <v>18:53:34.038</v>
      </c>
      <c r="D5471" t="s">
        <v>2249</v>
      </c>
      <c r="E5471">
        <v>30.776782000000001</v>
      </c>
      <c r="F5471" t="s">
        <v>1662</v>
      </c>
      <c r="G5471">
        <v>-89.849795999999998</v>
      </c>
      <c r="H5471">
        <v>1600</v>
      </c>
      <c r="I5471">
        <v>74</v>
      </c>
      <c r="J5471">
        <v>-100</v>
      </c>
      <c r="K5471">
        <v>832</v>
      </c>
      <c r="L5471">
        <v>1200</v>
      </c>
      <c r="M5471" t="str">
        <f t="shared" si="554"/>
        <v xml:space="preserve">N35DC   </v>
      </c>
      <c r="N5471">
        <v>1</v>
      </c>
      <c r="O5471">
        <v>1700</v>
      </c>
    </row>
    <row r="5472" spans="1:15" x14ac:dyDescent="0.25">
      <c r="A5472" t="str">
        <f t="shared" ref="A5472:A5477" si="563">"10/21/2020 18:53:29.511"</f>
        <v>10/21/2020 18:53:29.511</v>
      </c>
      <c r="B5472" t="str">
        <f t="shared" ref="B5472:B5477" si="564">"18:53:37.469"</f>
        <v>18:53:37.469</v>
      </c>
      <c r="C5472" t="str">
        <f t="shared" ref="C5472:C5477" si="565">"18:53:37.069"</f>
        <v>18:53:37.069</v>
      </c>
      <c r="D5472" t="s">
        <v>2250</v>
      </c>
      <c r="E5472">
        <v>30.775409</v>
      </c>
      <c r="F5472" t="s">
        <v>2251</v>
      </c>
      <c r="G5472">
        <v>-89.848551999999998</v>
      </c>
      <c r="H5472">
        <v>1700</v>
      </c>
      <c r="I5472">
        <v>76</v>
      </c>
      <c r="J5472">
        <v>-97</v>
      </c>
      <c r="K5472">
        <v>896</v>
      </c>
      <c r="L5472">
        <v>1200</v>
      </c>
      <c r="M5472" t="str">
        <f t="shared" si="554"/>
        <v xml:space="preserve">N35DC   </v>
      </c>
      <c r="N5472">
        <v>1</v>
      </c>
      <c r="O5472">
        <v>1725</v>
      </c>
    </row>
    <row r="5473" spans="1:15" x14ac:dyDescent="0.25">
      <c r="A5473" t="str">
        <f t="shared" si="563"/>
        <v>10/21/2020 18:53:29.511</v>
      </c>
      <c r="B5473" t="str">
        <f t="shared" si="564"/>
        <v>18:53:37.469</v>
      </c>
      <c r="C5473" t="str">
        <f t="shared" si="565"/>
        <v>18:53:37.069</v>
      </c>
      <c r="D5473" t="s">
        <v>2250</v>
      </c>
      <c r="E5473">
        <v>30.775409</v>
      </c>
      <c r="F5473" t="s">
        <v>2251</v>
      </c>
      <c r="G5473">
        <v>-89.848551999999998</v>
      </c>
      <c r="H5473">
        <v>1700</v>
      </c>
      <c r="I5473">
        <v>76</v>
      </c>
      <c r="J5473">
        <v>-97</v>
      </c>
      <c r="K5473">
        <v>896</v>
      </c>
      <c r="L5473">
        <v>1200</v>
      </c>
      <c r="M5473" t="str">
        <f t="shared" si="554"/>
        <v xml:space="preserve">N35DC   </v>
      </c>
      <c r="N5473">
        <v>1</v>
      </c>
      <c r="O5473">
        <v>1725</v>
      </c>
    </row>
    <row r="5474" spans="1:15" x14ac:dyDescent="0.25">
      <c r="A5474" t="str">
        <f t="shared" si="563"/>
        <v>10/21/2020 18:53:29.511</v>
      </c>
      <c r="B5474" t="str">
        <f t="shared" si="564"/>
        <v>18:53:37.469</v>
      </c>
      <c r="C5474" t="str">
        <f t="shared" si="565"/>
        <v>18:53:37.069</v>
      </c>
      <c r="D5474" t="s">
        <v>2250</v>
      </c>
      <c r="E5474">
        <v>30.775409</v>
      </c>
      <c r="F5474" t="s">
        <v>2251</v>
      </c>
      <c r="G5474">
        <v>-89.848551999999998</v>
      </c>
      <c r="H5474">
        <v>1700</v>
      </c>
      <c r="I5474">
        <v>76</v>
      </c>
      <c r="J5474">
        <v>-97</v>
      </c>
      <c r="K5474">
        <v>896</v>
      </c>
      <c r="L5474">
        <v>1200</v>
      </c>
      <c r="M5474" t="str">
        <f t="shared" si="554"/>
        <v xml:space="preserve">N35DC   </v>
      </c>
      <c r="N5474">
        <v>1</v>
      </c>
      <c r="O5474">
        <v>1725</v>
      </c>
    </row>
    <row r="5475" spans="1:15" x14ac:dyDescent="0.25">
      <c r="A5475" t="str">
        <f t="shared" si="563"/>
        <v>10/21/2020 18:53:29.511</v>
      </c>
      <c r="B5475" t="str">
        <f t="shared" si="564"/>
        <v>18:53:37.469</v>
      </c>
      <c r="C5475" t="str">
        <f t="shared" si="565"/>
        <v>18:53:37.069</v>
      </c>
      <c r="D5475" t="s">
        <v>2250</v>
      </c>
      <c r="E5475">
        <v>30.775409</v>
      </c>
      <c r="F5475" t="s">
        <v>2251</v>
      </c>
      <c r="G5475">
        <v>-89.848551999999998</v>
      </c>
      <c r="H5475">
        <v>1700</v>
      </c>
      <c r="I5475">
        <v>76</v>
      </c>
      <c r="J5475">
        <v>-97</v>
      </c>
      <c r="K5475">
        <v>896</v>
      </c>
      <c r="L5475">
        <v>1200</v>
      </c>
      <c r="M5475" t="str">
        <f t="shared" si="554"/>
        <v xml:space="preserve">N35DC   </v>
      </c>
      <c r="N5475">
        <v>1</v>
      </c>
      <c r="O5475">
        <v>1725</v>
      </c>
    </row>
    <row r="5476" spans="1:15" x14ac:dyDescent="0.25">
      <c r="A5476" t="str">
        <f t="shared" si="563"/>
        <v>10/21/2020 18:53:29.511</v>
      </c>
      <c r="B5476" t="str">
        <f t="shared" si="564"/>
        <v>18:53:37.469</v>
      </c>
      <c r="C5476" t="str">
        <f t="shared" si="565"/>
        <v>18:53:37.069</v>
      </c>
      <c r="D5476" t="s">
        <v>2250</v>
      </c>
      <c r="E5476">
        <v>30.775409</v>
      </c>
      <c r="F5476" t="s">
        <v>2251</v>
      </c>
      <c r="G5476">
        <v>-89.848551999999998</v>
      </c>
      <c r="H5476">
        <v>1700</v>
      </c>
      <c r="I5476">
        <v>76</v>
      </c>
      <c r="J5476">
        <v>-97</v>
      </c>
      <c r="K5476">
        <v>896</v>
      </c>
      <c r="L5476">
        <v>1200</v>
      </c>
      <c r="M5476" t="str">
        <f t="shared" si="554"/>
        <v xml:space="preserve">N35DC   </v>
      </c>
      <c r="N5476">
        <v>1</v>
      </c>
      <c r="O5476">
        <v>1725</v>
      </c>
    </row>
    <row r="5477" spans="1:15" x14ac:dyDescent="0.25">
      <c r="A5477" t="str">
        <f t="shared" si="563"/>
        <v>10/21/2020 18:53:29.511</v>
      </c>
      <c r="B5477" t="str">
        <f t="shared" si="564"/>
        <v>18:53:37.469</v>
      </c>
      <c r="C5477" t="str">
        <f t="shared" si="565"/>
        <v>18:53:37.069</v>
      </c>
      <c r="D5477" t="s">
        <v>2250</v>
      </c>
      <c r="E5477">
        <v>30.775409</v>
      </c>
      <c r="F5477" t="s">
        <v>2251</v>
      </c>
      <c r="G5477">
        <v>-89.848551999999998</v>
      </c>
      <c r="H5477">
        <v>1700</v>
      </c>
      <c r="I5477">
        <v>76</v>
      </c>
      <c r="J5477">
        <v>-97</v>
      </c>
      <c r="K5477">
        <v>896</v>
      </c>
      <c r="L5477">
        <v>1200</v>
      </c>
      <c r="M5477" t="str">
        <f t="shared" si="554"/>
        <v xml:space="preserve">N35DC   </v>
      </c>
      <c r="N5477">
        <v>1</v>
      </c>
      <c r="O5477">
        <v>1725</v>
      </c>
    </row>
    <row r="5478" spans="1:15" x14ac:dyDescent="0.25">
      <c r="A5478" t="str">
        <f t="shared" ref="A5478:A5483" si="566">"10/21/2020 18:53:30.619"</f>
        <v>10/21/2020 18:53:30.619</v>
      </c>
      <c r="B5478" t="str">
        <f t="shared" ref="B5478:B5483" si="567">"18:53:38.563"</f>
        <v>18:53:38.563</v>
      </c>
      <c r="C5478" t="str">
        <f t="shared" ref="C5478:C5483" si="568">"18:53:38.063"</f>
        <v>18:53:38.063</v>
      </c>
      <c r="D5478" t="s">
        <v>2252</v>
      </c>
      <c r="E5478">
        <v>30.774894</v>
      </c>
      <c r="F5478" t="s">
        <v>1618</v>
      </c>
      <c r="G5478">
        <v>-89.848123000000001</v>
      </c>
      <c r="H5478">
        <v>1700</v>
      </c>
      <c r="I5478">
        <v>76</v>
      </c>
      <c r="J5478">
        <v>-96</v>
      </c>
      <c r="K5478">
        <v>960</v>
      </c>
      <c r="L5478">
        <v>1200</v>
      </c>
      <c r="M5478" t="str">
        <f t="shared" si="554"/>
        <v xml:space="preserve">N35DC   </v>
      </c>
      <c r="N5478">
        <v>1</v>
      </c>
      <c r="O5478">
        <v>1750</v>
      </c>
    </row>
    <row r="5479" spans="1:15" x14ac:dyDescent="0.25">
      <c r="A5479" t="str">
        <f t="shared" si="566"/>
        <v>10/21/2020 18:53:30.619</v>
      </c>
      <c r="B5479" t="str">
        <f t="shared" si="567"/>
        <v>18:53:38.563</v>
      </c>
      <c r="C5479" t="str">
        <f t="shared" si="568"/>
        <v>18:53:38.063</v>
      </c>
      <c r="D5479" t="s">
        <v>2252</v>
      </c>
      <c r="E5479">
        <v>30.774894</v>
      </c>
      <c r="F5479" t="s">
        <v>1618</v>
      </c>
      <c r="G5479">
        <v>-89.848123000000001</v>
      </c>
      <c r="H5479">
        <v>1700</v>
      </c>
      <c r="I5479">
        <v>76</v>
      </c>
      <c r="J5479">
        <v>-96</v>
      </c>
      <c r="K5479">
        <v>960</v>
      </c>
      <c r="L5479">
        <v>1200</v>
      </c>
      <c r="M5479" t="str">
        <f t="shared" si="554"/>
        <v xml:space="preserve">N35DC   </v>
      </c>
      <c r="N5479">
        <v>1</v>
      </c>
      <c r="O5479">
        <v>1750</v>
      </c>
    </row>
    <row r="5480" spans="1:15" x14ac:dyDescent="0.25">
      <c r="A5480" t="str">
        <f t="shared" si="566"/>
        <v>10/21/2020 18:53:30.619</v>
      </c>
      <c r="B5480" t="str">
        <f t="shared" si="567"/>
        <v>18:53:38.563</v>
      </c>
      <c r="C5480" t="str">
        <f t="shared" si="568"/>
        <v>18:53:38.063</v>
      </c>
      <c r="D5480" t="s">
        <v>2252</v>
      </c>
      <c r="E5480">
        <v>30.774894</v>
      </c>
      <c r="F5480" t="s">
        <v>1618</v>
      </c>
      <c r="G5480">
        <v>-89.848123000000001</v>
      </c>
      <c r="H5480">
        <v>1700</v>
      </c>
      <c r="I5480">
        <v>76</v>
      </c>
      <c r="J5480">
        <v>-96</v>
      </c>
      <c r="K5480">
        <v>960</v>
      </c>
      <c r="L5480">
        <v>1200</v>
      </c>
      <c r="M5480" t="str">
        <f t="shared" si="554"/>
        <v xml:space="preserve">N35DC   </v>
      </c>
      <c r="N5480">
        <v>1</v>
      </c>
      <c r="O5480">
        <v>1750</v>
      </c>
    </row>
    <row r="5481" spans="1:15" x14ac:dyDescent="0.25">
      <c r="A5481" t="str">
        <f t="shared" si="566"/>
        <v>10/21/2020 18:53:30.619</v>
      </c>
      <c r="B5481" t="str">
        <f t="shared" si="567"/>
        <v>18:53:38.563</v>
      </c>
      <c r="C5481" t="str">
        <f t="shared" si="568"/>
        <v>18:53:38.063</v>
      </c>
      <c r="D5481" t="s">
        <v>2252</v>
      </c>
      <c r="E5481">
        <v>30.774894</v>
      </c>
      <c r="F5481" t="s">
        <v>1618</v>
      </c>
      <c r="G5481">
        <v>-89.848123000000001</v>
      </c>
      <c r="H5481">
        <v>1700</v>
      </c>
      <c r="I5481">
        <v>76</v>
      </c>
      <c r="J5481">
        <v>-96</v>
      </c>
      <c r="K5481">
        <v>960</v>
      </c>
      <c r="L5481">
        <v>1200</v>
      </c>
      <c r="M5481" t="str">
        <f t="shared" si="554"/>
        <v xml:space="preserve">N35DC   </v>
      </c>
      <c r="N5481">
        <v>1</v>
      </c>
      <c r="O5481">
        <v>1750</v>
      </c>
    </row>
    <row r="5482" spans="1:15" x14ac:dyDescent="0.25">
      <c r="A5482" t="str">
        <f t="shared" si="566"/>
        <v>10/21/2020 18:53:30.619</v>
      </c>
      <c r="B5482" t="str">
        <f t="shared" si="567"/>
        <v>18:53:38.563</v>
      </c>
      <c r="C5482" t="str">
        <f t="shared" si="568"/>
        <v>18:53:38.063</v>
      </c>
      <c r="D5482" t="s">
        <v>2252</v>
      </c>
      <c r="E5482">
        <v>30.774894</v>
      </c>
      <c r="F5482" t="s">
        <v>1618</v>
      </c>
      <c r="G5482">
        <v>-89.848123000000001</v>
      </c>
      <c r="H5482">
        <v>1700</v>
      </c>
      <c r="I5482">
        <v>76</v>
      </c>
      <c r="J5482">
        <v>-96</v>
      </c>
      <c r="K5482">
        <v>960</v>
      </c>
      <c r="L5482">
        <v>1200</v>
      </c>
      <c r="M5482" t="str">
        <f t="shared" si="554"/>
        <v xml:space="preserve">N35DC   </v>
      </c>
      <c r="N5482">
        <v>1</v>
      </c>
      <c r="O5482">
        <v>1750</v>
      </c>
    </row>
    <row r="5483" spans="1:15" x14ac:dyDescent="0.25">
      <c r="A5483" t="str">
        <f t="shared" si="566"/>
        <v>10/21/2020 18:53:30.619</v>
      </c>
      <c r="B5483" t="str">
        <f t="shared" si="567"/>
        <v>18:53:38.563</v>
      </c>
      <c r="C5483" t="str">
        <f t="shared" si="568"/>
        <v>18:53:38.063</v>
      </c>
      <c r="D5483" t="s">
        <v>2252</v>
      </c>
      <c r="E5483">
        <v>30.774894</v>
      </c>
      <c r="F5483" t="s">
        <v>1618</v>
      </c>
      <c r="G5483">
        <v>-89.848123000000001</v>
      </c>
      <c r="H5483">
        <v>1700</v>
      </c>
      <c r="I5483">
        <v>76</v>
      </c>
      <c r="J5483">
        <v>-96</v>
      </c>
      <c r="K5483">
        <v>960</v>
      </c>
      <c r="L5483">
        <v>1200</v>
      </c>
      <c r="M5483" t="str">
        <f t="shared" si="554"/>
        <v xml:space="preserve">N35DC   </v>
      </c>
      <c r="N5483">
        <v>1</v>
      </c>
      <c r="O5483">
        <v>1750</v>
      </c>
    </row>
    <row r="5484" spans="1:15" x14ac:dyDescent="0.25">
      <c r="A5484" t="str">
        <f>"10/21/2020 18:53:31.630"</f>
        <v>10/21/2020 18:53:31.630</v>
      </c>
      <c r="B5484" t="str">
        <f>"18:53:39.570"</f>
        <v>18:53:39.570</v>
      </c>
      <c r="C5484" t="str">
        <f>"18:53:39.170"</f>
        <v>18:53:39.170</v>
      </c>
      <c r="D5484" t="s">
        <v>2253</v>
      </c>
      <c r="E5484">
        <v>30.774443000000002</v>
      </c>
      <c r="F5484" t="s">
        <v>650</v>
      </c>
      <c r="G5484">
        <v>-89.847693000000007</v>
      </c>
      <c r="H5484">
        <v>1700</v>
      </c>
      <c r="I5484">
        <v>75</v>
      </c>
      <c r="J5484">
        <v>-97</v>
      </c>
      <c r="K5484">
        <v>1024</v>
      </c>
      <c r="L5484">
        <v>1200</v>
      </c>
      <c r="M5484" t="str">
        <f t="shared" si="554"/>
        <v xml:space="preserve">N35DC   </v>
      </c>
      <c r="N5484">
        <v>1</v>
      </c>
      <c r="O5484">
        <v>1750</v>
      </c>
    </row>
    <row r="5485" spans="1:15" x14ac:dyDescent="0.25">
      <c r="A5485" t="str">
        <f>"10/21/2020 18:53:31.630"</f>
        <v>10/21/2020 18:53:31.630</v>
      </c>
      <c r="B5485" t="str">
        <f>"18:53:39.570"</f>
        <v>18:53:39.570</v>
      </c>
      <c r="C5485" t="str">
        <f>"18:53:39.170"</f>
        <v>18:53:39.170</v>
      </c>
      <c r="D5485" t="s">
        <v>2253</v>
      </c>
      <c r="E5485">
        <v>30.774443000000002</v>
      </c>
      <c r="F5485" t="s">
        <v>650</v>
      </c>
      <c r="G5485">
        <v>-89.847693000000007</v>
      </c>
      <c r="H5485">
        <v>1700</v>
      </c>
      <c r="I5485">
        <v>75</v>
      </c>
      <c r="J5485">
        <v>-97</v>
      </c>
      <c r="K5485">
        <v>1024</v>
      </c>
      <c r="L5485">
        <v>1200</v>
      </c>
      <c r="M5485" t="str">
        <f t="shared" si="554"/>
        <v xml:space="preserve">N35DC   </v>
      </c>
      <c r="N5485">
        <v>1</v>
      </c>
      <c r="O5485">
        <v>1750</v>
      </c>
    </row>
    <row r="5486" spans="1:15" x14ac:dyDescent="0.25">
      <c r="A5486" t="str">
        <f>"10/21/2020 18:53:31.630"</f>
        <v>10/21/2020 18:53:31.630</v>
      </c>
      <c r="B5486" t="str">
        <f>"18:53:39.570"</f>
        <v>18:53:39.570</v>
      </c>
      <c r="C5486" t="str">
        <f>"18:53:39.170"</f>
        <v>18:53:39.170</v>
      </c>
      <c r="D5486" t="s">
        <v>2253</v>
      </c>
      <c r="E5486">
        <v>30.774443000000002</v>
      </c>
      <c r="F5486" t="s">
        <v>650</v>
      </c>
      <c r="G5486">
        <v>-89.847693000000007</v>
      </c>
      <c r="H5486">
        <v>1700</v>
      </c>
      <c r="I5486">
        <v>75</v>
      </c>
      <c r="J5486">
        <v>-97</v>
      </c>
      <c r="K5486">
        <v>1024</v>
      </c>
      <c r="L5486">
        <v>1200</v>
      </c>
      <c r="M5486" t="str">
        <f t="shared" si="554"/>
        <v xml:space="preserve">N35DC   </v>
      </c>
      <c r="N5486">
        <v>1</v>
      </c>
      <c r="O5486">
        <v>1750</v>
      </c>
    </row>
    <row r="5487" spans="1:15" x14ac:dyDescent="0.25">
      <c r="A5487" t="str">
        <f>"10/21/2020 18:53:31.630"</f>
        <v>10/21/2020 18:53:31.630</v>
      </c>
      <c r="B5487" t="str">
        <f>"18:53:39.570"</f>
        <v>18:53:39.570</v>
      </c>
      <c r="C5487" t="str">
        <f>"18:53:39.170"</f>
        <v>18:53:39.170</v>
      </c>
      <c r="D5487" t="s">
        <v>2253</v>
      </c>
      <c r="E5487">
        <v>30.774443000000002</v>
      </c>
      <c r="F5487" t="s">
        <v>650</v>
      </c>
      <c r="G5487">
        <v>-89.847693000000007</v>
      </c>
      <c r="H5487">
        <v>1700</v>
      </c>
      <c r="I5487">
        <v>75</v>
      </c>
      <c r="J5487">
        <v>-97</v>
      </c>
      <c r="K5487">
        <v>1024</v>
      </c>
      <c r="L5487">
        <v>1200</v>
      </c>
      <c r="M5487" t="str">
        <f t="shared" si="554"/>
        <v xml:space="preserve">N35DC   </v>
      </c>
      <c r="N5487">
        <v>1</v>
      </c>
      <c r="O5487">
        <v>1750</v>
      </c>
    </row>
    <row r="5488" spans="1:15" x14ac:dyDescent="0.25">
      <c r="A5488" t="str">
        <f>"10/21/2020 18:53:32.200"</f>
        <v>10/21/2020 18:53:32.200</v>
      </c>
      <c r="B5488" t="str">
        <f>"18:53:40.125"</f>
        <v>18:53:40.125</v>
      </c>
      <c r="C5488" t="str">
        <f>"18:53:40.125"</f>
        <v>18:53:40.125</v>
      </c>
      <c r="D5488" t="s">
        <v>2254</v>
      </c>
      <c r="E5488">
        <v>30.774207000000001</v>
      </c>
      <c r="F5488" t="s">
        <v>640</v>
      </c>
      <c r="G5488">
        <v>-89.847479000000007</v>
      </c>
      <c r="H5488">
        <v>1700</v>
      </c>
      <c r="I5488">
        <v>75</v>
      </c>
      <c r="J5488">
        <v>-97</v>
      </c>
      <c r="K5488">
        <v>832</v>
      </c>
      <c r="L5488">
        <v>1200</v>
      </c>
      <c r="M5488" t="str">
        <f t="shared" si="554"/>
        <v xml:space="preserve">N35DC   </v>
      </c>
      <c r="N5488">
        <v>1</v>
      </c>
      <c r="O5488">
        <v>1775</v>
      </c>
    </row>
    <row r="5489" spans="1:15" x14ac:dyDescent="0.25">
      <c r="A5489" t="str">
        <f>"10/21/2020 18:53:34.571"</f>
        <v>10/21/2020 18:53:34.571</v>
      </c>
      <c r="B5489" t="str">
        <f>"18:53:42.508"</f>
        <v>18:53:42.508</v>
      </c>
      <c r="C5489" t="str">
        <f>"18:53:42.208"</f>
        <v>18:53:42.208</v>
      </c>
      <c r="D5489" t="s">
        <v>2255</v>
      </c>
      <c r="E5489">
        <v>30.773112999999999</v>
      </c>
      <c r="F5489" t="s">
        <v>611</v>
      </c>
      <c r="G5489">
        <v>-89.846577999999994</v>
      </c>
      <c r="H5489">
        <v>1700</v>
      </c>
      <c r="I5489">
        <v>74</v>
      </c>
      <c r="J5489">
        <v>-99</v>
      </c>
      <c r="K5489">
        <v>512</v>
      </c>
      <c r="L5489">
        <v>1200</v>
      </c>
      <c r="M5489" t="str">
        <f t="shared" si="554"/>
        <v xml:space="preserve">N35DC   </v>
      </c>
      <c r="N5489">
        <v>1</v>
      </c>
      <c r="O5489">
        <v>1800</v>
      </c>
    </row>
    <row r="5490" spans="1:15" x14ac:dyDescent="0.25">
      <c r="A5490" t="str">
        <f>"10/21/2020 18:53:34.571"</f>
        <v>10/21/2020 18:53:34.571</v>
      </c>
      <c r="B5490" t="str">
        <f>"18:53:42.508"</f>
        <v>18:53:42.508</v>
      </c>
      <c r="C5490" t="str">
        <f>"18:53:42.208"</f>
        <v>18:53:42.208</v>
      </c>
      <c r="D5490" t="s">
        <v>2255</v>
      </c>
      <c r="E5490">
        <v>30.773112999999999</v>
      </c>
      <c r="F5490" t="s">
        <v>611</v>
      </c>
      <c r="G5490">
        <v>-89.846577999999994</v>
      </c>
      <c r="H5490">
        <v>1700</v>
      </c>
      <c r="I5490">
        <v>74</v>
      </c>
      <c r="J5490">
        <v>-99</v>
      </c>
      <c r="K5490">
        <v>512</v>
      </c>
      <c r="L5490">
        <v>1200</v>
      </c>
      <c r="M5490" t="str">
        <f t="shared" si="554"/>
        <v xml:space="preserve">N35DC   </v>
      </c>
      <c r="N5490">
        <v>1</v>
      </c>
      <c r="O5490">
        <v>1800</v>
      </c>
    </row>
    <row r="5491" spans="1:15" x14ac:dyDescent="0.25">
      <c r="A5491" t="str">
        <f>"10/21/2020 18:53:34.571"</f>
        <v>10/21/2020 18:53:34.571</v>
      </c>
      <c r="B5491" t="str">
        <f>"18:53:42.508"</f>
        <v>18:53:42.508</v>
      </c>
      <c r="C5491" t="str">
        <f>"18:53:41.708"</f>
        <v>18:53:41.708</v>
      </c>
      <c r="D5491" t="s">
        <v>2255</v>
      </c>
      <c r="E5491">
        <v>30.773112999999999</v>
      </c>
      <c r="F5491" t="s">
        <v>611</v>
      </c>
      <c r="G5491">
        <v>-89.846577999999994</v>
      </c>
      <c r="H5491">
        <v>1700</v>
      </c>
      <c r="I5491">
        <v>74</v>
      </c>
      <c r="J5491">
        <v>-98</v>
      </c>
      <c r="K5491">
        <v>576</v>
      </c>
      <c r="L5491">
        <v>1200</v>
      </c>
      <c r="M5491" t="str">
        <f t="shared" si="554"/>
        <v xml:space="preserve">N35DC   </v>
      </c>
      <c r="N5491">
        <v>1</v>
      </c>
      <c r="O5491">
        <v>1800</v>
      </c>
    </row>
    <row r="5492" spans="1:15" x14ac:dyDescent="0.25">
      <c r="A5492" t="str">
        <f>"10/21/2020 18:53:34.571"</f>
        <v>10/21/2020 18:53:34.571</v>
      </c>
      <c r="B5492" t="str">
        <f>"18:53:42.508"</f>
        <v>18:53:42.508</v>
      </c>
      <c r="C5492" t="str">
        <f>"18:53:42.208"</f>
        <v>18:53:42.208</v>
      </c>
      <c r="D5492" t="s">
        <v>2255</v>
      </c>
      <c r="E5492">
        <v>30.773112999999999</v>
      </c>
      <c r="F5492" t="s">
        <v>611</v>
      </c>
      <c r="G5492">
        <v>-89.846577999999994</v>
      </c>
      <c r="H5492">
        <v>1700</v>
      </c>
      <c r="I5492">
        <v>74</v>
      </c>
      <c r="J5492">
        <v>-99</v>
      </c>
      <c r="K5492">
        <v>512</v>
      </c>
      <c r="L5492">
        <v>1200</v>
      </c>
      <c r="M5492" t="str">
        <f t="shared" si="554"/>
        <v xml:space="preserve">N35DC   </v>
      </c>
      <c r="N5492">
        <v>1</v>
      </c>
      <c r="O5492">
        <v>1800</v>
      </c>
    </row>
    <row r="5493" spans="1:15" x14ac:dyDescent="0.25">
      <c r="A5493" t="str">
        <f>"10/21/2020 18:53:34.571"</f>
        <v>10/21/2020 18:53:34.571</v>
      </c>
      <c r="B5493" t="str">
        <f>"18:53:42.508"</f>
        <v>18:53:42.508</v>
      </c>
      <c r="C5493" t="str">
        <f>"18:53:42.208"</f>
        <v>18:53:42.208</v>
      </c>
      <c r="D5493" t="s">
        <v>2255</v>
      </c>
      <c r="E5493">
        <v>30.773112999999999</v>
      </c>
      <c r="F5493" t="s">
        <v>611</v>
      </c>
      <c r="G5493">
        <v>-89.846577999999994</v>
      </c>
      <c r="H5493">
        <v>1700</v>
      </c>
      <c r="I5493">
        <v>74</v>
      </c>
      <c r="J5493">
        <v>-99</v>
      </c>
      <c r="K5493">
        <v>512</v>
      </c>
      <c r="L5493">
        <v>1200</v>
      </c>
      <c r="M5493" t="str">
        <f t="shared" si="554"/>
        <v xml:space="preserve">N35DC   </v>
      </c>
      <c r="N5493">
        <v>1</v>
      </c>
      <c r="O5493">
        <v>1800</v>
      </c>
    </row>
    <row r="5494" spans="1:15" x14ac:dyDescent="0.25">
      <c r="A5494" t="str">
        <f>"10/21/2020 18:53:35.168"</f>
        <v>10/21/2020 18:53:35.168</v>
      </c>
      <c r="B5494" t="str">
        <f>"18:53:43.063"</f>
        <v>18:53:43.063</v>
      </c>
      <c r="C5494" t="str">
        <f>"18:53:42.663"</f>
        <v>18:53:42.663</v>
      </c>
      <c r="D5494" t="s">
        <v>2256</v>
      </c>
      <c r="E5494">
        <v>30.772898000000001</v>
      </c>
      <c r="F5494" t="s">
        <v>2257</v>
      </c>
      <c r="G5494">
        <v>-89.846362999999997</v>
      </c>
      <c r="H5494">
        <v>1700</v>
      </c>
      <c r="I5494">
        <v>74</v>
      </c>
      <c r="J5494">
        <v>-99</v>
      </c>
      <c r="K5494">
        <v>256</v>
      </c>
      <c r="L5494">
        <v>1200</v>
      </c>
      <c r="M5494" t="str">
        <f t="shared" si="554"/>
        <v xml:space="preserve">N35DC   </v>
      </c>
      <c r="N5494">
        <v>1</v>
      </c>
      <c r="O5494">
        <v>1800</v>
      </c>
    </row>
    <row r="5495" spans="1:15" x14ac:dyDescent="0.25">
      <c r="A5495" t="str">
        <f>"10/21/2020 18:53:35.673"</f>
        <v>10/21/2020 18:53:35.673</v>
      </c>
      <c r="B5495" t="str">
        <f>"18:53:43.570"</f>
        <v>18:53:43.570</v>
      </c>
      <c r="C5495" t="str">
        <f>"18:53:43.170"</f>
        <v>18:53:43.170</v>
      </c>
      <c r="D5495" t="s">
        <v>2258</v>
      </c>
      <c r="E5495">
        <v>30.772662</v>
      </c>
      <c r="F5495" t="s">
        <v>428</v>
      </c>
      <c r="G5495">
        <v>-89.846126999999996</v>
      </c>
      <c r="H5495">
        <v>1700</v>
      </c>
      <c r="I5495">
        <v>74</v>
      </c>
      <c r="J5495">
        <v>-99</v>
      </c>
      <c r="K5495">
        <v>128</v>
      </c>
      <c r="L5495">
        <v>1200</v>
      </c>
      <c r="M5495" t="str">
        <f t="shared" si="554"/>
        <v xml:space="preserve">N35DC   </v>
      </c>
      <c r="N5495">
        <v>1</v>
      </c>
      <c r="O5495">
        <v>1800</v>
      </c>
    </row>
    <row r="5496" spans="1:15" x14ac:dyDescent="0.25">
      <c r="A5496" t="str">
        <f>"10/21/2020 18:53:35.673"</f>
        <v>10/21/2020 18:53:35.673</v>
      </c>
      <c r="B5496" t="str">
        <f>"18:53:43.570"</f>
        <v>18:53:43.570</v>
      </c>
      <c r="C5496" t="str">
        <f>"18:53:43.170"</f>
        <v>18:53:43.170</v>
      </c>
      <c r="D5496" t="s">
        <v>2258</v>
      </c>
      <c r="E5496">
        <v>30.772662</v>
      </c>
      <c r="F5496" t="s">
        <v>428</v>
      </c>
      <c r="G5496">
        <v>-89.846126999999996</v>
      </c>
      <c r="H5496">
        <v>1700</v>
      </c>
      <c r="I5496">
        <v>74</v>
      </c>
      <c r="J5496">
        <v>-99</v>
      </c>
      <c r="K5496">
        <v>128</v>
      </c>
      <c r="L5496">
        <v>1200</v>
      </c>
      <c r="M5496" t="str">
        <f t="shared" si="554"/>
        <v xml:space="preserve">N35DC   </v>
      </c>
      <c r="N5496">
        <v>1</v>
      </c>
      <c r="O5496">
        <v>1800</v>
      </c>
    </row>
    <row r="5497" spans="1:15" x14ac:dyDescent="0.25">
      <c r="A5497" t="str">
        <f>"10/21/2020 18:53:35.673"</f>
        <v>10/21/2020 18:53:35.673</v>
      </c>
      <c r="B5497" t="str">
        <f>"18:53:43.570"</f>
        <v>18:53:43.570</v>
      </c>
      <c r="C5497" t="str">
        <f>"18:53:43.170"</f>
        <v>18:53:43.170</v>
      </c>
      <c r="D5497" t="s">
        <v>2258</v>
      </c>
      <c r="E5497">
        <v>30.772662</v>
      </c>
      <c r="F5497" t="s">
        <v>428</v>
      </c>
      <c r="G5497">
        <v>-89.846126999999996</v>
      </c>
      <c r="H5497">
        <v>1700</v>
      </c>
      <c r="I5497">
        <v>74</v>
      </c>
      <c r="J5497">
        <v>-99</v>
      </c>
      <c r="K5497">
        <v>128</v>
      </c>
      <c r="L5497">
        <v>1200</v>
      </c>
      <c r="M5497" t="str">
        <f t="shared" si="554"/>
        <v xml:space="preserve">N35DC   </v>
      </c>
      <c r="N5497">
        <v>1</v>
      </c>
      <c r="O5497">
        <v>1800</v>
      </c>
    </row>
    <row r="5498" spans="1:15" x14ac:dyDescent="0.25">
      <c r="A5498" t="str">
        <f>"10/21/2020 18:53:35.673"</f>
        <v>10/21/2020 18:53:35.673</v>
      </c>
      <c r="B5498" t="str">
        <f>"18:53:43.570"</f>
        <v>18:53:43.570</v>
      </c>
      <c r="C5498" t="str">
        <f>"18:53:43.170"</f>
        <v>18:53:43.170</v>
      </c>
      <c r="D5498" t="s">
        <v>2258</v>
      </c>
      <c r="E5498">
        <v>30.772662</v>
      </c>
      <c r="F5498" t="s">
        <v>428</v>
      </c>
      <c r="G5498">
        <v>-89.846126999999996</v>
      </c>
      <c r="H5498">
        <v>1700</v>
      </c>
      <c r="I5498">
        <v>74</v>
      </c>
      <c r="J5498">
        <v>-99</v>
      </c>
      <c r="K5498">
        <v>128</v>
      </c>
      <c r="L5498">
        <v>1200</v>
      </c>
      <c r="M5498" t="str">
        <f t="shared" si="554"/>
        <v xml:space="preserve">N35DC   </v>
      </c>
      <c r="N5498">
        <v>1</v>
      </c>
      <c r="O5498">
        <v>1800</v>
      </c>
    </row>
    <row r="5499" spans="1:15" x14ac:dyDescent="0.25">
      <c r="A5499" t="str">
        <f>"10/21/2020 18:53:35.673"</f>
        <v>10/21/2020 18:53:35.673</v>
      </c>
      <c r="B5499" t="str">
        <f>"18:53:43.570"</f>
        <v>18:53:43.570</v>
      </c>
      <c r="C5499" t="str">
        <f>"18:53:43.170"</f>
        <v>18:53:43.170</v>
      </c>
      <c r="D5499" t="s">
        <v>2258</v>
      </c>
      <c r="E5499">
        <v>30.772662</v>
      </c>
      <c r="F5499" t="s">
        <v>428</v>
      </c>
      <c r="G5499">
        <v>-89.846126999999996</v>
      </c>
      <c r="H5499">
        <v>1700</v>
      </c>
      <c r="I5499">
        <v>74</v>
      </c>
      <c r="J5499">
        <v>-99</v>
      </c>
      <c r="K5499">
        <v>128</v>
      </c>
      <c r="L5499">
        <v>1200</v>
      </c>
      <c r="M5499" t="str">
        <f t="shared" si="554"/>
        <v xml:space="preserve">N35DC   </v>
      </c>
      <c r="N5499">
        <v>1</v>
      </c>
      <c r="O5499">
        <v>1800</v>
      </c>
    </row>
    <row r="5500" spans="1:15" x14ac:dyDescent="0.25">
      <c r="A5500" t="str">
        <f>"10/21/2020 18:53:38.037"</f>
        <v>10/21/2020 18:53:38.037</v>
      </c>
      <c r="B5500" t="str">
        <f>"18:53:45.961"</f>
        <v>18:53:45.961</v>
      </c>
      <c r="C5500" t="str">
        <f>"18:53:45.961"</f>
        <v>18:53:45.961</v>
      </c>
      <c r="D5500" t="s">
        <v>2259</v>
      </c>
      <c r="E5500">
        <v>30.771546000000001</v>
      </c>
      <c r="F5500" t="s">
        <v>1573</v>
      </c>
      <c r="G5500">
        <v>-89.845203999999995</v>
      </c>
      <c r="H5500">
        <v>1700</v>
      </c>
      <c r="I5500">
        <v>75</v>
      </c>
      <c r="J5500">
        <v>-102</v>
      </c>
      <c r="K5500">
        <v>-384</v>
      </c>
      <c r="L5500">
        <v>1200</v>
      </c>
      <c r="M5500" t="str">
        <f t="shared" si="554"/>
        <v xml:space="preserve">N35DC   </v>
      </c>
      <c r="N5500">
        <v>1</v>
      </c>
      <c r="O5500">
        <v>1800</v>
      </c>
    </row>
    <row r="5501" spans="1:15" x14ac:dyDescent="0.25">
      <c r="A5501" t="str">
        <f>"10/21/2020 18:53:38.454"</f>
        <v>10/21/2020 18:53:38.454</v>
      </c>
      <c r="B5501" t="str">
        <f>"18:53:46.391"</f>
        <v>18:53:46.391</v>
      </c>
      <c r="C5501" t="str">
        <f>"18:53:45.991"</f>
        <v>18:53:45.991</v>
      </c>
      <c r="D5501" t="s">
        <v>2260</v>
      </c>
      <c r="E5501">
        <v>30.771332000000001</v>
      </c>
      <c r="F5501" t="s">
        <v>551</v>
      </c>
      <c r="G5501">
        <v>-89.845011</v>
      </c>
      <c r="H5501">
        <v>1700</v>
      </c>
      <c r="I5501">
        <v>75</v>
      </c>
      <c r="J5501">
        <v>-102</v>
      </c>
      <c r="K5501">
        <v>-384</v>
      </c>
      <c r="L5501">
        <v>1200</v>
      </c>
      <c r="M5501" t="str">
        <f t="shared" si="554"/>
        <v xml:space="preserve">N35DC   </v>
      </c>
      <c r="N5501">
        <v>1</v>
      </c>
      <c r="O5501">
        <v>1800</v>
      </c>
    </row>
    <row r="5502" spans="1:15" x14ac:dyDescent="0.25">
      <c r="A5502" t="str">
        <f>"10/21/2020 18:53:38.454"</f>
        <v>10/21/2020 18:53:38.454</v>
      </c>
      <c r="B5502" t="str">
        <f>"18:53:46.391"</f>
        <v>18:53:46.391</v>
      </c>
      <c r="C5502" t="str">
        <f>"18:53:45.991"</f>
        <v>18:53:45.991</v>
      </c>
      <c r="D5502" t="s">
        <v>2260</v>
      </c>
      <c r="E5502">
        <v>30.771332000000001</v>
      </c>
      <c r="F5502" t="s">
        <v>551</v>
      </c>
      <c r="G5502">
        <v>-89.845011</v>
      </c>
      <c r="H5502">
        <v>1700</v>
      </c>
      <c r="I5502">
        <v>75</v>
      </c>
      <c r="J5502">
        <v>-102</v>
      </c>
      <c r="K5502">
        <v>-384</v>
      </c>
      <c r="L5502">
        <v>1200</v>
      </c>
      <c r="M5502" t="str">
        <f t="shared" si="554"/>
        <v xml:space="preserve">N35DC   </v>
      </c>
      <c r="N5502">
        <v>1</v>
      </c>
      <c r="O5502">
        <v>1800</v>
      </c>
    </row>
    <row r="5503" spans="1:15" x14ac:dyDescent="0.25">
      <c r="A5503" t="str">
        <f>"10/21/2020 18:53:38.454"</f>
        <v>10/21/2020 18:53:38.454</v>
      </c>
      <c r="B5503" t="str">
        <f>"18:53:46.391"</f>
        <v>18:53:46.391</v>
      </c>
      <c r="C5503" t="str">
        <f>"18:53:45.991"</f>
        <v>18:53:45.991</v>
      </c>
      <c r="D5503" t="s">
        <v>2260</v>
      </c>
      <c r="E5503">
        <v>30.771332000000001</v>
      </c>
      <c r="F5503" t="s">
        <v>551</v>
      </c>
      <c r="G5503">
        <v>-89.845011</v>
      </c>
      <c r="H5503">
        <v>1700</v>
      </c>
      <c r="I5503">
        <v>75</v>
      </c>
      <c r="J5503">
        <v>-102</v>
      </c>
      <c r="K5503">
        <v>-384</v>
      </c>
      <c r="L5503">
        <v>1200</v>
      </c>
      <c r="M5503" t="str">
        <f t="shared" si="554"/>
        <v xml:space="preserve">N35DC   </v>
      </c>
      <c r="N5503">
        <v>1</v>
      </c>
      <c r="O5503">
        <v>1800</v>
      </c>
    </row>
    <row r="5504" spans="1:15" x14ac:dyDescent="0.25">
      <c r="A5504" t="str">
        <f>"10/21/2020 18:53:38.454"</f>
        <v>10/21/2020 18:53:38.454</v>
      </c>
      <c r="B5504" t="str">
        <f>"18:53:46.391"</f>
        <v>18:53:46.391</v>
      </c>
      <c r="C5504" t="str">
        <f>"18:53:45.991"</f>
        <v>18:53:45.991</v>
      </c>
      <c r="D5504" t="s">
        <v>2260</v>
      </c>
      <c r="E5504">
        <v>30.771332000000001</v>
      </c>
      <c r="F5504" t="s">
        <v>551</v>
      </c>
      <c r="G5504">
        <v>-89.845011</v>
      </c>
      <c r="H5504">
        <v>1700</v>
      </c>
      <c r="I5504">
        <v>75</v>
      </c>
      <c r="J5504">
        <v>-102</v>
      </c>
      <c r="K5504">
        <v>-384</v>
      </c>
      <c r="L5504">
        <v>1200</v>
      </c>
      <c r="M5504" t="str">
        <f t="shared" si="554"/>
        <v xml:space="preserve">N35DC   </v>
      </c>
      <c r="N5504">
        <v>1</v>
      </c>
      <c r="O5504">
        <v>1800</v>
      </c>
    </row>
    <row r="5505" spans="1:15" x14ac:dyDescent="0.25">
      <c r="A5505" t="str">
        <f>"10/21/2020 18:53:38.454"</f>
        <v>10/21/2020 18:53:38.454</v>
      </c>
      <c r="B5505" t="str">
        <f>"18:53:46.391"</f>
        <v>18:53:46.391</v>
      </c>
      <c r="C5505" t="str">
        <f>"18:53:45.991"</f>
        <v>18:53:45.991</v>
      </c>
      <c r="D5505" t="s">
        <v>2260</v>
      </c>
      <c r="E5505">
        <v>30.771332000000001</v>
      </c>
      <c r="F5505" t="s">
        <v>551</v>
      </c>
      <c r="G5505">
        <v>-89.845011</v>
      </c>
      <c r="H5505">
        <v>1700</v>
      </c>
      <c r="I5505">
        <v>75</v>
      </c>
      <c r="J5505">
        <v>-102</v>
      </c>
      <c r="K5505">
        <v>-384</v>
      </c>
      <c r="L5505">
        <v>1200</v>
      </c>
      <c r="M5505" t="str">
        <f t="shared" si="554"/>
        <v xml:space="preserve">N35DC   </v>
      </c>
      <c r="N5505">
        <v>1</v>
      </c>
      <c r="O5505">
        <v>1800</v>
      </c>
    </row>
    <row r="5506" spans="1:15" x14ac:dyDescent="0.25">
      <c r="A5506" t="str">
        <f>"10/21/2020 18:53:41.627"</f>
        <v>10/21/2020 18:53:41.627</v>
      </c>
      <c r="B5506" t="str">
        <f>"18:53:49.547"</f>
        <v>18:53:49.547</v>
      </c>
      <c r="C5506" t="str">
        <f>"18:53:49.147"</f>
        <v>18:53:49.147</v>
      </c>
      <c r="D5506" t="s">
        <v>2261</v>
      </c>
      <c r="E5506">
        <v>30.769765</v>
      </c>
      <c r="F5506" t="s">
        <v>1596</v>
      </c>
      <c r="G5506">
        <v>-89.843659000000002</v>
      </c>
      <c r="H5506">
        <v>1700</v>
      </c>
      <c r="I5506">
        <v>80</v>
      </c>
      <c r="J5506">
        <v>-106</v>
      </c>
      <c r="K5506">
        <v>-512</v>
      </c>
      <c r="L5506">
        <v>1200</v>
      </c>
      <c r="M5506" t="str">
        <f t="shared" si="554"/>
        <v xml:space="preserve">N35DC   </v>
      </c>
      <c r="N5506">
        <v>1</v>
      </c>
      <c r="O5506">
        <v>1775</v>
      </c>
    </row>
    <row r="5507" spans="1:15" x14ac:dyDescent="0.25">
      <c r="A5507" t="str">
        <f>"10/21/2020 18:53:41.627"</f>
        <v>10/21/2020 18:53:41.627</v>
      </c>
      <c r="B5507" t="str">
        <f>"18:53:49.547"</f>
        <v>18:53:49.547</v>
      </c>
      <c r="C5507" t="str">
        <f>"18:53:49.147"</f>
        <v>18:53:49.147</v>
      </c>
      <c r="D5507" t="s">
        <v>2261</v>
      </c>
      <c r="E5507">
        <v>30.769765</v>
      </c>
      <c r="F5507" t="s">
        <v>1596</v>
      </c>
      <c r="G5507">
        <v>-89.843659000000002</v>
      </c>
      <c r="H5507">
        <v>1700</v>
      </c>
      <c r="I5507">
        <v>80</v>
      </c>
      <c r="J5507">
        <v>-106</v>
      </c>
      <c r="K5507">
        <v>-512</v>
      </c>
      <c r="L5507">
        <v>1200</v>
      </c>
      <c r="M5507" t="str">
        <f t="shared" si="554"/>
        <v xml:space="preserve">N35DC   </v>
      </c>
      <c r="N5507">
        <v>1</v>
      </c>
      <c r="O5507">
        <v>1775</v>
      </c>
    </row>
    <row r="5508" spans="1:15" x14ac:dyDescent="0.25">
      <c r="A5508" t="str">
        <f>"10/21/2020 18:53:41.627"</f>
        <v>10/21/2020 18:53:41.627</v>
      </c>
      <c r="B5508" t="str">
        <f>"18:53:49.547"</f>
        <v>18:53:49.547</v>
      </c>
      <c r="C5508" t="str">
        <f>"18:53:49.147"</f>
        <v>18:53:49.147</v>
      </c>
      <c r="D5508" t="s">
        <v>2261</v>
      </c>
      <c r="E5508">
        <v>30.769765</v>
      </c>
      <c r="F5508" t="s">
        <v>1596</v>
      </c>
      <c r="G5508">
        <v>-89.843659000000002</v>
      </c>
      <c r="H5508">
        <v>1700</v>
      </c>
      <c r="I5508">
        <v>80</v>
      </c>
      <c r="J5508">
        <v>-106</v>
      </c>
      <c r="K5508">
        <v>-512</v>
      </c>
      <c r="L5508">
        <v>1200</v>
      </c>
      <c r="M5508" t="str">
        <f t="shared" si="554"/>
        <v xml:space="preserve">N35DC   </v>
      </c>
      <c r="N5508">
        <v>1</v>
      </c>
      <c r="O5508">
        <v>1775</v>
      </c>
    </row>
    <row r="5509" spans="1:15" x14ac:dyDescent="0.25">
      <c r="A5509" t="str">
        <f>"10/21/2020 18:53:41.627"</f>
        <v>10/21/2020 18:53:41.627</v>
      </c>
      <c r="B5509" t="str">
        <f>"18:53:49.547"</f>
        <v>18:53:49.547</v>
      </c>
      <c r="C5509" t="str">
        <f>"18:53:49.147"</f>
        <v>18:53:49.147</v>
      </c>
      <c r="D5509" t="s">
        <v>2261</v>
      </c>
      <c r="E5509">
        <v>30.769765</v>
      </c>
      <c r="F5509" t="s">
        <v>1596</v>
      </c>
      <c r="G5509">
        <v>-89.843659000000002</v>
      </c>
      <c r="H5509">
        <v>1700</v>
      </c>
      <c r="I5509">
        <v>80</v>
      </c>
      <c r="J5509">
        <v>-106</v>
      </c>
      <c r="K5509">
        <v>-512</v>
      </c>
      <c r="L5509">
        <v>1200</v>
      </c>
      <c r="M5509" t="str">
        <f t="shared" si="554"/>
        <v xml:space="preserve">N35DC   </v>
      </c>
      <c r="N5509">
        <v>1</v>
      </c>
      <c r="O5509">
        <v>1775</v>
      </c>
    </row>
    <row r="5510" spans="1:15" x14ac:dyDescent="0.25">
      <c r="A5510" t="str">
        <f>"10/21/2020 18:53:41.627"</f>
        <v>10/21/2020 18:53:41.627</v>
      </c>
      <c r="B5510" t="str">
        <f>"18:53:49.547"</f>
        <v>18:53:49.547</v>
      </c>
      <c r="C5510" t="str">
        <f>"18:53:49.147"</f>
        <v>18:53:49.147</v>
      </c>
      <c r="D5510" t="s">
        <v>2261</v>
      </c>
      <c r="E5510">
        <v>30.769765</v>
      </c>
      <c r="F5510" t="s">
        <v>1596</v>
      </c>
      <c r="G5510">
        <v>-89.843659000000002</v>
      </c>
      <c r="H5510">
        <v>1700</v>
      </c>
      <c r="I5510">
        <v>80</v>
      </c>
      <c r="J5510">
        <v>-106</v>
      </c>
      <c r="K5510">
        <v>-512</v>
      </c>
      <c r="L5510">
        <v>1200</v>
      </c>
      <c r="M5510" t="str">
        <f t="shared" si="554"/>
        <v xml:space="preserve">N35DC   </v>
      </c>
      <c r="N5510">
        <v>1</v>
      </c>
      <c r="O5510">
        <v>1775</v>
      </c>
    </row>
    <row r="5511" spans="1:15" x14ac:dyDescent="0.25">
      <c r="A5511" t="str">
        <f>"10/21/2020 18:53:42.163"</f>
        <v>10/21/2020 18:53:42.163</v>
      </c>
      <c r="B5511" t="str">
        <f>"18:53:50.070"</f>
        <v>18:53:50.070</v>
      </c>
      <c r="C5511" t="str">
        <f>"18:53:49.670"</f>
        <v>18:53:49.670</v>
      </c>
      <c r="D5511" t="s">
        <v>2262</v>
      </c>
      <c r="E5511">
        <v>30.769507999999998</v>
      </c>
      <c r="F5511" t="s">
        <v>2263</v>
      </c>
      <c r="G5511">
        <v>-89.843445000000003</v>
      </c>
      <c r="H5511">
        <v>1700</v>
      </c>
      <c r="I5511">
        <v>81</v>
      </c>
      <c r="J5511">
        <v>-106</v>
      </c>
      <c r="K5511">
        <v>-512</v>
      </c>
      <c r="L5511">
        <v>1200</v>
      </c>
      <c r="M5511" t="str">
        <f t="shared" ref="M5511:M5574" si="569">"N35DC   "</f>
        <v xml:space="preserve">N35DC   </v>
      </c>
      <c r="N5511">
        <v>1</v>
      </c>
      <c r="O5511">
        <v>1750</v>
      </c>
    </row>
    <row r="5512" spans="1:15" x14ac:dyDescent="0.25">
      <c r="A5512" t="str">
        <f>"10/21/2020 18:53:42.684"</f>
        <v>10/21/2020 18:53:42.684</v>
      </c>
      <c r="B5512" t="str">
        <f>"18:53:50.625"</f>
        <v>18:53:50.625</v>
      </c>
      <c r="C5512" t="str">
        <f>"18:53:50.225"</f>
        <v>18:53:50.225</v>
      </c>
      <c r="D5512" t="s">
        <v>2264</v>
      </c>
      <c r="E5512">
        <v>30.769207000000002</v>
      </c>
      <c r="F5512" t="s">
        <v>566</v>
      </c>
      <c r="G5512">
        <v>-89.843165999999997</v>
      </c>
      <c r="H5512">
        <v>1700</v>
      </c>
      <c r="I5512">
        <v>82</v>
      </c>
      <c r="J5512">
        <v>-107</v>
      </c>
      <c r="K5512">
        <v>-640</v>
      </c>
      <c r="L5512">
        <v>1200</v>
      </c>
      <c r="M5512" t="str">
        <f t="shared" si="569"/>
        <v xml:space="preserve">N35DC   </v>
      </c>
      <c r="N5512">
        <v>1</v>
      </c>
      <c r="O5512">
        <v>1750</v>
      </c>
    </row>
    <row r="5513" spans="1:15" x14ac:dyDescent="0.25">
      <c r="A5513" t="str">
        <f>"10/21/2020 18:53:42.684"</f>
        <v>10/21/2020 18:53:42.684</v>
      </c>
      <c r="B5513" t="str">
        <f>"18:53:50.625"</f>
        <v>18:53:50.625</v>
      </c>
      <c r="C5513" t="str">
        <f>"18:53:50.225"</f>
        <v>18:53:50.225</v>
      </c>
      <c r="D5513" t="s">
        <v>2264</v>
      </c>
      <c r="E5513">
        <v>30.769207000000002</v>
      </c>
      <c r="F5513" t="s">
        <v>566</v>
      </c>
      <c r="G5513">
        <v>-89.843165999999997</v>
      </c>
      <c r="H5513">
        <v>1700</v>
      </c>
      <c r="I5513">
        <v>82</v>
      </c>
      <c r="J5513">
        <v>-107</v>
      </c>
      <c r="K5513">
        <v>-640</v>
      </c>
      <c r="L5513">
        <v>1200</v>
      </c>
      <c r="M5513" t="str">
        <f t="shared" si="569"/>
        <v xml:space="preserve">N35DC   </v>
      </c>
      <c r="N5513">
        <v>1</v>
      </c>
      <c r="O5513">
        <v>1750</v>
      </c>
    </row>
    <row r="5514" spans="1:15" x14ac:dyDescent="0.25">
      <c r="A5514" t="str">
        <f>"10/21/2020 18:53:42.684"</f>
        <v>10/21/2020 18:53:42.684</v>
      </c>
      <c r="B5514" t="str">
        <f>"18:53:50.625"</f>
        <v>18:53:50.625</v>
      </c>
      <c r="C5514" t="str">
        <f>"18:53:50.225"</f>
        <v>18:53:50.225</v>
      </c>
      <c r="D5514" t="s">
        <v>2264</v>
      </c>
      <c r="E5514">
        <v>30.769207000000002</v>
      </c>
      <c r="F5514" t="s">
        <v>566</v>
      </c>
      <c r="G5514">
        <v>-89.843165999999997</v>
      </c>
      <c r="H5514">
        <v>1700</v>
      </c>
      <c r="I5514">
        <v>82</v>
      </c>
      <c r="J5514">
        <v>-107</v>
      </c>
      <c r="K5514">
        <v>-640</v>
      </c>
      <c r="L5514">
        <v>1200</v>
      </c>
      <c r="M5514" t="str">
        <f t="shared" si="569"/>
        <v xml:space="preserve">N35DC   </v>
      </c>
      <c r="N5514">
        <v>1</v>
      </c>
      <c r="O5514">
        <v>1750</v>
      </c>
    </row>
    <row r="5515" spans="1:15" x14ac:dyDescent="0.25">
      <c r="A5515" t="str">
        <f>"10/21/2020 18:53:42.684"</f>
        <v>10/21/2020 18:53:42.684</v>
      </c>
      <c r="B5515" t="str">
        <f>"18:53:50.625"</f>
        <v>18:53:50.625</v>
      </c>
      <c r="C5515" t="str">
        <f>"18:53:50.225"</f>
        <v>18:53:50.225</v>
      </c>
      <c r="D5515" t="s">
        <v>2264</v>
      </c>
      <c r="E5515">
        <v>30.769207000000002</v>
      </c>
      <c r="F5515" t="s">
        <v>566</v>
      </c>
      <c r="G5515">
        <v>-89.843165999999997</v>
      </c>
      <c r="H5515">
        <v>1700</v>
      </c>
      <c r="I5515">
        <v>82</v>
      </c>
      <c r="J5515">
        <v>-107</v>
      </c>
      <c r="K5515">
        <v>-640</v>
      </c>
      <c r="L5515">
        <v>1200</v>
      </c>
      <c r="M5515" t="str">
        <f t="shared" si="569"/>
        <v xml:space="preserve">N35DC   </v>
      </c>
      <c r="N5515">
        <v>1</v>
      </c>
      <c r="O5515">
        <v>1750</v>
      </c>
    </row>
    <row r="5516" spans="1:15" x14ac:dyDescent="0.25">
      <c r="A5516" t="str">
        <f>"10/21/2020 18:53:42.684"</f>
        <v>10/21/2020 18:53:42.684</v>
      </c>
      <c r="B5516" t="str">
        <f>"18:53:50.625"</f>
        <v>18:53:50.625</v>
      </c>
      <c r="C5516" t="str">
        <f>"18:53:50.225"</f>
        <v>18:53:50.225</v>
      </c>
      <c r="D5516" t="s">
        <v>2264</v>
      </c>
      <c r="E5516">
        <v>30.769207000000002</v>
      </c>
      <c r="F5516" t="s">
        <v>566</v>
      </c>
      <c r="G5516">
        <v>-89.843165999999997</v>
      </c>
      <c r="H5516">
        <v>1700</v>
      </c>
      <c r="I5516">
        <v>82</v>
      </c>
      <c r="J5516">
        <v>-107</v>
      </c>
      <c r="K5516">
        <v>-640</v>
      </c>
      <c r="L5516">
        <v>1200</v>
      </c>
      <c r="M5516" t="str">
        <f t="shared" si="569"/>
        <v xml:space="preserve">N35DC   </v>
      </c>
      <c r="N5516">
        <v>1</v>
      </c>
      <c r="O5516">
        <v>1750</v>
      </c>
    </row>
    <row r="5517" spans="1:15" x14ac:dyDescent="0.25">
      <c r="A5517" t="str">
        <f>"10/21/2020 18:53:45.078"</f>
        <v>10/21/2020 18:53:45.078</v>
      </c>
      <c r="B5517" t="str">
        <f>"18:53:52.977"</f>
        <v>18:53:52.977</v>
      </c>
      <c r="C5517" t="str">
        <f>"18:53:52.577"</f>
        <v>18:53:52.577</v>
      </c>
      <c r="D5517" t="s">
        <v>2265</v>
      </c>
      <c r="E5517">
        <v>30.768049000000001</v>
      </c>
      <c r="F5517" t="s">
        <v>2266</v>
      </c>
      <c r="G5517">
        <v>-89.842135999999996</v>
      </c>
      <c r="H5517">
        <v>1700</v>
      </c>
      <c r="I5517">
        <v>84</v>
      </c>
      <c r="J5517">
        <v>-108</v>
      </c>
      <c r="K5517">
        <v>-448</v>
      </c>
      <c r="L5517">
        <v>1200</v>
      </c>
      <c r="M5517" t="str">
        <f t="shared" si="569"/>
        <v xml:space="preserve">N35DC   </v>
      </c>
      <c r="N5517">
        <v>1</v>
      </c>
      <c r="O5517">
        <v>1725</v>
      </c>
    </row>
    <row r="5518" spans="1:15" x14ac:dyDescent="0.25">
      <c r="A5518" t="str">
        <f>"10/21/2020 18:53:45.908"</f>
        <v>10/21/2020 18:53:45.908</v>
      </c>
      <c r="B5518" t="str">
        <f>"18:53:53.875"</f>
        <v>18:53:53.875</v>
      </c>
      <c r="C5518" t="str">
        <f>"18:53:53.575"</f>
        <v>18:53:53.575</v>
      </c>
      <c r="D5518" t="s">
        <v>2267</v>
      </c>
      <c r="E5518">
        <v>30.767641000000001</v>
      </c>
      <c r="F5518" t="s">
        <v>1588</v>
      </c>
      <c r="G5518">
        <v>-89.841750000000005</v>
      </c>
      <c r="H5518">
        <v>1700</v>
      </c>
      <c r="I5518">
        <v>84</v>
      </c>
      <c r="J5518">
        <v>-109</v>
      </c>
      <c r="K5518">
        <v>0</v>
      </c>
      <c r="L5518">
        <v>1200</v>
      </c>
      <c r="M5518" t="str">
        <f t="shared" si="569"/>
        <v xml:space="preserve">N35DC   </v>
      </c>
      <c r="N5518">
        <v>1</v>
      </c>
      <c r="O5518">
        <v>1825</v>
      </c>
    </row>
    <row r="5519" spans="1:15" x14ac:dyDescent="0.25">
      <c r="A5519" t="str">
        <f>"10/21/2020 18:53:45.908"</f>
        <v>10/21/2020 18:53:45.908</v>
      </c>
      <c r="B5519" t="str">
        <f>"18:53:53.875"</f>
        <v>18:53:53.875</v>
      </c>
      <c r="C5519" t="str">
        <f>"18:53:53.575"</f>
        <v>18:53:53.575</v>
      </c>
      <c r="D5519" t="s">
        <v>2267</v>
      </c>
      <c r="E5519">
        <v>30.767641000000001</v>
      </c>
      <c r="F5519" t="s">
        <v>1588</v>
      </c>
      <c r="G5519">
        <v>-89.841750000000005</v>
      </c>
      <c r="H5519">
        <v>1700</v>
      </c>
      <c r="I5519">
        <v>84</v>
      </c>
      <c r="J5519">
        <v>-109</v>
      </c>
      <c r="K5519">
        <v>0</v>
      </c>
      <c r="L5519">
        <v>1200</v>
      </c>
      <c r="M5519" t="str">
        <f t="shared" si="569"/>
        <v xml:space="preserve">N35DC   </v>
      </c>
      <c r="N5519">
        <v>1</v>
      </c>
      <c r="O5519">
        <v>1825</v>
      </c>
    </row>
    <row r="5520" spans="1:15" x14ac:dyDescent="0.25">
      <c r="A5520" t="str">
        <f>"10/21/2020 18:53:45.908"</f>
        <v>10/21/2020 18:53:45.908</v>
      </c>
      <c r="B5520" t="str">
        <f>"18:53:53.875"</f>
        <v>18:53:53.875</v>
      </c>
      <c r="C5520" t="str">
        <f>"18:53:53.575"</f>
        <v>18:53:53.575</v>
      </c>
      <c r="D5520" t="s">
        <v>2267</v>
      </c>
      <c r="E5520">
        <v>30.767641000000001</v>
      </c>
      <c r="F5520" t="s">
        <v>1588</v>
      </c>
      <c r="G5520">
        <v>-89.841750000000005</v>
      </c>
      <c r="H5520">
        <v>1700</v>
      </c>
      <c r="I5520">
        <v>84</v>
      </c>
      <c r="J5520">
        <v>-109</v>
      </c>
      <c r="K5520">
        <v>0</v>
      </c>
      <c r="L5520">
        <v>1200</v>
      </c>
      <c r="M5520" t="str">
        <f t="shared" si="569"/>
        <v xml:space="preserve">N35DC   </v>
      </c>
      <c r="N5520">
        <v>1</v>
      </c>
      <c r="O5520">
        <v>1825</v>
      </c>
    </row>
    <row r="5521" spans="1:15" x14ac:dyDescent="0.25">
      <c r="A5521" t="str">
        <f>"10/21/2020 18:53:45.908"</f>
        <v>10/21/2020 18:53:45.908</v>
      </c>
      <c r="B5521" t="str">
        <f>"18:53:53.875"</f>
        <v>18:53:53.875</v>
      </c>
      <c r="C5521" t="str">
        <f>"18:53:53.575"</f>
        <v>18:53:53.575</v>
      </c>
      <c r="D5521" t="s">
        <v>2267</v>
      </c>
      <c r="E5521">
        <v>30.767641000000001</v>
      </c>
      <c r="F5521" t="s">
        <v>1588</v>
      </c>
      <c r="G5521">
        <v>-89.841750000000005</v>
      </c>
      <c r="H5521">
        <v>1700</v>
      </c>
      <c r="I5521">
        <v>84</v>
      </c>
      <c r="J5521">
        <v>-109</v>
      </c>
      <c r="K5521">
        <v>0</v>
      </c>
      <c r="L5521">
        <v>1200</v>
      </c>
      <c r="M5521" t="str">
        <f t="shared" si="569"/>
        <v xml:space="preserve">N35DC   </v>
      </c>
      <c r="N5521">
        <v>1</v>
      </c>
      <c r="O5521">
        <v>1825</v>
      </c>
    </row>
    <row r="5522" spans="1:15" x14ac:dyDescent="0.25">
      <c r="A5522" t="str">
        <f>"10/21/2020 18:53:45.908"</f>
        <v>10/21/2020 18:53:45.908</v>
      </c>
      <c r="B5522" t="str">
        <f>"18:53:53.875"</f>
        <v>18:53:53.875</v>
      </c>
      <c r="C5522" t="str">
        <f>"18:53:53.575"</f>
        <v>18:53:53.575</v>
      </c>
      <c r="D5522" t="s">
        <v>2267</v>
      </c>
      <c r="E5522">
        <v>30.767641000000001</v>
      </c>
      <c r="F5522" t="s">
        <v>1588</v>
      </c>
      <c r="G5522">
        <v>-89.841750000000005</v>
      </c>
      <c r="H5522">
        <v>1700</v>
      </c>
      <c r="I5522">
        <v>84</v>
      </c>
      <c r="J5522">
        <v>-109</v>
      </c>
      <c r="K5522">
        <v>0</v>
      </c>
      <c r="L5522">
        <v>1200</v>
      </c>
      <c r="M5522" t="str">
        <f t="shared" si="569"/>
        <v xml:space="preserve">N35DC   </v>
      </c>
      <c r="N5522">
        <v>1</v>
      </c>
      <c r="O5522">
        <v>1825</v>
      </c>
    </row>
    <row r="5523" spans="1:15" x14ac:dyDescent="0.25">
      <c r="A5523" t="str">
        <f>"10/21/2020 18:53:46.536"</f>
        <v>10/21/2020 18:53:46.536</v>
      </c>
      <c r="B5523" t="str">
        <f>"18:53:54.477"</f>
        <v>18:53:54.477</v>
      </c>
      <c r="C5523" t="str">
        <f>"18:53:53.977"</f>
        <v>18:53:53.977</v>
      </c>
      <c r="D5523" t="s">
        <v>2268</v>
      </c>
      <c r="E5523">
        <v>30.767298</v>
      </c>
      <c r="F5523" t="s">
        <v>2269</v>
      </c>
      <c r="G5523">
        <v>-89.841448999999997</v>
      </c>
      <c r="H5523">
        <v>1700</v>
      </c>
      <c r="I5523">
        <v>84</v>
      </c>
      <c r="J5523">
        <v>-109</v>
      </c>
      <c r="K5523">
        <v>0</v>
      </c>
      <c r="L5523">
        <v>1200</v>
      </c>
      <c r="M5523" t="str">
        <f t="shared" si="569"/>
        <v xml:space="preserve">N35DC   </v>
      </c>
      <c r="N5523">
        <v>1</v>
      </c>
      <c r="O5523">
        <v>1825</v>
      </c>
    </row>
    <row r="5524" spans="1:15" x14ac:dyDescent="0.25">
      <c r="A5524" t="str">
        <f t="shared" ref="A5524:A5529" si="570">"10/21/2020 18:53:49.053"</f>
        <v>10/21/2020 18:53:49.053</v>
      </c>
      <c r="B5524" t="str">
        <f t="shared" ref="B5524:B5529" si="571">"18:53:57.000"</f>
        <v>18:53:57.000</v>
      </c>
      <c r="C5524" t="str">
        <f t="shared" ref="C5524:C5529" si="572">"18:53:56.700"</f>
        <v>18:53:56.700</v>
      </c>
      <c r="D5524" t="s">
        <v>2270</v>
      </c>
      <c r="E5524">
        <v>30.766010000000001</v>
      </c>
      <c r="F5524" t="s">
        <v>2271</v>
      </c>
      <c r="G5524">
        <v>-89.840311999999997</v>
      </c>
      <c r="H5524">
        <v>1700</v>
      </c>
      <c r="I5524">
        <v>83</v>
      </c>
      <c r="J5524">
        <v>-111</v>
      </c>
      <c r="K5524">
        <v>256</v>
      </c>
      <c r="L5524">
        <v>1200</v>
      </c>
      <c r="M5524" t="str">
        <f t="shared" si="569"/>
        <v xml:space="preserve">N35DC   </v>
      </c>
      <c r="N5524">
        <v>1</v>
      </c>
      <c r="O5524">
        <v>1750</v>
      </c>
    </row>
    <row r="5525" spans="1:15" x14ac:dyDescent="0.25">
      <c r="A5525" t="str">
        <f t="shared" si="570"/>
        <v>10/21/2020 18:53:49.053</v>
      </c>
      <c r="B5525" t="str">
        <f t="shared" si="571"/>
        <v>18:53:57.000</v>
      </c>
      <c r="C5525" t="str">
        <f t="shared" si="572"/>
        <v>18:53:56.700</v>
      </c>
      <c r="D5525" t="s">
        <v>2270</v>
      </c>
      <c r="E5525">
        <v>30.766010000000001</v>
      </c>
      <c r="F5525" t="s">
        <v>2271</v>
      </c>
      <c r="G5525">
        <v>-89.840311999999997</v>
      </c>
      <c r="H5525">
        <v>1700</v>
      </c>
      <c r="I5525">
        <v>83</v>
      </c>
      <c r="J5525">
        <v>-111</v>
      </c>
      <c r="K5525">
        <v>256</v>
      </c>
      <c r="L5525">
        <v>1200</v>
      </c>
      <c r="M5525" t="str">
        <f t="shared" si="569"/>
        <v xml:space="preserve">N35DC   </v>
      </c>
      <c r="N5525">
        <v>1</v>
      </c>
      <c r="O5525">
        <v>1750</v>
      </c>
    </row>
    <row r="5526" spans="1:15" x14ac:dyDescent="0.25">
      <c r="A5526" t="str">
        <f t="shared" si="570"/>
        <v>10/21/2020 18:53:49.053</v>
      </c>
      <c r="B5526" t="str">
        <f t="shared" si="571"/>
        <v>18:53:57.000</v>
      </c>
      <c r="C5526" t="str">
        <f t="shared" si="572"/>
        <v>18:53:56.700</v>
      </c>
      <c r="D5526" t="s">
        <v>2270</v>
      </c>
      <c r="E5526">
        <v>30.766010000000001</v>
      </c>
      <c r="F5526" t="s">
        <v>2271</v>
      </c>
      <c r="G5526">
        <v>-89.840311999999997</v>
      </c>
      <c r="H5526">
        <v>1700</v>
      </c>
      <c r="I5526">
        <v>83</v>
      </c>
      <c r="J5526">
        <v>-111</v>
      </c>
      <c r="K5526">
        <v>256</v>
      </c>
      <c r="L5526">
        <v>1200</v>
      </c>
      <c r="M5526" t="str">
        <f t="shared" si="569"/>
        <v xml:space="preserve">N35DC   </v>
      </c>
      <c r="N5526">
        <v>1</v>
      </c>
      <c r="O5526">
        <v>1750</v>
      </c>
    </row>
    <row r="5527" spans="1:15" x14ac:dyDescent="0.25">
      <c r="A5527" t="str">
        <f t="shared" si="570"/>
        <v>10/21/2020 18:53:49.053</v>
      </c>
      <c r="B5527" t="str">
        <f t="shared" si="571"/>
        <v>18:53:57.000</v>
      </c>
      <c r="C5527" t="str">
        <f t="shared" si="572"/>
        <v>18:53:56.700</v>
      </c>
      <c r="D5527" t="s">
        <v>2270</v>
      </c>
      <c r="E5527">
        <v>30.766010000000001</v>
      </c>
      <c r="F5527" t="s">
        <v>2271</v>
      </c>
      <c r="G5527">
        <v>-89.840311999999997</v>
      </c>
      <c r="H5527">
        <v>1700</v>
      </c>
      <c r="I5527">
        <v>83</v>
      </c>
      <c r="J5527">
        <v>-111</v>
      </c>
      <c r="K5527">
        <v>256</v>
      </c>
      <c r="L5527">
        <v>1200</v>
      </c>
      <c r="M5527" t="str">
        <f t="shared" si="569"/>
        <v xml:space="preserve">N35DC   </v>
      </c>
      <c r="N5527">
        <v>1</v>
      </c>
      <c r="O5527">
        <v>1750</v>
      </c>
    </row>
    <row r="5528" spans="1:15" x14ac:dyDescent="0.25">
      <c r="A5528" t="str">
        <f t="shared" si="570"/>
        <v>10/21/2020 18:53:49.053</v>
      </c>
      <c r="B5528" t="str">
        <f t="shared" si="571"/>
        <v>18:53:57.000</v>
      </c>
      <c r="C5528" t="str">
        <f t="shared" si="572"/>
        <v>18:53:56.700</v>
      </c>
      <c r="D5528" t="s">
        <v>2270</v>
      </c>
      <c r="E5528">
        <v>30.766010000000001</v>
      </c>
      <c r="F5528" t="s">
        <v>2271</v>
      </c>
      <c r="G5528">
        <v>-89.840311999999997</v>
      </c>
      <c r="H5528">
        <v>1700</v>
      </c>
      <c r="I5528">
        <v>83</v>
      </c>
      <c r="J5528">
        <v>-111</v>
      </c>
      <c r="K5528">
        <v>256</v>
      </c>
      <c r="L5528">
        <v>1200</v>
      </c>
      <c r="M5528" t="str">
        <f t="shared" si="569"/>
        <v xml:space="preserve">N35DC   </v>
      </c>
      <c r="N5528">
        <v>1</v>
      </c>
      <c r="O5528">
        <v>1750</v>
      </c>
    </row>
    <row r="5529" spans="1:15" x14ac:dyDescent="0.25">
      <c r="A5529" t="str">
        <f t="shared" si="570"/>
        <v>10/21/2020 18:53:49.053</v>
      </c>
      <c r="B5529" t="str">
        <f t="shared" si="571"/>
        <v>18:53:57.000</v>
      </c>
      <c r="C5529" t="str">
        <f t="shared" si="572"/>
        <v>18:53:56.700</v>
      </c>
      <c r="D5529" t="s">
        <v>2270</v>
      </c>
      <c r="E5529">
        <v>30.766010000000001</v>
      </c>
      <c r="F5529" t="s">
        <v>2271</v>
      </c>
      <c r="G5529">
        <v>-89.840311999999997</v>
      </c>
      <c r="H5529">
        <v>1700</v>
      </c>
      <c r="I5529">
        <v>83</v>
      </c>
      <c r="J5529">
        <v>-111</v>
      </c>
      <c r="K5529">
        <v>256</v>
      </c>
      <c r="L5529">
        <v>1200</v>
      </c>
      <c r="M5529" t="str">
        <f t="shared" si="569"/>
        <v xml:space="preserve">N35DC   </v>
      </c>
      <c r="N5529">
        <v>1</v>
      </c>
      <c r="O5529">
        <v>1750</v>
      </c>
    </row>
    <row r="5530" spans="1:15" x14ac:dyDescent="0.25">
      <c r="A5530" t="str">
        <f>"10/21/2020 18:53:50.015"</f>
        <v>10/21/2020 18:53:50.015</v>
      </c>
      <c r="B5530" t="str">
        <f>"18:53:57.969"</f>
        <v>18:53:57.969</v>
      </c>
      <c r="C5530" t="str">
        <f>"18:53:57.769"</f>
        <v>18:53:57.769</v>
      </c>
      <c r="D5530" t="s">
        <v>2272</v>
      </c>
      <c r="E5530">
        <v>30.765516999999999</v>
      </c>
      <c r="F5530" t="s">
        <v>2273</v>
      </c>
      <c r="G5530">
        <v>-89.839883</v>
      </c>
      <c r="H5530">
        <v>1700</v>
      </c>
      <c r="I5530">
        <v>82</v>
      </c>
      <c r="J5530">
        <v>-112</v>
      </c>
      <c r="K5530">
        <v>320</v>
      </c>
      <c r="L5530">
        <v>1200</v>
      </c>
      <c r="M5530" t="str">
        <f t="shared" si="569"/>
        <v xml:space="preserve">N35DC   </v>
      </c>
      <c r="N5530">
        <v>1</v>
      </c>
      <c r="O5530">
        <v>1750</v>
      </c>
    </row>
    <row r="5531" spans="1:15" x14ac:dyDescent="0.25">
      <c r="A5531" t="str">
        <f>"10/21/2020 18:53:50.015"</f>
        <v>10/21/2020 18:53:50.015</v>
      </c>
      <c r="B5531" t="str">
        <f>"18:53:57.969"</f>
        <v>18:53:57.969</v>
      </c>
      <c r="C5531" t="str">
        <f>"18:53:57.769"</f>
        <v>18:53:57.769</v>
      </c>
      <c r="D5531" t="s">
        <v>2272</v>
      </c>
      <c r="E5531">
        <v>30.765516999999999</v>
      </c>
      <c r="F5531" t="s">
        <v>2273</v>
      </c>
      <c r="G5531">
        <v>-89.839883</v>
      </c>
      <c r="H5531">
        <v>1700</v>
      </c>
      <c r="I5531">
        <v>82</v>
      </c>
      <c r="J5531">
        <v>-112</v>
      </c>
      <c r="K5531">
        <v>320</v>
      </c>
      <c r="L5531">
        <v>1200</v>
      </c>
      <c r="M5531" t="str">
        <f t="shared" si="569"/>
        <v xml:space="preserve">N35DC   </v>
      </c>
      <c r="N5531">
        <v>1</v>
      </c>
      <c r="O5531">
        <v>1750</v>
      </c>
    </row>
    <row r="5532" spans="1:15" x14ac:dyDescent="0.25">
      <c r="A5532" t="str">
        <f>"10/21/2020 18:53:50.015"</f>
        <v>10/21/2020 18:53:50.015</v>
      </c>
      <c r="B5532" t="str">
        <f>"18:53:57.969"</f>
        <v>18:53:57.969</v>
      </c>
      <c r="C5532" t="str">
        <f>"18:53:57.769"</f>
        <v>18:53:57.769</v>
      </c>
      <c r="D5532" t="s">
        <v>2272</v>
      </c>
      <c r="E5532">
        <v>30.765516999999999</v>
      </c>
      <c r="F5532" t="s">
        <v>2273</v>
      </c>
      <c r="G5532">
        <v>-89.839883</v>
      </c>
      <c r="H5532">
        <v>1700</v>
      </c>
      <c r="I5532">
        <v>82</v>
      </c>
      <c r="J5532">
        <v>-112</v>
      </c>
      <c r="K5532">
        <v>320</v>
      </c>
      <c r="L5532">
        <v>1200</v>
      </c>
      <c r="M5532" t="str">
        <f t="shared" si="569"/>
        <v xml:space="preserve">N35DC   </v>
      </c>
      <c r="N5532">
        <v>1</v>
      </c>
      <c r="O5532">
        <v>1750</v>
      </c>
    </row>
    <row r="5533" spans="1:15" x14ac:dyDescent="0.25">
      <c r="A5533" t="str">
        <f>"10/21/2020 18:53:50.015"</f>
        <v>10/21/2020 18:53:50.015</v>
      </c>
      <c r="B5533" t="str">
        <f>"18:53:57.969"</f>
        <v>18:53:57.969</v>
      </c>
      <c r="C5533" t="str">
        <f>"18:53:57.769"</f>
        <v>18:53:57.769</v>
      </c>
      <c r="D5533" t="s">
        <v>2272</v>
      </c>
      <c r="E5533">
        <v>30.765516999999999</v>
      </c>
      <c r="F5533" t="s">
        <v>2273</v>
      </c>
      <c r="G5533">
        <v>-89.839883</v>
      </c>
      <c r="H5533">
        <v>1700</v>
      </c>
      <c r="I5533">
        <v>82</v>
      </c>
      <c r="J5533">
        <v>-112</v>
      </c>
      <c r="K5533">
        <v>320</v>
      </c>
      <c r="L5533">
        <v>1200</v>
      </c>
      <c r="M5533" t="str">
        <f t="shared" si="569"/>
        <v xml:space="preserve">N35DC   </v>
      </c>
      <c r="N5533">
        <v>1</v>
      </c>
      <c r="O5533">
        <v>1750</v>
      </c>
    </row>
    <row r="5534" spans="1:15" x14ac:dyDescent="0.25">
      <c r="A5534" t="str">
        <f>"10/21/2020 18:53:50.015"</f>
        <v>10/21/2020 18:53:50.015</v>
      </c>
      <c r="B5534" t="str">
        <f>"18:53:57.969"</f>
        <v>18:53:57.969</v>
      </c>
      <c r="C5534" t="str">
        <f>"18:53:57.769"</f>
        <v>18:53:57.769</v>
      </c>
      <c r="D5534" t="s">
        <v>2272</v>
      </c>
      <c r="E5534">
        <v>30.765516999999999</v>
      </c>
      <c r="F5534" t="s">
        <v>2273</v>
      </c>
      <c r="G5534">
        <v>-89.839883</v>
      </c>
      <c r="H5534">
        <v>1700</v>
      </c>
      <c r="I5534">
        <v>82</v>
      </c>
      <c r="J5534">
        <v>-112</v>
      </c>
      <c r="K5534">
        <v>320</v>
      </c>
      <c r="L5534">
        <v>1200</v>
      </c>
      <c r="M5534" t="str">
        <f t="shared" si="569"/>
        <v xml:space="preserve">N35DC   </v>
      </c>
      <c r="N5534">
        <v>1</v>
      </c>
      <c r="O5534">
        <v>1750</v>
      </c>
    </row>
    <row r="5535" spans="1:15" x14ac:dyDescent="0.25">
      <c r="A5535" t="str">
        <f>"10/21/2020 18:53:52.051"</f>
        <v>10/21/2020 18:53:52.051</v>
      </c>
      <c r="B5535" t="str">
        <f>"18:53:59.984"</f>
        <v>18:53:59.984</v>
      </c>
      <c r="C5535" t="str">
        <f>"18:53:59.884"</f>
        <v>18:53:59.884</v>
      </c>
      <c r="D5535" t="s">
        <v>2274</v>
      </c>
      <c r="E5535">
        <v>30.764465000000001</v>
      </c>
      <c r="F5535" t="s">
        <v>2275</v>
      </c>
      <c r="G5535">
        <v>-89.839025000000007</v>
      </c>
      <c r="H5535">
        <v>1700</v>
      </c>
      <c r="I5535">
        <v>82</v>
      </c>
      <c r="J5535">
        <v>-113</v>
      </c>
      <c r="K5535">
        <v>320</v>
      </c>
      <c r="L5535">
        <v>1200</v>
      </c>
      <c r="M5535" t="str">
        <f t="shared" si="569"/>
        <v xml:space="preserve">N35DC   </v>
      </c>
      <c r="N5535">
        <v>1</v>
      </c>
      <c r="O5535">
        <v>1775</v>
      </c>
    </row>
    <row r="5536" spans="1:15" x14ac:dyDescent="0.25">
      <c r="A5536" t="str">
        <f>"10/21/2020 18:53:52.051"</f>
        <v>10/21/2020 18:53:52.051</v>
      </c>
      <c r="B5536" t="str">
        <f>"18:53:59.984"</f>
        <v>18:53:59.984</v>
      </c>
      <c r="C5536" t="str">
        <f>"18:53:59.884"</f>
        <v>18:53:59.884</v>
      </c>
      <c r="D5536" t="s">
        <v>2274</v>
      </c>
      <c r="E5536">
        <v>30.764465000000001</v>
      </c>
      <c r="F5536" t="s">
        <v>2275</v>
      </c>
      <c r="G5536">
        <v>-89.839025000000007</v>
      </c>
      <c r="H5536">
        <v>1700</v>
      </c>
      <c r="I5536">
        <v>82</v>
      </c>
      <c r="J5536">
        <v>-113</v>
      </c>
      <c r="K5536">
        <v>320</v>
      </c>
      <c r="L5536">
        <v>1200</v>
      </c>
      <c r="M5536" t="str">
        <f t="shared" si="569"/>
        <v xml:space="preserve">N35DC   </v>
      </c>
      <c r="N5536">
        <v>1</v>
      </c>
      <c r="O5536">
        <v>1775</v>
      </c>
    </row>
    <row r="5537" spans="1:15" x14ac:dyDescent="0.25">
      <c r="A5537" t="str">
        <f>"10/21/2020 18:53:52.051"</f>
        <v>10/21/2020 18:53:52.051</v>
      </c>
      <c r="B5537" t="str">
        <f>"18:53:59.984"</f>
        <v>18:53:59.984</v>
      </c>
      <c r="C5537" t="str">
        <f>"18:53:59.884"</f>
        <v>18:53:59.884</v>
      </c>
      <c r="D5537" t="s">
        <v>2274</v>
      </c>
      <c r="E5537">
        <v>30.764465000000001</v>
      </c>
      <c r="F5537" t="s">
        <v>2275</v>
      </c>
      <c r="G5537">
        <v>-89.839025000000007</v>
      </c>
      <c r="H5537">
        <v>1700</v>
      </c>
      <c r="I5537">
        <v>82</v>
      </c>
      <c r="J5537">
        <v>-113</v>
      </c>
      <c r="K5537">
        <v>320</v>
      </c>
      <c r="L5537">
        <v>1200</v>
      </c>
      <c r="M5537" t="str">
        <f t="shared" si="569"/>
        <v xml:space="preserve">N35DC   </v>
      </c>
      <c r="N5537">
        <v>1</v>
      </c>
      <c r="O5537">
        <v>1775</v>
      </c>
    </row>
    <row r="5538" spans="1:15" x14ac:dyDescent="0.25">
      <c r="A5538" t="str">
        <f>"10/21/2020 18:53:52.051"</f>
        <v>10/21/2020 18:53:52.051</v>
      </c>
      <c r="B5538" t="str">
        <f>"18:53:59.984"</f>
        <v>18:53:59.984</v>
      </c>
      <c r="C5538" t="str">
        <f>"18:53:59.884"</f>
        <v>18:53:59.884</v>
      </c>
      <c r="D5538" t="s">
        <v>2274</v>
      </c>
      <c r="E5538">
        <v>30.764465000000001</v>
      </c>
      <c r="F5538" t="s">
        <v>2275</v>
      </c>
      <c r="G5538">
        <v>-89.839025000000007</v>
      </c>
      <c r="H5538">
        <v>1700</v>
      </c>
      <c r="I5538">
        <v>82</v>
      </c>
      <c r="J5538">
        <v>-113</v>
      </c>
      <c r="K5538">
        <v>320</v>
      </c>
      <c r="L5538">
        <v>1200</v>
      </c>
      <c r="M5538" t="str">
        <f t="shared" si="569"/>
        <v xml:space="preserve">N35DC   </v>
      </c>
      <c r="N5538">
        <v>1</v>
      </c>
      <c r="O5538">
        <v>1775</v>
      </c>
    </row>
    <row r="5539" spans="1:15" x14ac:dyDescent="0.25">
      <c r="A5539" t="str">
        <f>"10/21/2020 18:53:52.051"</f>
        <v>10/21/2020 18:53:52.051</v>
      </c>
      <c r="B5539" t="str">
        <f>"18:53:59.984"</f>
        <v>18:53:59.984</v>
      </c>
      <c r="C5539" t="str">
        <f>"18:53:59.884"</f>
        <v>18:53:59.884</v>
      </c>
      <c r="D5539" t="s">
        <v>2274</v>
      </c>
      <c r="E5539">
        <v>30.764465000000001</v>
      </c>
      <c r="F5539" t="s">
        <v>2275</v>
      </c>
      <c r="G5539">
        <v>-89.839025000000007</v>
      </c>
      <c r="H5539">
        <v>1700</v>
      </c>
      <c r="I5539">
        <v>82</v>
      </c>
      <c r="J5539">
        <v>-113</v>
      </c>
      <c r="K5539">
        <v>320</v>
      </c>
      <c r="L5539">
        <v>1200</v>
      </c>
      <c r="M5539" t="str">
        <f t="shared" si="569"/>
        <v xml:space="preserve">N35DC   </v>
      </c>
      <c r="N5539">
        <v>1</v>
      </c>
      <c r="O5539">
        <v>1775</v>
      </c>
    </row>
    <row r="5540" spans="1:15" x14ac:dyDescent="0.25">
      <c r="A5540" t="str">
        <f>"10/21/2020 18:53:52.670"</f>
        <v>10/21/2020 18:53:52.670</v>
      </c>
      <c r="B5540" t="str">
        <f>"18:54:00.586"</f>
        <v>18:54:00.586</v>
      </c>
      <c r="C5540" t="str">
        <f>"18:54:00.386"</f>
        <v>18:54:00.386</v>
      </c>
      <c r="D5540" t="s">
        <v>2276</v>
      </c>
      <c r="E5540">
        <v>30.764143000000001</v>
      </c>
      <c r="F5540" t="s">
        <v>2277</v>
      </c>
      <c r="G5540">
        <v>-89.838723999999999</v>
      </c>
      <c r="H5540">
        <v>1700</v>
      </c>
      <c r="I5540">
        <v>81</v>
      </c>
      <c r="J5540">
        <v>-113</v>
      </c>
      <c r="K5540">
        <v>320</v>
      </c>
      <c r="L5540">
        <v>1200</v>
      </c>
      <c r="M5540" t="str">
        <f t="shared" si="569"/>
        <v xml:space="preserve">N35DC   </v>
      </c>
      <c r="N5540">
        <v>1</v>
      </c>
      <c r="O5540">
        <v>1775</v>
      </c>
    </row>
    <row r="5541" spans="1:15" x14ac:dyDescent="0.25">
      <c r="A5541" t="str">
        <f>"10/21/2020 18:53:53.061"</f>
        <v>10/21/2020 18:53:53.061</v>
      </c>
      <c r="B5541" t="str">
        <f>"18:54:01.016"</f>
        <v>18:54:01.016</v>
      </c>
      <c r="C5541" t="str">
        <f>"18:54:00.716"</f>
        <v>18:54:00.716</v>
      </c>
      <c r="D5541" t="s">
        <v>2278</v>
      </c>
      <c r="E5541">
        <v>30.763907</v>
      </c>
      <c r="F5541" t="s">
        <v>2279</v>
      </c>
      <c r="G5541">
        <v>-89.838552000000007</v>
      </c>
      <c r="H5541">
        <v>1700</v>
      </c>
      <c r="I5541">
        <v>81</v>
      </c>
      <c r="J5541">
        <v>-113</v>
      </c>
      <c r="K5541">
        <v>256</v>
      </c>
      <c r="L5541">
        <v>1200</v>
      </c>
      <c r="M5541" t="str">
        <f t="shared" si="569"/>
        <v xml:space="preserve">N35DC   </v>
      </c>
      <c r="N5541">
        <v>1</v>
      </c>
      <c r="O5541">
        <v>1775</v>
      </c>
    </row>
    <row r="5542" spans="1:15" x14ac:dyDescent="0.25">
      <c r="A5542" t="str">
        <f>"10/21/2020 18:53:53.061"</f>
        <v>10/21/2020 18:53:53.061</v>
      </c>
      <c r="B5542" t="str">
        <f>"18:54:01.016"</f>
        <v>18:54:01.016</v>
      </c>
      <c r="C5542" t="str">
        <f>"18:54:00.716"</f>
        <v>18:54:00.716</v>
      </c>
      <c r="D5542" t="s">
        <v>2278</v>
      </c>
      <c r="E5542">
        <v>30.763907</v>
      </c>
      <c r="F5542" t="s">
        <v>2279</v>
      </c>
      <c r="G5542">
        <v>-89.838552000000007</v>
      </c>
      <c r="H5542">
        <v>1700</v>
      </c>
      <c r="I5542">
        <v>81</v>
      </c>
      <c r="J5542">
        <v>-113</v>
      </c>
      <c r="K5542">
        <v>256</v>
      </c>
      <c r="L5542">
        <v>1200</v>
      </c>
      <c r="M5542" t="str">
        <f t="shared" si="569"/>
        <v xml:space="preserve">N35DC   </v>
      </c>
      <c r="N5542">
        <v>1</v>
      </c>
      <c r="O5542">
        <v>1775</v>
      </c>
    </row>
    <row r="5543" spans="1:15" x14ac:dyDescent="0.25">
      <c r="A5543" t="str">
        <f>"10/21/2020 18:53:53.061"</f>
        <v>10/21/2020 18:53:53.061</v>
      </c>
      <c r="B5543" t="str">
        <f>"18:54:01.016"</f>
        <v>18:54:01.016</v>
      </c>
      <c r="C5543" t="str">
        <f>"18:54:00.716"</f>
        <v>18:54:00.716</v>
      </c>
      <c r="D5543" t="s">
        <v>2278</v>
      </c>
      <c r="E5543">
        <v>30.763907</v>
      </c>
      <c r="F5543" t="s">
        <v>2279</v>
      </c>
      <c r="G5543">
        <v>-89.838552000000007</v>
      </c>
      <c r="H5543">
        <v>1700</v>
      </c>
      <c r="I5543">
        <v>81</v>
      </c>
      <c r="J5543">
        <v>-113</v>
      </c>
      <c r="K5543">
        <v>256</v>
      </c>
      <c r="L5543">
        <v>1200</v>
      </c>
      <c r="M5543" t="str">
        <f t="shared" si="569"/>
        <v xml:space="preserve">N35DC   </v>
      </c>
      <c r="N5543">
        <v>1</v>
      </c>
      <c r="O5543">
        <v>1775</v>
      </c>
    </row>
    <row r="5544" spans="1:15" x14ac:dyDescent="0.25">
      <c r="A5544" t="str">
        <f>"10/21/2020 18:53:53.061"</f>
        <v>10/21/2020 18:53:53.061</v>
      </c>
      <c r="B5544" t="str">
        <f>"18:54:01.016"</f>
        <v>18:54:01.016</v>
      </c>
      <c r="C5544" t="str">
        <f>"18:54:00.716"</f>
        <v>18:54:00.716</v>
      </c>
      <c r="D5544" t="s">
        <v>2278</v>
      </c>
      <c r="E5544">
        <v>30.763907</v>
      </c>
      <c r="F5544" t="s">
        <v>2279</v>
      </c>
      <c r="G5544">
        <v>-89.838552000000007</v>
      </c>
      <c r="H5544">
        <v>1700</v>
      </c>
      <c r="I5544">
        <v>81</v>
      </c>
      <c r="J5544">
        <v>-113</v>
      </c>
      <c r="K5544">
        <v>256</v>
      </c>
      <c r="L5544">
        <v>1200</v>
      </c>
      <c r="M5544" t="str">
        <f t="shared" si="569"/>
        <v xml:space="preserve">N35DC   </v>
      </c>
      <c r="N5544">
        <v>1</v>
      </c>
      <c r="O5544">
        <v>1775</v>
      </c>
    </row>
    <row r="5545" spans="1:15" x14ac:dyDescent="0.25">
      <c r="A5545" t="str">
        <f>"10/21/2020 18:53:53.061"</f>
        <v>10/21/2020 18:53:53.061</v>
      </c>
      <c r="B5545" t="str">
        <f>"18:54:01.016"</f>
        <v>18:54:01.016</v>
      </c>
      <c r="C5545" t="str">
        <f>"18:54:00.716"</f>
        <v>18:54:00.716</v>
      </c>
      <c r="D5545" t="s">
        <v>2278</v>
      </c>
      <c r="E5545">
        <v>30.763907</v>
      </c>
      <c r="F5545" t="s">
        <v>2279</v>
      </c>
      <c r="G5545">
        <v>-89.838552000000007</v>
      </c>
      <c r="H5545">
        <v>1700</v>
      </c>
      <c r="I5545">
        <v>81</v>
      </c>
      <c r="J5545">
        <v>-113</v>
      </c>
      <c r="K5545">
        <v>256</v>
      </c>
      <c r="L5545">
        <v>1200</v>
      </c>
      <c r="M5545" t="str">
        <f t="shared" si="569"/>
        <v xml:space="preserve">N35DC   </v>
      </c>
      <c r="N5545">
        <v>1</v>
      </c>
      <c r="O5545">
        <v>1775</v>
      </c>
    </row>
    <row r="5546" spans="1:15" x14ac:dyDescent="0.25">
      <c r="A5546" t="str">
        <f>"10/21/2020 18:53:56.129"</f>
        <v>10/21/2020 18:53:56.129</v>
      </c>
      <c r="B5546" t="str">
        <f>"18:54:04.063"</f>
        <v>18:54:04.063</v>
      </c>
      <c r="C5546" t="str">
        <f>"18:54:03.762"</f>
        <v>18:54:03.762</v>
      </c>
      <c r="D5546" t="s">
        <v>2280</v>
      </c>
      <c r="E5546">
        <v>30.762277000000001</v>
      </c>
      <c r="F5546" t="s">
        <v>2281</v>
      </c>
      <c r="G5546">
        <v>-89.837243999999998</v>
      </c>
      <c r="H5546">
        <v>1700</v>
      </c>
      <c r="I5546">
        <v>81</v>
      </c>
      <c r="J5546">
        <v>-115</v>
      </c>
      <c r="K5546">
        <v>64</v>
      </c>
      <c r="L5546">
        <v>1200</v>
      </c>
      <c r="M5546" t="str">
        <f t="shared" si="569"/>
        <v xml:space="preserve">N35DC   </v>
      </c>
      <c r="N5546">
        <v>1</v>
      </c>
      <c r="O5546">
        <v>1775</v>
      </c>
    </row>
    <row r="5547" spans="1:15" x14ac:dyDescent="0.25">
      <c r="A5547" t="str">
        <f>"10/21/2020 18:53:56.129"</f>
        <v>10/21/2020 18:53:56.129</v>
      </c>
      <c r="B5547" t="str">
        <f>"18:54:04.063"</f>
        <v>18:54:04.063</v>
      </c>
      <c r="C5547" t="str">
        <f>"18:54:03.762"</f>
        <v>18:54:03.762</v>
      </c>
      <c r="D5547" t="s">
        <v>2280</v>
      </c>
      <c r="E5547">
        <v>30.762277000000001</v>
      </c>
      <c r="F5547" t="s">
        <v>2281</v>
      </c>
      <c r="G5547">
        <v>-89.837243999999998</v>
      </c>
      <c r="H5547">
        <v>1700</v>
      </c>
      <c r="I5547">
        <v>81</v>
      </c>
      <c r="J5547">
        <v>-115</v>
      </c>
      <c r="K5547">
        <v>64</v>
      </c>
      <c r="L5547">
        <v>1200</v>
      </c>
      <c r="M5547" t="str">
        <f t="shared" si="569"/>
        <v xml:space="preserve">N35DC   </v>
      </c>
      <c r="N5547">
        <v>1</v>
      </c>
      <c r="O5547">
        <v>1775</v>
      </c>
    </row>
    <row r="5548" spans="1:15" x14ac:dyDescent="0.25">
      <c r="A5548" t="str">
        <f>"10/21/2020 18:53:56.129"</f>
        <v>10/21/2020 18:53:56.129</v>
      </c>
      <c r="B5548" t="str">
        <f>"18:54:04.063"</f>
        <v>18:54:04.063</v>
      </c>
      <c r="C5548" t="str">
        <f>"18:54:03.762"</f>
        <v>18:54:03.762</v>
      </c>
      <c r="D5548" t="s">
        <v>2280</v>
      </c>
      <c r="E5548">
        <v>30.762277000000001</v>
      </c>
      <c r="F5548" t="s">
        <v>2281</v>
      </c>
      <c r="G5548">
        <v>-89.837243999999998</v>
      </c>
      <c r="H5548">
        <v>1700</v>
      </c>
      <c r="I5548">
        <v>81</v>
      </c>
      <c r="J5548">
        <v>-115</v>
      </c>
      <c r="K5548">
        <v>64</v>
      </c>
      <c r="L5548">
        <v>1200</v>
      </c>
      <c r="M5548" t="str">
        <f t="shared" si="569"/>
        <v xml:space="preserve">N35DC   </v>
      </c>
      <c r="N5548">
        <v>1</v>
      </c>
      <c r="O5548">
        <v>1775</v>
      </c>
    </row>
    <row r="5549" spans="1:15" x14ac:dyDescent="0.25">
      <c r="A5549" t="str">
        <f>"10/21/2020 18:53:56.129"</f>
        <v>10/21/2020 18:53:56.129</v>
      </c>
      <c r="B5549" t="str">
        <f>"18:54:04.063"</f>
        <v>18:54:04.063</v>
      </c>
      <c r="C5549" t="str">
        <f>"18:54:03.762"</f>
        <v>18:54:03.762</v>
      </c>
      <c r="D5549" t="s">
        <v>2280</v>
      </c>
      <c r="E5549">
        <v>30.762277000000001</v>
      </c>
      <c r="F5549" t="s">
        <v>2281</v>
      </c>
      <c r="G5549">
        <v>-89.837243999999998</v>
      </c>
      <c r="H5549">
        <v>1700</v>
      </c>
      <c r="I5549">
        <v>81</v>
      </c>
      <c r="J5549">
        <v>-115</v>
      </c>
      <c r="K5549">
        <v>64</v>
      </c>
      <c r="L5549">
        <v>1200</v>
      </c>
      <c r="M5549" t="str">
        <f t="shared" si="569"/>
        <v xml:space="preserve">N35DC   </v>
      </c>
      <c r="N5549">
        <v>1</v>
      </c>
      <c r="O5549">
        <v>1775</v>
      </c>
    </row>
    <row r="5550" spans="1:15" x14ac:dyDescent="0.25">
      <c r="A5550" t="str">
        <f>"10/21/2020 18:53:56.129"</f>
        <v>10/21/2020 18:53:56.129</v>
      </c>
      <c r="B5550" t="str">
        <f>"18:54:04.063"</f>
        <v>18:54:04.063</v>
      </c>
      <c r="C5550" t="str">
        <f>"18:54:03.762"</f>
        <v>18:54:03.762</v>
      </c>
      <c r="D5550" t="s">
        <v>2280</v>
      </c>
      <c r="E5550">
        <v>30.762277000000001</v>
      </c>
      <c r="F5550" t="s">
        <v>2281</v>
      </c>
      <c r="G5550">
        <v>-89.837243999999998</v>
      </c>
      <c r="H5550">
        <v>1700</v>
      </c>
      <c r="I5550">
        <v>81</v>
      </c>
      <c r="J5550">
        <v>-115</v>
      </c>
      <c r="K5550">
        <v>64</v>
      </c>
      <c r="L5550">
        <v>1200</v>
      </c>
      <c r="M5550" t="str">
        <f t="shared" si="569"/>
        <v xml:space="preserve">N35DC   </v>
      </c>
      <c r="N5550">
        <v>1</v>
      </c>
      <c r="O5550">
        <v>1775</v>
      </c>
    </row>
    <row r="5551" spans="1:15" x14ac:dyDescent="0.25">
      <c r="A5551" t="str">
        <f>"10/21/2020 18:53:56.740"</f>
        <v>10/21/2020 18:53:56.740</v>
      </c>
      <c r="B5551" t="str">
        <f>"18:54:04.633"</f>
        <v>18:54:04.633</v>
      </c>
      <c r="C5551" t="str">
        <f>"18:54:04.333"</f>
        <v>18:54:04.333</v>
      </c>
      <c r="D5551" t="s">
        <v>2282</v>
      </c>
      <c r="E5551">
        <v>30.761997999999998</v>
      </c>
      <c r="F5551" t="s">
        <v>2283</v>
      </c>
      <c r="G5551">
        <v>-89.837007999999997</v>
      </c>
      <c r="H5551">
        <v>1700</v>
      </c>
      <c r="I5551">
        <v>81</v>
      </c>
      <c r="J5551">
        <v>-116</v>
      </c>
      <c r="K5551">
        <v>0</v>
      </c>
      <c r="L5551">
        <v>1200</v>
      </c>
      <c r="M5551" t="str">
        <f t="shared" si="569"/>
        <v xml:space="preserve">N35DC   </v>
      </c>
      <c r="N5551">
        <v>1</v>
      </c>
      <c r="O5551">
        <v>1775</v>
      </c>
    </row>
    <row r="5552" spans="1:15" x14ac:dyDescent="0.25">
      <c r="A5552" t="str">
        <f>"10/21/2020 18:53:59.254"</f>
        <v>10/21/2020 18:53:59.254</v>
      </c>
      <c r="B5552" t="str">
        <f>"18:54:07.195"</f>
        <v>18:54:07.195</v>
      </c>
      <c r="C5552" t="str">
        <f>"18:54:07.095"</f>
        <v>18:54:07.095</v>
      </c>
      <c r="D5552" t="s">
        <v>2284</v>
      </c>
      <c r="E5552">
        <v>30.760624</v>
      </c>
      <c r="F5552" t="s">
        <v>2285</v>
      </c>
      <c r="G5552">
        <v>-89.835848999999996</v>
      </c>
      <c r="H5552">
        <v>1700</v>
      </c>
      <c r="I5552">
        <v>83</v>
      </c>
      <c r="J5552">
        <v>-117</v>
      </c>
      <c r="K5552">
        <v>0</v>
      </c>
      <c r="L5552">
        <v>1200</v>
      </c>
      <c r="M5552" t="str">
        <f t="shared" si="569"/>
        <v xml:space="preserve">N35DC   </v>
      </c>
      <c r="N5552">
        <v>1</v>
      </c>
      <c r="O5552">
        <v>1775</v>
      </c>
    </row>
    <row r="5553" spans="1:15" x14ac:dyDescent="0.25">
      <c r="A5553" t="str">
        <f>"10/21/2020 18:53:59.254"</f>
        <v>10/21/2020 18:53:59.254</v>
      </c>
      <c r="B5553" t="str">
        <f>"18:54:07.195"</f>
        <v>18:54:07.195</v>
      </c>
      <c r="C5553" t="str">
        <f>"18:54:07.095"</f>
        <v>18:54:07.095</v>
      </c>
      <c r="D5553" t="s">
        <v>2284</v>
      </c>
      <c r="E5553">
        <v>30.760624</v>
      </c>
      <c r="F5553" t="s">
        <v>2285</v>
      </c>
      <c r="G5553">
        <v>-89.835848999999996</v>
      </c>
      <c r="H5553">
        <v>1700</v>
      </c>
      <c r="I5553">
        <v>83</v>
      </c>
      <c r="J5553">
        <v>-117</v>
      </c>
      <c r="K5553">
        <v>0</v>
      </c>
      <c r="L5553">
        <v>1200</v>
      </c>
      <c r="M5553" t="str">
        <f t="shared" si="569"/>
        <v xml:space="preserve">N35DC   </v>
      </c>
      <c r="N5553">
        <v>1</v>
      </c>
      <c r="O5553">
        <v>1775</v>
      </c>
    </row>
    <row r="5554" spans="1:15" x14ac:dyDescent="0.25">
      <c r="A5554" t="str">
        <f>"10/21/2020 18:53:59.254"</f>
        <v>10/21/2020 18:53:59.254</v>
      </c>
      <c r="B5554" t="str">
        <f>"18:54:07.195"</f>
        <v>18:54:07.195</v>
      </c>
      <c r="C5554" t="str">
        <f>"18:54:07.095"</f>
        <v>18:54:07.095</v>
      </c>
      <c r="D5554" t="s">
        <v>2284</v>
      </c>
      <c r="E5554">
        <v>30.760624</v>
      </c>
      <c r="F5554" t="s">
        <v>2285</v>
      </c>
      <c r="G5554">
        <v>-89.835848999999996</v>
      </c>
      <c r="H5554">
        <v>1700</v>
      </c>
      <c r="I5554">
        <v>83</v>
      </c>
      <c r="J5554">
        <v>-117</v>
      </c>
      <c r="K5554">
        <v>0</v>
      </c>
      <c r="L5554">
        <v>1200</v>
      </c>
      <c r="M5554" t="str">
        <f t="shared" si="569"/>
        <v xml:space="preserve">N35DC   </v>
      </c>
      <c r="N5554">
        <v>1</v>
      </c>
      <c r="O5554">
        <v>1775</v>
      </c>
    </row>
    <row r="5555" spans="1:15" x14ac:dyDescent="0.25">
      <c r="A5555" t="str">
        <f>"10/21/2020 18:53:59.254"</f>
        <v>10/21/2020 18:53:59.254</v>
      </c>
      <c r="B5555" t="str">
        <f>"18:54:07.195"</f>
        <v>18:54:07.195</v>
      </c>
      <c r="C5555" t="str">
        <f>"18:54:07.095"</f>
        <v>18:54:07.095</v>
      </c>
      <c r="D5555" t="s">
        <v>2284</v>
      </c>
      <c r="E5555">
        <v>30.760624</v>
      </c>
      <c r="F5555" t="s">
        <v>2285</v>
      </c>
      <c r="G5555">
        <v>-89.835848999999996</v>
      </c>
      <c r="H5555">
        <v>1700</v>
      </c>
      <c r="I5555">
        <v>83</v>
      </c>
      <c r="J5555">
        <v>-117</v>
      </c>
      <c r="K5555">
        <v>0</v>
      </c>
      <c r="L5555">
        <v>1200</v>
      </c>
      <c r="M5555" t="str">
        <f t="shared" si="569"/>
        <v xml:space="preserve">N35DC   </v>
      </c>
      <c r="N5555">
        <v>1</v>
      </c>
      <c r="O5555">
        <v>1775</v>
      </c>
    </row>
    <row r="5556" spans="1:15" x14ac:dyDescent="0.25">
      <c r="A5556" t="str">
        <f>"10/21/2020 18:53:59.254"</f>
        <v>10/21/2020 18:53:59.254</v>
      </c>
      <c r="B5556" t="str">
        <f>"18:54:07.195"</f>
        <v>18:54:07.195</v>
      </c>
      <c r="C5556" t="str">
        <f>"18:54:07.095"</f>
        <v>18:54:07.095</v>
      </c>
      <c r="D5556" t="s">
        <v>2284</v>
      </c>
      <c r="E5556">
        <v>30.760624</v>
      </c>
      <c r="F5556" t="s">
        <v>2285</v>
      </c>
      <c r="G5556">
        <v>-89.835848999999996</v>
      </c>
      <c r="H5556">
        <v>1700</v>
      </c>
      <c r="I5556">
        <v>83</v>
      </c>
      <c r="J5556">
        <v>-117</v>
      </c>
      <c r="K5556">
        <v>0</v>
      </c>
      <c r="L5556">
        <v>1200</v>
      </c>
      <c r="M5556" t="str">
        <f t="shared" si="569"/>
        <v xml:space="preserve">N35DC   </v>
      </c>
      <c r="N5556">
        <v>1</v>
      </c>
      <c r="O5556">
        <v>1775</v>
      </c>
    </row>
    <row r="5557" spans="1:15" x14ac:dyDescent="0.25">
      <c r="A5557" t="str">
        <f>"10/21/2020 18:54:05.989"</f>
        <v>10/21/2020 18:54:05.989</v>
      </c>
      <c r="B5557" t="str">
        <f>"18:54:13.961"</f>
        <v>18:54:13.961</v>
      </c>
      <c r="C5557" t="str">
        <f>"18:54:13.661"</f>
        <v>18:54:13.661</v>
      </c>
      <c r="D5557" t="s">
        <v>2286</v>
      </c>
      <c r="E5557">
        <v>30.756934000000001</v>
      </c>
      <c r="F5557" t="s">
        <v>2287</v>
      </c>
      <c r="G5557">
        <v>-89.832736999999995</v>
      </c>
      <c r="H5557">
        <v>1700</v>
      </c>
      <c r="I5557">
        <v>88</v>
      </c>
      <c r="J5557">
        <v>-118</v>
      </c>
      <c r="K5557">
        <v>-192</v>
      </c>
      <c r="L5557">
        <v>1200</v>
      </c>
      <c r="M5557" t="str">
        <f t="shared" si="569"/>
        <v xml:space="preserve">N35DC   </v>
      </c>
      <c r="N5557">
        <v>1</v>
      </c>
      <c r="O5557">
        <v>1750</v>
      </c>
    </row>
    <row r="5558" spans="1:15" x14ac:dyDescent="0.25">
      <c r="A5558" t="str">
        <f>"10/21/2020 18:54:05.989"</f>
        <v>10/21/2020 18:54:05.989</v>
      </c>
      <c r="B5558" t="str">
        <f>"18:54:13.961"</f>
        <v>18:54:13.961</v>
      </c>
      <c r="C5558" t="str">
        <f>"18:54:13.661"</f>
        <v>18:54:13.661</v>
      </c>
      <c r="D5558" t="s">
        <v>2286</v>
      </c>
      <c r="E5558">
        <v>30.756934000000001</v>
      </c>
      <c r="F5558" t="s">
        <v>2287</v>
      </c>
      <c r="G5558">
        <v>-89.832736999999995</v>
      </c>
      <c r="H5558">
        <v>1700</v>
      </c>
      <c r="I5558">
        <v>88</v>
      </c>
      <c r="J5558">
        <v>-118</v>
      </c>
      <c r="K5558">
        <v>-192</v>
      </c>
      <c r="L5558">
        <v>1200</v>
      </c>
      <c r="M5558" t="str">
        <f t="shared" si="569"/>
        <v xml:space="preserve">N35DC   </v>
      </c>
      <c r="N5558">
        <v>1</v>
      </c>
      <c r="O5558">
        <v>1750</v>
      </c>
    </row>
    <row r="5559" spans="1:15" x14ac:dyDescent="0.25">
      <c r="A5559" t="str">
        <f>"10/21/2020 18:54:05.989"</f>
        <v>10/21/2020 18:54:05.989</v>
      </c>
      <c r="B5559" t="str">
        <f>"18:54:13.961"</f>
        <v>18:54:13.961</v>
      </c>
      <c r="C5559" t="str">
        <f>"18:54:13.661"</f>
        <v>18:54:13.661</v>
      </c>
      <c r="D5559" t="s">
        <v>2286</v>
      </c>
      <c r="E5559">
        <v>30.756934000000001</v>
      </c>
      <c r="F5559" t="s">
        <v>2287</v>
      </c>
      <c r="G5559">
        <v>-89.832736999999995</v>
      </c>
      <c r="H5559">
        <v>1700</v>
      </c>
      <c r="I5559">
        <v>88</v>
      </c>
      <c r="J5559">
        <v>-118</v>
      </c>
      <c r="K5559">
        <v>-192</v>
      </c>
      <c r="L5559">
        <v>1200</v>
      </c>
      <c r="M5559" t="str">
        <f t="shared" si="569"/>
        <v xml:space="preserve">N35DC   </v>
      </c>
      <c r="N5559">
        <v>1</v>
      </c>
      <c r="O5559">
        <v>1750</v>
      </c>
    </row>
    <row r="5560" spans="1:15" x14ac:dyDescent="0.25">
      <c r="A5560" t="str">
        <f>"10/21/2020 18:54:05.989"</f>
        <v>10/21/2020 18:54:05.989</v>
      </c>
      <c r="B5560" t="str">
        <f>"18:54:13.961"</f>
        <v>18:54:13.961</v>
      </c>
      <c r="C5560" t="str">
        <f>"18:54:13.661"</f>
        <v>18:54:13.661</v>
      </c>
      <c r="D5560" t="s">
        <v>2286</v>
      </c>
      <c r="E5560">
        <v>30.756934000000001</v>
      </c>
      <c r="F5560" t="s">
        <v>2287</v>
      </c>
      <c r="G5560">
        <v>-89.832736999999995</v>
      </c>
      <c r="H5560">
        <v>1700</v>
      </c>
      <c r="I5560">
        <v>88</v>
      </c>
      <c r="J5560">
        <v>-118</v>
      </c>
      <c r="K5560">
        <v>-192</v>
      </c>
      <c r="L5560">
        <v>1200</v>
      </c>
      <c r="M5560" t="str">
        <f t="shared" si="569"/>
        <v xml:space="preserve">N35DC   </v>
      </c>
      <c r="N5560">
        <v>1</v>
      </c>
      <c r="O5560">
        <v>1750</v>
      </c>
    </row>
    <row r="5561" spans="1:15" x14ac:dyDescent="0.25">
      <c r="A5561" t="str">
        <f>"10/21/2020 18:54:05.989"</f>
        <v>10/21/2020 18:54:05.989</v>
      </c>
      <c r="B5561" t="str">
        <f>"18:54:13.961"</f>
        <v>18:54:13.961</v>
      </c>
      <c r="C5561" t="str">
        <f>"18:54:13.161"</f>
        <v>18:54:13.161</v>
      </c>
      <c r="D5561" t="s">
        <v>2286</v>
      </c>
      <c r="E5561">
        <v>30.756934000000001</v>
      </c>
      <c r="F5561" t="s">
        <v>2287</v>
      </c>
      <c r="G5561">
        <v>-89.832736999999995</v>
      </c>
      <c r="H5561">
        <v>1700</v>
      </c>
      <c r="I5561">
        <v>88</v>
      </c>
      <c r="J5561">
        <v>-118</v>
      </c>
      <c r="K5561">
        <v>-128</v>
      </c>
      <c r="L5561">
        <v>1200</v>
      </c>
      <c r="M5561" t="str">
        <f t="shared" si="569"/>
        <v xml:space="preserve">N35DC   </v>
      </c>
      <c r="N5561">
        <v>1</v>
      </c>
      <c r="O5561">
        <v>1775</v>
      </c>
    </row>
    <row r="5562" spans="1:15" x14ac:dyDescent="0.25">
      <c r="A5562" t="str">
        <f>"10/21/2020 18:54:06.447"</f>
        <v>10/21/2020 18:54:06.447</v>
      </c>
      <c r="B5562" t="str">
        <f>"18:54:14.383"</f>
        <v>18:54:14.383</v>
      </c>
      <c r="C5562" t="str">
        <f>"18:54:14.283"</f>
        <v>18:54:14.283</v>
      </c>
      <c r="D5562" t="s">
        <v>2288</v>
      </c>
      <c r="E5562">
        <v>30.756675999999999</v>
      </c>
      <c r="F5562" t="s">
        <v>2289</v>
      </c>
      <c r="G5562">
        <v>-89.832566</v>
      </c>
      <c r="H5562">
        <v>1700</v>
      </c>
      <c r="I5562">
        <v>89</v>
      </c>
      <c r="J5562">
        <v>-118</v>
      </c>
      <c r="K5562">
        <v>-192</v>
      </c>
      <c r="L5562">
        <v>1200</v>
      </c>
      <c r="M5562" t="str">
        <f t="shared" si="569"/>
        <v xml:space="preserve">N35DC   </v>
      </c>
      <c r="N5562">
        <v>1</v>
      </c>
      <c r="O5562">
        <v>1750</v>
      </c>
    </row>
    <row r="5563" spans="1:15" x14ac:dyDescent="0.25">
      <c r="A5563" t="str">
        <f>"10/21/2020 18:54:06.969"</f>
        <v>10/21/2020 18:54:06.969</v>
      </c>
      <c r="B5563" t="str">
        <f>"18:54:14.922"</f>
        <v>18:54:14.922</v>
      </c>
      <c r="C5563" t="str">
        <f>"18:54:14.822"</f>
        <v>18:54:14.822</v>
      </c>
      <c r="D5563" t="s">
        <v>2290</v>
      </c>
      <c r="E5563">
        <v>30.756354000000002</v>
      </c>
      <c r="F5563" t="s">
        <v>2291</v>
      </c>
      <c r="G5563">
        <v>-89.832286999999994</v>
      </c>
      <c r="H5563">
        <v>1700</v>
      </c>
      <c r="I5563">
        <v>89</v>
      </c>
      <c r="J5563">
        <v>-119</v>
      </c>
      <c r="K5563">
        <v>-192</v>
      </c>
      <c r="L5563">
        <v>1200</v>
      </c>
      <c r="M5563" t="str">
        <f t="shared" si="569"/>
        <v xml:space="preserve">N35DC   </v>
      </c>
      <c r="N5563">
        <v>1</v>
      </c>
      <c r="O5563">
        <v>1750</v>
      </c>
    </row>
    <row r="5564" spans="1:15" x14ac:dyDescent="0.25">
      <c r="A5564" t="str">
        <f>"10/21/2020 18:54:06.969"</f>
        <v>10/21/2020 18:54:06.969</v>
      </c>
      <c r="B5564" t="str">
        <f>"18:54:14.922"</f>
        <v>18:54:14.922</v>
      </c>
      <c r="C5564" t="str">
        <f>"18:54:14.822"</f>
        <v>18:54:14.822</v>
      </c>
      <c r="D5564" t="s">
        <v>2290</v>
      </c>
      <c r="E5564">
        <v>30.756354000000002</v>
      </c>
      <c r="F5564" t="s">
        <v>2291</v>
      </c>
      <c r="G5564">
        <v>-89.832286999999994</v>
      </c>
      <c r="H5564">
        <v>1700</v>
      </c>
      <c r="I5564">
        <v>89</v>
      </c>
      <c r="J5564">
        <v>-119</v>
      </c>
      <c r="K5564">
        <v>-192</v>
      </c>
      <c r="L5564">
        <v>1200</v>
      </c>
      <c r="M5564" t="str">
        <f t="shared" si="569"/>
        <v xml:space="preserve">N35DC   </v>
      </c>
      <c r="N5564">
        <v>1</v>
      </c>
      <c r="O5564">
        <v>1750</v>
      </c>
    </row>
    <row r="5565" spans="1:15" x14ac:dyDescent="0.25">
      <c r="A5565" t="str">
        <f>"10/21/2020 18:54:06.969"</f>
        <v>10/21/2020 18:54:06.969</v>
      </c>
      <c r="B5565" t="str">
        <f>"18:54:14.922"</f>
        <v>18:54:14.922</v>
      </c>
      <c r="C5565" t="str">
        <f>"18:54:14.822"</f>
        <v>18:54:14.822</v>
      </c>
      <c r="D5565" t="s">
        <v>2290</v>
      </c>
      <c r="E5565">
        <v>30.756354000000002</v>
      </c>
      <c r="F5565" t="s">
        <v>2291</v>
      </c>
      <c r="G5565">
        <v>-89.832286999999994</v>
      </c>
      <c r="H5565">
        <v>1700</v>
      </c>
      <c r="I5565">
        <v>89</v>
      </c>
      <c r="J5565">
        <v>-119</v>
      </c>
      <c r="K5565">
        <v>-192</v>
      </c>
      <c r="L5565">
        <v>1200</v>
      </c>
      <c r="M5565" t="str">
        <f t="shared" si="569"/>
        <v xml:space="preserve">N35DC   </v>
      </c>
      <c r="N5565">
        <v>1</v>
      </c>
      <c r="O5565">
        <v>1750</v>
      </c>
    </row>
    <row r="5566" spans="1:15" x14ac:dyDescent="0.25">
      <c r="A5566" t="str">
        <f>"10/21/2020 18:54:06.969"</f>
        <v>10/21/2020 18:54:06.969</v>
      </c>
      <c r="B5566" t="str">
        <f>"18:54:14.922"</f>
        <v>18:54:14.922</v>
      </c>
      <c r="C5566" t="str">
        <f>"18:54:14.822"</f>
        <v>18:54:14.822</v>
      </c>
      <c r="D5566" t="s">
        <v>2290</v>
      </c>
      <c r="E5566">
        <v>30.756354000000002</v>
      </c>
      <c r="F5566" t="s">
        <v>2291</v>
      </c>
      <c r="G5566">
        <v>-89.832286999999994</v>
      </c>
      <c r="H5566">
        <v>1700</v>
      </c>
      <c r="I5566">
        <v>89</v>
      </c>
      <c r="J5566">
        <v>-119</v>
      </c>
      <c r="K5566">
        <v>-192</v>
      </c>
      <c r="L5566">
        <v>1200</v>
      </c>
      <c r="M5566" t="str">
        <f t="shared" si="569"/>
        <v xml:space="preserve">N35DC   </v>
      </c>
      <c r="N5566">
        <v>1</v>
      </c>
      <c r="O5566">
        <v>1750</v>
      </c>
    </row>
    <row r="5567" spans="1:15" x14ac:dyDescent="0.25">
      <c r="A5567" t="str">
        <f>"10/21/2020 18:54:06.969"</f>
        <v>10/21/2020 18:54:06.969</v>
      </c>
      <c r="B5567" t="str">
        <f>"18:54:14.922"</f>
        <v>18:54:14.922</v>
      </c>
      <c r="C5567" t="str">
        <f>"18:54:14.822"</f>
        <v>18:54:14.822</v>
      </c>
      <c r="D5567" t="s">
        <v>2290</v>
      </c>
      <c r="E5567">
        <v>30.756354000000002</v>
      </c>
      <c r="F5567" t="s">
        <v>2291</v>
      </c>
      <c r="G5567">
        <v>-89.832286999999994</v>
      </c>
      <c r="H5567">
        <v>1700</v>
      </c>
      <c r="I5567">
        <v>89</v>
      </c>
      <c r="J5567">
        <v>-119</v>
      </c>
      <c r="K5567">
        <v>-192</v>
      </c>
      <c r="L5567">
        <v>1200</v>
      </c>
      <c r="M5567" t="str">
        <f t="shared" si="569"/>
        <v xml:space="preserve">N35DC   </v>
      </c>
      <c r="N5567">
        <v>1</v>
      </c>
      <c r="O5567">
        <v>1750</v>
      </c>
    </row>
    <row r="5568" spans="1:15" x14ac:dyDescent="0.25">
      <c r="A5568" t="str">
        <f t="shared" ref="A5568:A5573" si="573">"10/21/2020 18:54:11.332"</f>
        <v>10/21/2020 18:54:11.332</v>
      </c>
      <c r="B5568" t="str">
        <f t="shared" ref="B5568:B5573" si="574">"18:54:19.273"</f>
        <v>18:54:19.273</v>
      </c>
      <c r="C5568" t="str">
        <f t="shared" ref="C5568:C5573" si="575">"18:54:18.873"</f>
        <v>18:54:18.873</v>
      </c>
      <c r="D5568" t="s">
        <v>2292</v>
      </c>
      <c r="E5568">
        <v>30.753972999999998</v>
      </c>
      <c r="F5568" t="s">
        <v>2293</v>
      </c>
      <c r="G5568">
        <v>-89.830140999999998</v>
      </c>
      <c r="H5568">
        <v>1700</v>
      </c>
      <c r="I5568">
        <v>91</v>
      </c>
      <c r="J5568">
        <v>-118</v>
      </c>
      <c r="K5568">
        <v>0</v>
      </c>
      <c r="L5568">
        <v>1200</v>
      </c>
      <c r="M5568" t="str">
        <f t="shared" si="569"/>
        <v xml:space="preserve">N35DC   </v>
      </c>
      <c r="N5568">
        <v>1</v>
      </c>
      <c r="O5568">
        <v>1750</v>
      </c>
    </row>
    <row r="5569" spans="1:15" x14ac:dyDescent="0.25">
      <c r="A5569" t="str">
        <f t="shared" si="573"/>
        <v>10/21/2020 18:54:11.332</v>
      </c>
      <c r="B5569" t="str">
        <f t="shared" si="574"/>
        <v>18:54:19.273</v>
      </c>
      <c r="C5569" t="str">
        <f t="shared" si="575"/>
        <v>18:54:18.873</v>
      </c>
      <c r="D5569" t="s">
        <v>2292</v>
      </c>
      <c r="E5569">
        <v>30.753972999999998</v>
      </c>
      <c r="F5569" t="s">
        <v>2293</v>
      </c>
      <c r="G5569">
        <v>-89.830140999999998</v>
      </c>
      <c r="H5569">
        <v>1700</v>
      </c>
      <c r="I5569">
        <v>91</v>
      </c>
      <c r="J5569">
        <v>-118</v>
      </c>
      <c r="K5569">
        <v>0</v>
      </c>
      <c r="L5569">
        <v>1200</v>
      </c>
      <c r="M5569" t="str">
        <f t="shared" si="569"/>
        <v xml:space="preserve">N35DC   </v>
      </c>
      <c r="N5569">
        <v>1</v>
      </c>
      <c r="O5569">
        <v>1750</v>
      </c>
    </row>
    <row r="5570" spans="1:15" x14ac:dyDescent="0.25">
      <c r="A5570" t="str">
        <f t="shared" si="573"/>
        <v>10/21/2020 18:54:11.332</v>
      </c>
      <c r="B5570" t="str">
        <f t="shared" si="574"/>
        <v>18:54:19.273</v>
      </c>
      <c r="C5570" t="str">
        <f t="shared" si="575"/>
        <v>18:54:18.873</v>
      </c>
      <c r="D5570" t="s">
        <v>2292</v>
      </c>
      <c r="E5570">
        <v>30.753972999999998</v>
      </c>
      <c r="F5570" t="s">
        <v>2293</v>
      </c>
      <c r="G5570">
        <v>-89.830140999999998</v>
      </c>
      <c r="H5570">
        <v>1700</v>
      </c>
      <c r="I5570">
        <v>91</v>
      </c>
      <c r="J5570">
        <v>-118</v>
      </c>
      <c r="K5570">
        <v>0</v>
      </c>
      <c r="L5570">
        <v>1200</v>
      </c>
      <c r="M5570" t="str">
        <f t="shared" si="569"/>
        <v xml:space="preserve">N35DC   </v>
      </c>
      <c r="N5570">
        <v>1</v>
      </c>
      <c r="O5570">
        <v>1750</v>
      </c>
    </row>
    <row r="5571" spans="1:15" x14ac:dyDescent="0.25">
      <c r="A5571" t="str">
        <f t="shared" si="573"/>
        <v>10/21/2020 18:54:11.332</v>
      </c>
      <c r="B5571" t="str">
        <f t="shared" si="574"/>
        <v>18:54:19.273</v>
      </c>
      <c r="C5571" t="str">
        <f t="shared" si="575"/>
        <v>18:54:18.873</v>
      </c>
      <c r="D5571" t="s">
        <v>2292</v>
      </c>
      <c r="E5571">
        <v>30.753972999999998</v>
      </c>
      <c r="F5571" t="s">
        <v>2293</v>
      </c>
      <c r="G5571">
        <v>-89.830140999999998</v>
      </c>
      <c r="H5571">
        <v>1700</v>
      </c>
      <c r="I5571">
        <v>91</v>
      </c>
      <c r="J5571">
        <v>-118</v>
      </c>
      <c r="K5571">
        <v>0</v>
      </c>
      <c r="L5571">
        <v>1200</v>
      </c>
      <c r="M5571" t="str">
        <f t="shared" si="569"/>
        <v xml:space="preserve">N35DC   </v>
      </c>
      <c r="N5571">
        <v>1</v>
      </c>
      <c r="O5571">
        <v>1750</v>
      </c>
    </row>
    <row r="5572" spans="1:15" x14ac:dyDescent="0.25">
      <c r="A5572" t="str">
        <f t="shared" si="573"/>
        <v>10/21/2020 18:54:11.332</v>
      </c>
      <c r="B5572" t="str">
        <f t="shared" si="574"/>
        <v>18:54:19.273</v>
      </c>
      <c r="C5572" t="str">
        <f t="shared" si="575"/>
        <v>18:54:18.873</v>
      </c>
      <c r="D5572" t="s">
        <v>2292</v>
      </c>
      <c r="E5572">
        <v>30.753972999999998</v>
      </c>
      <c r="F5572" t="s">
        <v>2293</v>
      </c>
      <c r="G5572">
        <v>-89.830140999999998</v>
      </c>
      <c r="H5572">
        <v>1700</v>
      </c>
      <c r="I5572">
        <v>91</v>
      </c>
      <c r="J5572">
        <v>-118</v>
      </c>
      <c r="K5572">
        <v>0</v>
      </c>
      <c r="L5572">
        <v>1200</v>
      </c>
      <c r="M5572" t="str">
        <f t="shared" si="569"/>
        <v xml:space="preserve">N35DC   </v>
      </c>
      <c r="N5572">
        <v>1</v>
      </c>
      <c r="O5572">
        <v>1750</v>
      </c>
    </row>
    <row r="5573" spans="1:15" x14ac:dyDescent="0.25">
      <c r="A5573" t="str">
        <f t="shared" si="573"/>
        <v>10/21/2020 18:54:11.332</v>
      </c>
      <c r="B5573" t="str">
        <f t="shared" si="574"/>
        <v>18:54:19.273</v>
      </c>
      <c r="C5573" t="str">
        <f t="shared" si="575"/>
        <v>18:54:18.873</v>
      </c>
      <c r="D5573" t="s">
        <v>2292</v>
      </c>
      <c r="E5573">
        <v>30.753972999999998</v>
      </c>
      <c r="F5573" t="s">
        <v>2293</v>
      </c>
      <c r="G5573">
        <v>-89.830140999999998</v>
      </c>
      <c r="H5573">
        <v>1700</v>
      </c>
      <c r="I5573">
        <v>91</v>
      </c>
      <c r="J5573">
        <v>-118</v>
      </c>
      <c r="K5573">
        <v>0</v>
      </c>
      <c r="L5573">
        <v>1200</v>
      </c>
      <c r="M5573" t="str">
        <f t="shared" si="569"/>
        <v xml:space="preserve">N35DC   </v>
      </c>
      <c r="N5573">
        <v>1</v>
      </c>
      <c r="O5573">
        <v>1750</v>
      </c>
    </row>
    <row r="5574" spans="1:15" x14ac:dyDescent="0.25">
      <c r="A5574" t="str">
        <f t="shared" ref="A5574:A5579" si="576">"10/21/2020 18:54:14.344"</f>
        <v>10/21/2020 18:54:14.344</v>
      </c>
      <c r="B5574" t="str">
        <f t="shared" ref="B5574:B5579" si="577">"18:54:22.273"</f>
        <v>18:54:22.273</v>
      </c>
      <c r="C5574" t="str">
        <f>"18:54:21.973"</f>
        <v>18:54:21.973</v>
      </c>
      <c r="D5574" t="s">
        <v>2294</v>
      </c>
      <c r="E5574">
        <v>30.752320000000001</v>
      </c>
      <c r="F5574" t="s">
        <v>2295</v>
      </c>
      <c r="G5574">
        <v>-89.828659999999999</v>
      </c>
      <c r="H5574">
        <v>1700</v>
      </c>
      <c r="I5574">
        <v>92</v>
      </c>
      <c r="J5574">
        <v>-119</v>
      </c>
      <c r="K5574">
        <v>-128</v>
      </c>
      <c r="L5574">
        <v>1200</v>
      </c>
      <c r="M5574" t="str">
        <f t="shared" si="569"/>
        <v xml:space="preserve">N35DC   </v>
      </c>
      <c r="N5574">
        <v>1</v>
      </c>
      <c r="O5574">
        <v>1750</v>
      </c>
    </row>
    <row r="5575" spans="1:15" x14ac:dyDescent="0.25">
      <c r="A5575" t="str">
        <f t="shared" si="576"/>
        <v>10/21/2020 18:54:14.344</v>
      </c>
      <c r="B5575" t="str">
        <f t="shared" si="577"/>
        <v>18:54:22.273</v>
      </c>
      <c r="C5575" t="str">
        <f>"18:54:21.973"</f>
        <v>18:54:21.973</v>
      </c>
      <c r="D5575" t="s">
        <v>2294</v>
      </c>
      <c r="E5575">
        <v>30.752320000000001</v>
      </c>
      <c r="F5575" t="s">
        <v>2295</v>
      </c>
      <c r="G5575">
        <v>-89.828659999999999</v>
      </c>
      <c r="H5575">
        <v>1700</v>
      </c>
      <c r="I5575">
        <v>92</v>
      </c>
      <c r="J5575">
        <v>-119</v>
      </c>
      <c r="K5575">
        <v>-128</v>
      </c>
      <c r="L5575">
        <v>1200</v>
      </c>
      <c r="M5575" t="str">
        <f t="shared" ref="M5575:M5638" si="578">"N35DC   "</f>
        <v xml:space="preserve">N35DC   </v>
      </c>
      <c r="N5575">
        <v>1</v>
      </c>
      <c r="O5575">
        <v>1750</v>
      </c>
    </row>
    <row r="5576" spans="1:15" x14ac:dyDescent="0.25">
      <c r="A5576" t="str">
        <f t="shared" si="576"/>
        <v>10/21/2020 18:54:14.344</v>
      </c>
      <c r="B5576" t="str">
        <f t="shared" si="577"/>
        <v>18:54:22.273</v>
      </c>
      <c r="C5576" t="str">
        <f>"18:54:21.973"</f>
        <v>18:54:21.973</v>
      </c>
      <c r="D5576" t="s">
        <v>2294</v>
      </c>
      <c r="E5576">
        <v>30.752320000000001</v>
      </c>
      <c r="F5576" t="s">
        <v>2295</v>
      </c>
      <c r="G5576">
        <v>-89.828659999999999</v>
      </c>
      <c r="H5576">
        <v>1700</v>
      </c>
      <c r="I5576">
        <v>92</v>
      </c>
      <c r="J5576">
        <v>-119</v>
      </c>
      <c r="K5576">
        <v>-128</v>
      </c>
      <c r="L5576">
        <v>1200</v>
      </c>
      <c r="M5576" t="str">
        <f t="shared" si="578"/>
        <v xml:space="preserve">N35DC   </v>
      </c>
      <c r="N5576">
        <v>1</v>
      </c>
      <c r="O5576">
        <v>1750</v>
      </c>
    </row>
    <row r="5577" spans="1:15" x14ac:dyDescent="0.25">
      <c r="A5577" t="str">
        <f t="shared" si="576"/>
        <v>10/21/2020 18:54:14.344</v>
      </c>
      <c r="B5577" t="str">
        <f t="shared" si="577"/>
        <v>18:54:22.273</v>
      </c>
      <c r="C5577" t="str">
        <f>"18:54:21.973"</f>
        <v>18:54:21.973</v>
      </c>
      <c r="D5577" t="s">
        <v>2294</v>
      </c>
      <c r="E5577">
        <v>30.752320000000001</v>
      </c>
      <c r="F5577" t="s">
        <v>2295</v>
      </c>
      <c r="G5577">
        <v>-89.828659999999999</v>
      </c>
      <c r="H5577">
        <v>1700</v>
      </c>
      <c r="I5577">
        <v>92</v>
      </c>
      <c r="J5577">
        <v>-119</v>
      </c>
      <c r="K5577">
        <v>-128</v>
      </c>
      <c r="L5577">
        <v>1200</v>
      </c>
      <c r="M5577" t="str">
        <f t="shared" si="578"/>
        <v xml:space="preserve">N35DC   </v>
      </c>
      <c r="N5577">
        <v>1</v>
      </c>
      <c r="O5577">
        <v>1750</v>
      </c>
    </row>
    <row r="5578" spans="1:15" x14ac:dyDescent="0.25">
      <c r="A5578" t="str">
        <f t="shared" si="576"/>
        <v>10/21/2020 18:54:14.344</v>
      </c>
      <c r="B5578" t="str">
        <f t="shared" si="577"/>
        <v>18:54:22.273</v>
      </c>
      <c r="C5578" t="str">
        <f>"18:54:21.973"</f>
        <v>18:54:21.973</v>
      </c>
      <c r="D5578" t="s">
        <v>2294</v>
      </c>
      <c r="E5578">
        <v>30.752320000000001</v>
      </c>
      <c r="F5578" t="s">
        <v>2295</v>
      </c>
      <c r="G5578">
        <v>-89.828659999999999</v>
      </c>
      <c r="H5578">
        <v>1700</v>
      </c>
      <c r="I5578">
        <v>92</v>
      </c>
      <c r="J5578">
        <v>-119</v>
      </c>
      <c r="K5578">
        <v>-128</v>
      </c>
      <c r="L5578">
        <v>1200</v>
      </c>
      <c r="M5578" t="str">
        <f t="shared" si="578"/>
        <v xml:space="preserve">N35DC   </v>
      </c>
      <c r="N5578">
        <v>1</v>
      </c>
      <c r="O5578">
        <v>1750</v>
      </c>
    </row>
    <row r="5579" spans="1:15" x14ac:dyDescent="0.25">
      <c r="A5579" t="str">
        <f t="shared" si="576"/>
        <v>10/21/2020 18:54:14.344</v>
      </c>
      <c r="B5579" t="str">
        <f t="shared" si="577"/>
        <v>18:54:22.273</v>
      </c>
      <c r="C5579" t="str">
        <f>"18:54:21.573"</f>
        <v>18:54:21.573</v>
      </c>
      <c r="D5579" t="s">
        <v>2294</v>
      </c>
      <c r="E5579">
        <v>30.752320000000001</v>
      </c>
      <c r="F5579" t="s">
        <v>2295</v>
      </c>
      <c r="G5579">
        <v>-89.828659999999999</v>
      </c>
      <c r="H5579">
        <v>1700</v>
      </c>
      <c r="I5579">
        <v>92</v>
      </c>
      <c r="J5579">
        <v>-119</v>
      </c>
      <c r="K5579">
        <v>0</v>
      </c>
      <c r="L5579">
        <v>1200</v>
      </c>
      <c r="M5579" t="str">
        <f t="shared" si="578"/>
        <v xml:space="preserve">N35DC   </v>
      </c>
      <c r="N5579">
        <v>1</v>
      </c>
      <c r="O5579">
        <v>1750</v>
      </c>
    </row>
    <row r="5580" spans="1:15" x14ac:dyDescent="0.25">
      <c r="A5580" t="str">
        <f>"10/21/2020 18:54:15.253"</f>
        <v>10/21/2020 18:54:15.253</v>
      </c>
      <c r="B5580" t="str">
        <f>"18:54:23.188"</f>
        <v>18:54:23.188</v>
      </c>
      <c r="C5580" t="str">
        <f>"18:54:22.788"</f>
        <v>18:54:22.788</v>
      </c>
      <c r="D5580" t="s">
        <v>2296</v>
      </c>
      <c r="E5580">
        <v>30.751826999999999</v>
      </c>
      <c r="F5580" t="s">
        <v>2297</v>
      </c>
      <c r="G5580">
        <v>-89.828253000000004</v>
      </c>
      <c r="H5580">
        <v>1700</v>
      </c>
      <c r="I5580">
        <v>93</v>
      </c>
      <c r="J5580">
        <v>-119</v>
      </c>
      <c r="K5580">
        <v>-256</v>
      </c>
      <c r="L5580">
        <v>1200</v>
      </c>
      <c r="M5580" t="str">
        <f t="shared" si="578"/>
        <v xml:space="preserve">N35DC   </v>
      </c>
      <c r="N5580">
        <v>1</v>
      </c>
      <c r="O5580">
        <v>1750</v>
      </c>
    </row>
    <row r="5581" spans="1:15" x14ac:dyDescent="0.25">
      <c r="A5581" t="str">
        <f>"10/21/2020 18:54:15.253"</f>
        <v>10/21/2020 18:54:15.253</v>
      </c>
      <c r="B5581" t="str">
        <f>"18:54:23.188"</f>
        <v>18:54:23.188</v>
      </c>
      <c r="C5581" t="str">
        <f>"18:54:22.788"</f>
        <v>18:54:22.788</v>
      </c>
      <c r="D5581" t="s">
        <v>2296</v>
      </c>
      <c r="E5581">
        <v>30.751826999999999</v>
      </c>
      <c r="F5581" t="s">
        <v>2297</v>
      </c>
      <c r="G5581">
        <v>-89.828253000000004</v>
      </c>
      <c r="H5581">
        <v>1700</v>
      </c>
      <c r="I5581">
        <v>93</v>
      </c>
      <c r="J5581">
        <v>-119</v>
      </c>
      <c r="K5581">
        <v>-256</v>
      </c>
      <c r="L5581">
        <v>1200</v>
      </c>
      <c r="M5581" t="str">
        <f t="shared" si="578"/>
        <v xml:space="preserve">N35DC   </v>
      </c>
      <c r="N5581">
        <v>1</v>
      </c>
      <c r="O5581">
        <v>1750</v>
      </c>
    </row>
    <row r="5582" spans="1:15" x14ac:dyDescent="0.25">
      <c r="A5582" t="str">
        <f>"10/21/2020 18:54:15.253"</f>
        <v>10/21/2020 18:54:15.253</v>
      </c>
      <c r="B5582" t="str">
        <f>"18:54:23.188"</f>
        <v>18:54:23.188</v>
      </c>
      <c r="C5582" t="str">
        <f>"18:54:22.788"</f>
        <v>18:54:22.788</v>
      </c>
      <c r="D5582" t="s">
        <v>2296</v>
      </c>
      <c r="E5582">
        <v>30.751826999999999</v>
      </c>
      <c r="F5582" t="s">
        <v>2297</v>
      </c>
      <c r="G5582">
        <v>-89.828253000000004</v>
      </c>
      <c r="H5582">
        <v>1700</v>
      </c>
      <c r="I5582">
        <v>93</v>
      </c>
      <c r="J5582">
        <v>-119</v>
      </c>
      <c r="K5582">
        <v>-256</v>
      </c>
      <c r="L5582">
        <v>1200</v>
      </c>
      <c r="M5582" t="str">
        <f t="shared" si="578"/>
        <v xml:space="preserve">N35DC   </v>
      </c>
      <c r="N5582">
        <v>1</v>
      </c>
      <c r="O5582">
        <v>1750</v>
      </c>
    </row>
    <row r="5583" spans="1:15" x14ac:dyDescent="0.25">
      <c r="A5583" t="str">
        <f>"10/21/2020 18:54:15.253"</f>
        <v>10/21/2020 18:54:15.253</v>
      </c>
      <c r="B5583" t="str">
        <f>"18:54:23.188"</f>
        <v>18:54:23.188</v>
      </c>
      <c r="C5583" t="str">
        <f>"18:54:22.788"</f>
        <v>18:54:22.788</v>
      </c>
      <c r="D5583" t="s">
        <v>2296</v>
      </c>
      <c r="E5583">
        <v>30.751826999999999</v>
      </c>
      <c r="F5583" t="s">
        <v>2297</v>
      </c>
      <c r="G5583">
        <v>-89.828253000000004</v>
      </c>
      <c r="H5583">
        <v>1700</v>
      </c>
      <c r="I5583">
        <v>93</v>
      </c>
      <c r="J5583">
        <v>-119</v>
      </c>
      <c r="K5583">
        <v>-256</v>
      </c>
      <c r="L5583">
        <v>1200</v>
      </c>
      <c r="M5583" t="str">
        <f t="shared" si="578"/>
        <v xml:space="preserve">N35DC   </v>
      </c>
      <c r="N5583">
        <v>1</v>
      </c>
      <c r="O5583">
        <v>1750</v>
      </c>
    </row>
    <row r="5584" spans="1:15" x14ac:dyDescent="0.25">
      <c r="A5584" t="str">
        <f>"10/21/2020 18:54:15.253"</f>
        <v>10/21/2020 18:54:15.253</v>
      </c>
      <c r="B5584" t="str">
        <f>"18:54:23.188"</f>
        <v>18:54:23.188</v>
      </c>
      <c r="C5584" t="str">
        <f>"18:54:22.788"</f>
        <v>18:54:22.788</v>
      </c>
      <c r="D5584" t="s">
        <v>2296</v>
      </c>
      <c r="E5584">
        <v>30.751826999999999</v>
      </c>
      <c r="F5584" t="s">
        <v>2297</v>
      </c>
      <c r="G5584">
        <v>-89.828253000000004</v>
      </c>
      <c r="H5584">
        <v>1700</v>
      </c>
      <c r="I5584">
        <v>93</v>
      </c>
      <c r="J5584">
        <v>-119</v>
      </c>
      <c r="K5584">
        <v>-256</v>
      </c>
      <c r="L5584">
        <v>1200</v>
      </c>
      <c r="M5584" t="str">
        <f t="shared" si="578"/>
        <v xml:space="preserve">N35DC   </v>
      </c>
      <c r="N5584">
        <v>1</v>
      </c>
      <c r="O5584">
        <v>1750</v>
      </c>
    </row>
    <row r="5585" spans="1:15" x14ac:dyDescent="0.25">
      <c r="A5585" t="str">
        <f>"10/21/2020 18:54:15.702"</f>
        <v>10/21/2020 18:54:15.702</v>
      </c>
      <c r="B5585" t="str">
        <f>"18:54:23.617"</f>
        <v>18:54:23.617</v>
      </c>
      <c r="C5585" t="str">
        <f>"18:54:23.317"</f>
        <v>18:54:23.317</v>
      </c>
      <c r="D5585" t="s">
        <v>2298</v>
      </c>
      <c r="E5585">
        <v>30.751612000000002</v>
      </c>
      <c r="F5585" t="s">
        <v>2299</v>
      </c>
      <c r="G5585">
        <v>-89.827995000000001</v>
      </c>
      <c r="H5585">
        <v>1700</v>
      </c>
      <c r="I5585">
        <v>93</v>
      </c>
      <c r="J5585">
        <v>-120</v>
      </c>
      <c r="K5585">
        <v>-192</v>
      </c>
      <c r="L5585">
        <v>1200</v>
      </c>
      <c r="M5585" t="str">
        <f t="shared" si="578"/>
        <v xml:space="preserve">N35DC   </v>
      </c>
      <c r="N5585">
        <v>1</v>
      </c>
      <c r="O5585">
        <v>1750</v>
      </c>
    </row>
    <row r="5586" spans="1:15" x14ac:dyDescent="0.25">
      <c r="A5586" t="str">
        <f>"10/21/2020 18:54:18.312"</f>
        <v>10/21/2020 18:54:18.312</v>
      </c>
      <c r="B5586" t="str">
        <f>"18:54:26.227"</f>
        <v>18:54:26.227</v>
      </c>
      <c r="C5586" t="str">
        <f>"18:54:25.927"</f>
        <v>18:54:25.927</v>
      </c>
      <c r="D5586" t="s">
        <v>2300</v>
      </c>
      <c r="E5586">
        <v>30.750132000000001</v>
      </c>
      <c r="F5586" t="s">
        <v>2301</v>
      </c>
      <c r="G5586">
        <v>-89.826685999999995</v>
      </c>
      <c r="H5586">
        <v>1700</v>
      </c>
      <c r="I5586">
        <v>93</v>
      </c>
      <c r="J5586">
        <v>-120</v>
      </c>
      <c r="K5586">
        <v>-128</v>
      </c>
      <c r="L5586">
        <v>1200</v>
      </c>
      <c r="M5586" t="str">
        <f t="shared" si="578"/>
        <v xml:space="preserve">N35DC   </v>
      </c>
      <c r="N5586">
        <v>1</v>
      </c>
      <c r="O5586">
        <v>1750</v>
      </c>
    </row>
    <row r="5587" spans="1:15" x14ac:dyDescent="0.25">
      <c r="A5587" t="str">
        <f>"10/21/2020 18:54:18.312"</f>
        <v>10/21/2020 18:54:18.312</v>
      </c>
      <c r="B5587" t="str">
        <f>"18:54:26.227"</f>
        <v>18:54:26.227</v>
      </c>
      <c r="C5587" t="str">
        <f>"18:54:25.927"</f>
        <v>18:54:25.927</v>
      </c>
      <c r="D5587" t="s">
        <v>2300</v>
      </c>
      <c r="E5587">
        <v>30.750132000000001</v>
      </c>
      <c r="F5587" t="s">
        <v>2301</v>
      </c>
      <c r="G5587">
        <v>-89.826685999999995</v>
      </c>
      <c r="H5587">
        <v>1700</v>
      </c>
      <c r="I5587">
        <v>93</v>
      </c>
      <c r="J5587">
        <v>-120</v>
      </c>
      <c r="K5587">
        <v>-128</v>
      </c>
      <c r="L5587">
        <v>1200</v>
      </c>
      <c r="M5587" t="str">
        <f t="shared" si="578"/>
        <v xml:space="preserve">N35DC   </v>
      </c>
      <c r="N5587">
        <v>1</v>
      </c>
      <c r="O5587">
        <v>1750</v>
      </c>
    </row>
    <row r="5588" spans="1:15" x14ac:dyDescent="0.25">
      <c r="A5588" t="str">
        <f>"10/21/2020 18:54:18.312"</f>
        <v>10/21/2020 18:54:18.312</v>
      </c>
      <c r="B5588" t="str">
        <f>"18:54:26.227"</f>
        <v>18:54:26.227</v>
      </c>
      <c r="C5588" t="str">
        <f>"18:54:25.927"</f>
        <v>18:54:25.927</v>
      </c>
      <c r="D5588" t="s">
        <v>2300</v>
      </c>
      <c r="E5588">
        <v>30.750132000000001</v>
      </c>
      <c r="F5588" t="s">
        <v>2301</v>
      </c>
      <c r="G5588">
        <v>-89.826685999999995</v>
      </c>
      <c r="H5588">
        <v>1700</v>
      </c>
      <c r="I5588">
        <v>93</v>
      </c>
      <c r="J5588">
        <v>-120</v>
      </c>
      <c r="K5588">
        <v>-128</v>
      </c>
      <c r="L5588">
        <v>1200</v>
      </c>
      <c r="M5588" t="str">
        <f t="shared" si="578"/>
        <v xml:space="preserve">N35DC   </v>
      </c>
      <c r="N5588">
        <v>1</v>
      </c>
      <c r="O5588">
        <v>1750</v>
      </c>
    </row>
    <row r="5589" spans="1:15" x14ac:dyDescent="0.25">
      <c r="A5589" t="str">
        <f>"10/21/2020 18:54:18.312"</f>
        <v>10/21/2020 18:54:18.312</v>
      </c>
      <c r="B5589" t="str">
        <f>"18:54:26.227"</f>
        <v>18:54:26.227</v>
      </c>
      <c r="C5589" t="str">
        <f>"18:54:25.927"</f>
        <v>18:54:25.927</v>
      </c>
      <c r="D5589" t="s">
        <v>2300</v>
      </c>
      <c r="E5589">
        <v>30.750132000000001</v>
      </c>
      <c r="F5589" t="s">
        <v>2301</v>
      </c>
      <c r="G5589">
        <v>-89.826685999999995</v>
      </c>
      <c r="H5589">
        <v>1700</v>
      </c>
      <c r="I5589">
        <v>93</v>
      </c>
      <c r="J5589">
        <v>-120</v>
      </c>
      <c r="K5589">
        <v>-128</v>
      </c>
      <c r="L5589">
        <v>1200</v>
      </c>
      <c r="M5589" t="str">
        <f t="shared" si="578"/>
        <v xml:space="preserve">N35DC   </v>
      </c>
      <c r="N5589">
        <v>1</v>
      </c>
      <c r="O5589">
        <v>1750</v>
      </c>
    </row>
    <row r="5590" spans="1:15" x14ac:dyDescent="0.25">
      <c r="A5590" t="str">
        <f>"10/21/2020 18:54:18.312"</f>
        <v>10/21/2020 18:54:18.312</v>
      </c>
      <c r="B5590" t="str">
        <f>"18:54:26.227"</f>
        <v>18:54:26.227</v>
      </c>
      <c r="C5590" t="str">
        <f>"18:54:25.927"</f>
        <v>18:54:25.927</v>
      </c>
      <c r="D5590" t="s">
        <v>2300</v>
      </c>
      <c r="E5590">
        <v>30.750132000000001</v>
      </c>
      <c r="F5590" t="s">
        <v>2301</v>
      </c>
      <c r="G5590">
        <v>-89.826685999999995</v>
      </c>
      <c r="H5590">
        <v>1700</v>
      </c>
      <c r="I5590">
        <v>93</v>
      </c>
      <c r="J5590">
        <v>-120</v>
      </c>
      <c r="K5590">
        <v>-128</v>
      </c>
      <c r="L5590">
        <v>1200</v>
      </c>
      <c r="M5590" t="str">
        <f t="shared" si="578"/>
        <v xml:space="preserve">N35DC   </v>
      </c>
      <c r="N5590">
        <v>1</v>
      </c>
      <c r="O5590">
        <v>1750</v>
      </c>
    </row>
    <row r="5591" spans="1:15" x14ac:dyDescent="0.25">
      <c r="A5591" t="str">
        <f>"10/21/2020 18:54:18.920"</f>
        <v>10/21/2020 18:54:18.920</v>
      </c>
      <c r="B5591" t="str">
        <f>"18:54:26.828"</f>
        <v>18:54:26.828</v>
      </c>
      <c r="C5591" t="str">
        <f>"18:54:26.828"</f>
        <v>18:54:26.828</v>
      </c>
      <c r="D5591" t="s">
        <v>2302</v>
      </c>
      <c r="E5591">
        <v>30.749766999999999</v>
      </c>
      <c r="F5591" t="s">
        <v>2303</v>
      </c>
      <c r="G5591">
        <v>-89.826429000000005</v>
      </c>
      <c r="H5591">
        <v>1700</v>
      </c>
      <c r="I5591">
        <v>94</v>
      </c>
      <c r="J5591">
        <v>-120</v>
      </c>
      <c r="K5591">
        <v>-128</v>
      </c>
      <c r="L5591">
        <v>1200</v>
      </c>
      <c r="M5591" t="str">
        <f t="shared" si="578"/>
        <v xml:space="preserve">N35DC   </v>
      </c>
      <c r="N5591">
        <v>1</v>
      </c>
      <c r="O5591">
        <v>1750</v>
      </c>
    </row>
    <row r="5592" spans="1:15" x14ac:dyDescent="0.25">
      <c r="A5592" t="str">
        <f>"10/21/2020 18:54:19.417"</f>
        <v>10/21/2020 18:54:19.417</v>
      </c>
      <c r="B5592" t="str">
        <f>"18:54:27.367"</f>
        <v>18:54:27.367</v>
      </c>
      <c r="C5592" t="str">
        <f>"18:54:27.267"</f>
        <v>18:54:27.267</v>
      </c>
      <c r="D5592" t="s">
        <v>2304</v>
      </c>
      <c r="E5592">
        <v>30.749466000000002</v>
      </c>
      <c r="F5592" t="s">
        <v>2305</v>
      </c>
      <c r="G5592">
        <v>-89.826149999999998</v>
      </c>
      <c r="H5592">
        <v>1700</v>
      </c>
      <c r="I5592">
        <v>94</v>
      </c>
      <c r="J5592">
        <v>-120</v>
      </c>
      <c r="K5592">
        <v>-64</v>
      </c>
      <c r="L5592">
        <v>1200</v>
      </c>
      <c r="M5592" t="str">
        <f t="shared" si="578"/>
        <v xml:space="preserve">N35DC   </v>
      </c>
      <c r="N5592">
        <v>1</v>
      </c>
      <c r="O5592">
        <v>1750</v>
      </c>
    </row>
    <row r="5593" spans="1:15" x14ac:dyDescent="0.25">
      <c r="A5593" t="str">
        <f>"10/21/2020 18:54:19.417"</f>
        <v>10/21/2020 18:54:19.417</v>
      </c>
      <c r="B5593" t="str">
        <f>"18:54:27.367"</f>
        <v>18:54:27.367</v>
      </c>
      <c r="C5593" t="str">
        <f>"18:54:27.267"</f>
        <v>18:54:27.267</v>
      </c>
      <c r="D5593" t="s">
        <v>2304</v>
      </c>
      <c r="E5593">
        <v>30.749466000000002</v>
      </c>
      <c r="F5593" t="s">
        <v>2305</v>
      </c>
      <c r="G5593">
        <v>-89.826149999999998</v>
      </c>
      <c r="H5593">
        <v>1700</v>
      </c>
      <c r="I5593">
        <v>94</v>
      </c>
      <c r="J5593">
        <v>-120</v>
      </c>
      <c r="K5593">
        <v>-64</v>
      </c>
      <c r="L5593">
        <v>1200</v>
      </c>
      <c r="M5593" t="str">
        <f t="shared" si="578"/>
        <v xml:space="preserve">N35DC   </v>
      </c>
      <c r="N5593">
        <v>1</v>
      </c>
      <c r="O5593">
        <v>1750</v>
      </c>
    </row>
    <row r="5594" spans="1:15" x14ac:dyDescent="0.25">
      <c r="A5594" t="str">
        <f>"10/21/2020 18:54:19.417"</f>
        <v>10/21/2020 18:54:19.417</v>
      </c>
      <c r="B5594" t="str">
        <f>"18:54:27.367"</f>
        <v>18:54:27.367</v>
      </c>
      <c r="C5594" t="str">
        <f>"18:54:27.267"</f>
        <v>18:54:27.267</v>
      </c>
      <c r="D5594" t="s">
        <v>2304</v>
      </c>
      <c r="E5594">
        <v>30.749466000000002</v>
      </c>
      <c r="F5594" t="s">
        <v>2305</v>
      </c>
      <c r="G5594">
        <v>-89.826149999999998</v>
      </c>
      <c r="H5594">
        <v>1700</v>
      </c>
      <c r="I5594">
        <v>94</v>
      </c>
      <c r="J5594">
        <v>-120</v>
      </c>
      <c r="K5594">
        <v>-64</v>
      </c>
      <c r="L5594">
        <v>1200</v>
      </c>
      <c r="M5594" t="str">
        <f t="shared" si="578"/>
        <v xml:space="preserve">N35DC   </v>
      </c>
      <c r="N5594">
        <v>1</v>
      </c>
      <c r="O5594">
        <v>1750</v>
      </c>
    </row>
    <row r="5595" spans="1:15" x14ac:dyDescent="0.25">
      <c r="A5595" t="str">
        <f>"10/21/2020 18:54:19.417"</f>
        <v>10/21/2020 18:54:19.417</v>
      </c>
      <c r="B5595" t="str">
        <f>"18:54:27.367"</f>
        <v>18:54:27.367</v>
      </c>
      <c r="C5595" t="str">
        <f>"18:54:27.267"</f>
        <v>18:54:27.267</v>
      </c>
      <c r="D5595" t="s">
        <v>2304</v>
      </c>
      <c r="E5595">
        <v>30.749466000000002</v>
      </c>
      <c r="F5595" t="s">
        <v>2305</v>
      </c>
      <c r="G5595">
        <v>-89.826149999999998</v>
      </c>
      <c r="H5595">
        <v>1700</v>
      </c>
      <c r="I5595">
        <v>94</v>
      </c>
      <c r="J5595">
        <v>-120</v>
      </c>
      <c r="K5595">
        <v>-64</v>
      </c>
      <c r="L5595">
        <v>1200</v>
      </c>
      <c r="M5595" t="str">
        <f t="shared" si="578"/>
        <v xml:space="preserve">N35DC   </v>
      </c>
      <c r="N5595">
        <v>1</v>
      </c>
      <c r="O5595">
        <v>1750</v>
      </c>
    </row>
    <row r="5596" spans="1:15" x14ac:dyDescent="0.25">
      <c r="A5596" t="str">
        <f>"10/21/2020 18:54:19.417"</f>
        <v>10/21/2020 18:54:19.417</v>
      </c>
      <c r="B5596" t="str">
        <f>"18:54:27.367"</f>
        <v>18:54:27.367</v>
      </c>
      <c r="C5596" t="str">
        <f>"18:54:27.267"</f>
        <v>18:54:27.267</v>
      </c>
      <c r="D5596" t="s">
        <v>2304</v>
      </c>
      <c r="E5596">
        <v>30.749466000000002</v>
      </c>
      <c r="F5596" t="s">
        <v>2305</v>
      </c>
      <c r="G5596">
        <v>-89.826149999999998</v>
      </c>
      <c r="H5596">
        <v>1700</v>
      </c>
      <c r="I5596">
        <v>94</v>
      </c>
      <c r="J5596">
        <v>-120</v>
      </c>
      <c r="K5596">
        <v>-64</v>
      </c>
      <c r="L5596">
        <v>1200</v>
      </c>
      <c r="M5596" t="str">
        <f t="shared" si="578"/>
        <v xml:space="preserve">N35DC   </v>
      </c>
      <c r="N5596">
        <v>1</v>
      </c>
      <c r="O5596">
        <v>1750</v>
      </c>
    </row>
    <row r="5597" spans="1:15" x14ac:dyDescent="0.25">
      <c r="A5597" t="str">
        <f>"10/21/2020 18:54:19.928"</f>
        <v>10/21/2020 18:54:19.928</v>
      </c>
      <c r="B5597" t="str">
        <f>"18:54:27.836"</f>
        <v>18:54:27.836</v>
      </c>
      <c r="C5597" t="str">
        <f>"18:54:27.836"</f>
        <v>18:54:27.836</v>
      </c>
      <c r="D5597" t="s">
        <v>2306</v>
      </c>
      <c r="E5597">
        <v>30.749251999999998</v>
      </c>
      <c r="F5597" t="s">
        <v>2307</v>
      </c>
      <c r="G5597">
        <v>-89.825871000000006</v>
      </c>
      <c r="H5597">
        <v>1700</v>
      </c>
      <c r="I5597">
        <v>94</v>
      </c>
      <c r="J5597">
        <v>-120</v>
      </c>
      <c r="K5597">
        <v>-64</v>
      </c>
      <c r="L5597">
        <v>1200</v>
      </c>
      <c r="M5597" t="str">
        <f t="shared" si="578"/>
        <v xml:space="preserve">N35DC   </v>
      </c>
      <c r="N5597">
        <v>1</v>
      </c>
      <c r="O5597">
        <v>1750</v>
      </c>
    </row>
    <row r="5598" spans="1:15" x14ac:dyDescent="0.25">
      <c r="A5598" t="str">
        <f t="shared" ref="A5598:A5603" si="579">"10/21/2020 18:54:22.203"</f>
        <v>10/21/2020 18:54:22.203</v>
      </c>
      <c r="B5598" t="str">
        <f t="shared" ref="B5598:B5603" si="580">"18:54:30.156"</f>
        <v>18:54:30.156</v>
      </c>
      <c r="C5598" t="str">
        <f>"18:54:29.956"</f>
        <v>18:54:29.956</v>
      </c>
      <c r="D5598" t="s">
        <v>2308</v>
      </c>
      <c r="E5598">
        <v>30.747942999999999</v>
      </c>
      <c r="F5598" t="s">
        <v>2309</v>
      </c>
      <c r="G5598">
        <v>-89.824712000000005</v>
      </c>
      <c r="H5598">
        <v>1700</v>
      </c>
      <c r="I5598">
        <v>95</v>
      </c>
      <c r="J5598">
        <v>-121</v>
      </c>
      <c r="K5598">
        <v>64</v>
      </c>
      <c r="L5598">
        <v>1200</v>
      </c>
      <c r="M5598" t="str">
        <f t="shared" si="578"/>
        <v xml:space="preserve">N35DC   </v>
      </c>
      <c r="N5598">
        <v>1</v>
      </c>
      <c r="O5598">
        <v>1750</v>
      </c>
    </row>
    <row r="5599" spans="1:15" x14ac:dyDescent="0.25">
      <c r="A5599" t="str">
        <f t="shared" si="579"/>
        <v>10/21/2020 18:54:22.203</v>
      </c>
      <c r="B5599" t="str">
        <f t="shared" si="580"/>
        <v>18:54:30.156</v>
      </c>
      <c r="C5599" t="str">
        <f>"18:54:29.956"</f>
        <v>18:54:29.956</v>
      </c>
      <c r="D5599" t="s">
        <v>2308</v>
      </c>
      <c r="E5599">
        <v>30.747942999999999</v>
      </c>
      <c r="F5599" t="s">
        <v>2309</v>
      </c>
      <c r="G5599">
        <v>-89.824712000000005</v>
      </c>
      <c r="H5599">
        <v>1700</v>
      </c>
      <c r="I5599">
        <v>95</v>
      </c>
      <c r="J5599">
        <v>-121</v>
      </c>
      <c r="K5599">
        <v>64</v>
      </c>
      <c r="L5599">
        <v>1200</v>
      </c>
      <c r="M5599" t="str">
        <f t="shared" si="578"/>
        <v xml:space="preserve">N35DC   </v>
      </c>
      <c r="N5599">
        <v>1</v>
      </c>
      <c r="O5599">
        <v>1750</v>
      </c>
    </row>
    <row r="5600" spans="1:15" x14ac:dyDescent="0.25">
      <c r="A5600" t="str">
        <f t="shared" si="579"/>
        <v>10/21/2020 18:54:22.203</v>
      </c>
      <c r="B5600" t="str">
        <f t="shared" si="580"/>
        <v>18:54:30.156</v>
      </c>
      <c r="C5600" t="str">
        <f>"18:54:29.956"</f>
        <v>18:54:29.956</v>
      </c>
      <c r="D5600" t="s">
        <v>2308</v>
      </c>
      <c r="E5600">
        <v>30.747942999999999</v>
      </c>
      <c r="F5600" t="s">
        <v>2309</v>
      </c>
      <c r="G5600">
        <v>-89.824712000000005</v>
      </c>
      <c r="H5600">
        <v>1700</v>
      </c>
      <c r="I5600">
        <v>95</v>
      </c>
      <c r="J5600">
        <v>-121</v>
      </c>
      <c r="K5600">
        <v>64</v>
      </c>
      <c r="L5600">
        <v>1200</v>
      </c>
      <c r="M5600" t="str">
        <f t="shared" si="578"/>
        <v xml:space="preserve">N35DC   </v>
      </c>
      <c r="N5600">
        <v>1</v>
      </c>
      <c r="O5600">
        <v>1750</v>
      </c>
    </row>
    <row r="5601" spans="1:15" x14ac:dyDescent="0.25">
      <c r="A5601" t="str">
        <f t="shared" si="579"/>
        <v>10/21/2020 18:54:22.203</v>
      </c>
      <c r="B5601" t="str">
        <f t="shared" si="580"/>
        <v>18:54:30.156</v>
      </c>
      <c r="C5601" t="str">
        <f>"18:54:29.956"</f>
        <v>18:54:29.956</v>
      </c>
      <c r="D5601" t="s">
        <v>2308</v>
      </c>
      <c r="E5601">
        <v>30.747942999999999</v>
      </c>
      <c r="F5601" t="s">
        <v>2309</v>
      </c>
      <c r="G5601">
        <v>-89.824712000000005</v>
      </c>
      <c r="H5601">
        <v>1700</v>
      </c>
      <c r="I5601">
        <v>95</v>
      </c>
      <c r="J5601">
        <v>-121</v>
      </c>
      <c r="K5601">
        <v>64</v>
      </c>
      <c r="L5601">
        <v>1200</v>
      </c>
      <c r="M5601" t="str">
        <f t="shared" si="578"/>
        <v xml:space="preserve">N35DC   </v>
      </c>
      <c r="N5601">
        <v>1</v>
      </c>
      <c r="O5601">
        <v>1750</v>
      </c>
    </row>
    <row r="5602" spans="1:15" x14ac:dyDescent="0.25">
      <c r="A5602" t="str">
        <f t="shared" si="579"/>
        <v>10/21/2020 18:54:22.203</v>
      </c>
      <c r="B5602" t="str">
        <f t="shared" si="580"/>
        <v>18:54:30.156</v>
      </c>
      <c r="C5602" t="str">
        <f>"18:54:29.356"</f>
        <v>18:54:29.356</v>
      </c>
      <c r="D5602" t="s">
        <v>2308</v>
      </c>
      <c r="E5602">
        <v>30.747942999999999</v>
      </c>
      <c r="F5602" t="s">
        <v>2309</v>
      </c>
      <c r="G5602">
        <v>-89.824712000000005</v>
      </c>
      <c r="H5602">
        <v>1700</v>
      </c>
      <c r="I5602">
        <v>95</v>
      </c>
      <c r="J5602">
        <v>-121</v>
      </c>
      <c r="K5602">
        <v>128</v>
      </c>
      <c r="L5602">
        <v>1200</v>
      </c>
      <c r="M5602" t="str">
        <f t="shared" si="578"/>
        <v xml:space="preserve">N35DC   </v>
      </c>
      <c r="N5602">
        <v>1</v>
      </c>
      <c r="O5602">
        <v>1750</v>
      </c>
    </row>
    <row r="5603" spans="1:15" x14ac:dyDescent="0.25">
      <c r="A5603" t="str">
        <f t="shared" si="579"/>
        <v>10/21/2020 18:54:22.203</v>
      </c>
      <c r="B5603" t="str">
        <f t="shared" si="580"/>
        <v>18:54:30.156</v>
      </c>
      <c r="C5603" t="str">
        <f>"18:54:29.956"</f>
        <v>18:54:29.956</v>
      </c>
      <c r="D5603" t="s">
        <v>2308</v>
      </c>
      <c r="E5603">
        <v>30.747942999999999</v>
      </c>
      <c r="F5603" t="s">
        <v>2309</v>
      </c>
      <c r="G5603">
        <v>-89.824712000000005</v>
      </c>
      <c r="H5603">
        <v>1700</v>
      </c>
      <c r="I5603">
        <v>95</v>
      </c>
      <c r="J5603">
        <v>-121</v>
      </c>
      <c r="K5603">
        <v>64</v>
      </c>
      <c r="L5603">
        <v>1200</v>
      </c>
      <c r="M5603" t="str">
        <f t="shared" si="578"/>
        <v xml:space="preserve">N35DC   </v>
      </c>
      <c r="N5603">
        <v>1</v>
      </c>
      <c r="O5603">
        <v>1750</v>
      </c>
    </row>
    <row r="5604" spans="1:15" x14ac:dyDescent="0.25">
      <c r="A5604" t="str">
        <f t="shared" ref="A5604:A5609" si="581">"10/21/2020 18:54:23.358"</f>
        <v>10/21/2020 18:54:23.358</v>
      </c>
      <c r="B5604" t="str">
        <f t="shared" ref="B5604:B5609" si="582">"18:54:31.313"</f>
        <v>18:54:31.313</v>
      </c>
      <c r="C5604" t="str">
        <f t="shared" ref="C5604:C5609" si="583">"18:54:30.813"</f>
        <v>18:54:30.813</v>
      </c>
      <c r="D5604" t="s">
        <v>2310</v>
      </c>
      <c r="E5604">
        <v>30.747299000000002</v>
      </c>
      <c r="F5604" t="s">
        <v>2311</v>
      </c>
      <c r="G5604">
        <v>-89.824111000000002</v>
      </c>
      <c r="H5604">
        <v>1700</v>
      </c>
      <c r="I5604">
        <v>96</v>
      </c>
      <c r="J5604">
        <v>-121</v>
      </c>
      <c r="K5604">
        <v>192</v>
      </c>
      <c r="L5604">
        <v>1200</v>
      </c>
      <c r="M5604" t="str">
        <f t="shared" si="578"/>
        <v xml:space="preserve">N35DC   </v>
      </c>
      <c r="N5604">
        <v>1</v>
      </c>
      <c r="O5604">
        <v>1750</v>
      </c>
    </row>
    <row r="5605" spans="1:15" x14ac:dyDescent="0.25">
      <c r="A5605" t="str">
        <f t="shared" si="581"/>
        <v>10/21/2020 18:54:23.358</v>
      </c>
      <c r="B5605" t="str">
        <f t="shared" si="582"/>
        <v>18:54:31.313</v>
      </c>
      <c r="C5605" t="str">
        <f t="shared" si="583"/>
        <v>18:54:30.813</v>
      </c>
      <c r="D5605" t="s">
        <v>2310</v>
      </c>
      <c r="E5605">
        <v>30.747299000000002</v>
      </c>
      <c r="F5605" t="s">
        <v>2311</v>
      </c>
      <c r="G5605">
        <v>-89.824111000000002</v>
      </c>
      <c r="H5605">
        <v>1700</v>
      </c>
      <c r="I5605">
        <v>96</v>
      </c>
      <c r="J5605">
        <v>-121</v>
      </c>
      <c r="K5605">
        <v>192</v>
      </c>
      <c r="L5605">
        <v>1200</v>
      </c>
      <c r="M5605" t="str">
        <f t="shared" si="578"/>
        <v xml:space="preserve">N35DC   </v>
      </c>
      <c r="N5605">
        <v>1</v>
      </c>
      <c r="O5605">
        <v>1750</v>
      </c>
    </row>
    <row r="5606" spans="1:15" x14ac:dyDescent="0.25">
      <c r="A5606" t="str">
        <f t="shared" si="581"/>
        <v>10/21/2020 18:54:23.358</v>
      </c>
      <c r="B5606" t="str">
        <f t="shared" si="582"/>
        <v>18:54:31.313</v>
      </c>
      <c r="C5606" t="str">
        <f t="shared" si="583"/>
        <v>18:54:30.813</v>
      </c>
      <c r="D5606" t="s">
        <v>2310</v>
      </c>
      <c r="E5606">
        <v>30.747299000000002</v>
      </c>
      <c r="F5606" t="s">
        <v>2311</v>
      </c>
      <c r="G5606">
        <v>-89.824111000000002</v>
      </c>
      <c r="H5606">
        <v>1700</v>
      </c>
      <c r="I5606">
        <v>96</v>
      </c>
      <c r="J5606">
        <v>-121</v>
      </c>
      <c r="K5606">
        <v>192</v>
      </c>
      <c r="L5606">
        <v>1200</v>
      </c>
      <c r="M5606" t="str">
        <f t="shared" si="578"/>
        <v xml:space="preserve">N35DC   </v>
      </c>
      <c r="N5606">
        <v>1</v>
      </c>
      <c r="O5606">
        <v>1750</v>
      </c>
    </row>
    <row r="5607" spans="1:15" x14ac:dyDescent="0.25">
      <c r="A5607" t="str">
        <f t="shared" si="581"/>
        <v>10/21/2020 18:54:23.358</v>
      </c>
      <c r="B5607" t="str">
        <f t="shared" si="582"/>
        <v>18:54:31.313</v>
      </c>
      <c r="C5607" t="str">
        <f t="shared" si="583"/>
        <v>18:54:30.813</v>
      </c>
      <c r="D5607" t="s">
        <v>2310</v>
      </c>
      <c r="E5607">
        <v>30.747299000000002</v>
      </c>
      <c r="F5607" t="s">
        <v>2311</v>
      </c>
      <c r="G5607">
        <v>-89.824111000000002</v>
      </c>
      <c r="H5607">
        <v>1700</v>
      </c>
      <c r="I5607">
        <v>96</v>
      </c>
      <c r="J5607">
        <v>-121</v>
      </c>
      <c r="K5607">
        <v>192</v>
      </c>
      <c r="L5607">
        <v>1200</v>
      </c>
      <c r="M5607" t="str">
        <f t="shared" si="578"/>
        <v xml:space="preserve">N35DC   </v>
      </c>
      <c r="N5607">
        <v>1</v>
      </c>
      <c r="O5607">
        <v>1750</v>
      </c>
    </row>
    <row r="5608" spans="1:15" x14ac:dyDescent="0.25">
      <c r="A5608" t="str">
        <f t="shared" si="581"/>
        <v>10/21/2020 18:54:23.358</v>
      </c>
      <c r="B5608" t="str">
        <f t="shared" si="582"/>
        <v>18:54:31.313</v>
      </c>
      <c r="C5608" t="str">
        <f t="shared" si="583"/>
        <v>18:54:30.813</v>
      </c>
      <c r="D5608" t="s">
        <v>2310</v>
      </c>
      <c r="E5608">
        <v>30.747299000000002</v>
      </c>
      <c r="F5608" t="s">
        <v>2311</v>
      </c>
      <c r="G5608">
        <v>-89.824111000000002</v>
      </c>
      <c r="H5608">
        <v>1700</v>
      </c>
      <c r="I5608">
        <v>96</v>
      </c>
      <c r="J5608">
        <v>-121</v>
      </c>
      <c r="K5608">
        <v>192</v>
      </c>
      <c r="L5608">
        <v>1200</v>
      </c>
      <c r="M5608" t="str">
        <f t="shared" si="578"/>
        <v xml:space="preserve">N35DC   </v>
      </c>
      <c r="N5608">
        <v>1</v>
      </c>
      <c r="O5608">
        <v>1750</v>
      </c>
    </row>
    <row r="5609" spans="1:15" x14ac:dyDescent="0.25">
      <c r="A5609" t="str">
        <f t="shared" si="581"/>
        <v>10/21/2020 18:54:23.358</v>
      </c>
      <c r="B5609" t="str">
        <f t="shared" si="582"/>
        <v>18:54:31.313</v>
      </c>
      <c r="C5609" t="str">
        <f t="shared" si="583"/>
        <v>18:54:30.813</v>
      </c>
      <c r="D5609" t="s">
        <v>2310</v>
      </c>
      <c r="E5609">
        <v>30.747299000000002</v>
      </c>
      <c r="F5609" t="s">
        <v>2311</v>
      </c>
      <c r="G5609">
        <v>-89.824111000000002</v>
      </c>
      <c r="H5609">
        <v>1700</v>
      </c>
      <c r="I5609">
        <v>96</v>
      </c>
      <c r="J5609">
        <v>-121</v>
      </c>
      <c r="K5609">
        <v>192</v>
      </c>
      <c r="L5609">
        <v>1200</v>
      </c>
      <c r="M5609" t="str">
        <f t="shared" si="578"/>
        <v xml:space="preserve">N35DC   </v>
      </c>
      <c r="N5609">
        <v>1</v>
      </c>
      <c r="O5609">
        <v>1750</v>
      </c>
    </row>
    <row r="5610" spans="1:15" x14ac:dyDescent="0.25">
      <c r="A5610" t="str">
        <f>"10/21/2020 18:54:25.248"</f>
        <v>10/21/2020 18:54:25.248</v>
      </c>
      <c r="B5610" t="str">
        <f>"18:54:33.172"</f>
        <v>18:54:33.172</v>
      </c>
      <c r="C5610" t="str">
        <f>"18:54:32.772"</f>
        <v>18:54:32.772</v>
      </c>
      <c r="D5610" t="s">
        <v>2312</v>
      </c>
      <c r="E5610">
        <v>30.746248000000001</v>
      </c>
      <c r="F5610" t="s">
        <v>2313</v>
      </c>
      <c r="G5610">
        <v>-89.823145999999994</v>
      </c>
      <c r="H5610">
        <v>1700</v>
      </c>
      <c r="I5610">
        <v>96</v>
      </c>
      <c r="J5610">
        <v>-121</v>
      </c>
      <c r="K5610">
        <v>-64</v>
      </c>
      <c r="L5610">
        <v>1200</v>
      </c>
      <c r="M5610" t="str">
        <f t="shared" si="578"/>
        <v xml:space="preserve">N35DC   </v>
      </c>
      <c r="N5610">
        <v>1</v>
      </c>
      <c r="O5610">
        <v>1750</v>
      </c>
    </row>
    <row r="5611" spans="1:15" x14ac:dyDescent="0.25">
      <c r="A5611" t="str">
        <f>"10/21/2020 18:54:25.248"</f>
        <v>10/21/2020 18:54:25.248</v>
      </c>
      <c r="B5611" t="str">
        <f>"18:54:33.172"</f>
        <v>18:54:33.172</v>
      </c>
      <c r="C5611" t="str">
        <f>"18:54:32.772"</f>
        <v>18:54:32.772</v>
      </c>
      <c r="D5611" t="s">
        <v>2312</v>
      </c>
      <c r="E5611">
        <v>30.746248000000001</v>
      </c>
      <c r="F5611" t="s">
        <v>2313</v>
      </c>
      <c r="G5611">
        <v>-89.823145999999994</v>
      </c>
      <c r="H5611">
        <v>1700</v>
      </c>
      <c r="I5611">
        <v>96</v>
      </c>
      <c r="J5611">
        <v>-121</v>
      </c>
      <c r="K5611">
        <v>-64</v>
      </c>
      <c r="L5611">
        <v>1200</v>
      </c>
      <c r="M5611" t="str">
        <f t="shared" si="578"/>
        <v xml:space="preserve">N35DC   </v>
      </c>
      <c r="N5611">
        <v>1</v>
      </c>
      <c r="O5611">
        <v>1750</v>
      </c>
    </row>
    <row r="5612" spans="1:15" x14ac:dyDescent="0.25">
      <c r="A5612" t="str">
        <f>"10/21/2020 18:54:25.248"</f>
        <v>10/21/2020 18:54:25.248</v>
      </c>
      <c r="B5612" t="str">
        <f>"18:54:33.172"</f>
        <v>18:54:33.172</v>
      </c>
      <c r="C5612" t="str">
        <f>"18:54:32.772"</f>
        <v>18:54:32.772</v>
      </c>
      <c r="D5612" t="s">
        <v>2312</v>
      </c>
      <c r="E5612">
        <v>30.746248000000001</v>
      </c>
      <c r="F5612" t="s">
        <v>2313</v>
      </c>
      <c r="G5612">
        <v>-89.823145999999994</v>
      </c>
      <c r="H5612">
        <v>1700</v>
      </c>
      <c r="I5612">
        <v>96</v>
      </c>
      <c r="J5612">
        <v>-121</v>
      </c>
      <c r="K5612">
        <v>-64</v>
      </c>
      <c r="L5612">
        <v>1200</v>
      </c>
      <c r="M5612" t="str">
        <f t="shared" si="578"/>
        <v xml:space="preserve">N35DC   </v>
      </c>
      <c r="N5612">
        <v>1</v>
      </c>
      <c r="O5612">
        <v>1750</v>
      </c>
    </row>
    <row r="5613" spans="1:15" x14ac:dyDescent="0.25">
      <c r="A5613" t="str">
        <f>"10/21/2020 18:54:25.248"</f>
        <v>10/21/2020 18:54:25.248</v>
      </c>
      <c r="B5613" t="str">
        <f>"18:54:33.172"</f>
        <v>18:54:33.172</v>
      </c>
      <c r="C5613" t="str">
        <f>"18:54:32.772"</f>
        <v>18:54:32.772</v>
      </c>
      <c r="D5613" t="s">
        <v>2312</v>
      </c>
      <c r="E5613">
        <v>30.746248000000001</v>
      </c>
      <c r="F5613" t="s">
        <v>2313</v>
      </c>
      <c r="G5613">
        <v>-89.823145999999994</v>
      </c>
      <c r="H5613">
        <v>1700</v>
      </c>
      <c r="I5613">
        <v>96</v>
      </c>
      <c r="J5613">
        <v>-121</v>
      </c>
      <c r="K5613">
        <v>-64</v>
      </c>
      <c r="L5613">
        <v>1200</v>
      </c>
      <c r="M5613" t="str">
        <f t="shared" si="578"/>
        <v xml:space="preserve">N35DC   </v>
      </c>
      <c r="N5613">
        <v>1</v>
      </c>
      <c r="O5613">
        <v>1750</v>
      </c>
    </row>
    <row r="5614" spans="1:15" x14ac:dyDescent="0.25">
      <c r="A5614" t="str">
        <f>"10/21/2020 18:54:25.248"</f>
        <v>10/21/2020 18:54:25.248</v>
      </c>
      <c r="B5614" t="str">
        <f>"18:54:33.172"</f>
        <v>18:54:33.172</v>
      </c>
      <c r="C5614" t="str">
        <f>"18:54:32.772"</f>
        <v>18:54:32.772</v>
      </c>
      <c r="D5614" t="s">
        <v>2312</v>
      </c>
      <c r="E5614">
        <v>30.746248000000001</v>
      </c>
      <c r="F5614" t="s">
        <v>2313</v>
      </c>
      <c r="G5614">
        <v>-89.823145999999994</v>
      </c>
      <c r="H5614">
        <v>1700</v>
      </c>
      <c r="I5614">
        <v>96</v>
      </c>
      <c r="J5614">
        <v>-121</v>
      </c>
      <c r="K5614">
        <v>-64</v>
      </c>
      <c r="L5614">
        <v>1200</v>
      </c>
      <c r="M5614" t="str">
        <f t="shared" si="578"/>
        <v xml:space="preserve">N35DC   </v>
      </c>
      <c r="N5614">
        <v>1</v>
      </c>
      <c r="O5614">
        <v>1750</v>
      </c>
    </row>
    <row r="5615" spans="1:15" x14ac:dyDescent="0.25">
      <c r="A5615" t="str">
        <f t="shared" ref="A5615:A5620" si="584">"10/21/2020 18:54:26.225"</f>
        <v>10/21/2020 18:54:26.225</v>
      </c>
      <c r="B5615" t="str">
        <f t="shared" ref="B5615:B5620" si="585">"18:54:34.148"</f>
        <v>18:54:34.148</v>
      </c>
      <c r="C5615" t="str">
        <f t="shared" ref="C5615:C5620" si="586">"18:54:33.948"</f>
        <v>18:54:33.948</v>
      </c>
      <c r="D5615" t="s">
        <v>2314</v>
      </c>
      <c r="E5615">
        <v>30.74569</v>
      </c>
      <c r="F5615" t="s">
        <v>2315</v>
      </c>
      <c r="G5615">
        <v>-89.822609</v>
      </c>
      <c r="H5615">
        <v>1700</v>
      </c>
      <c r="I5615">
        <v>97</v>
      </c>
      <c r="J5615">
        <v>-121</v>
      </c>
      <c r="K5615">
        <v>0</v>
      </c>
      <c r="L5615">
        <v>1200</v>
      </c>
      <c r="M5615" t="str">
        <f t="shared" si="578"/>
        <v xml:space="preserve">N35DC   </v>
      </c>
      <c r="N5615">
        <v>1</v>
      </c>
      <c r="O5615">
        <v>1750</v>
      </c>
    </row>
    <row r="5616" spans="1:15" x14ac:dyDescent="0.25">
      <c r="A5616" t="str">
        <f t="shared" si="584"/>
        <v>10/21/2020 18:54:26.225</v>
      </c>
      <c r="B5616" t="str">
        <f t="shared" si="585"/>
        <v>18:54:34.148</v>
      </c>
      <c r="C5616" t="str">
        <f t="shared" si="586"/>
        <v>18:54:33.948</v>
      </c>
      <c r="D5616" t="s">
        <v>2314</v>
      </c>
      <c r="E5616">
        <v>30.74569</v>
      </c>
      <c r="F5616" t="s">
        <v>2315</v>
      </c>
      <c r="G5616">
        <v>-89.822609</v>
      </c>
      <c r="H5616">
        <v>1700</v>
      </c>
      <c r="I5616">
        <v>97</v>
      </c>
      <c r="J5616">
        <v>-121</v>
      </c>
      <c r="K5616">
        <v>0</v>
      </c>
      <c r="L5616">
        <v>1200</v>
      </c>
      <c r="M5616" t="str">
        <f t="shared" si="578"/>
        <v xml:space="preserve">N35DC   </v>
      </c>
      <c r="N5616">
        <v>1</v>
      </c>
      <c r="O5616">
        <v>1750</v>
      </c>
    </row>
    <row r="5617" spans="1:15" x14ac:dyDescent="0.25">
      <c r="A5617" t="str">
        <f t="shared" si="584"/>
        <v>10/21/2020 18:54:26.225</v>
      </c>
      <c r="B5617" t="str">
        <f t="shared" si="585"/>
        <v>18:54:34.148</v>
      </c>
      <c r="C5617" t="str">
        <f t="shared" si="586"/>
        <v>18:54:33.948</v>
      </c>
      <c r="D5617" t="s">
        <v>2314</v>
      </c>
      <c r="E5617">
        <v>30.74569</v>
      </c>
      <c r="F5617" t="s">
        <v>2315</v>
      </c>
      <c r="G5617">
        <v>-89.822609</v>
      </c>
      <c r="H5617">
        <v>1700</v>
      </c>
      <c r="I5617">
        <v>97</v>
      </c>
      <c r="J5617">
        <v>-121</v>
      </c>
      <c r="K5617">
        <v>0</v>
      </c>
      <c r="L5617">
        <v>1200</v>
      </c>
      <c r="M5617" t="str">
        <f t="shared" si="578"/>
        <v xml:space="preserve">N35DC   </v>
      </c>
      <c r="N5617">
        <v>1</v>
      </c>
      <c r="O5617">
        <v>1750</v>
      </c>
    </row>
    <row r="5618" spans="1:15" x14ac:dyDescent="0.25">
      <c r="A5618" t="str">
        <f t="shared" si="584"/>
        <v>10/21/2020 18:54:26.225</v>
      </c>
      <c r="B5618" t="str">
        <f t="shared" si="585"/>
        <v>18:54:34.148</v>
      </c>
      <c r="C5618" t="str">
        <f t="shared" si="586"/>
        <v>18:54:33.948</v>
      </c>
      <c r="D5618" t="s">
        <v>2314</v>
      </c>
      <c r="E5618">
        <v>30.74569</v>
      </c>
      <c r="F5618" t="s">
        <v>2315</v>
      </c>
      <c r="G5618">
        <v>-89.822609</v>
      </c>
      <c r="H5618">
        <v>1700</v>
      </c>
      <c r="I5618">
        <v>97</v>
      </c>
      <c r="J5618">
        <v>-121</v>
      </c>
      <c r="K5618">
        <v>0</v>
      </c>
      <c r="L5618">
        <v>1200</v>
      </c>
      <c r="M5618" t="str">
        <f t="shared" si="578"/>
        <v xml:space="preserve">N35DC   </v>
      </c>
      <c r="N5618">
        <v>1</v>
      </c>
      <c r="O5618">
        <v>1750</v>
      </c>
    </row>
    <row r="5619" spans="1:15" x14ac:dyDescent="0.25">
      <c r="A5619" t="str">
        <f t="shared" si="584"/>
        <v>10/21/2020 18:54:26.225</v>
      </c>
      <c r="B5619" t="str">
        <f t="shared" si="585"/>
        <v>18:54:34.148</v>
      </c>
      <c r="C5619" t="str">
        <f t="shared" si="586"/>
        <v>18:54:33.948</v>
      </c>
      <c r="D5619" t="s">
        <v>2314</v>
      </c>
      <c r="E5619">
        <v>30.74569</v>
      </c>
      <c r="F5619" t="s">
        <v>2315</v>
      </c>
      <c r="G5619">
        <v>-89.822609</v>
      </c>
      <c r="H5619">
        <v>1700</v>
      </c>
      <c r="I5619">
        <v>97</v>
      </c>
      <c r="J5619">
        <v>-121</v>
      </c>
      <c r="K5619">
        <v>0</v>
      </c>
      <c r="L5619">
        <v>1200</v>
      </c>
      <c r="M5619" t="str">
        <f t="shared" si="578"/>
        <v xml:space="preserve">N35DC   </v>
      </c>
      <c r="N5619">
        <v>1</v>
      </c>
      <c r="O5619">
        <v>1750</v>
      </c>
    </row>
    <row r="5620" spans="1:15" x14ac:dyDescent="0.25">
      <c r="A5620" t="str">
        <f t="shared" si="584"/>
        <v>10/21/2020 18:54:26.225</v>
      </c>
      <c r="B5620" t="str">
        <f t="shared" si="585"/>
        <v>18:54:34.148</v>
      </c>
      <c r="C5620" t="str">
        <f t="shared" si="586"/>
        <v>18:54:33.948</v>
      </c>
      <c r="D5620" t="s">
        <v>2314</v>
      </c>
      <c r="E5620">
        <v>30.74569</v>
      </c>
      <c r="F5620" t="s">
        <v>2315</v>
      </c>
      <c r="G5620">
        <v>-89.822609</v>
      </c>
      <c r="H5620">
        <v>1700</v>
      </c>
      <c r="I5620">
        <v>97</v>
      </c>
      <c r="J5620">
        <v>-121</v>
      </c>
      <c r="K5620">
        <v>0</v>
      </c>
      <c r="L5620">
        <v>1200</v>
      </c>
      <c r="M5620" t="str">
        <f t="shared" si="578"/>
        <v xml:space="preserve">N35DC   </v>
      </c>
      <c r="N5620">
        <v>1</v>
      </c>
      <c r="O5620">
        <v>1750</v>
      </c>
    </row>
    <row r="5621" spans="1:15" x14ac:dyDescent="0.25">
      <c r="A5621" t="str">
        <f>"10/21/2020 18:54:29.258"</f>
        <v>10/21/2020 18:54:29.258</v>
      </c>
      <c r="B5621" t="str">
        <f>"18:54:37.227"</f>
        <v>18:54:37.227</v>
      </c>
      <c r="C5621" t="str">
        <f>"18:54:36.827"</f>
        <v>18:54:36.827</v>
      </c>
      <c r="D5621" t="s">
        <v>2316</v>
      </c>
      <c r="E5621">
        <v>30.743952</v>
      </c>
      <c r="F5621" t="s">
        <v>2317</v>
      </c>
      <c r="G5621">
        <v>-89.820978999999994</v>
      </c>
      <c r="H5621">
        <v>1700</v>
      </c>
      <c r="I5621">
        <v>99</v>
      </c>
      <c r="J5621">
        <v>-120</v>
      </c>
      <c r="K5621">
        <v>0</v>
      </c>
      <c r="L5621">
        <v>1200</v>
      </c>
      <c r="M5621" t="str">
        <f t="shared" si="578"/>
        <v xml:space="preserve">N35DC   </v>
      </c>
      <c r="N5621">
        <v>1</v>
      </c>
      <c r="O5621">
        <v>1750</v>
      </c>
    </row>
    <row r="5622" spans="1:15" x14ac:dyDescent="0.25">
      <c r="A5622" t="str">
        <f>"10/21/2020 18:54:29.258"</f>
        <v>10/21/2020 18:54:29.258</v>
      </c>
      <c r="B5622" t="str">
        <f>"18:54:37.227"</f>
        <v>18:54:37.227</v>
      </c>
      <c r="C5622" t="str">
        <f>"18:54:36.827"</f>
        <v>18:54:36.827</v>
      </c>
      <c r="D5622" t="s">
        <v>2316</v>
      </c>
      <c r="E5622">
        <v>30.743952</v>
      </c>
      <c r="F5622" t="s">
        <v>2317</v>
      </c>
      <c r="G5622">
        <v>-89.820978999999994</v>
      </c>
      <c r="H5622">
        <v>1700</v>
      </c>
      <c r="I5622">
        <v>99</v>
      </c>
      <c r="J5622">
        <v>-120</v>
      </c>
      <c r="K5622">
        <v>0</v>
      </c>
      <c r="L5622">
        <v>1200</v>
      </c>
      <c r="M5622" t="str">
        <f t="shared" si="578"/>
        <v xml:space="preserve">N35DC   </v>
      </c>
      <c r="N5622">
        <v>1</v>
      </c>
      <c r="O5622">
        <v>1750</v>
      </c>
    </row>
    <row r="5623" spans="1:15" x14ac:dyDescent="0.25">
      <c r="A5623" t="str">
        <f>"10/21/2020 18:54:29.258"</f>
        <v>10/21/2020 18:54:29.258</v>
      </c>
      <c r="B5623" t="str">
        <f>"18:54:37.227"</f>
        <v>18:54:37.227</v>
      </c>
      <c r="C5623" t="str">
        <f>"18:54:36.827"</f>
        <v>18:54:36.827</v>
      </c>
      <c r="D5623" t="s">
        <v>2316</v>
      </c>
      <c r="E5623">
        <v>30.743952</v>
      </c>
      <c r="F5623" t="s">
        <v>2317</v>
      </c>
      <c r="G5623">
        <v>-89.820978999999994</v>
      </c>
      <c r="H5623">
        <v>1700</v>
      </c>
      <c r="I5623">
        <v>99</v>
      </c>
      <c r="J5623">
        <v>-120</v>
      </c>
      <c r="K5623">
        <v>0</v>
      </c>
      <c r="L5623">
        <v>1200</v>
      </c>
      <c r="M5623" t="str">
        <f t="shared" si="578"/>
        <v xml:space="preserve">N35DC   </v>
      </c>
      <c r="N5623">
        <v>1</v>
      </c>
      <c r="O5623">
        <v>1750</v>
      </c>
    </row>
    <row r="5624" spans="1:15" x14ac:dyDescent="0.25">
      <c r="A5624" t="str">
        <f>"10/21/2020 18:54:29.258"</f>
        <v>10/21/2020 18:54:29.258</v>
      </c>
      <c r="B5624" t="str">
        <f>"18:54:37.227"</f>
        <v>18:54:37.227</v>
      </c>
      <c r="C5624" t="str">
        <f>"18:54:36.827"</f>
        <v>18:54:36.827</v>
      </c>
      <c r="D5624" t="s">
        <v>2316</v>
      </c>
      <c r="E5624">
        <v>30.743952</v>
      </c>
      <c r="F5624" t="s">
        <v>2317</v>
      </c>
      <c r="G5624">
        <v>-89.820978999999994</v>
      </c>
      <c r="H5624">
        <v>1700</v>
      </c>
      <c r="I5624">
        <v>99</v>
      </c>
      <c r="J5624">
        <v>-120</v>
      </c>
      <c r="K5624">
        <v>0</v>
      </c>
      <c r="L5624">
        <v>1200</v>
      </c>
      <c r="M5624" t="str">
        <f t="shared" si="578"/>
        <v xml:space="preserve">N35DC   </v>
      </c>
      <c r="N5624">
        <v>1</v>
      </c>
      <c r="O5624">
        <v>1750</v>
      </c>
    </row>
    <row r="5625" spans="1:15" x14ac:dyDescent="0.25">
      <c r="A5625" t="str">
        <f>"10/21/2020 18:54:29.258"</f>
        <v>10/21/2020 18:54:29.258</v>
      </c>
      <c r="B5625" t="str">
        <f>"18:54:37.227"</f>
        <v>18:54:37.227</v>
      </c>
      <c r="C5625" t="str">
        <f>"18:54:36.827"</f>
        <v>18:54:36.827</v>
      </c>
      <c r="D5625" t="s">
        <v>2316</v>
      </c>
      <c r="E5625">
        <v>30.743952</v>
      </c>
      <c r="F5625" t="s">
        <v>2317</v>
      </c>
      <c r="G5625">
        <v>-89.820978999999994</v>
      </c>
      <c r="H5625">
        <v>1700</v>
      </c>
      <c r="I5625">
        <v>99</v>
      </c>
      <c r="J5625">
        <v>-120</v>
      </c>
      <c r="K5625">
        <v>0</v>
      </c>
      <c r="L5625">
        <v>1200</v>
      </c>
      <c r="M5625" t="str">
        <f t="shared" si="578"/>
        <v xml:space="preserve">N35DC   </v>
      </c>
      <c r="N5625">
        <v>1</v>
      </c>
      <c r="O5625">
        <v>1750</v>
      </c>
    </row>
    <row r="5626" spans="1:15" x14ac:dyDescent="0.25">
      <c r="A5626" t="str">
        <f>"10/21/2020 18:54:29.886"</f>
        <v>10/21/2020 18:54:29.886</v>
      </c>
      <c r="B5626" t="str">
        <f>"18:54:37.781"</f>
        <v>18:54:37.781</v>
      </c>
      <c r="C5626" t="str">
        <f>"18:54:37.481"</f>
        <v>18:54:37.481</v>
      </c>
      <c r="D5626" t="s">
        <v>2318</v>
      </c>
      <c r="E5626">
        <v>30.743651</v>
      </c>
      <c r="F5626" t="s">
        <v>2319</v>
      </c>
      <c r="G5626">
        <v>-89.820763999999997</v>
      </c>
      <c r="H5626">
        <v>1700</v>
      </c>
      <c r="I5626">
        <v>100</v>
      </c>
      <c r="J5626">
        <v>-120</v>
      </c>
      <c r="K5626">
        <v>128</v>
      </c>
      <c r="L5626">
        <v>1200</v>
      </c>
      <c r="M5626" t="str">
        <f t="shared" si="578"/>
        <v xml:space="preserve">N35DC   </v>
      </c>
      <c r="N5626">
        <v>1</v>
      </c>
      <c r="O5626">
        <v>1750</v>
      </c>
    </row>
    <row r="5627" spans="1:15" x14ac:dyDescent="0.25">
      <c r="A5627" t="str">
        <f>"10/21/2020 18:54:30.372"</f>
        <v>10/21/2020 18:54:30.372</v>
      </c>
      <c r="B5627" t="str">
        <f>"18:54:38.320"</f>
        <v>18:54:38.320</v>
      </c>
      <c r="C5627" t="str">
        <f>"18:54:38.020"</f>
        <v>18:54:38.020</v>
      </c>
      <c r="D5627" t="s">
        <v>2320</v>
      </c>
      <c r="E5627">
        <v>30.743372000000001</v>
      </c>
      <c r="F5627" t="s">
        <v>2321</v>
      </c>
      <c r="G5627">
        <v>-89.820420999999996</v>
      </c>
      <c r="H5627">
        <v>1700</v>
      </c>
      <c r="I5627">
        <v>100</v>
      </c>
      <c r="J5627">
        <v>-120</v>
      </c>
      <c r="K5627">
        <v>-64</v>
      </c>
      <c r="L5627">
        <v>1200</v>
      </c>
      <c r="M5627" t="str">
        <f t="shared" si="578"/>
        <v xml:space="preserve">N35DC   </v>
      </c>
      <c r="N5627">
        <v>1</v>
      </c>
      <c r="O5627">
        <v>1750</v>
      </c>
    </row>
    <row r="5628" spans="1:15" x14ac:dyDescent="0.25">
      <c r="A5628" t="str">
        <f>"10/21/2020 18:54:30.372"</f>
        <v>10/21/2020 18:54:30.372</v>
      </c>
      <c r="B5628" t="str">
        <f>"18:54:38.320"</f>
        <v>18:54:38.320</v>
      </c>
      <c r="C5628" t="str">
        <f>"18:54:38.020"</f>
        <v>18:54:38.020</v>
      </c>
      <c r="D5628" t="s">
        <v>2320</v>
      </c>
      <c r="E5628">
        <v>30.743372000000001</v>
      </c>
      <c r="F5628" t="s">
        <v>2321</v>
      </c>
      <c r="G5628">
        <v>-89.820420999999996</v>
      </c>
      <c r="H5628">
        <v>1700</v>
      </c>
      <c r="I5628">
        <v>100</v>
      </c>
      <c r="J5628">
        <v>-120</v>
      </c>
      <c r="K5628">
        <v>-64</v>
      </c>
      <c r="L5628">
        <v>1200</v>
      </c>
      <c r="M5628" t="str">
        <f t="shared" si="578"/>
        <v xml:space="preserve">N35DC   </v>
      </c>
      <c r="N5628">
        <v>1</v>
      </c>
      <c r="O5628">
        <v>1750</v>
      </c>
    </row>
    <row r="5629" spans="1:15" x14ac:dyDescent="0.25">
      <c r="A5629" t="str">
        <f>"10/21/2020 18:54:30.372"</f>
        <v>10/21/2020 18:54:30.372</v>
      </c>
      <c r="B5629" t="str">
        <f>"18:54:38.320"</f>
        <v>18:54:38.320</v>
      </c>
      <c r="C5629" t="str">
        <f>"18:54:38.020"</f>
        <v>18:54:38.020</v>
      </c>
      <c r="D5629" t="s">
        <v>2320</v>
      </c>
      <c r="E5629">
        <v>30.743372000000001</v>
      </c>
      <c r="F5629" t="s">
        <v>2321</v>
      </c>
      <c r="G5629">
        <v>-89.820420999999996</v>
      </c>
      <c r="H5629">
        <v>1700</v>
      </c>
      <c r="I5629">
        <v>100</v>
      </c>
      <c r="J5629">
        <v>-120</v>
      </c>
      <c r="K5629">
        <v>-64</v>
      </c>
      <c r="L5629">
        <v>1200</v>
      </c>
      <c r="M5629" t="str">
        <f t="shared" si="578"/>
        <v xml:space="preserve">N35DC   </v>
      </c>
      <c r="N5629">
        <v>1</v>
      </c>
      <c r="O5629">
        <v>1750</v>
      </c>
    </row>
    <row r="5630" spans="1:15" x14ac:dyDescent="0.25">
      <c r="A5630" t="str">
        <f>"10/21/2020 18:54:30.372"</f>
        <v>10/21/2020 18:54:30.372</v>
      </c>
      <c r="B5630" t="str">
        <f>"18:54:38.320"</f>
        <v>18:54:38.320</v>
      </c>
      <c r="C5630" t="str">
        <f>"18:54:38.020"</f>
        <v>18:54:38.020</v>
      </c>
      <c r="D5630" t="s">
        <v>2320</v>
      </c>
      <c r="E5630">
        <v>30.743372000000001</v>
      </c>
      <c r="F5630" t="s">
        <v>2321</v>
      </c>
      <c r="G5630">
        <v>-89.820420999999996</v>
      </c>
      <c r="H5630">
        <v>1700</v>
      </c>
      <c r="I5630">
        <v>100</v>
      </c>
      <c r="J5630">
        <v>-120</v>
      </c>
      <c r="K5630">
        <v>-64</v>
      </c>
      <c r="L5630">
        <v>1200</v>
      </c>
      <c r="M5630" t="str">
        <f t="shared" si="578"/>
        <v xml:space="preserve">N35DC   </v>
      </c>
      <c r="N5630">
        <v>1</v>
      </c>
      <c r="O5630">
        <v>1750</v>
      </c>
    </row>
    <row r="5631" spans="1:15" x14ac:dyDescent="0.25">
      <c r="A5631" t="str">
        <f>"10/21/2020 18:54:30.372"</f>
        <v>10/21/2020 18:54:30.372</v>
      </c>
      <c r="B5631" t="str">
        <f>"18:54:38.320"</f>
        <v>18:54:38.320</v>
      </c>
      <c r="C5631" t="str">
        <f>"18:54:38.020"</f>
        <v>18:54:38.020</v>
      </c>
      <c r="D5631" t="s">
        <v>2320</v>
      </c>
      <c r="E5631">
        <v>30.743372000000001</v>
      </c>
      <c r="F5631" t="s">
        <v>2321</v>
      </c>
      <c r="G5631">
        <v>-89.820420999999996</v>
      </c>
      <c r="H5631">
        <v>1700</v>
      </c>
      <c r="I5631">
        <v>100</v>
      </c>
      <c r="J5631">
        <v>-120</v>
      </c>
      <c r="K5631">
        <v>-64</v>
      </c>
      <c r="L5631">
        <v>1200</v>
      </c>
      <c r="M5631" t="str">
        <f t="shared" si="578"/>
        <v xml:space="preserve">N35DC   </v>
      </c>
      <c r="N5631">
        <v>1</v>
      </c>
      <c r="O5631">
        <v>1750</v>
      </c>
    </row>
    <row r="5632" spans="1:15" x14ac:dyDescent="0.25">
      <c r="A5632" t="str">
        <f t="shared" ref="A5632:A5637" si="587">"10/21/2020 18:54:31.250"</f>
        <v>10/21/2020 18:54:31.250</v>
      </c>
      <c r="B5632" t="str">
        <f t="shared" ref="B5632:B5637" si="588">"18:54:39.188"</f>
        <v>18:54:39.188</v>
      </c>
      <c r="C5632" t="str">
        <f t="shared" ref="C5632:C5637" si="589">"18:54:38.988"</f>
        <v>18:54:38.988</v>
      </c>
      <c r="D5632" t="s">
        <v>2322</v>
      </c>
      <c r="E5632">
        <v>30.742857000000001</v>
      </c>
      <c r="F5632" t="s">
        <v>2323</v>
      </c>
      <c r="G5632">
        <v>-89.819969999999998</v>
      </c>
      <c r="H5632">
        <v>1700</v>
      </c>
      <c r="I5632">
        <v>100</v>
      </c>
      <c r="J5632">
        <v>-121</v>
      </c>
      <c r="K5632">
        <v>-128</v>
      </c>
      <c r="L5632">
        <v>1200</v>
      </c>
      <c r="M5632" t="str">
        <f t="shared" si="578"/>
        <v xml:space="preserve">N35DC   </v>
      </c>
      <c r="N5632">
        <v>1</v>
      </c>
      <c r="O5632">
        <v>1750</v>
      </c>
    </row>
    <row r="5633" spans="1:15" x14ac:dyDescent="0.25">
      <c r="A5633" t="str">
        <f t="shared" si="587"/>
        <v>10/21/2020 18:54:31.250</v>
      </c>
      <c r="B5633" t="str">
        <f t="shared" si="588"/>
        <v>18:54:39.188</v>
      </c>
      <c r="C5633" t="str">
        <f t="shared" si="589"/>
        <v>18:54:38.988</v>
      </c>
      <c r="D5633" t="s">
        <v>2322</v>
      </c>
      <c r="E5633">
        <v>30.742857000000001</v>
      </c>
      <c r="F5633" t="s">
        <v>2323</v>
      </c>
      <c r="G5633">
        <v>-89.819969999999998</v>
      </c>
      <c r="H5633">
        <v>1700</v>
      </c>
      <c r="I5633">
        <v>100</v>
      </c>
      <c r="J5633">
        <v>-121</v>
      </c>
      <c r="K5633">
        <v>-128</v>
      </c>
      <c r="L5633">
        <v>1200</v>
      </c>
      <c r="M5633" t="str">
        <f t="shared" si="578"/>
        <v xml:space="preserve">N35DC   </v>
      </c>
      <c r="N5633">
        <v>1</v>
      </c>
      <c r="O5633">
        <v>1750</v>
      </c>
    </row>
    <row r="5634" spans="1:15" x14ac:dyDescent="0.25">
      <c r="A5634" t="str">
        <f t="shared" si="587"/>
        <v>10/21/2020 18:54:31.250</v>
      </c>
      <c r="B5634" t="str">
        <f t="shared" si="588"/>
        <v>18:54:39.188</v>
      </c>
      <c r="C5634" t="str">
        <f t="shared" si="589"/>
        <v>18:54:38.988</v>
      </c>
      <c r="D5634" t="s">
        <v>2322</v>
      </c>
      <c r="E5634">
        <v>30.742857000000001</v>
      </c>
      <c r="F5634" t="s">
        <v>2323</v>
      </c>
      <c r="G5634">
        <v>-89.819969999999998</v>
      </c>
      <c r="H5634">
        <v>1700</v>
      </c>
      <c r="I5634">
        <v>100</v>
      </c>
      <c r="J5634">
        <v>-121</v>
      </c>
      <c r="K5634">
        <v>-128</v>
      </c>
      <c r="L5634">
        <v>1200</v>
      </c>
      <c r="M5634" t="str">
        <f t="shared" si="578"/>
        <v xml:space="preserve">N35DC   </v>
      </c>
      <c r="N5634">
        <v>1</v>
      </c>
      <c r="O5634">
        <v>1750</v>
      </c>
    </row>
    <row r="5635" spans="1:15" x14ac:dyDescent="0.25">
      <c r="A5635" t="str">
        <f t="shared" si="587"/>
        <v>10/21/2020 18:54:31.250</v>
      </c>
      <c r="B5635" t="str">
        <f t="shared" si="588"/>
        <v>18:54:39.188</v>
      </c>
      <c r="C5635" t="str">
        <f t="shared" si="589"/>
        <v>18:54:38.988</v>
      </c>
      <c r="D5635" t="s">
        <v>2322</v>
      </c>
      <c r="E5635">
        <v>30.742857000000001</v>
      </c>
      <c r="F5635" t="s">
        <v>2323</v>
      </c>
      <c r="G5635">
        <v>-89.819969999999998</v>
      </c>
      <c r="H5635">
        <v>1700</v>
      </c>
      <c r="I5635">
        <v>100</v>
      </c>
      <c r="J5635">
        <v>-121</v>
      </c>
      <c r="K5635">
        <v>-128</v>
      </c>
      <c r="L5635">
        <v>1200</v>
      </c>
      <c r="M5635" t="str">
        <f t="shared" si="578"/>
        <v xml:space="preserve">N35DC   </v>
      </c>
      <c r="N5635">
        <v>1</v>
      </c>
      <c r="O5635">
        <v>1750</v>
      </c>
    </row>
    <row r="5636" spans="1:15" x14ac:dyDescent="0.25">
      <c r="A5636" t="str">
        <f t="shared" si="587"/>
        <v>10/21/2020 18:54:31.250</v>
      </c>
      <c r="B5636" t="str">
        <f t="shared" si="588"/>
        <v>18:54:39.188</v>
      </c>
      <c r="C5636" t="str">
        <f t="shared" si="589"/>
        <v>18:54:38.988</v>
      </c>
      <c r="D5636" t="s">
        <v>2322</v>
      </c>
      <c r="E5636">
        <v>30.742857000000001</v>
      </c>
      <c r="F5636" t="s">
        <v>2323</v>
      </c>
      <c r="G5636">
        <v>-89.819969999999998</v>
      </c>
      <c r="H5636">
        <v>1700</v>
      </c>
      <c r="I5636">
        <v>100</v>
      </c>
      <c r="J5636">
        <v>-121</v>
      </c>
      <c r="K5636">
        <v>-128</v>
      </c>
      <c r="L5636">
        <v>1200</v>
      </c>
      <c r="M5636" t="str">
        <f t="shared" si="578"/>
        <v xml:space="preserve">N35DC   </v>
      </c>
      <c r="N5636">
        <v>1</v>
      </c>
      <c r="O5636">
        <v>1750</v>
      </c>
    </row>
    <row r="5637" spans="1:15" x14ac:dyDescent="0.25">
      <c r="A5637" t="str">
        <f t="shared" si="587"/>
        <v>10/21/2020 18:54:31.250</v>
      </c>
      <c r="B5637" t="str">
        <f t="shared" si="588"/>
        <v>18:54:39.188</v>
      </c>
      <c r="C5637" t="str">
        <f t="shared" si="589"/>
        <v>18:54:38.988</v>
      </c>
      <c r="D5637" t="s">
        <v>2322</v>
      </c>
      <c r="E5637">
        <v>30.742857000000001</v>
      </c>
      <c r="F5637" t="s">
        <v>2323</v>
      </c>
      <c r="G5637">
        <v>-89.819969999999998</v>
      </c>
      <c r="H5637">
        <v>1700</v>
      </c>
      <c r="I5637">
        <v>100</v>
      </c>
      <c r="J5637">
        <v>-121</v>
      </c>
      <c r="K5637">
        <v>-128</v>
      </c>
      <c r="L5637">
        <v>1200</v>
      </c>
      <c r="M5637" t="str">
        <f t="shared" si="578"/>
        <v xml:space="preserve">N35DC   </v>
      </c>
      <c r="N5637">
        <v>1</v>
      </c>
      <c r="O5637">
        <v>1750</v>
      </c>
    </row>
    <row r="5638" spans="1:15" x14ac:dyDescent="0.25">
      <c r="A5638" t="str">
        <f>"10/21/2020 18:54:33.862"</f>
        <v>10/21/2020 18:54:33.862</v>
      </c>
      <c r="B5638" t="str">
        <f>"18:54:41.797"</f>
        <v>18:54:41.797</v>
      </c>
      <c r="C5638" t="str">
        <f>"18:54:41.297"</f>
        <v>18:54:41.297</v>
      </c>
      <c r="D5638" t="s">
        <v>2324</v>
      </c>
      <c r="E5638">
        <v>30.741377</v>
      </c>
      <c r="F5638" t="s">
        <v>2325</v>
      </c>
      <c r="G5638">
        <v>-89.818554000000006</v>
      </c>
      <c r="H5638">
        <v>1700</v>
      </c>
      <c r="I5638">
        <v>100</v>
      </c>
      <c r="J5638">
        <v>-122</v>
      </c>
      <c r="K5638">
        <v>64</v>
      </c>
      <c r="L5638">
        <v>1200</v>
      </c>
      <c r="M5638" t="str">
        <f t="shared" si="578"/>
        <v xml:space="preserve">N35DC   </v>
      </c>
      <c r="N5638">
        <v>1</v>
      </c>
      <c r="O5638">
        <v>1750</v>
      </c>
    </row>
    <row r="5639" spans="1:15" x14ac:dyDescent="0.25">
      <c r="A5639" t="str">
        <f>"10/21/2020 18:54:34.320"</f>
        <v>10/21/2020 18:54:34.320</v>
      </c>
      <c r="B5639" t="str">
        <f>"18:54:42.250"</f>
        <v>18:54:42.250</v>
      </c>
      <c r="C5639" t="str">
        <f>"18:54:41.850"</f>
        <v>18:54:41.850</v>
      </c>
      <c r="D5639" t="s">
        <v>2326</v>
      </c>
      <c r="E5639">
        <v>30.741140999999999</v>
      </c>
      <c r="F5639" t="s">
        <v>2327</v>
      </c>
      <c r="G5639">
        <v>-89.818338999999995</v>
      </c>
      <c r="H5639">
        <v>1700</v>
      </c>
      <c r="I5639">
        <v>100</v>
      </c>
      <c r="J5639">
        <v>-122</v>
      </c>
      <c r="K5639">
        <v>256</v>
      </c>
      <c r="L5639">
        <v>1200</v>
      </c>
      <c r="M5639" t="str">
        <f t="shared" ref="M5639:M5702" si="590">"N35DC   "</f>
        <v xml:space="preserve">N35DC   </v>
      </c>
      <c r="N5639">
        <v>1</v>
      </c>
      <c r="O5639">
        <v>1750</v>
      </c>
    </row>
    <row r="5640" spans="1:15" x14ac:dyDescent="0.25">
      <c r="A5640" t="str">
        <f>"10/21/2020 18:54:34.320"</f>
        <v>10/21/2020 18:54:34.320</v>
      </c>
      <c r="B5640" t="str">
        <f>"18:54:42.250"</f>
        <v>18:54:42.250</v>
      </c>
      <c r="C5640" t="str">
        <f>"18:54:41.850"</f>
        <v>18:54:41.850</v>
      </c>
      <c r="D5640" t="s">
        <v>2326</v>
      </c>
      <c r="E5640">
        <v>30.741140999999999</v>
      </c>
      <c r="F5640" t="s">
        <v>2327</v>
      </c>
      <c r="G5640">
        <v>-89.818338999999995</v>
      </c>
      <c r="H5640">
        <v>1700</v>
      </c>
      <c r="I5640">
        <v>100</v>
      </c>
      <c r="J5640">
        <v>-122</v>
      </c>
      <c r="K5640">
        <v>256</v>
      </c>
      <c r="L5640">
        <v>1200</v>
      </c>
      <c r="M5640" t="str">
        <f t="shared" si="590"/>
        <v xml:space="preserve">N35DC   </v>
      </c>
      <c r="N5640">
        <v>1</v>
      </c>
      <c r="O5640">
        <v>1750</v>
      </c>
    </row>
    <row r="5641" spans="1:15" x14ac:dyDescent="0.25">
      <c r="A5641" t="str">
        <f>"10/21/2020 18:54:34.320"</f>
        <v>10/21/2020 18:54:34.320</v>
      </c>
      <c r="B5641" t="str">
        <f>"18:54:42.250"</f>
        <v>18:54:42.250</v>
      </c>
      <c r="C5641" t="str">
        <f>"18:54:41.850"</f>
        <v>18:54:41.850</v>
      </c>
      <c r="D5641" t="s">
        <v>2326</v>
      </c>
      <c r="E5641">
        <v>30.741140999999999</v>
      </c>
      <c r="F5641" t="s">
        <v>2327</v>
      </c>
      <c r="G5641">
        <v>-89.818338999999995</v>
      </c>
      <c r="H5641">
        <v>1700</v>
      </c>
      <c r="I5641">
        <v>100</v>
      </c>
      <c r="J5641">
        <v>-122</v>
      </c>
      <c r="K5641">
        <v>256</v>
      </c>
      <c r="L5641">
        <v>1200</v>
      </c>
      <c r="M5641" t="str">
        <f t="shared" si="590"/>
        <v xml:space="preserve">N35DC   </v>
      </c>
      <c r="N5641">
        <v>1</v>
      </c>
      <c r="O5641">
        <v>1750</v>
      </c>
    </row>
    <row r="5642" spans="1:15" x14ac:dyDescent="0.25">
      <c r="A5642" t="str">
        <f>"10/21/2020 18:54:34.320"</f>
        <v>10/21/2020 18:54:34.320</v>
      </c>
      <c r="B5642" t="str">
        <f>"18:54:42.250"</f>
        <v>18:54:42.250</v>
      </c>
      <c r="C5642" t="str">
        <f>"18:54:41.850"</f>
        <v>18:54:41.850</v>
      </c>
      <c r="D5642" t="s">
        <v>2326</v>
      </c>
      <c r="E5642">
        <v>30.741140999999999</v>
      </c>
      <c r="F5642" t="s">
        <v>2327</v>
      </c>
      <c r="G5642">
        <v>-89.818338999999995</v>
      </c>
      <c r="H5642">
        <v>1700</v>
      </c>
      <c r="I5642">
        <v>100</v>
      </c>
      <c r="J5642">
        <v>-122</v>
      </c>
      <c r="K5642">
        <v>256</v>
      </c>
      <c r="L5642">
        <v>1200</v>
      </c>
      <c r="M5642" t="str">
        <f t="shared" si="590"/>
        <v xml:space="preserve">N35DC   </v>
      </c>
      <c r="N5642">
        <v>1</v>
      </c>
      <c r="O5642">
        <v>1750</v>
      </c>
    </row>
    <row r="5643" spans="1:15" x14ac:dyDescent="0.25">
      <c r="A5643" t="str">
        <f>"10/21/2020 18:54:34.320"</f>
        <v>10/21/2020 18:54:34.320</v>
      </c>
      <c r="B5643" t="str">
        <f>"18:54:42.250"</f>
        <v>18:54:42.250</v>
      </c>
      <c r="C5643" t="str">
        <f>"18:54:41.850"</f>
        <v>18:54:41.850</v>
      </c>
      <c r="D5643" t="s">
        <v>2326</v>
      </c>
      <c r="E5643">
        <v>30.741140999999999</v>
      </c>
      <c r="F5643" t="s">
        <v>2327</v>
      </c>
      <c r="G5643">
        <v>-89.818338999999995</v>
      </c>
      <c r="H5643">
        <v>1700</v>
      </c>
      <c r="I5643">
        <v>100</v>
      </c>
      <c r="J5643">
        <v>-122</v>
      </c>
      <c r="K5643">
        <v>256</v>
      </c>
      <c r="L5643">
        <v>1200</v>
      </c>
      <c r="M5643" t="str">
        <f t="shared" si="590"/>
        <v xml:space="preserve">N35DC   </v>
      </c>
      <c r="N5643">
        <v>1</v>
      </c>
      <c r="O5643">
        <v>1750</v>
      </c>
    </row>
    <row r="5644" spans="1:15" x14ac:dyDescent="0.25">
      <c r="A5644" t="str">
        <f>"10/21/2020 18:54:34.869"</f>
        <v>10/21/2020 18:54:34.869</v>
      </c>
      <c r="B5644" t="str">
        <f>"18:54:42.820"</f>
        <v>18:54:42.820</v>
      </c>
      <c r="C5644" t="str">
        <f>"18:54:42.420"</f>
        <v>18:54:42.420</v>
      </c>
      <c r="D5644" t="s">
        <v>2328</v>
      </c>
      <c r="E5644">
        <v>30.740839999999999</v>
      </c>
      <c r="F5644" t="s">
        <v>2329</v>
      </c>
      <c r="G5644">
        <v>-89.818016999999998</v>
      </c>
      <c r="H5644">
        <v>1700</v>
      </c>
      <c r="I5644">
        <v>99</v>
      </c>
      <c r="J5644">
        <v>-122</v>
      </c>
      <c r="K5644">
        <v>128</v>
      </c>
      <c r="L5644">
        <v>1200</v>
      </c>
      <c r="M5644" t="str">
        <f t="shared" si="590"/>
        <v xml:space="preserve">N35DC   </v>
      </c>
      <c r="N5644">
        <v>1</v>
      </c>
      <c r="O5644">
        <v>1750</v>
      </c>
    </row>
    <row r="5645" spans="1:15" x14ac:dyDescent="0.25">
      <c r="A5645" t="str">
        <f>"10/21/2020 18:54:35.484"</f>
        <v>10/21/2020 18:54:35.484</v>
      </c>
      <c r="B5645" t="str">
        <f>"18:54:43.422"</f>
        <v>18:54:43.422</v>
      </c>
      <c r="C5645" t="str">
        <f>"18:54:43.022"</f>
        <v>18:54:43.022</v>
      </c>
      <c r="D5645" t="s">
        <v>2330</v>
      </c>
      <c r="E5645">
        <v>30.740497000000001</v>
      </c>
      <c r="F5645" t="s">
        <v>2331</v>
      </c>
      <c r="G5645">
        <v>-89.817739000000003</v>
      </c>
      <c r="H5645">
        <v>1700</v>
      </c>
      <c r="I5645">
        <v>99</v>
      </c>
      <c r="J5645">
        <v>-123</v>
      </c>
      <c r="K5645">
        <v>192</v>
      </c>
      <c r="L5645">
        <v>1200</v>
      </c>
      <c r="M5645" t="str">
        <f t="shared" si="590"/>
        <v xml:space="preserve">N35DC   </v>
      </c>
      <c r="N5645">
        <v>1</v>
      </c>
      <c r="O5645">
        <v>1750</v>
      </c>
    </row>
    <row r="5646" spans="1:15" x14ac:dyDescent="0.25">
      <c r="A5646" t="str">
        <f>"10/21/2020 18:54:35.484"</f>
        <v>10/21/2020 18:54:35.484</v>
      </c>
      <c r="B5646" t="str">
        <f>"18:54:43.422"</f>
        <v>18:54:43.422</v>
      </c>
      <c r="C5646" t="str">
        <f>"18:54:43.022"</f>
        <v>18:54:43.022</v>
      </c>
      <c r="D5646" t="s">
        <v>2330</v>
      </c>
      <c r="E5646">
        <v>30.740497000000001</v>
      </c>
      <c r="F5646" t="s">
        <v>2331</v>
      </c>
      <c r="G5646">
        <v>-89.817739000000003</v>
      </c>
      <c r="H5646">
        <v>1700</v>
      </c>
      <c r="I5646">
        <v>99</v>
      </c>
      <c r="J5646">
        <v>-123</v>
      </c>
      <c r="K5646">
        <v>192</v>
      </c>
      <c r="L5646">
        <v>1200</v>
      </c>
      <c r="M5646" t="str">
        <f t="shared" si="590"/>
        <v xml:space="preserve">N35DC   </v>
      </c>
      <c r="N5646">
        <v>1</v>
      </c>
      <c r="O5646">
        <v>1750</v>
      </c>
    </row>
    <row r="5647" spans="1:15" x14ac:dyDescent="0.25">
      <c r="A5647" t="str">
        <f>"10/21/2020 18:54:35.484"</f>
        <v>10/21/2020 18:54:35.484</v>
      </c>
      <c r="B5647" t="str">
        <f>"18:54:43.422"</f>
        <v>18:54:43.422</v>
      </c>
      <c r="C5647" t="str">
        <f>"18:54:43.022"</f>
        <v>18:54:43.022</v>
      </c>
      <c r="D5647" t="s">
        <v>2330</v>
      </c>
      <c r="E5647">
        <v>30.740497000000001</v>
      </c>
      <c r="F5647" t="s">
        <v>2331</v>
      </c>
      <c r="G5647">
        <v>-89.817739000000003</v>
      </c>
      <c r="H5647">
        <v>1700</v>
      </c>
      <c r="I5647">
        <v>99</v>
      </c>
      <c r="J5647">
        <v>-123</v>
      </c>
      <c r="K5647">
        <v>192</v>
      </c>
      <c r="L5647">
        <v>1200</v>
      </c>
      <c r="M5647" t="str">
        <f t="shared" si="590"/>
        <v xml:space="preserve">N35DC   </v>
      </c>
      <c r="N5647">
        <v>1</v>
      </c>
      <c r="O5647">
        <v>1750</v>
      </c>
    </row>
    <row r="5648" spans="1:15" x14ac:dyDescent="0.25">
      <c r="A5648" t="str">
        <f>"10/21/2020 18:54:35.484"</f>
        <v>10/21/2020 18:54:35.484</v>
      </c>
      <c r="B5648" t="str">
        <f>"18:54:43.422"</f>
        <v>18:54:43.422</v>
      </c>
      <c r="C5648" t="str">
        <f>"18:54:43.022"</f>
        <v>18:54:43.022</v>
      </c>
      <c r="D5648" t="s">
        <v>2330</v>
      </c>
      <c r="E5648">
        <v>30.740497000000001</v>
      </c>
      <c r="F5648" t="s">
        <v>2331</v>
      </c>
      <c r="G5648">
        <v>-89.817739000000003</v>
      </c>
      <c r="H5648">
        <v>1700</v>
      </c>
      <c r="I5648">
        <v>99</v>
      </c>
      <c r="J5648">
        <v>-123</v>
      </c>
      <c r="K5648">
        <v>192</v>
      </c>
      <c r="L5648">
        <v>1200</v>
      </c>
      <c r="M5648" t="str">
        <f t="shared" si="590"/>
        <v xml:space="preserve">N35DC   </v>
      </c>
      <c r="N5648">
        <v>1</v>
      </c>
      <c r="O5648">
        <v>1750</v>
      </c>
    </row>
    <row r="5649" spans="1:15" x14ac:dyDescent="0.25">
      <c r="A5649" t="str">
        <f>"10/21/2020 18:54:35.484"</f>
        <v>10/21/2020 18:54:35.484</v>
      </c>
      <c r="B5649" t="str">
        <f>"18:54:43.422"</f>
        <v>18:54:43.422</v>
      </c>
      <c r="C5649" t="str">
        <f>"18:54:43.022"</f>
        <v>18:54:43.022</v>
      </c>
      <c r="D5649" t="s">
        <v>2330</v>
      </c>
      <c r="E5649">
        <v>30.740497000000001</v>
      </c>
      <c r="F5649" t="s">
        <v>2331</v>
      </c>
      <c r="G5649">
        <v>-89.817739000000003</v>
      </c>
      <c r="H5649">
        <v>1700</v>
      </c>
      <c r="I5649">
        <v>99</v>
      </c>
      <c r="J5649">
        <v>-123</v>
      </c>
      <c r="K5649">
        <v>192</v>
      </c>
      <c r="L5649">
        <v>1200</v>
      </c>
      <c r="M5649" t="str">
        <f t="shared" si="590"/>
        <v xml:space="preserve">N35DC   </v>
      </c>
      <c r="N5649">
        <v>1</v>
      </c>
      <c r="O5649">
        <v>1750</v>
      </c>
    </row>
    <row r="5650" spans="1:15" x14ac:dyDescent="0.25">
      <c r="A5650" t="str">
        <f>"10/21/2020 18:54:38.363"</f>
        <v>10/21/2020 18:54:38.363</v>
      </c>
      <c r="B5650" t="str">
        <f>"18:54:46.297"</f>
        <v>18:54:46.297</v>
      </c>
      <c r="C5650" t="str">
        <f>"18:54:45.997"</f>
        <v>18:54:45.997</v>
      </c>
      <c r="D5650" t="s">
        <v>2332</v>
      </c>
      <c r="E5650">
        <v>30.738866000000002</v>
      </c>
      <c r="F5650" t="s">
        <v>2333</v>
      </c>
      <c r="G5650">
        <v>-89.816151000000005</v>
      </c>
      <c r="H5650">
        <v>1700</v>
      </c>
      <c r="I5650">
        <v>99</v>
      </c>
      <c r="J5650">
        <v>-122</v>
      </c>
      <c r="K5650">
        <v>192</v>
      </c>
      <c r="L5650">
        <v>1200</v>
      </c>
      <c r="M5650" t="str">
        <f t="shared" si="590"/>
        <v xml:space="preserve">N35DC   </v>
      </c>
      <c r="N5650">
        <v>1</v>
      </c>
      <c r="O5650">
        <v>1775</v>
      </c>
    </row>
    <row r="5651" spans="1:15" x14ac:dyDescent="0.25">
      <c r="A5651" t="str">
        <f>"10/21/2020 18:54:38.363"</f>
        <v>10/21/2020 18:54:38.363</v>
      </c>
      <c r="B5651" t="str">
        <f>"18:54:46.297"</f>
        <v>18:54:46.297</v>
      </c>
      <c r="C5651" t="str">
        <f>"18:54:45.997"</f>
        <v>18:54:45.997</v>
      </c>
      <c r="D5651" t="s">
        <v>2332</v>
      </c>
      <c r="E5651">
        <v>30.738866000000002</v>
      </c>
      <c r="F5651" t="s">
        <v>2333</v>
      </c>
      <c r="G5651">
        <v>-89.816151000000005</v>
      </c>
      <c r="H5651">
        <v>1700</v>
      </c>
      <c r="I5651">
        <v>99</v>
      </c>
      <c r="J5651">
        <v>-122</v>
      </c>
      <c r="K5651">
        <v>192</v>
      </c>
      <c r="L5651">
        <v>1200</v>
      </c>
      <c r="M5651" t="str">
        <f t="shared" si="590"/>
        <v xml:space="preserve">N35DC   </v>
      </c>
      <c r="N5651">
        <v>1</v>
      </c>
      <c r="O5651">
        <v>1775</v>
      </c>
    </row>
    <row r="5652" spans="1:15" x14ac:dyDescent="0.25">
      <c r="A5652" t="str">
        <f>"10/21/2020 18:54:38.363"</f>
        <v>10/21/2020 18:54:38.363</v>
      </c>
      <c r="B5652" t="str">
        <f>"18:54:46.297"</f>
        <v>18:54:46.297</v>
      </c>
      <c r="C5652" t="str">
        <f>"18:54:45.997"</f>
        <v>18:54:45.997</v>
      </c>
      <c r="D5652" t="s">
        <v>2332</v>
      </c>
      <c r="E5652">
        <v>30.738866000000002</v>
      </c>
      <c r="F5652" t="s">
        <v>2333</v>
      </c>
      <c r="G5652">
        <v>-89.816151000000005</v>
      </c>
      <c r="H5652">
        <v>1700</v>
      </c>
      <c r="I5652">
        <v>99</v>
      </c>
      <c r="J5652">
        <v>-122</v>
      </c>
      <c r="K5652">
        <v>192</v>
      </c>
      <c r="L5652">
        <v>1200</v>
      </c>
      <c r="M5652" t="str">
        <f t="shared" si="590"/>
        <v xml:space="preserve">N35DC   </v>
      </c>
      <c r="N5652">
        <v>1</v>
      </c>
      <c r="O5652">
        <v>1775</v>
      </c>
    </row>
    <row r="5653" spans="1:15" x14ac:dyDescent="0.25">
      <c r="A5653" t="str">
        <f>"10/21/2020 18:54:38.363"</f>
        <v>10/21/2020 18:54:38.363</v>
      </c>
      <c r="B5653" t="str">
        <f>"18:54:46.297"</f>
        <v>18:54:46.297</v>
      </c>
      <c r="C5653" t="str">
        <f>"18:54:45.997"</f>
        <v>18:54:45.997</v>
      </c>
      <c r="D5653" t="s">
        <v>2332</v>
      </c>
      <c r="E5653">
        <v>30.738866000000002</v>
      </c>
      <c r="F5653" t="s">
        <v>2333</v>
      </c>
      <c r="G5653">
        <v>-89.816151000000005</v>
      </c>
      <c r="H5653">
        <v>1700</v>
      </c>
      <c r="I5653">
        <v>99</v>
      </c>
      <c r="J5653">
        <v>-122</v>
      </c>
      <c r="K5653">
        <v>192</v>
      </c>
      <c r="L5653">
        <v>1200</v>
      </c>
      <c r="M5653" t="str">
        <f t="shared" si="590"/>
        <v xml:space="preserve">N35DC   </v>
      </c>
      <c r="N5653">
        <v>1</v>
      </c>
      <c r="O5653">
        <v>1775</v>
      </c>
    </row>
    <row r="5654" spans="1:15" x14ac:dyDescent="0.25">
      <c r="A5654" t="str">
        <f>"10/21/2020 18:54:38.363"</f>
        <v>10/21/2020 18:54:38.363</v>
      </c>
      <c r="B5654" t="str">
        <f>"18:54:46.297"</f>
        <v>18:54:46.297</v>
      </c>
      <c r="C5654" t="str">
        <f>"18:54:45.997"</f>
        <v>18:54:45.997</v>
      </c>
      <c r="D5654" t="s">
        <v>2332</v>
      </c>
      <c r="E5654">
        <v>30.738866000000002</v>
      </c>
      <c r="F5654" t="s">
        <v>2333</v>
      </c>
      <c r="G5654">
        <v>-89.816151000000005</v>
      </c>
      <c r="H5654">
        <v>1700</v>
      </c>
      <c r="I5654">
        <v>99</v>
      </c>
      <c r="J5654">
        <v>-122</v>
      </c>
      <c r="K5654">
        <v>192</v>
      </c>
      <c r="L5654">
        <v>1200</v>
      </c>
      <c r="M5654" t="str">
        <f t="shared" si="590"/>
        <v xml:space="preserve">N35DC   </v>
      </c>
      <c r="N5654">
        <v>1</v>
      </c>
      <c r="O5654">
        <v>1775</v>
      </c>
    </row>
    <row r="5655" spans="1:15" x14ac:dyDescent="0.25">
      <c r="A5655" t="str">
        <f>"10/21/2020 18:54:38.897"</f>
        <v>10/21/2020 18:54:38.897</v>
      </c>
      <c r="B5655" t="str">
        <f>"18:54:46.789"</f>
        <v>18:54:46.789</v>
      </c>
      <c r="C5655" t="str">
        <f>"18:54:46.589"</f>
        <v>18:54:46.589</v>
      </c>
      <c r="D5655" t="s">
        <v>2334</v>
      </c>
      <c r="E5655">
        <v>30.738565999999999</v>
      </c>
      <c r="F5655" t="s">
        <v>2335</v>
      </c>
      <c r="G5655">
        <v>-89.815915000000004</v>
      </c>
      <c r="H5655">
        <v>1700</v>
      </c>
      <c r="I5655">
        <v>99</v>
      </c>
      <c r="J5655">
        <v>-123</v>
      </c>
      <c r="K5655">
        <v>192</v>
      </c>
      <c r="L5655">
        <v>1200</v>
      </c>
      <c r="M5655" t="str">
        <f t="shared" si="590"/>
        <v xml:space="preserve">N35DC   </v>
      </c>
      <c r="N5655">
        <v>1</v>
      </c>
      <c r="O5655">
        <v>1775</v>
      </c>
    </row>
    <row r="5656" spans="1:15" x14ac:dyDescent="0.25">
      <c r="A5656" t="str">
        <f>"10/21/2020 18:54:39.269"</f>
        <v>10/21/2020 18:54:39.269</v>
      </c>
      <c r="B5656" t="str">
        <f>"18:54:47.195"</f>
        <v>18:54:47.195</v>
      </c>
      <c r="C5656" t="str">
        <f>"18:54:47.095"</f>
        <v>18:54:47.095</v>
      </c>
      <c r="D5656" t="s">
        <v>2336</v>
      </c>
      <c r="E5656">
        <v>30.738330000000001</v>
      </c>
      <c r="F5656" t="s">
        <v>2337</v>
      </c>
      <c r="G5656">
        <v>-89.815700000000007</v>
      </c>
      <c r="H5656">
        <v>1700</v>
      </c>
      <c r="I5656">
        <v>99</v>
      </c>
      <c r="J5656">
        <v>-122</v>
      </c>
      <c r="K5656">
        <v>128</v>
      </c>
      <c r="L5656">
        <v>1200</v>
      </c>
      <c r="M5656" t="str">
        <f t="shared" si="590"/>
        <v xml:space="preserve">N35DC   </v>
      </c>
      <c r="N5656">
        <v>1</v>
      </c>
      <c r="O5656">
        <v>1775</v>
      </c>
    </row>
    <row r="5657" spans="1:15" x14ac:dyDescent="0.25">
      <c r="A5657" t="str">
        <f>"10/21/2020 18:54:39.269"</f>
        <v>10/21/2020 18:54:39.269</v>
      </c>
      <c r="B5657" t="str">
        <f>"18:54:47.195"</f>
        <v>18:54:47.195</v>
      </c>
      <c r="C5657" t="str">
        <f>"18:54:47.095"</f>
        <v>18:54:47.095</v>
      </c>
      <c r="D5657" t="s">
        <v>2336</v>
      </c>
      <c r="E5657">
        <v>30.738330000000001</v>
      </c>
      <c r="F5657" t="s">
        <v>2337</v>
      </c>
      <c r="G5657">
        <v>-89.815700000000007</v>
      </c>
      <c r="H5657">
        <v>1700</v>
      </c>
      <c r="I5657">
        <v>99</v>
      </c>
      <c r="J5657">
        <v>-122</v>
      </c>
      <c r="K5657">
        <v>128</v>
      </c>
      <c r="L5657">
        <v>1200</v>
      </c>
      <c r="M5657" t="str">
        <f t="shared" si="590"/>
        <v xml:space="preserve">N35DC   </v>
      </c>
      <c r="N5657">
        <v>1</v>
      </c>
      <c r="O5657">
        <v>1775</v>
      </c>
    </row>
    <row r="5658" spans="1:15" x14ac:dyDescent="0.25">
      <c r="A5658" t="str">
        <f>"10/21/2020 18:54:39.269"</f>
        <v>10/21/2020 18:54:39.269</v>
      </c>
      <c r="B5658" t="str">
        <f>"18:54:47.195"</f>
        <v>18:54:47.195</v>
      </c>
      <c r="C5658" t="str">
        <f>"18:54:47.095"</f>
        <v>18:54:47.095</v>
      </c>
      <c r="D5658" t="s">
        <v>2336</v>
      </c>
      <c r="E5658">
        <v>30.738330000000001</v>
      </c>
      <c r="F5658" t="s">
        <v>2337</v>
      </c>
      <c r="G5658">
        <v>-89.815700000000007</v>
      </c>
      <c r="H5658">
        <v>1700</v>
      </c>
      <c r="I5658">
        <v>99</v>
      </c>
      <c r="J5658">
        <v>-122</v>
      </c>
      <c r="K5658">
        <v>128</v>
      </c>
      <c r="L5658">
        <v>1200</v>
      </c>
      <c r="M5658" t="str">
        <f t="shared" si="590"/>
        <v xml:space="preserve">N35DC   </v>
      </c>
      <c r="N5658">
        <v>1</v>
      </c>
      <c r="O5658">
        <v>1775</v>
      </c>
    </row>
    <row r="5659" spans="1:15" x14ac:dyDescent="0.25">
      <c r="A5659" t="str">
        <f>"10/21/2020 18:54:39.269"</f>
        <v>10/21/2020 18:54:39.269</v>
      </c>
      <c r="B5659" t="str">
        <f>"18:54:47.195"</f>
        <v>18:54:47.195</v>
      </c>
      <c r="C5659" t="str">
        <f>"18:54:47.095"</f>
        <v>18:54:47.095</v>
      </c>
      <c r="D5659" t="s">
        <v>2336</v>
      </c>
      <c r="E5659">
        <v>30.738330000000001</v>
      </c>
      <c r="F5659" t="s">
        <v>2337</v>
      </c>
      <c r="G5659">
        <v>-89.815700000000007</v>
      </c>
      <c r="H5659">
        <v>1700</v>
      </c>
      <c r="I5659">
        <v>99</v>
      </c>
      <c r="J5659">
        <v>-122</v>
      </c>
      <c r="K5659">
        <v>128</v>
      </c>
      <c r="L5659">
        <v>1200</v>
      </c>
      <c r="M5659" t="str">
        <f t="shared" si="590"/>
        <v xml:space="preserve">N35DC   </v>
      </c>
      <c r="N5659">
        <v>1</v>
      </c>
      <c r="O5659">
        <v>1775</v>
      </c>
    </row>
    <row r="5660" spans="1:15" x14ac:dyDescent="0.25">
      <c r="A5660" t="str">
        <f>"10/21/2020 18:54:39.269"</f>
        <v>10/21/2020 18:54:39.269</v>
      </c>
      <c r="B5660" t="str">
        <f>"18:54:47.195"</f>
        <v>18:54:47.195</v>
      </c>
      <c r="C5660" t="str">
        <f>"18:54:47.095"</f>
        <v>18:54:47.095</v>
      </c>
      <c r="D5660" t="s">
        <v>2336</v>
      </c>
      <c r="E5660">
        <v>30.738330000000001</v>
      </c>
      <c r="F5660" t="s">
        <v>2337</v>
      </c>
      <c r="G5660">
        <v>-89.815700000000007</v>
      </c>
      <c r="H5660">
        <v>1700</v>
      </c>
      <c r="I5660">
        <v>99</v>
      </c>
      <c r="J5660">
        <v>-122</v>
      </c>
      <c r="K5660">
        <v>128</v>
      </c>
      <c r="L5660">
        <v>1200</v>
      </c>
      <c r="M5660" t="str">
        <f t="shared" si="590"/>
        <v xml:space="preserve">N35DC   </v>
      </c>
      <c r="N5660">
        <v>1</v>
      </c>
      <c r="O5660">
        <v>1775</v>
      </c>
    </row>
    <row r="5661" spans="1:15" x14ac:dyDescent="0.25">
      <c r="A5661" t="str">
        <f t="shared" ref="A5661:A5666" si="591">"10/21/2020 18:54:40.104"</f>
        <v>10/21/2020 18:54:40.104</v>
      </c>
      <c r="B5661" t="str">
        <f t="shared" ref="B5661:C5666" si="592">"18:54:48.055"</f>
        <v>18:54:48.055</v>
      </c>
      <c r="C5661" t="str">
        <f t="shared" si="592"/>
        <v>18:54:48.055</v>
      </c>
      <c r="D5661" t="s">
        <v>2338</v>
      </c>
      <c r="E5661">
        <v>30.737815000000001</v>
      </c>
      <c r="F5661" t="s">
        <v>2339</v>
      </c>
      <c r="G5661">
        <v>-89.815228000000005</v>
      </c>
      <c r="H5661">
        <v>1700</v>
      </c>
      <c r="I5661">
        <v>99</v>
      </c>
      <c r="J5661">
        <v>-122</v>
      </c>
      <c r="K5661">
        <v>0</v>
      </c>
      <c r="L5661">
        <v>1200</v>
      </c>
      <c r="M5661" t="str">
        <f t="shared" si="590"/>
        <v xml:space="preserve">N35DC   </v>
      </c>
      <c r="N5661">
        <v>1</v>
      </c>
      <c r="O5661">
        <v>1775</v>
      </c>
    </row>
    <row r="5662" spans="1:15" x14ac:dyDescent="0.25">
      <c r="A5662" t="str">
        <f t="shared" si="591"/>
        <v>10/21/2020 18:54:40.104</v>
      </c>
      <c r="B5662" t="str">
        <f t="shared" si="592"/>
        <v>18:54:48.055</v>
      </c>
      <c r="C5662" t="str">
        <f t="shared" si="592"/>
        <v>18:54:48.055</v>
      </c>
      <c r="D5662" t="s">
        <v>2338</v>
      </c>
      <c r="E5662">
        <v>30.737815000000001</v>
      </c>
      <c r="F5662" t="s">
        <v>2339</v>
      </c>
      <c r="G5662">
        <v>-89.815228000000005</v>
      </c>
      <c r="H5662">
        <v>1700</v>
      </c>
      <c r="I5662">
        <v>99</v>
      </c>
      <c r="J5662">
        <v>-122</v>
      </c>
      <c r="K5662">
        <v>0</v>
      </c>
      <c r="L5662">
        <v>1200</v>
      </c>
      <c r="M5662" t="str">
        <f t="shared" si="590"/>
        <v xml:space="preserve">N35DC   </v>
      </c>
      <c r="N5662">
        <v>1</v>
      </c>
      <c r="O5662">
        <v>1775</v>
      </c>
    </row>
    <row r="5663" spans="1:15" x14ac:dyDescent="0.25">
      <c r="A5663" t="str">
        <f t="shared" si="591"/>
        <v>10/21/2020 18:54:40.104</v>
      </c>
      <c r="B5663" t="str">
        <f t="shared" si="592"/>
        <v>18:54:48.055</v>
      </c>
      <c r="C5663" t="str">
        <f t="shared" si="592"/>
        <v>18:54:48.055</v>
      </c>
      <c r="D5663" t="s">
        <v>2338</v>
      </c>
      <c r="E5663">
        <v>30.737815000000001</v>
      </c>
      <c r="F5663" t="s">
        <v>2339</v>
      </c>
      <c r="G5663">
        <v>-89.815228000000005</v>
      </c>
      <c r="H5663">
        <v>1700</v>
      </c>
      <c r="I5663">
        <v>99</v>
      </c>
      <c r="J5663">
        <v>-122</v>
      </c>
      <c r="K5663">
        <v>0</v>
      </c>
      <c r="L5663">
        <v>1200</v>
      </c>
      <c r="M5663" t="str">
        <f t="shared" si="590"/>
        <v xml:space="preserve">N35DC   </v>
      </c>
      <c r="N5663">
        <v>1</v>
      </c>
      <c r="O5663">
        <v>1775</v>
      </c>
    </row>
    <row r="5664" spans="1:15" x14ac:dyDescent="0.25">
      <c r="A5664" t="str">
        <f t="shared" si="591"/>
        <v>10/21/2020 18:54:40.104</v>
      </c>
      <c r="B5664" t="str">
        <f t="shared" si="592"/>
        <v>18:54:48.055</v>
      </c>
      <c r="C5664" t="str">
        <f t="shared" si="592"/>
        <v>18:54:48.055</v>
      </c>
      <c r="D5664" t="s">
        <v>2338</v>
      </c>
      <c r="E5664">
        <v>30.737815000000001</v>
      </c>
      <c r="F5664" t="s">
        <v>2339</v>
      </c>
      <c r="G5664">
        <v>-89.815228000000005</v>
      </c>
      <c r="H5664">
        <v>1700</v>
      </c>
      <c r="I5664">
        <v>99</v>
      </c>
      <c r="J5664">
        <v>-122</v>
      </c>
      <c r="K5664">
        <v>0</v>
      </c>
      <c r="L5664">
        <v>1200</v>
      </c>
      <c r="M5664" t="str">
        <f t="shared" si="590"/>
        <v xml:space="preserve">N35DC   </v>
      </c>
      <c r="N5664">
        <v>1</v>
      </c>
      <c r="O5664">
        <v>1775</v>
      </c>
    </row>
    <row r="5665" spans="1:15" x14ac:dyDescent="0.25">
      <c r="A5665" t="str">
        <f t="shared" si="591"/>
        <v>10/21/2020 18:54:40.104</v>
      </c>
      <c r="B5665" t="str">
        <f t="shared" si="592"/>
        <v>18:54:48.055</v>
      </c>
      <c r="C5665" t="str">
        <f t="shared" si="592"/>
        <v>18:54:48.055</v>
      </c>
      <c r="D5665" t="s">
        <v>2338</v>
      </c>
      <c r="E5665">
        <v>30.737815000000001</v>
      </c>
      <c r="F5665" t="s">
        <v>2339</v>
      </c>
      <c r="G5665">
        <v>-89.815228000000005</v>
      </c>
      <c r="H5665">
        <v>1700</v>
      </c>
      <c r="I5665">
        <v>99</v>
      </c>
      <c r="J5665">
        <v>-122</v>
      </c>
      <c r="K5665">
        <v>0</v>
      </c>
      <c r="L5665">
        <v>1200</v>
      </c>
      <c r="M5665" t="str">
        <f t="shared" si="590"/>
        <v xml:space="preserve">N35DC   </v>
      </c>
      <c r="N5665">
        <v>1</v>
      </c>
      <c r="O5665">
        <v>1775</v>
      </c>
    </row>
    <row r="5666" spans="1:15" x14ac:dyDescent="0.25">
      <c r="A5666" t="str">
        <f t="shared" si="591"/>
        <v>10/21/2020 18:54:40.104</v>
      </c>
      <c r="B5666" t="str">
        <f t="shared" si="592"/>
        <v>18:54:48.055</v>
      </c>
      <c r="C5666" t="str">
        <f t="shared" si="592"/>
        <v>18:54:48.055</v>
      </c>
      <c r="D5666" t="s">
        <v>2338</v>
      </c>
      <c r="E5666">
        <v>30.737815000000001</v>
      </c>
      <c r="F5666" t="s">
        <v>2339</v>
      </c>
      <c r="G5666">
        <v>-89.815228000000005</v>
      </c>
      <c r="H5666">
        <v>1700</v>
      </c>
      <c r="I5666">
        <v>99</v>
      </c>
      <c r="J5666">
        <v>-122</v>
      </c>
      <c r="K5666">
        <v>0</v>
      </c>
      <c r="L5666">
        <v>1200</v>
      </c>
      <c r="M5666" t="str">
        <f t="shared" si="590"/>
        <v xml:space="preserve">N35DC   </v>
      </c>
      <c r="N5666">
        <v>1</v>
      </c>
      <c r="O5666">
        <v>1775</v>
      </c>
    </row>
    <row r="5667" spans="1:15" x14ac:dyDescent="0.25">
      <c r="A5667" t="str">
        <f>"10/21/2020 18:54:43.321"</f>
        <v>10/21/2020 18:54:43.321</v>
      </c>
      <c r="B5667" t="str">
        <f>"18:54:51.266"</f>
        <v>18:54:51.266</v>
      </c>
      <c r="C5667" t="str">
        <f>"18:54:50.866"</f>
        <v>18:54:50.866</v>
      </c>
      <c r="D5667" t="s">
        <v>2340</v>
      </c>
      <c r="E5667">
        <v>30.736034</v>
      </c>
      <c r="F5667" t="s">
        <v>2341</v>
      </c>
      <c r="G5667">
        <v>-89.813553999999996</v>
      </c>
      <c r="H5667">
        <v>1700</v>
      </c>
      <c r="I5667">
        <v>98</v>
      </c>
      <c r="J5667">
        <v>-122</v>
      </c>
      <c r="K5667">
        <v>-64</v>
      </c>
      <c r="L5667">
        <v>1200</v>
      </c>
      <c r="M5667" t="str">
        <f t="shared" si="590"/>
        <v xml:space="preserve">N35DC   </v>
      </c>
      <c r="N5667">
        <v>1</v>
      </c>
      <c r="O5667">
        <v>1775</v>
      </c>
    </row>
    <row r="5668" spans="1:15" x14ac:dyDescent="0.25">
      <c r="A5668" t="str">
        <f>"10/21/2020 18:54:43.321"</f>
        <v>10/21/2020 18:54:43.321</v>
      </c>
      <c r="B5668" t="str">
        <f>"18:54:51.266"</f>
        <v>18:54:51.266</v>
      </c>
      <c r="C5668" t="str">
        <f>"18:54:50.866"</f>
        <v>18:54:50.866</v>
      </c>
      <c r="D5668" t="s">
        <v>2340</v>
      </c>
      <c r="E5668">
        <v>30.736034</v>
      </c>
      <c r="F5668" t="s">
        <v>2341</v>
      </c>
      <c r="G5668">
        <v>-89.813553999999996</v>
      </c>
      <c r="H5668">
        <v>1700</v>
      </c>
      <c r="I5668">
        <v>98</v>
      </c>
      <c r="J5668">
        <v>-122</v>
      </c>
      <c r="K5668">
        <v>-64</v>
      </c>
      <c r="L5668">
        <v>1200</v>
      </c>
      <c r="M5668" t="str">
        <f t="shared" si="590"/>
        <v xml:space="preserve">N35DC   </v>
      </c>
      <c r="N5668">
        <v>1</v>
      </c>
      <c r="O5668">
        <v>1775</v>
      </c>
    </row>
    <row r="5669" spans="1:15" x14ac:dyDescent="0.25">
      <c r="A5669" t="str">
        <f>"10/21/2020 18:54:43.321"</f>
        <v>10/21/2020 18:54:43.321</v>
      </c>
      <c r="B5669" t="str">
        <f>"18:54:51.266"</f>
        <v>18:54:51.266</v>
      </c>
      <c r="C5669" t="str">
        <f>"18:54:50.866"</f>
        <v>18:54:50.866</v>
      </c>
      <c r="D5669" t="s">
        <v>2340</v>
      </c>
      <c r="E5669">
        <v>30.736034</v>
      </c>
      <c r="F5669" t="s">
        <v>2341</v>
      </c>
      <c r="G5669">
        <v>-89.813553999999996</v>
      </c>
      <c r="H5669">
        <v>1700</v>
      </c>
      <c r="I5669">
        <v>98</v>
      </c>
      <c r="J5669">
        <v>-122</v>
      </c>
      <c r="K5669">
        <v>-64</v>
      </c>
      <c r="L5669">
        <v>1200</v>
      </c>
      <c r="M5669" t="str">
        <f t="shared" si="590"/>
        <v xml:space="preserve">N35DC   </v>
      </c>
      <c r="N5669">
        <v>1</v>
      </c>
      <c r="O5669">
        <v>1775</v>
      </c>
    </row>
    <row r="5670" spans="1:15" x14ac:dyDescent="0.25">
      <c r="A5670" t="str">
        <f>"10/21/2020 18:54:43.321"</f>
        <v>10/21/2020 18:54:43.321</v>
      </c>
      <c r="B5670" t="str">
        <f>"18:54:51.266"</f>
        <v>18:54:51.266</v>
      </c>
      <c r="C5670" t="str">
        <f>"18:54:50.866"</f>
        <v>18:54:50.866</v>
      </c>
      <c r="D5670" t="s">
        <v>2340</v>
      </c>
      <c r="E5670">
        <v>30.736034</v>
      </c>
      <c r="F5670" t="s">
        <v>2341</v>
      </c>
      <c r="G5670">
        <v>-89.813553999999996</v>
      </c>
      <c r="H5670">
        <v>1700</v>
      </c>
      <c r="I5670">
        <v>98</v>
      </c>
      <c r="J5670">
        <v>-122</v>
      </c>
      <c r="K5670">
        <v>-64</v>
      </c>
      <c r="L5670">
        <v>1200</v>
      </c>
      <c r="M5670" t="str">
        <f t="shared" si="590"/>
        <v xml:space="preserve">N35DC   </v>
      </c>
      <c r="N5670">
        <v>1</v>
      </c>
      <c r="O5670">
        <v>1775</v>
      </c>
    </row>
    <row r="5671" spans="1:15" x14ac:dyDescent="0.25">
      <c r="A5671" t="str">
        <f>"10/21/2020 18:54:43.321"</f>
        <v>10/21/2020 18:54:43.321</v>
      </c>
      <c r="B5671" t="str">
        <f>"18:54:51.266"</f>
        <v>18:54:51.266</v>
      </c>
      <c r="C5671" t="str">
        <f>"18:54:50.866"</f>
        <v>18:54:50.866</v>
      </c>
      <c r="D5671" t="s">
        <v>2340</v>
      </c>
      <c r="E5671">
        <v>30.736034</v>
      </c>
      <c r="F5671" t="s">
        <v>2341</v>
      </c>
      <c r="G5671">
        <v>-89.813553999999996</v>
      </c>
      <c r="H5671">
        <v>1700</v>
      </c>
      <c r="I5671">
        <v>98</v>
      </c>
      <c r="J5671">
        <v>-122</v>
      </c>
      <c r="K5671">
        <v>-64</v>
      </c>
      <c r="L5671">
        <v>1200</v>
      </c>
      <c r="M5671" t="str">
        <f t="shared" si="590"/>
        <v xml:space="preserve">N35DC   </v>
      </c>
      <c r="N5671">
        <v>1</v>
      </c>
      <c r="O5671">
        <v>1775</v>
      </c>
    </row>
    <row r="5672" spans="1:15" x14ac:dyDescent="0.25">
      <c r="A5672" t="str">
        <f>"10/21/2020 18:54:43.872"</f>
        <v>10/21/2020 18:54:43.872</v>
      </c>
      <c r="B5672" t="str">
        <f>"18:54:51.789"</f>
        <v>18:54:51.789</v>
      </c>
      <c r="C5672" t="str">
        <f>"18:54:51.389"</f>
        <v>18:54:51.389</v>
      </c>
      <c r="D5672" t="s">
        <v>2342</v>
      </c>
      <c r="E5672">
        <v>30.735734000000001</v>
      </c>
      <c r="F5672" t="s">
        <v>2343</v>
      </c>
      <c r="G5672">
        <v>-89.813231999999999</v>
      </c>
      <c r="H5672">
        <v>1700</v>
      </c>
      <c r="I5672">
        <v>98</v>
      </c>
      <c r="J5672">
        <v>-122</v>
      </c>
      <c r="K5672">
        <v>-128</v>
      </c>
      <c r="L5672">
        <v>1200</v>
      </c>
      <c r="M5672" t="str">
        <f t="shared" si="590"/>
        <v xml:space="preserve">N35DC   </v>
      </c>
      <c r="N5672">
        <v>1</v>
      </c>
      <c r="O5672">
        <v>1775</v>
      </c>
    </row>
    <row r="5673" spans="1:15" x14ac:dyDescent="0.25">
      <c r="A5673" t="str">
        <f>"10/21/2020 18:54:44.331"</f>
        <v>10/21/2020 18:54:44.331</v>
      </c>
      <c r="B5673" t="str">
        <f>"18:54:52.250"</f>
        <v>18:54:52.250</v>
      </c>
      <c r="C5673" t="str">
        <f>"18:54:51.850"</f>
        <v>18:54:51.850</v>
      </c>
      <c r="D5673" t="s">
        <v>2344</v>
      </c>
      <c r="E5673">
        <v>30.735455000000002</v>
      </c>
      <c r="F5673" t="s">
        <v>2345</v>
      </c>
      <c r="G5673">
        <v>-89.813018</v>
      </c>
      <c r="H5673">
        <v>1700</v>
      </c>
      <c r="I5673">
        <v>98</v>
      </c>
      <c r="J5673">
        <v>-122</v>
      </c>
      <c r="K5673">
        <v>-64</v>
      </c>
      <c r="L5673">
        <v>1200</v>
      </c>
      <c r="M5673" t="str">
        <f t="shared" si="590"/>
        <v xml:space="preserve">N35DC   </v>
      </c>
      <c r="N5673">
        <v>1</v>
      </c>
      <c r="O5673">
        <v>1775</v>
      </c>
    </row>
    <row r="5674" spans="1:15" x14ac:dyDescent="0.25">
      <c r="A5674" t="str">
        <f>"10/21/2020 18:54:44.331"</f>
        <v>10/21/2020 18:54:44.331</v>
      </c>
      <c r="B5674" t="str">
        <f>"18:54:52.250"</f>
        <v>18:54:52.250</v>
      </c>
      <c r="C5674" t="str">
        <f>"18:54:51.850"</f>
        <v>18:54:51.850</v>
      </c>
      <c r="D5674" t="s">
        <v>2344</v>
      </c>
      <c r="E5674">
        <v>30.735455000000002</v>
      </c>
      <c r="F5674" t="s">
        <v>2345</v>
      </c>
      <c r="G5674">
        <v>-89.813018</v>
      </c>
      <c r="H5674">
        <v>1700</v>
      </c>
      <c r="I5674">
        <v>98</v>
      </c>
      <c r="J5674">
        <v>-122</v>
      </c>
      <c r="K5674">
        <v>-64</v>
      </c>
      <c r="L5674">
        <v>1200</v>
      </c>
      <c r="M5674" t="str">
        <f t="shared" si="590"/>
        <v xml:space="preserve">N35DC   </v>
      </c>
      <c r="N5674">
        <v>1</v>
      </c>
      <c r="O5674">
        <v>1775</v>
      </c>
    </row>
    <row r="5675" spans="1:15" x14ac:dyDescent="0.25">
      <c r="A5675" t="str">
        <f>"10/21/2020 18:54:44.331"</f>
        <v>10/21/2020 18:54:44.331</v>
      </c>
      <c r="B5675" t="str">
        <f>"18:54:52.250"</f>
        <v>18:54:52.250</v>
      </c>
      <c r="C5675" t="str">
        <f>"18:54:51.850"</f>
        <v>18:54:51.850</v>
      </c>
      <c r="D5675" t="s">
        <v>2344</v>
      </c>
      <c r="E5675">
        <v>30.735455000000002</v>
      </c>
      <c r="F5675" t="s">
        <v>2345</v>
      </c>
      <c r="G5675">
        <v>-89.813018</v>
      </c>
      <c r="H5675">
        <v>1700</v>
      </c>
      <c r="I5675">
        <v>98</v>
      </c>
      <c r="J5675">
        <v>-122</v>
      </c>
      <c r="K5675">
        <v>-64</v>
      </c>
      <c r="L5675">
        <v>1200</v>
      </c>
      <c r="M5675" t="str">
        <f t="shared" si="590"/>
        <v xml:space="preserve">N35DC   </v>
      </c>
      <c r="N5675">
        <v>1</v>
      </c>
      <c r="O5675">
        <v>1775</v>
      </c>
    </row>
    <row r="5676" spans="1:15" x14ac:dyDescent="0.25">
      <c r="A5676" t="str">
        <f>"10/21/2020 18:54:44.331"</f>
        <v>10/21/2020 18:54:44.331</v>
      </c>
      <c r="B5676" t="str">
        <f>"18:54:52.250"</f>
        <v>18:54:52.250</v>
      </c>
      <c r="C5676" t="str">
        <f>"18:54:51.850"</f>
        <v>18:54:51.850</v>
      </c>
      <c r="D5676" t="s">
        <v>2344</v>
      </c>
      <c r="E5676">
        <v>30.735455000000002</v>
      </c>
      <c r="F5676" t="s">
        <v>2345</v>
      </c>
      <c r="G5676">
        <v>-89.813018</v>
      </c>
      <c r="H5676">
        <v>1700</v>
      </c>
      <c r="I5676">
        <v>98</v>
      </c>
      <c r="J5676">
        <v>-122</v>
      </c>
      <c r="K5676">
        <v>-64</v>
      </c>
      <c r="L5676">
        <v>1200</v>
      </c>
      <c r="M5676" t="str">
        <f t="shared" si="590"/>
        <v xml:space="preserve">N35DC   </v>
      </c>
      <c r="N5676">
        <v>1</v>
      </c>
      <c r="O5676">
        <v>1775</v>
      </c>
    </row>
    <row r="5677" spans="1:15" x14ac:dyDescent="0.25">
      <c r="A5677" t="str">
        <f>"10/21/2020 18:54:44.331"</f>
        <v>10/21/2020 18:54:44.331</v>
      </c>
      <c r="B5677" t="str">
        <f>"18:54:52.250"</f>
        <v>18:54:52.250</v>
      </c>
      <c r="C5677" t="str">
        <f>"18:54:51.850"</f>
        <v>18:54:51.850</v>
      </c>
      <c r="D5677" t="s">
        <v>2344</v>
      </c>
      <c r="E5677">
        <v>30.735455000000002</v>
      </c>
      <c r="F5677" t="s">
        <v>2345</v>
      </c>
      <c r="G5677">
        <v>-89.813018</v>
      </c>
      <c r="H5677">
        <v>1700</v>
      </c>
      <c r="I5677">
        <v>98</v>
      </c>
      <c r="J5677">
        <v>-122</v>
      </c>
      <c r="K5677">
        <v>-64</v>
      </c>
      <c r="L5677">
        <v>1200</v>
      </c>
      <c r="M5677" t="str">
        <f t="shared" si="590"/>
        <v xml:space="preserve">N35DC   </v>
      </c>
      <c r="N5677">
        <v>1</v>
      </c>
      <c r="O5677">
        <v>1775</v>
      </c>
    </row>
    <row r="5678" spans="1:15" x14ac:dyDescent="0.25">
      <c r="A5678" t="str">
        <f t="shared" ref="A5678:A5683" si="593">"10/21/2020 18:54:46.322"</f>
        <v>10/21/2020 18:54:46.322</v>
      </c>
      <c r="B5678" t="str">
        <f t="shared" ref="B5678:C5680" si="594">"18:54:54.273"</f>
        <v>18:54:54.273</v>
      </c>
      <c r="C5678" t="str">
        <f t="shared" si="594"/>
        <v>18:54:54.273</v>
      </c>
      <c r="D5678" t="s">
        <v>1058</v>
      </c>
      <c r="E5678">
        <v>30.734296000000001</v>
      </c>
      <c r="F5678" t="s">
        <v>2346</v>
      </c>
      <c r="G5678">
        <v>-89.811965999999998</v>
      </c>
      <c r="H5678">
        <v>1700</v>
      </c>
      <c r="I5678">
        <v>98</v>
      </c>
      <c r="J5678">
        <v>-123</v>
      </c>
      <c r="K5678">
        <v>-256</v>
      </c>
      <c r="L5678">
        <v>1200</v>
      </c>
      <c r="M5678" t="str">
        <f t="shared" si="590"/>
        <v xml:space="preserve">N35DC   </v>
      </c>
      <c r="N5678">
        <v>1</v>
      </c>
      <c r="O5678">
        <v>1775</v>
      </c>
    </row>
    <row r="5679" spans="1:15" x14ac:dyDescent="0.25">
      <c r="A5679" t="str">
        <f t="shared" si="593"/>
        <v>10/21/2020 18:54:46.322</v>
      </c>
      <c r="B5679" t="str">
        <f t="shared" si="594"/>
        <v>18:54:54.273</v>
      </c>
      <c r="C5679" t="str">
        <f t="shared" si="594"/>
        <v>18:54:54.273</v>
      </c>
      <c r="D5679" t="s">
        <v>1058</v>
      </c>
      <c r="E5679">
        <v>30.734296000000001</v>
      </c>
      <c r="F5679" t="s">
        <v>2346</v>
      </c>
      <c r="G5679">
        <v>-89.811965999999998</v>
      </c>
      <c r="H5679">
        <v>1700</v>
      </c>
      <c r="I5679">
        <v>98</v>
      </c>
      <c r="J5679">
        <v>-123</v>
      </c>
      <c r="K5679">
        <v>-256</v>
      </c>
      <c r="L5679">
        <v>1200</v>
      </c>
      <c r="M5679" t="str">
        <f t="shared" si="590"/>
        <v xml:space="preserve">N35DC   </v>
      </c>
      <c r="N5679">
        <v>1</v>
      </c>
      <c r="O5679">
        <v>1775</v>
      </c>
    </row>
    <row r="5680" spans="1:15" x14ac:dyDescent="0.25">
      <c r="A5680" t="str">
        <f t="shared" si="593"/>
        <v>10/21/2020 18:54:46.322</v>
      </c>
      <c r="B5680" t="str">
        <f t="shared" si="594"/>
        <v>18:54:54.273</v>
      </c>
      <c r="C5680" t="str">
        <f t="shared" si="594"/>
        <v>18:54:54.273</v>
      </c>
      <c r="D5680" t="s">
        <v>1058</v>
      </c>
      <c r="E5680">
        <v>30.734296000000001</v>
      </c>
      <c r="F5680" t="s">
        <v>2346</v>
      </c>
      <c r="G5680">
        <v>-89.811965999999998</v>
      </c>
      <c r="H5680">
        <v>1700</v>
      </c>
      <c r="I5680">
        <v>98</v>
      </c>
      <c r="J5680">
        <v>-123</v>
      </c>
      <c r="K5680">
        <v>-256</v>
      </c>
      <c r="L5680">
        <v>1200</v>
      </c>
      <c r="M5680" t="str">
        <f t="shared" si="590"/>
        <v xml:space="preserve">N35DC   </v>
      </c>
      <c r="N5680">
        <v>1</v>
      </c>
      <c r="O5680">
        <v>1775</v>
      </c>
    </row>
    <row r="5681" spans="1:15" x14ac:dyDescent="0.25">
      <c r="A5681" t="str">
        <f t="shared" si="593"/>
        <v>10/21/2020 18:54:46.322</v>
      </c>
      <c r="B5681" t="str">
        <f>"18:54:54.273"</f>
        <v>18:54:54.273</v>
      </c>
      <c r="C5681" t="str">
        <f>"18:54:53.473"</f>
        <v>18:54:53.473</v>
      </c>
      <c r="D5681" t="s">
        <v>1058</v>
      </c>
      <c r="E5681">
        <v>30.734296000000001</v>
      </c>
      <c r="F5681" t="s">
        <v>2346</v>
      </c>
      <c r="G5681">
        <v>-89.811965999999998</v>
      </c>
      <c r="H5681">
        <v>1700</v>
      </c>
      <c r="I5681">
        <v>98</v>
      </c>
      <c r="J5681">
        <v>-123</v>
      </c>
      <c r="K5681">
        <v>-192</v>
      </c>
      <c r="L5681">
        <v>1200</v>
      </c>
      <c r="M5681" t="str">
        <f t="shared" si="590"/>
        <v xml:space="preserve">N35DC   </v>
      </c>
      <c r="N5681">
        <v>1</v>
      </c>
      <c r="O5681">
        <v>1775</v>
      </c>
    </row>
    <row r="5682" spans="1:15" x14ac:dyDescent="0.25">
      <c r="A5682" t="str">
        <f t="shared" si="593"/>
        <v>10/21/2020 18:54:46.322</v>
      </c>
      <c r="B5682" t="str">
        <f>"18:54:54.273"</f>
        <v>18:54:54.273</v>
      </c>
      <c r="C5682" t="str">
        <f>"18:54:54.273"</f>
        <v>18:54:54.273</v>
      </c>
      <c r="D5682" t="s">
        <v>1058</v>
      </c>
      <c r="E5682">
        <v>30.734296000000001</v>
      </c>
      <c r="F5682" t="s">
        <v>2346</v>
      </c>
      <c r="G5682">
        <v>-89.811965999999998</v>
      </c>
      <c r="H5682">
        <v>1700</v>
      </c>
      <c r="I5682">
        <v>98</v>
      </c>
      <c r="J5682">
        <v>-123</v>
      </c>
      <c r="K5682">
        <v>-256</v>
      </c>
      <c r="L5682">
        <v>1200</v>
      </c>
      <c r="M5682" t="str">
        <f t="shared" si="590"/>
        <v xml:space="preserve">N35DC   </v>
      </c>
      <c r="N5682">
        <v>1</v>
      </c>
      <c r="O5682">
        <v>1775</v>
      </c>
    </row>
    <row r="5683" spans="1:15" x14ac:dyDescent="0.25">
      <c r="A5683" t="str">
        <f t="shared" si="593"/>
        <v>10/21/2020 18:54:46.322</v>
      </c>
      <c r="B5683" t="str">
        <f>"18:54:54.273"</f>
        <v>18:54:54.273</v>
      </c>
      <c r="C5683" t="str">
        <f>"18:54:54.273"</f>
        <v>18:54:54.273</v>
      </c>
      <c r="D5683" t="s">
        <v>1058</v>
      </c>
      <c r="E5683">
        <v>30.734296000000001</v>
      </c>
      <c r="F5683" t="s">
        <v>2346</v>
      </c>
      <c r="G5683">
        <v>-89.811965999999998</v>
      </c>
      <c r="H5683">
        <v>1700</v>
      </c>
      <c r="I5683">
        <v>98</v>
      </c>
      <c r="J5683">
        <v>-123</v>
      </c>
      <c r="K5683">
        <v>-256</v>
      </c>
      <c r="L5683">
        <v>1200</v>
      </c>
      <c r="M5683" t="str">
        <f t="shared" si="590"/>
        <v xml:space="preserve">N35DC   </v>
      </c>
      <c r="N5683">
        <v>1</v>
      </c>
      <c r="O5683">
        <v>1775</v>
      </c>
    </row>
    <row r="5684" spans="1:15" x14ac:dyDescent="0.25">
      <c r="A5684" t="str">
        <f>"10/21/2020 18:54:47.227"</f>
        <v>10/21/2020 18:54:47.227</v>
      </c>
      <c r="B5684" t="str">
        <f>"18:54:55.148"</f>
        <v>18:54:55.148</v>
      </c>
      <c r="C5684" t="str">
        <f>"18:54:54.848"</f>
        <v>18:54:54.848</v>
      </c>
      <c r="D5684" t="s">
        <v>2347</v>
      </c>
      <c r="E5684">
        <v>30.733823999999998</v>
      </c>
      <c r="F5684" t="s">
        <v>2348</v>
      </c>
      <c r="G5684">
        <v>-89.811473000000007</v>
      </c>
      <c r="H5684">
        <v>1700</v>
      </c>
      <c r="I5684">
        <v>97</v>
      </c>
      <c r="J5684">
        <v>-123</v>
      </c>
      <c r="K5684">
        <v>-320</v>
      </c>
      <c r="L5684">
        <v>1200</v>
      </c>
      <c r="M5684" t="str">
        <f t="shared" si="590"/>
        <v xml:space="preserve">N35DC   </v>
      </c>
      <c r="N5684">
        <v>1</v>
      </c>
      <c r="O5684">
        <v>1775</v>
      </c>
    </row>
    <row r="5685" spans="1:15" x14ac:dyDescent="0.25">
      <c r="A5685" t="str">
        <f>"10/21/2020 18:54:47.227"</f>
        <v>10/21/2020 18:54:47.227</v>
      </c>
      <c r="B5685" t="str">
        <f>"18:54:55.148"</f>
        <v>18:54:55.148</v>
      </c>
      <c r="C5685" t="str">
        <f>"18:54:54.848"</f>
        <v>18:54:54.848</v>
      </c>
      <c r="D5685" t="s">
        <v>2347</v>
      </c>
      <c r="E5685">
        <v>30.733823999999998</v>
      </c>
      <c r="F5685" t="s">
        <v>2348</v>
      </c>
      <c r="G5685">
        <v>-89.811473000000007</v>
      </c>
      <c r="H5685">
        <v>1700</v>
      </c>
      <c r="I5685">
        <v>97</v>
      </c>
      <c r="J5685">
        <v>-123</v>
      </c>
      <c r="K5685">
        <v>-320</v>
      </c>
      <c r="L5685">
        <v>1200</v>
      </c>
      <c r="M5685" t="str">
        <f t="shared" si="590"/>
        <v xml:space="preserve">N35DC   </v>
      </c>
      <c r="N5685">
        <v>1</v>
      </c>
      <c r="O5685">
        <v>1775</v>
      </c>
    </row>
    <row r="5686" spans="1:15" x14ac:dyDescent="0.25">
      <c r="A5686" t="str">
        <f>"10/21/2020 18:54:47.227"</f>
        <v>10/21/2020 18:54:47.227</v>
      </c>
      <c r="B5686" t="str">
        <f>"18:54:55.148"</f>
        <v>18:54:55.148</v>
      </c>
      <c r="C5686" t="str">
        <f>"18:54:54.848"</f>
        <v>18:54:54.848</v>
      </c>
      <c r="D5686" t="s">
        <v>2347</v>
      </c>
      <c r="E5686">
        <v>30.733823999999998</v>
      </c>
      <c r="F5686" t="s">
        <v>2348</v>
      </c>
      <c r="G5686">
        <v>-89.811473000000007</v>
      </c>
      <c r="H5686">
        <v>1700</v>
      </c>
      <c r="I5686">
        <v>97</v>
      </c>
      <c r="J5686">
        <v>-123</v>
      </c>
      <c r="K5686">
        <v>-320</v>
      </c>
      <c r="L5686">
        <v>1200</v>
      </c>
      <c r="M5686" t="str">
        <f t="shared" si="590"/>
        <v xml:space="preserve">N35DC   </v>
      </c>
      <c r="N5686">
        <v>1</v>
      </c>
      <c r="O5686">
        <v>1775</v>
      </c>
    </row>
    <row r="5687" spans="1:15" x14ac:dyDescent="0.25">
      <c r="A5687" t="str">
        <f>"10/21/2020 18:54:47.227"</f>
        <v>10/21/2020 18:54:47.227</v>
      </c>
      <c r="B5687" t="str">
        <f>"18:54:55.148"</f>
        <v>18:54:55.148</v>
      </c>
      <c r="C5687" t="str">
        <f>"18:54:54.848"</f>
        <v>18:54:54.848</v>
      </c>
      <c r="D5687" t="s">
        <v>2347</v>
      </c>
      <c r="E5687">
        <v>30.733823999999998</v>
      </c>
      <c r="F5687" t="s">
        <v>2348</v>
      </c>
      <c r="G5687">
        <v>-89.811473000000007</v>
      </c>
      <c r="H5687">
        <v>1700</v>
      </c>
      <c r="I5687">
        <v>97</v>
      </c>
      <c r="J5687">
        <v>-123</v>
      </c>
      <c r="K5687">
        <v>-320</v>
      </c>
      <c r="L5687">
        <v>1200</v>
      </c>
      <c r="M5687" t="str">
        <f t="shared" si="590"/>
        <v xml:space="preserve">N35DC   </v>
      </c>
      <c r="N5687">
        <v>1</v>
      </c>
      <c r="O5687">
        <v>1775</v>
      </c>
    </row>
    <row r="5688" spans="1:15" x14ac:dyDescent="0.25">
      <c r="A5688" t="str">
        <f>"10/21/2020 18:54:47.698"</f>
        <v>10/21/2020 18:54:47.698</v>
      </c>
      <c r="B5688" t="str">
        <f>"18:54:55.594"</f>
        <v>18:54:55.594</v>
      </c>
      <c r="C5688" t="str">
        <f>"18:54:55.394"</f>
        <v>18:54:55.394</v>
      </c>
      <c r="D5688" t="s">
        <v>2349</v>
      </c>
      <c r="E5688">
        <v>30.733566</v>
      </c>
      <c r="F5688" t="s">
        <v>77</v>
      </c>
      <c r="G5688">
        <v>-89.811301</v>
      </c>
      <c r="H5688">
        <v>1700</v>
      </c>
      <c r="I5688">
        <v>97</v>
      </c>
      <c r="J5688">
        <v>-124</v>
      </c>
      <c r="K5688">
        <v>-256</v>
      </c>
      <c r="L5688">
        <v>1200</v>
      </c>
      <c r="M5688" t="str">
        <f t="shared" si="590"/>
        <v xml:space="preserve">N35DC   </v>
      </c>
      <c r="N5688">
        <v>1</v>
      </c>
      <c r="O5688">
        <v>1775</v>
      </c>
    </row>
    <row r="5689" spans="1:15" x14ac:dyDescent="0.25">
      <c r="A5689" t="str">
        <f t="shared" ref="A5689:A5694" si="595">"10/21/2020 18:54:50.285"</f>
        <v>10/21/2020 18:54:50.285</v>
      </c>
      <c r="B5689" t="str">
        <f t="shared" ref="B5689:B5694" si="596">"18:54:58.195"</f>
        <v>18:54:58.195</v>
      </c>
      <c r="C5689" t="str">
        <f t="shared" ref="C5689:C5694" si="597">"18:54:57.795"</f>
        <v>18:54:57.795</v>
      </c>
      <c r="D5689" t="s">
        <v>2350</v>
      </c>
      <c r="E5689">
        <v>30.732064000000001</v>
      </c>
      <c r="F5689" t="s">
        <v>2351</v>
      </c>
      <c r="G5689">
        <v>-89.809927999999999</v>
      </c>
      <c r="H5689">
        <v>1700</v>
      </c>
      <c r="I5689">
        <v>96</v>
      </c>
      <c r="J5689">
        <v>-126</v>
      </c>
      <c r="K5689">
        <v>-320</v>
      </c>
      <c r="L5689">
        <v>1200</v>
      </c>
      <c r="M5689" t="str">
        <f t="shared" si="590"/>
        <v xml:space="preserve">N35DC   </v>
      </c>
      <c r="N5689">
        <v>1</v>
      </c>
      <c r="O5689">
        <v>1750</v>
      </c>
    </row>
    <row r="5690" spans="1:15" x14ac:dyDescent="0.25">
      <c r="A5690" t="str">
        <f t="shared" si="595"/>
        <v>10/21/2020 18:54:50.285</v>
      </c>
      <c r="B5690" t="str">
        <f t="shared" si="596"/>
        <v>18:54:58.195</v>
      </c>
      <c r="C5690" t="str">
        <f t="shared" si="597"/>
        <v>18:54:57.795</v>
      </c>
      <c r="D5690" t="s">
        <v>2350</v>
      </c>
      <c r="E5690">
        <v>30.732064000000001</v>
      </c>
      <c r="F5690" t="s">
        <v>2351</v>
      </c>
      <c r="G5690">
        <v>-89.809927999999999</v>
      </c>
      <c r="H5690">
        <v>1700</v>
      </c>
      <c r="I5690">
        <v>96</v>
      </c>
      <c r="J5690">
        <v>-126</v>
      </c>
      <c r="K5690">
        <v>-320</v>
      </c>
      <c r="L5690">
        <v>1200</v>
      </c>
      <c r="M5690" t="str">
        <f t="shared" si="590"/>
        <v xml:space="preserve">N35DC   </v>
      </c>
      <c r="N5690">
        <v>1</v>
      </c>
      <c r="O5690">
        <v>1750</v>
      </c>
    </row>
    <row r="5691" spans="1:15" x14ac:dyDescent="0.25">
      <c r="A5691" t="str">
        <f t="shared" si="595"/>
        <v>10/21/2020 18:54:50.285</v>
      </c>
      <c r="B5691" t="str">
        <f t="shared" si="596"/>
        <v>18:54:58.195</v>
      </c>
      <c r="C5691" t="str">
        <f t="shared" si="597"/>
        <v>18:54:57.795</v>
      </c>
      <c r="D5691" t="s">
        <v>2350</v>
      </c>
      <c r="E5691">
        <v>30.732064000000001</v>
      </c>
      <c r="F5691" t="s">
        <v>2351</v>
      </c>
      <c r="G5691">
        <v>-89.809927999999999</v>
      </c>
      <c r="H5691">
        <v>1700</v>
      </c>
      <c r="I5691">
        <v>96</v>
      </c>
      <c r="J5691">
        <v>-126</v>
      </c>
      <c r="K5691">
        <v>-320</v>
      </c>
      <c r="L5691">
        <v>1200</v>
      </c>
      <c r="M5691" t="str">
        <f t="shared" si="590"/>
        <v xml:space="preserve">N35DC   </v>
      </c>
      <c r="N5691">
        <v>1</v>
      </c>
      <c r="O5691">
        <v>1750</v>
      </c>
    </row>
    <row r="5692" spans="1:15" x14ac:dyDescent="0.25">
      <c r="A5692" t="str">
        <f t="shared" si="595"/>
        <v>10/21/2020 18:54:50.285</v>
      </c>
      <c r="B5692" t="str">
        <f t="shared" si="596"/>
        <v>18:54:58.195</v>
      </c>
      <c r="C5692" t="str">
        <f t="shared" si="597"/>
        <v>18:54:57.795</v>
      </c>
      <c r="D5692" t="s">
        <v>2350</v>
      </c>
      <c r="E5692">
        <v>30.732064000000001</v>
      </c>
      <c r="F5692" t="s">
        <v>2351</v>
      </c>
      <c r="G5692">
        <v>-89.809927999999999</v>
      </c>
      <c r="H5692">
        <v>1700</v>
      </c>
      <c r="I5692">
        <v>96</v>
      </c>
      <c r="J5692">
        <v>-126</v>
      </c>
      <c r="K5692">
        <v>-320</v>
      </c>
      <c r="L5692">
        <v>1200</v>
      </c>
      <c r="M5692" t="str">
        <f t="shared" si="590"/>
        <v xml:space="preserve">N35DC   </v>
      </c>
      <c r="N5692">
        <v>1</v>
      </c>
      <c r="O5692">
        <v>1750</v>
      </c>
    </row>
    <row r="5693" spans="1:15" x14ac:dyDescent="0.25">
      <c r="A5693" t="str">
        <f t="shared" si="595"/>
        <v>10/21/2020 18:54:50.285</v>
      </c>
      <c r="B5693" t="str">
        <f t="shared" si="596"/>
        <v>18:54:58.195</v>
      </c>
      <c r="C5693" t="str">
        <f t="shared" si="597"/>
        <v>18:54:57.795</v>
      </c>
      <c r="D5693" t="s">
        <v>2350</v>
      </c>
      <c r="E5693">
        <v>30.732064000000001</v>
      </c>
      <c r="F5693" t="s">
        <v>2351</v>
      </c>
      <c r="G5693">
        <v>-89.809927999999999</v>
      </c>
      <c r="H5693">
        <v>1700</v>
      </c>
      <c r="I5693">
        <v>96</v>
      </c>
      <c r="J5693">
        <v>-126</v>
      </c>
      <c r="K5693">
        <v>-320</v>
      </c>
      <c r="L5693">
        <v>1200</v>
      </c>
      <c r="M5693" t="str">
        <f t="shared" si="590"/>
        <v xml:space="preserve">N35DC   </v>
      </c>
      <c r="N5693">
        <v>1</v>
      </c>
      <c r="O5693">
        <v>1750</v>
      </c>
    </row>
    <row r="5694" spans="1:15" x14ac:dyDescent="0.25">
      <c r="A5694" t="str">
        <f t="shared" si="595"/>
        <v>10/21/2020 18:54:50.285</v>
      </c>
      <c r="B5694" t="str">
        <f t="shared" si="596"/>
        <v>18:54:58.195</v>
      </c>
      <c r="C5694" t="str">
        <f t="shared" si="597"/>
        <v>18:54:57.795</v>
      </c>
      <c r="D5694" t="s">
        <v>2350</v>
      </c>
      <c r="E5694">
        <v>30.732064000000001</v>
      </c>
      <c r="F5694" t="s">
        <v>2351</v>
      </c>
      <c r="G5694">
        <v>-89.809927999999999</v>
      </c>
      <c r="H5694">
        <v>1700</v>
      </c>
      <c r="I5694">
        <v>96</v>
      </c>
      <c r="J5694">
        <v>-126</v>
      </c>
      <c r="K5694">
        <v>-320</v>
      </c>
      <c r="L5694">
        <v>1200</v>
      </c>
      <c r="M5694" t="str">
        <f t="shared" si="590"/>
        <v xml:space="preserve">N35DC   </v>
      </c>
      <c r="N5694">
        <v>1</v>
      </c>
      <c r="O5694">
        <v>1750</v>
      </c>
    </row>
    <row r="5695" spans="1:15" x14ac:dyDescent="0.25">
      <c r="A5695" t="str">
        <f>"10/21/2020 18:54:53.085"</f>
        <v>10/21/2020 18:54:53.085</v>
      </c>
      <c r="B5695" t="str">
        <f>"18:55:01.000"</f>
        <v>18:55:01.000</v>
      </c>
      <c r="C5695" t="str">
        <f>"18:55:01.000"</f>
        <v>18:55:01.000</v>
      </c>
      <c r="D5695" t="s">
        <v>2352</v>
      </c>
      <c r="E5695">
        <v>30.730391000000001</v>
      </c>
      <c r="F5695" t="s">
        <v>2353</v>
      </c>
      <c r="G5695">
        <v>-89.808511999999993</v>
      </c>
      <c r="H5695">
        <v>1700</v>
      </c>
      <c r="I5695">
        <v>94</v>
      </c>
      <c r="J5695">
        <v>-129</v>
      </c>
      <c r="K5695">
        <v>-256</v>
      </c>
      <c r="L5695">
        <v>1200</v>
      </c>
      <c r="M5695" t="str">
        <f t="shared" si="590"/>
        <v xml:space="preserve">N35DC   </v>
      </c>
      <c r="N5695">
        <v>1</v>
      </c>
      <c r="O5695">
        <v>1725</v>
      </c>
    </row>
    <row r="5696" spans="1:15" x14ac:dyDescent="0.25">
      <c r="A5696" t="str">
        <f>"10/21/2020 18:54:53.468"</f>
        <v>10/21/2020 18:54:53.468</v>
      </c>
      <c r="B5696" t="str">
        <f>"18:55:01.414"</f>
        <v>18:55:01.414</v>
      </c>
      <c r="C5696" t="str">
        <f>"18:55:01.014"</f>
        <v>18:55:01.014</v>
      </c>
      <c r="D5696" t="s">
        <v>2354</v>
      </c>
      <c r="E5696">
        <v>30.730111999999998</v>
      </c>
      <c r="F5696" t="s">
        <v>2355</v>
      </c>
      <c r="G5696">
        <v>-89.808296999999996</v>
      </c>
      <c r="H5696">
        <v>1700</v>
      </c>
      <c r="I5696">
        <v>94</v>
      </c>
      <c r="J5696">
        <v>-129</v>
      </c>
      <c r="K5696">
        <v>-256</v>
      </c>
      <c r="L5696">
        <v>1200</v>
      </c>
      <c r="M5696" t="str">
        <f t="shared" si="590"/>
        <v xml:space="preserve">N35DC   </v>
      </c>
      <c r="N5696">
        <v>1</v>
      </c>
      <c r="O5696">
        <v>1725</v>
      </c>
    </row>
    <row r="5697" spans="1:15" x14ac:dyDescent="0.25">
      <c r="A5697" t="str">
        <f>"10/21/2020 18:54:53.468"</f>
        <v>10/21/2020 18:54:53.468</v>
      </c>
      <c r="B5697" t="str">
        <f>"18:55:01.414"</f>
        <v>18:55:01.414</v>
      </c>
      <c r="C5697" t="str">
        <f>"18:55:01.014"</f>
        <v>18:55:01.014</v>
      </c>
      <c r="D5697" t="s">
        <v>2354</v>
      </c>
      <c r="E5697">
        <v>30.730111999999998</v>
      </c>
      <c r="F5697" t="s">
        <v>2355</v>
      </c>
      <c r="G5697">
        <v>-89.808296999999996</v>
      </c>
      <c r="H5697">
        <v>1700</v>
      </c>
      <c r="I5697">
        <v>94</v>
      </c>
      <c r="J5697">
        <v>-129</v>
      </c>
      <c r="K5697">
        <v>-256</v>
      </c>
      <c r="L5697">
        <v>1200</v>
      </c>
      <c r="M5697" t="str">
        <f t="shared" si="590"/>
        <v xml:space="preserve">N35DC   </v>
      </c>
      <c r="N5697">
        <v>1</v>
      </c>
      <c r="O5697">
        <v>1725</v>
      </c>
    </row>
    <row r="5698" spans="1:15" x14ac:dyDescent="0.25">
      <c r="A5698" t="str">
        <f>"10/21/2020 18:54:53.468"</f>
        <v>10/21/2020 18:54:53.468</v>
      </c>
      <c r="B5698" t="str">
        <f>"18:55:01.414"</f>
        <v>18:55:01.414</v>
      </c>
      <c r="C5698" t="str">
        <f>"18:55:01.014"</f>
        <v>18:55:01.014</v>
      </c>
      <c r="D5698" t="s">
        <v>2354</v>
      </c>
      <c r="E5698">
        <v>30.730111999999998</v>
      </c>
      <c r="F5698" t="s">
        <v>2355</v>
      </c>
      <c r="G5698">
        <v>-89.808296999999996</v>
      </c>
      <c r="H5698">
        <v>1700</v>
      </c>
      <c r="I5698">
        <v>94</v>
      </c>
      <c r="J5698">
        <v>-129</v>
      </c>
      <c r="K5698">
        <v>-256</v>
      </c>
      <c r="L5698">
        <v>1200</v>
      </c>
      <c r="M5698" t="str">
        <f t="shared" si="590"/>
        <v xml:space="preserve">N35DC   </v>
      </c>
      <c r="N5698">
        <v>1</v>
      </c>
      <c r="O5698">
        <v>1725</v>
      </c>
    </row>
    <row r="5699" spans="1:15" x14ac:dyDescent="0.25">
      <c r="A5699" t="str">
        <f>"10/21/2020 18:54:53.468"</f>
        <v>10/21/2020 18:54:53.468</v>
      </c>
      <c r="B5699" t="str">
        <f>"18:55:01.414"</f>
        <v>18:55:01.414</v>
      </c>
      <c r="C5699" t="str">
        <f>"18:55:01.014"</f>
        <v>18:55:01.014</v>
      </c>
      <c r="D5699" t="s">
        <v>2354</v>
      </c>
      <c r="E5699">
        <v>30.730111999999998</v>
      </c>
      <c r="F5699" t="s">
        <v>2355</v>
      </c>
      <c r="G5699">
        <v>-89.808296999999996</v>
      </c>
      <c r="H5699">
        <v>1700</v>
      </c>
      <c r="I5699">
        <v>94</v>
      </c>
      <c r="J5699">
        <v>-129</v>
      </c>
      <c r="K5699">
        <v>-256</v>
      </c>
      <c r="L5699">
        <v>1200</v>
      </c>
      <c r="M5699" t="str">
        <f t="shared" si="590"/>
        <v xml:space="preserve">N35DC   </v>
      </c>
      <c r="N5699">
        <v>1</v>
      </c>
      <c r="O5699">
        <v>1725</v>
      </c>
    </row>
    <row r="5700" spans="1:15" x14ac:dyDescent="0.25">
      <c r="A5700" t="str">
        <f>"10/21/2020 18:54:53.468"</f>
        <v>10/21/2020 18:54:53.468</v>
      </c>
      <c r="B5700" t="str">
        <f>"18:55:01.414"</f>
        <v>18:55:01.414</v>
      </c>
      <c r="C5700" t="str">
        <f>"18:55:01.014"</f>
        <v>18:55:01.014</v>
      </c>
      <c r="D5700" t="s">
        <v>2354</v>
      </c>
      <c r="E5700">
        <v>30.730111999999998</v>
      </c>
      <c r="F5700" t="s">
        <v>2355</v>
      </c>
      <c r="G5700">
        <v>-89.808296999999996</v>
      </c>
      <c r="H5700">
        <v>1700</v>
      </c>
      <c r="I5700">
        <v>94</v>
      </c>
      <c r="J5700">
        <v>-129</v>
      </c>
      <c r="K5700">
        <v>-256</v>
      </c>
      <c r="L5700">
        <v>1200</v>
      </c>
      <c r="M5700" t="str">
        <f t="shared" si="590"/>
        <v xml:space="preserve">N35DC   </v>
      </c>
      <c r="N5700">
        <v>1</v>
      </c>
      <c r="O5700">
        <v>1725</v>
      </c>
    </row>
    <row r="5701" spans="1:15" x14ac:dyDescent="0.25">
      <c r="A5701" t="str">
        <f t="shared" ref="A5701:A5706" si="598">"10/21/2020 18:54:54.535"</f>
        <v>10/21/2020 18:54:54.535</v>
      </c>
      <c r="B5701" t="str">
        <f t="shared" ref="B5701:B5706" si="599">"18:55:02.453"</f>
        <v>18:55:02.453</v>
      </c>
      <c r="C5701" t="str">
        <f t="shared" ref="C5701:C5706" si="600">"18:55:02.353"</f>
        <v>18:55:02.353</v>
      </c>
      <c r="D5701" t="s">
        <v>2356</v>
      </c>
      <c r="E5701">
        <v>30.729489000000001</v>
      </c>
      <c r="F5701" t="s">
        <v>89</v>
      </c>
      <c r="G5701">
        <v>-89.807804000000004</v>
      </c>
      <c r="H5701">
        <v>1700</v>
      </c>
      <c r="I5701">
        <v>93</v>
      </c>
      <c r="J5701">
        <v>-130</v>
      </c>
      <c r="K5701">
        <v>-128</v>
      </c>
      <c r="L5701">
        <v>1200</v>
      </c>
      <c r="M5701" t="str">
        <f t="shared" si="590"/>
        <v xml:space="preserve">N35DC   </v>
      </c>
      <c r="N5701">
        <v>1</v>
      </c>
      <c r="O5701">
        <v>1725</v>
      </c>
    </row>
    <row r="5702" spans="1:15" x14ac:dyDescent="0.25">
      <c r="A5702" t="str">
        <f t="shared" si="598"/>
        <v>10/21/2020 18:54:54.535</v>
      </c>
      <c r="B5702" t="str">
        <f t="shared" si="599"/>
        <v>18:55:02.453</v>
      </c>
      <c r="C5702" t="str">
        <f t="shared" si="600"/>
        <v>18:55:02.353</v>
      </c>
      <c r="D5702" t="s">
        <v>2356</v>
      </c>
      <c r="E5702">
        <v>30.729489000000001</v>
      </c>
      <c r="F5702" t="s">
        <v>89</v>
      </c>
      <c r="G5702">
        <v>-89.807804000000004</v>
      </c>
      <c r="H5702">
        <v>1700</v>
      </c>
      <c r="I5702">
        <v>93</v>
      </c>
      <c r="J5702">
        <v>-130</v>
      </c>
      <c r="K5702">
        <v>-128</v>
      </c>
      <c r="L5702">
        <v>1200</v>
      </c>
      <c r="M5702" t="str">
        <f t="shared" si="590"/>
        <v xml:space="preserve">N35DC   </v>
      </c>
      <c r="N5702">
        <v>1</v>
      </c>
      <c r="O5702">
        <v>1725</v>
      </c>
    </row>
    <row r="5703" spans="1:15" x14ac:dyDescent="0.25">
      <c r="A5703" t="str">
        <f t="shared" si="598"/>
        <v>10/21/2020 18:54:54.535</v>
      </c>
      <c r="B5703" t="str">
        <f t="shared" si="599"/>
        <v>18:55:02.453</v>
      </c>
      <c r="C5703" t="str">
        <f t="shared" si="600"/>
        <v>18:55:02.353</v>
      </c>
      <c r="D5703" t="s">
        <v>2356</v>
      </c>
      <c r="E5703">
        <v>30.729489000000001</v>
      </c>
      <c r="F5703" t="s">
        <v>89</v>
      </c>
      <c r="G5703">
        <v>-89.807804000000004</v>
      </c>
      <c r="H5703">
        <v>1700</v>
      </c>
      <c r="I5703">
        <v>93</v>
      </c>
      <c r="J5703">
        <v>-130</v>
      </c>
      <c r="K5703">
        <v>-128</v>
      </c>
      <c r="L5703">
        <v>1200</v>
      </c>
      <c r="M5703" t="str">
        <f t="shared" ref="M5703:M5766" si="601">"N35DC   "</f>
        <v xml:space="preserve">N35DC   </v>
      </c>
      <c r="N5703">
        <v>1</v>
      </c>
      <c r="O5703">
        <v>1725</v>
      </c>
    </row>
    <row r="5704" spans="1:15" x14ac:dyDescent="0.25">
      <c r="A5704" t="str">
        <f t="shared" si="598"/>
        <v>10/21/2020 18:54:54.535</v>
      </c>
      <c r="B5704" t="str">
        <f t="shared" si="599"/>
        <v>18:55:02.453</v>
      </c>
      <c r="C5704" t="str">
        <f t="shared" si="600"/>
        <v>18:55:02.353</v>
      </c>
      <c r="D5704" t="s">
        <v>2356</v>
      </c>
      <c r="E5704">
        <v>30.729489000000001</v>
      </c>
      <c r="F5704" t="s">
        <v>89</v>
      </c>
      <c r="G5704">
        <v>-89.807804000000004</v>
      </c>
      <c r="H5704">
        <v>1700</v>
      </c>
      <c r="I5704">
        <v>93</v>
      </c>
      <c r="J5704">
        <v>-130</v>
      </c>
      <c r="K5704">
        <v>-128</v>
      </c>
      <c r="L5704">
        <v>1200</v>
      </c>
      <c r="M5704" t="str">
        <f t="shared" si="601"/>
        <v xml:space="preserve">N35DC   </v>
      </c>
      <c r="N5704">
        <v>1</v>
      </c>
      <c r="O5704">
        <v>1725</v>
      </c>
    </row>
    <row r="5705" spans="1:15" x14ac:dyDescent="0.25">
      <c r="A5705" t="str">
        <f t="shared" si="598"/>
        <v>10/21/2020 18:54:54.535</v>
      </c>
      <c r="B5705" t="str">
        <f t="shared" si="599"/>
        <v>18:55:02.453</v>
      </c>
      <c r="C5705" t="str">
        <f t="shared" si="600"/>
        <v>18:55:02.353</v>
      </c>
      <c r="D5705" t="s">
        <v>2356</v>
      </c>
      <c r="E5705">
        <v>30.729489000000001</v>
      </c>
      <c r="F5705" t="s">
        <v>89</v>
      </c>
      <c r="G5705">
        <v>-89.807804000000004</v>
      </c>
      <c r="H5705">
        <v>1700</v>
      </c>
      <c r="I5705">
        <v>93</v>
      </c>
      <c r="J5705">
        <v>-130</v>
      </c>
      <c r="K5705">
        <v>-128</v>
      </c>
      <c r="L5705">
        <v>1200</v>
      </c>
      <c r="M5705" t="str">
        <f t="shared" si="601"/>
        <v xml:space="preserve">N35DC   </v>
      </c>
      <c r="N5705">
        <v>1</v>
      </c>
      <c r="O5705">
        <v>1725</v>
      </c>
    </row>
    <row r="5706" spans="1:15" x14ac:dyDescent="0.25">
      <c r="A5706" t="str">
        <f t="shared" si="598"/>
        <v>10/21/2020 18:54:54.535</v>
      </c>
      <c r="B5706" t="str">
        <f t="shared" si="599"/>
        <v>18:55:02.453</v>
      </c>
      <c r="C5706" t="str">
        <f t="shared" si="600"/>
        <v>18:55:02.353</v>
      </c>
      <c r="D5706" t="s">
        <v>2356</v>
      </c>
      <c r="E5706">
        <v>30.729489000000001</v>
      </c>
      <c r="F5706" t="s">
        <v>89</v>
      </c>
      <c r="G5706">
        <v>-89.807804000000004</v>
      </c>
      <c r="H5706">
        <v>1700</v>
      </c>
      <c r="I5706">
        <v>93</v>
      </c>
      <c r="J5706">
        <v>-130</v>
      </c>
      <c r="K5706">
        <v>-128</v>
      </c>
      <c r="L5706">
        <v>1200</v>
      </c>
      <c r="M5706" t="str">
        <f t="shared" si="601"/>
        <v xml:space="preserve">N35DC   </v>
      </c>
      <c r="N5706">
        <v>1</v>
      </c>
      <c r="O5706">
        <v>1725</v>
      </c>
    </row>
    <row r="5707" spans="1:15" x14ac:dyDescent="0.25">
      <c r="A5707" t="str">
        <f t="shared" ref="A5707:A5712" si="602">"10/21/2020 18:54:56.650"</f>
        <v>10/21/2020 18:54:56.650</v>
      </c>
      <c r="B5707" t="str">
        <f t="shared" ref="B5707:B5712" si="603">"18:55:04.594"</f>
        <v>18:55:04.594</v>
      </c>
      <c r="C5707" t="str">
        <f t="shared" ref="C5707:C5712" si="604">"18:55:04.494"</f>
        <v>18:55:04.494</v>
      </c>
      <c r="D5707" t="s">
        <v>2357</v>
      </c>
      <c r="E5707">
        <v>30.728202</v>
      </c>
      <c r="F5707" t="s">
        <v>2358</v>
      </c>
      <c r="G5707">
        <v>-89.806687999999994</v>
      </c>
      <c r="H5707">
        <v>1700</v>
      </c>
      <c r="I5707">
        <v>92</v>
      </c>
      <c r="J5707">
        <v>-130</v>
      </c>
      <c r="K5707">
        <v>128</v>
      </c>
      <c r="L5707">
        <v>1200</v>
      </c>
      <c r="M5707" t="str">
        <f t="shared" si="601"/>
        <v xml:space="preserve">N35DC   </v>
      </c>
      <c r="N5707">
        <v>1</v>
      </c>
      <c r="O5707">
        <v>1725</v>
      </c>
    </row>
    <row r="5708" spans="1:15" x14ac:dyDescent="0.25">
      <c r="A5708" t="str">
        <f t="shared" si="602"/>
        <v>10/21/2020 18:54:56.650</v>
      </c>
      <c r="B5708" t="str">
        <f t="shared" si="603"/>
        <v>18:55:04.594</v>
      </c>
      <c r="C5708" t="str">
        <f t="shared" si="604"/>
        <v>18:55:04.494</v>
      </c>
      <c r="D5708" t="s">
        <v>2357</v>
      </c>
      <c r="E5708">
        <v>30.728202</v>
      </c>
      <c r="F5708" t="s">
        <v>2358</v>
      </c>
      <c r="G5708">
        <v>-89.806687999999994</v>
      </c>
      <c r="H5708">
        <v>1700</v>
      </c>
      <c r="I5708">
        <v>92</v>
      </c>
      <c r="J5708">
        <v>-130</v>
      </c>
      <c r="K5708">
        <v>128</v>
      </c>
      <c r="L5708">
        <v>1200</v>
      </c>
      <c r="M5708" t="str">
        <f t="shared" si="601"/>
        <v xml:space="preserve">N35DC   </v>
      </c>
      <c r="N5708">
        <v>1</v>
      </c>
      <c r="O5708">
        <v>1725</v>
      </c>
    </row>
    <row r="5709" spans="1:15" x14ac:dyDescent="0.25">
      <c r="A5709" t="str">
        <f t="shared" si="602"/>
        <v>10/21/2020 18:54:56.650</v>
      </c>
      <c r="B5709" t="str">
        <f t="shared" si="603"/>
        <v>18:55:04.594</v>
      </c>
      <c r="C5709" t="str">
        <f t="shared" si="604"/>
        <v>18:55:04.494</v>
      </c>
      <c r="D5709" t="s">
        <v>2357</v>
      </c>
      <c r="E5709">
        <v>30.728202</v>
      </c>
      <c r="F5709" t="s">
        <v>2358</v>
      </c>
      <c r="G5709">
        <v>-89.806687999999994</v>
      </c>
      <c r="H5709">
        <v>1700</v>
      </c>
      <c r="I5709">
        <v>92</v>
      </c>
      <c r="J5709">
        <v>-130</v>
      </c>
      <c r="K5709">
        <v>128</v>
      </c>
      <c r="L5709">
        <v>1200</v>
      </c>
      <c r="M5709" t="str">
        <f t="shared" si="601"/>
        <v xml:space="preserve">N35DC   </v>
      </c>
      <c r="N5709">
        <v>1</v>
      </c>
      <c r="O5709">
        <v>1725</v>
      </c>
    </row>
    <row r="5710" spans="1:15" x14ac:dyDescent="0.25">
      <c r="A5710" t="str">
        <f t="shared" si="602"/>
        <v>10/21/2020 18:54:56.650</v>
      </c>
      <c r="B5710" t="str">
        <f t="shared" si="603"/>
        <v>18:55:04.594</v>
      </c>
      <c r="C5710" t="str">
        <f t="shared" si="604"/>
        <v>18:55:04.494</v>
      </c>
      <c r="D5710" t="s">
        <v>2357</v>
      </c>
      <c r="E5710">
        <v>30.728202</v>
      </c>
      <c r="F5710" t="s">
        <v>2358</v>
      </c>
      <c r="G5710">
        <v>-89.806687999999994</v>
      </c>
      <c r="H5710">
        <v>1700</v>
      </c>
      <c r="I5710">
        <v>92</v>
      </c>
      <c r="J5710">
        <v>-130</v>
      </c>
      <c r="K5710">
        <v>128</v>
      </c>
      <c r="L5710">
        <v>1200</v>
      </c>
      <c r="M5710" t="str">
        <f t="shared" si="601"/>
        <v xml:space="preserve">N35DC   </v>
      </c>
      <c r="N5710">
        <v>1</v>
      </c>
      <c r="O5710">
        <v>1725</v>
      </c>
    </row>
    <row r="5711" spans="1:15" x14ac:dyDescent="0.25">
      <c r="A5711" t="str">
        <f t="shared" si="602"/>
        <v>10/21/2020 18:54:56.650</v>
      </c>
      <c r="B5711" t="str">
        <f t="shared" si="603"/>
        <v>18:55:04.594</v>
      </c>
      <c r="C5711" t="str">
        <f t="shared" si="604"/>
        <v>18:55:04.494</v>
      </c>
      <c r="D5711" t="s">
        <v>2357</v>
      </c>
      <c r="E5711">
        <v>30.728202</v>
      </c>
      <c r="F5711" t="s">
        <v>2358</v>
      </c>
      <c r="G5711">
        <v>-89.806687999999994</v>
      </c>
      <c r="H5711">
        <v>1700</v>
      </c>
      <c r="I5711">
        <v>92</v>
      </c>
      <c r="J5711">
        <v>-130</v>
      </c>
      <c r="K5711">
        <v>128</v>
      </c>
      <c r="L5711">
        <v>1200</v>
      </c>
      <c r="M5711" t="str">
        <f t="shared" si="601"/>
        <v xml:space="preserve">N35DC   </v>
      </c>
      <c r="N5711">
        <v>1</v>
      </c>
      <c r="O5711">
        <v>1725</v>
      </c>
    </row>
    <row r="5712" spans="1:15" x14ac:dyDescent="0.25">
      <c r="A5712" t="str">
        <f t="shared" si="602"/>
        <v>10/21/2020 18:54:56.650</v>
      </c>
      <c r="B5712" t="str">
        <f t="shared" si="603"/>
        <v>18:55:04.594</v>
      </c>
      <c r="C5712" t="str">
        <f t="shared" si="604"/>
        <v>18:55:04.494</v>
      </c>
      <c r="D5712" t="s">
        <v>2357</v>
      </c>
      <c r="E5712">
        <v>30.728202</v>
      </c>
      <c r="F5712" t="s">
        <v>2358</v>
      </c>
      <c r="G5712">
        <v>-89.806687999999994</v>
      </c>
      <c r="H5712">
        <v>1700</v>
      </c>
      <c r="I5712">
        <v>92</v>
      </c>
      <c r="J5712">
        <v>-130</v>
      </c>
      <c r="K5712">
        <v>128</v>
      </c>
      <c r="L5712">
        <v>1200</v>
      </c>
      <c r="M5712" t="str">
        <f t="shared" si="601"/>
        <v xml:space="preserve">N35DC   </v>
      </c>
      <c r="N5712">
        <v>1</v>
      </c>
      <c r="O5712">
        <v>1725</v>
      </c>
    </row>
    <row r="5713" spans="1:15" x14ac:dyDescent="0.25">
      <c r="A5713" t="str">
        <f>"10/21/2020 18:54:57.613"</f>
        <v>10/21/2020 18:54:57.613</v>
      </c>
      <c r="B5713" t="str">
        <f>"18:55:05.523"</f>
        <v>18:55:05.523</v>
      </c>
      <c r="C5713" t="str">
        <f>"18:55:05.423"</f>
        <v>18:55:05.423</v>
      </c>
      <c r="D5713" t="s">
        <v>2359</v>
      </c>
      <c r="E5713">
        <v>30.727644000000002</v>
      </c>
      <c r="F5713" t="s">
        <v>2360</v>
      </c>
      <c r="G5713">
        <v>-89.806258999999997</v>
      </c>
      <c r="H5713">
        <v>1700</v>
      </c>
      <c r="I5713">
        <v>92</v>
      </c>
      <c r="J5713">
        <v>-130</v>
      </c>
      <c r="K5713">
        <v>128</v>
      </c>
      <c r="L5713">
        <v>1200</v>
      </c>
      <c r="M5713" t="str">
        <f t="shared" si="601"/>
        <v xml:space="preserve">N35DC   </v>
      </c>
      <c r="N5713">
        <v>1</v>
      </c>
      <c r="O5713">
        <v>1725</v>
      </c>
    </row>
    <row r="5714" spans="1:15" x14ac:dyDescent="0.25">
      <c r="A5714" t="str">
        <f>"10/21/2020 18:54:57.613"</f>
        <v>10/21/2020 18:54:57.613</v>
      </c>
      <c r="B5714" t="str">
        <f>"18:55:05.523"</f>
        <v>18:55:05.523</v>
      </c>
      <c r="C5714" t="str">
        <f>"18:55:05.423"</f>
        <v>18:55:05.423</v>
      </c>
      <c r="D5714" t="s">
        <v>2359</v>
      </c>
      <c r="E5714">
        <v>30.727644000000002</v>
      </c>
      <c r="F5714" t="s">
        <v>2360</v>
      </c>
      <c r="G5714">
        <v>-89.806258999999997</v>
      </c>
      <c r="H5714">
        <v>1700</v>
      </c>
      <c r="I5714">
        <v>92</v>
      </c>
      <c r="J5714">
        <v>-130</v>
      </c>
      <c r="K5714">
        <v>128</v>
      </c>
      <c r="L5714">
        <v>1200</v>
      </c>
      <c r="M5714" t="str">
        <f t="shared" si="601"/>
        <v xml:space="preserve">N35DC   </v>
      </c>
      <c r="N5714">
        <v>1</v>
      </c>
      <c r="O5714">
        <v>1725</v>
      </c>
    </row>
    <row r="5715" spans="1:15" x14ac:dyDescent="0.25">
      <c r="A5715" t="str">
        <f>"10/21/2020 18:54:57.613"</f>
        <v>10/21/2020 18:54:57.613</v>
      </c>
      <c r="B5715" t="str">
        <f>"18:55:05.523"</f>
        <v>18:55:05.523</v>
      </c>
      <c r="C5715" t="str">
        <f>"18:55:05.423"</f>
        <v>18:55:05.423</v>
      </c>
      <c r="D5715" t="s">
        <v>2359</v>
      </c>
      <c r="E5715">
        <v>30.727644000000002</v>
      </c>
      <c r="F5715" t="s">
        <v>2360</v>
      </c>
      <c r="G5715">
        <v>-89.806258999999997</v>
      </c>
      <c r="H5715">
        <v>1700</v>
      </c>
      <c r="I5715">
        <v>92</v>
      </c>
      <c r="J5715">
        <v>-130</v>
      </c>
      <c r="K5715">
        <v>128</v>
      </c>
      <c r="L5715">
        <v>1200</v>
      </c>
      <c r="M5715" t="str">
        <f t="shared" si="601"/>
        <v xml:space="preserve">N35DC   </v>
      </c>
      <c r="N5715">
        <v>1</v>
      </c>
      <c r="O5715">
        <v>1725</v>
      </c>
    </row>
    <row r="5716" spans="1:15" x14ac:dyDescent="0.25">
      <c r="A5716" t="str">
        <f>"10/21/2020 18:54:57.613"</f>
        <v>10/21/2020 18:54:57.613</v>
      </c>
      <c r="B5716" t="str">
        <f>"18:55:05.523"</f>
        <v>18:55:05.523</v>
      </c>
      <c r="C5716" t="str">
        <f>"18:55:05.423"</f>
        <v>18:55:05.423</v>
      </c>
      <c r="D5716" t="s">
        <v>2359</v>
      </c>
      <c r="E5716">
        <v>30.727644000000002</v>
      </c>
      <c r="F5716" t="s">
        <v>2360</v>
      </c>
      <c r="G5716">
        <v>-89.806258999999997</v>
      </c>
      <c r="H5716">
        <v>1700</v>
      </c>
      <c r="I5716">
        <v>92</v>
      </c>
      <c r="J5716">
        <v>-130</v>
      </c>
      <c r="K5716">
        <v>128</v>
      </c>
      <c r="L5716">
        <v>1200</v>
      </c>
      <c r="M5716" t="str">
        <f t="shared" si="601"/>
        <v xml:space="preserve">N35DC   </v>
      </c>
      <c r="N5716">
        <v>1</v>
      </c>
      <c r="O5716">
        <v>1725</v>
      </c>
    </row>
    <row r="5717" spans="1:15" x14ac:dyDescent="0.25">
      <c r="A5717" t="str">
        <f>"10/21/2020 18:54:57.613"</f>
        <v>10/21/2020 18:54:57.613</v>
      </c>
      <c r="B5717" t="str">
        <f>"18:55:05.523"</f>
        <v>18:55:05.523</v>
      </c>
      <c r="C5717" t="str">
        <f>"18:55:05.423"</f>
        <v>18:55:05.423</v>
      </c>
      <c r="D5717" t="s">
        <v>2359</v>
      </c>
      <c r="E5717">
        <v>30.727644000000002</v>
      </c>
      <c r="F5717" t="s">
        <v>2360</v>
      </c>
      <c r="G5717">
        <v>-89.806258999999997</v>
      </c>
      <c r="H5717">
        <v>1700</v>
      </c>
      <c r="I5717">
        <v>92</v>
      </c>
      <c r="J5717">
        <v>-130</v>
      </c>
      <c r="K5717">
        <v>128</v>
      </c>
      <c r="L5717">
        <v>1200</v>
      </c>
      <c r="M5717" t="str">
        <f t="shared" si="601"/>
        <v xml:space="preserve">N35DC   </v>
      </c>
      <c r="N5717">
        <v>1</v>
      </c>
      <c r="O5717">
        <v>1725</v>
      </c>
    </row>
    <row r="5718" spans="1:15" x14ac:dyDescent="0.25">
      <c r="A5718" t="str">
        <f>"10/21/2020 18:54:58.085"</f>
        <v>10/21/2020 18:54:58.085</v>
      </c>
      <c r="B5718" t="str">
        <f>"18:55:05.992"</f>
        <v>18:55:05.992</v>
      </c>
      <c r="C5718" t="str">
        <f>"18:55:05.892"</f>
        <v>18:55:05.892</v>
      </c>
      <c r="D5718" t="s">
        <v>2361</v>
      </c>
      <c r="E5718">
        <v>30.727385999999999</v>
      </c>
      <c r="F5718" t="s">
        <v>2362</v>
      </c>
      <c r="G5718">
        <v>-89.806022999999996</v>
      </c>
      <c r="H5718">
        <v>1700</v>
      </c>
      <c r="I5718">
        <v>92</v>
      </c>
      <c r="J5718">
        <v>-130</v>
      </c>
      <c r="K5718">
        <v>192</v>
      </c>
      <c r="L5718">
        <v>1200</v>
      </c>
      <c r="M5718" t="str">
        <f t="shared" si="601"/>
        <v xml:space="preserve">N35DC   </v>
      </c>
      <c r="N5718">
        <v>1</v>
      </c>
      <c r="O5718">
        <v>1725</v>
      </c>
    </row>
    <row r="5719" spans="1:15" x14ac:dyDescent="0.25">
      <c r="A5719" t="str">
        <f>"10/21/2020 18:55:00.245"</f>
        <v>10/21/2020 18:55:00.245</v>
      </c>
      <c r="B5719" t="str">
        <f t="shared" ref="B5719:C5723" si="605">"18:55:08.195"</f>
        <v>18:55:08.195</v>
      </c>
      <c r="C5719" t="str">
        <f t="shared" si="605"/>
        <v>18:55:08.195</v>
      </c>
      <c r="D5719" t="s">
        <v>2363</v>
      </c>
      <c r="E5719">
        <v>30.726012999999998</v>
      </c>
      <c r="F5719" t="s">
        <v>2364</v>
      </c>
      <c r="G5719">
        <v>-89.804928000000004</v>
      </c>
      <c r="H5719">
        <v>1700</v>
      </c>
      <c r="I5719">
        <v>92</v>
      </c>
      <c r="J5719">
        <v>-129</v>
      </c>
      <c r="K5719">
        <v>128</v>
      </c>
      <c r="L5719">
        <v>1200</v>
      </c>
      <c r="M5719" t="str">
        <f t="shared" si="601"/>
        <v xml:space="preserve">N35DC   </v>
      </c>
      <c r="N5719">
        <v>1</v>
      </c>
      <c r="O5719">
        <v>1725</v>
      </c>
    </row>
    <row r="5720" spans="1:15" x14ac:dyDescent="0.25">
      <c r="A5720" t="str">
        <f>"10/21/2020 18:55:00.245"</f>
        <v>10/21/2020 18:55:00.245</v>
      </c>
      <c r="B5720" t="str">
        <f t="shared" si="605"/>
        <v>18:55:08.195</v>
      </c>
      <c r="C5720" t="str">
        <f t="shared" si="605"/>
        <v>18:55:08.195</v>
      </c>
      <c r="D5720" t="s">
        <v>2363</v>
      </c>
      <c r="E5720">
        <v>30.726012999999998</v>
      </c>
      <c r="F5720" t="s">
        <v>2364</v>
      </c>
      <c r="G5720">
        <v>-89.804928000000004</v>
      </c>
      <c r="H5720">
        <v>1700</v>
      </c>
      <c r="I5720">
        <v>92</v>
      </c>
      <c r="J5720">
        <v>-129</v>
      </c>
      <c r="K5720">
        <v>128</v>
      </c>
      <c r="L5720">
        <v>1200</v>
      </c>
      <c r="M5720" t="str">
        <f t="shared" si="601"/>
        <v xml:space="preserve">N35DC   </v>
      </c>
      <c r="N5720">
        <v>1</v>
      </c>
      <c r="O5720">
        <v>1725</v>
      </c>
    </row>
    <row r="5721" spans="1:15" x14ac:dyDescent="0.25">
      <c r="A5721" t="str">
        <f>"10/21/2020 18:55:00.245"</f>
        <v>10/21/2020 18:55:00.245</v>
      </c>
      <c r="B5721" t="str">
        <f t="shared" si="605"/>
        <v>18:55:08.195</v>
      </c>
      <c r="C5721" t="str">
        <f t="shared" si="605"/>
        <v>18:55:08.195</v>
      </c>
      <c r="D5721" t="s">
        <v>2363</v>
      </c>
      <c r="E5721">
        <v>30.726012999999998</v>
      </c>
      <c r="F5721" t="s">
        <v>2364</v>
      </c>
      <c r="G5721">
        <v>-89.804928000000004</v>
      </c>
      <c r="H5721">
        <v>1700</v>
      </c>
      <c r="I5721">
        <v>92</v>
      </c>
      <c r="J5721">
        <v>-129</v>
      </c>
      <c r="K5721">
        <v>128</v>
      </c>
      <c r="L5721">
        <v>1200</v>
      </c>
      <c r="M5721" t="str">
        <f t="shared" si="601"/>
        <v xml:space="preserve">N35DC   </v>
      </c>
      <c r="N5721">
        <v>1</v>
      </c>
      <c r="O5721">
        <v>1725</v>
      </c>
    </row>
    <row r="5722" spans="1:15" x14ac:dyDescent="0.25">
      <c r="A5722" t="str">
        <f>"10/21/2020 18:55:00.245"</f>
        <v>10/21/2020 18:55:00.245</v>
      </c>
      <c r="B5722" t="str">
        <f t="shared" si="605"/>
        <v>18:55:08.195</v>
      </c>
      <c r="C5722" t="str">
        <f t="shared" si="605"/>
        <v>18:55:08.195</v>
      </c>
      <c r="D5722" t="s">
        <v>2363</v>
      </c>
      <c r="E5722">
        <v>30.726012999999998</v>
      </c>
      <c r="F5722" t="s">
        <v>2364</v>
      </c>
      <c r="G5722">
        <v>-89.804928000000004</v>
      </c>
      <c r="H5722">
        <v>1700</v>
      </c>
      <c r="I5722">
        <v>92</v>
      </c>
      <c r="J5722">
        <v>-129</v>
      </c>
      <c r="K5722">
        <v>128</v>
      </c>
      <c r="L5722">
        <v>1200</v>
      </c>
      <c r="M5722" t="str">
        <f t="shared" si="601"/>
        <v xml:space="preserve">N35DC   </v>
      </c>
      <c r="N5722">
        <v>1</v>
      </c>
      <c r="O5722">
        <v>1725</v>
      </c>
    </row>
    <row r="5723" spans="1:15" x14ac:dyDescent="0.25">
      <c r="A5723" t="str">
        <f>"10/21/2020 18:55:00.245"</f>
        <v>10/21/2020 18:55:00.245</v>
      </c>
      <c r="B5723" t="str">
        <f t="shared" si="605"/>
        <v>18:55:08.195</v>
      </c>
      <c r="C5723" t="str">
        <f t="shared" si="605"/>
        <v>18:55:08.195</v>
      </c>
      <c r="D5723" t="s">
        <v>2363</v>
      </c>
      <c r="E5723">
        <v>30.726012999999998</v>
      </c>
      <c r="F5723" t="s">
        <v>2364</v>
      </c>
      <c r="G5723">
        <v>-89.804928000000004</v>
      </c>
      <c r="H5723">
        <v>1700</v>
      </c>
      <c r="I5723">
        <v>92</v>
      </c>
      <c r="J5723">
        <v>-129</v>
      </c>
      <c r="K5723">
        <v>128</v>
      </c>
      <c r="L5723">
        <v>1200</v>
      </c>
      <c r="M5723" t="str">
        <f t="shared" si="601"/>
        <v xml:space="preserve">N35DC   </v>
      </c>
      <c r="N5723">
        <v>1</v>
      </c>
      <c r="O5723">
        <v>1725</v>
      </c>
    </row>
    <row r="5724" spans="1:15" x14ac:dyDescent="0.25">
      <c r="A5724" t="str">
        <f>"10/21/2020 18:55:00.759"</f>
        <v>10/21/2020 18:55:00.759</v>
      </c>
      <c r="B5724" t="str">
        <f>"18:55:08.688"</f>
        <v>18:55:08.688</v>
      </c>
      <c r="C5724" t="str">
        <f>"18:55:08.688"</f>
        <v>18:55:08.688</v>
      </c>
      <c r="D5724" t="s">
        <v>2365</v>
      </c>
      <c r="E5724">
        <v>30.725733999999999</v>
      </c>
      <c r="F5724" t="s">
        <v>2366</v>
      </c>
      <c r="G5724">
        <v>-89.804670999999999</v>
      </c>
      <c r="H5724">
        <v>1700</v>
      </c>
      <c r="I5724">
        <v>93</v>
      </c>
      <c r="J5724">
        <v>-129</v>
      </c>
      <c r="K5724">
        <v>192</v>
      </c>
      <c r="L5724">
        <v>1200</v>
      </c>
      <c r="M5724" t="str">
        <f t="shared" si="601"/>
        <v xml:space="preserve">N35DC   </v>
      </c>
      <c r="N5724">
        <v>1</v>
      </c>
      <c r="O5724">
        <v>1725</v>
      </c>
    </row>
    <row r="5725" spans="1:15" x14ac:dyDescent="0.25">
      <c r="A5725" t="str">
        <f>"10/21/2020 18:55:01.171"</f>
        <v>10/21/2020 18:55:01.171</v>
      </c>
      <c r="B5725" t="str">
        <f t="shared" ref="B5725:C5729" si="606">"18:55:09.125"</f>
        <v>18:55:09.125</v>
      </c>
      <c r="C5725" t="str">
        <f t="shared" si="606"/>
        <v>18:55:09.125</v>
      </c>
      <c r="D5725" t="s">
        <v>2367</v>
      </c>
      <c r="E5725">
        <v>30.725498000000002</v>
      </c>
      <c r="F5725" t="s">
        <v>2368</v>
      </c>
      <c r="G5725">
        <v>-89.804434999999998</v>
      </c>
      <c r="H5725">
        <v>1700</v>
      </c>
      <c r="I5725">
        <v>93</v>
      </c>
      <c r="J5725">
        <v>-129</v>
      </c>
      <c r="K5725">
        <v>128</v>
      </c>
      <c r="L5725">
        <v>1200</v>
      </c>
      <c r="M5725" t="str">
        <f t="shared" si="601"/>
        <v xml:space="preserve">N35DC   </v>
      </c>
      <c r="N5725">
        <v>1</v>
      </c>
      <c r="O5725">
        <v>1750</v>
      </c>
    </row>
    <row r="5726" spans="1:15" x14ac:dyDescent="0.25">
      <c r="A5726" t="str">
        <f>"10/21/2020 18:55:01.171"</f>
        <v>10/21/2020 18:55:01.171</v>
      </c>
      <c r="B5726" t="str">
        <f t="shared" si="606"/>
        <v>18:55:09.125</v>
      </c>
      <c r="C5726" t="str">
        <f t="shared" si="606"/>
        <v>18:55:09.125</v>
      </c>
      <c r="D5726" t="s">
        <v>2367</v>
      </c>
      <c r="E5726">
        <v>30.725498000000002</v>
      </c>
      <c r="F5726" t="s">
        <v>2368</v>
      </c>
      <c r="G5726">
        <v>-89.804434999999998</v>
      </c>
      <c r="H5726">
        <v>1700</v>
      </c>
      <c r="I5726">
        <v>93</v>
      </c>
      <c r="J5726">
        <v>-129</v>
      </c>
      <c r="K5726">
        <v>128</v>
      </c>
      <c r="L5726">
        <v>1200</v>
      </c>
      <c r="M5726" t="str">
        <f t="shared" si="601"/>
        <v xml:space="preserve">N35DC   </v>
      </c>
      <c r="N5726">
        <v>1</v>
      </c>
      <c r="O5726">
        <v>1750</v>
      </c>
    </row>
    <row r="5727" spans="1:15" x14ac:dyDescent="0.25">
      <c r="A5727" t="str">
        <f>"10/21/2020 18:55:01.171"</f>
        <v>10/21/2020 18:55:01.171</v>
      </c>
      <c r="B5727" t="str">
        <f t="shared" si="606"/>
        <v>18:55:09.125</v>
      </c>
      <c r="C5727" t="str">
        <f t="shared" si="606"/>
        <v>18:55:09.125</v>
      </c>
      <c r="D5727" t="s">
        <v>2367</v>
      </c>
      <c r="E5727">
        <v>30.725498000000002</v>
      </c>
      <c r="F5727" t="s">
        <v>2368</v>
      </c>
      <c r="G5727">
        <v>-89.804434999999998</v>
      </c>
      <c r="H5727">
        <v>1700</v>
      </c>
      <c r="I5727">
        <v>93</v>
      </c>
      <c r="J5727">
        <v>-129</v>
      </c>
      <c r="K5727">
        <v>128</v>
      </c>
      <c r="L5727">
        <v>1200</v>
      </c>
      <c r="M5727" t="str">
        <f t="shared" si="601"/>
        <v xml:space="preserve">N35DC   </v>
      </c>
      <c r="N5727">
        <v>1</v>
      </c>
      <c r="O5727">
        <v>1750</v>
      </c>
    </row>
    <row r="5728" spans="1:15" x14ac:dyDescent="0.25">
      <c r="A5728" t="str">
        <f>"10/21/2020 18:55:01.171"</f>
        <v>10/21/2020 18:55:01.171</v>
      </c>
      <c r="B5728" t="str">
        <f t="shared" si="606"/>
        <v>18:55:09.125</v>
      </c>
      <c r="C5728" t="str">
        <f t="shared" si="606"/>
        <v>18:55:09.125</v>
      </c>
      <c r="D5728" t="s">
        <v>2367</v>
      </c>
      <c r="E5728">
        <v>30.725498000000002</v>
      </c>
      <c r="F5728" t="s">
        <v>2368</v>
      </c>
      <c r="G5728">
        <v>-89.804434999999998</v>
      </c>
      <c r="H5728">
        <v>1700</v>
      </c>
      <c r="I5728">
        <v>93</v>
      </c>
      <c r="J5728">
        <v>-129</v>
      </c>
      <c r="K5728">
        <v>128</v>
      </c>
      <c r="L5728">
        <v>1200</v>
      </c>
      <c r="M5728" t="str">
        <f t="shared" si="601"/>
        <v xml:space="preserve">N35DC   </v>
      </c>
      <c r="N5728">
        <v>1</v>
      </c>
      <c r="O5728">
        <v>1750</v>
      </c>
    </row>
    <row r="5729" spans="1:15" x14ac:dyDescent="0.25">
      <c r="A5729" t="str">
        <f>"10/21/2020 18:55:01.171"</f>
        <v>10/21/2020 18:55:01.171</v>
      </c>
      <c r="B5729" t="str">
        <f t="shared" si="606"/>
        <v>18:55:09.125</v>
      </c>
      <c r="C5729" t="str">
        <f t="shared" si="606"/>
        <v>18:55:09.125</v>
      </c>
      <c r="D5729" t="s">
        <v>2367</v>
      </c>
      <c r="E5729">
        <v>30.725498000000002</v>
      </c>
      <c r="F5729" t="s">
        <v>2368</v>
      </c>
      <c r="G5729">
        <v>-89.804434999999998</v>
      </c>
      <c r="H5729">
        <v>1700</v>
      </c>
      <c r="I5729">
        <v>93</v>
      </c>
      <c r="J5729">
        <v>-129</v>
      </c>
      <c r="K5729">
        <v>128</v>
      </c>
      <c r="L5729">
        <v>1200</v>
      </c>
      <c r="M5729" t="str">
        <f t="shared" si="601"/>
        <v xml:space="preserve">N35DC   </v>
      </c>
      <c r="N5729">
        <v>1</v>
      </c>
      <c r="O5729">
        <v>1750</v>
      </c>
    </row>
    <row r="5730" spans="1:15" x14ac:dyDescent="0.25">
      <c r="A5730" t="str">
        <f>"10/21/2020 18:55:01.764"</f>
        <v>10/21/2020 18:55:01.764</v>
      </c>
      <c r="B5730" t="str">
        <f>"18:55:09.680"</f>
        <v>18:55:09.680</v>
      </c>
      <c r="C5730" t="str">
        <f>"18:55:09.580"</f>
        <v>18:55:09.580</v>
      </c>
      <c r="D5730" t="s">
        <v>2369</v>
      </c>
      <c r="E5730">
        <v>30.725133</v>
      </c>
      <c r="F5730" t="s">
        <v>2370</v>
      </c>
      <c r="G5730">
        <v>-89.804176999999996</v>
      </c>
      <c r="H5730">
        <v>1700</v>
      </c>
      <c r="I5730">
        <v>93</v>
      </c>
      <c r="J5730">
        <v>-129</v>
      </c>
      <c r="K5730">
        <v>128</v>
      </c>
      <c r="L5730">
        <v>1200</v>
      </c>
      <c r="M5730" t="str">
        <f t="shared" si="601"/>
        <v xml:space="preserve">N35DC   </v>
      </c>
      <c r="N5730">
        <v>1</v>
      </c>
      <c r="O5730">
        <v>1750</v>
      </c>
    </row>
    <row r="5731" spans="1:15" x14ac:dyDescent="0.25">
      <c r="A5731" t="str">
        <f>"10/21/2020 18:55:04.030"</f>
        <v>10/21/2020 18:55:04.030</v>
      </c>
      <c r="B5731" t="str">
        <f>"18:55:11.930"</f>
        <v>18:55:11.930</v>
      </c>
      <c r="C5731" t="str">
        <f>"18:55:11.630"</f>
        <v>18:55:11.630</v>
      </c>
      <c r="D5731" t="s">
        <v>2371</v>
      </c>
      <c r="E5731">
        <v>30.723825000000001</v>
      </c>
      <c r="F5731" t="s">
        <v>2372</v>
      </c>
      <c r="G5731">
        <v>-89.803019000000006</v>
      </c>
      <c r="H5731">
        <v>1700</v>
      </c>
      <c r="I5731">
        <v>94</v>
      </c>
      <c r="J5731">
        <v>-128</v>
      </c>
      <c r="K5731">
        <v>128</v>
      </c>
      <c r="L5731">
        <v>1200</v>
      </c>
      <c r="M5731" t="str">
        <f t="shared" si="601"/>
        <v xml:space="preserve">N35DC   </v>
      </c>
      <c r="N5731">
        <v>1</v>
      </c>
      <c r="O5731">
        <v>1750</v>
      </c>
    </row>
    <row r="5732" spans="1:15" x14ac:dyDescent="0.25">
      <c r="A5732" t="str">
        <f>"10/21/2020 18:55:04.552"</f>
        <v>10/21/2020 18:55:04.552</v>
      </c>
      <c r="B5732" t="str">
        <f>"18:55:12.500"</f>
        <v>18:55:12.500</v>
      </c>
      <c r="C5732" t="str">
        <f>"18:55:12.200"</f>
        <v>18:55:12.200</v>
      </c>
      <c r="D5732" t="s">
        <v>2373</v>
      </c>
      <c r="E5732">
        <v>30.723503000000001</v>
      </c>
      <c r="F5732" t="s">
        <v>2374</v>
      </c>
      <c r="G5732">
        <v>-89.802783000000005</v>
      </c>
      <c r="H5732">
        <v>1700</v>
      </c>
      <c r="I5732">
        <v>94</v>
      </c>
      <c r="J5732">
        <v>-127</v>
      </c>
      <c r="K5732">
        <v>192</v>
      </c>
      <c r="L5732">
        <v>1200</v>
      </c>
      <c r="M5732" t="str">
        <f t="shared" si="601"/>
        <v xml:space="preserve">N35DC   </v>
      </c>
      <c r="N5732">
        <v>1</v>
      </c>
      <c r="O5732">
        <v>1750</v>
      </c>
    </row>
    <row r="5733" spans="1:15" x14ac:dyDescent="0.25">
      <c r="A5733" t="str">
        <f>"10/21/2020 18:55:04.552"</f>
        <v>10/21/2020 18:55:04.552</v>
      </c>
      <c r="B5733" t="str">
        <f>"18:55:12.500"</f>
        <v>18:55:12.500</v>
      </c>
      <c r="C5733" t="str">
        <f>"18:55:12.200"</f>
        <v>18:55:12.200</v>
      </c>
      <c r="D5733" t="s">
        <v>2373</v>
      </c>
      <c r="E5733">
        <v>30.723503000000001</v>
      </c>
      <c r="F5733" t="s">
        <v>2374</v>
      </c>
      <c r="G5733">
        <v>-89.802783000000005</v>
      </c>
      <c r="H5733">
        <v>1700</v>
      </c>
      <c r="I5733">
        <v>94</v>
      </c>
      <c r="J5733">
        <v>-127</v>
      </c>
      <c r="K5733">
        <v>192</v>
      </c>
      <c r="L5733">
        <v>1200</v>
      </c>
      <c r="M5733" t="str">
        <f t="shared" si="601"/>
        <v xml:space="preserve">N35DC   </v>
      </c>
      <c r="N5733">
        <v>1</v>
      </c>
      <c r="O5733">
        <v>1750</v>
      </c>
    </row>
    <row r="5734" spans="1:15" x14ac:dyDescent="0.25">
      <c r="A5734" t="str">
        <f>"10/21/2020 18:55:04.552"</f>
        <v>10/21/2020 18:55:04.552</v>
      </c>
      <c r="B5734" t="str">
        <f>"18:55:12.500"</f>
        <v>18:55:12.500</v>
      </c>
      <c r="C5734" t="str">
        <f>"18:55:12.200"</f>
        <v>18:55:12.200</v>
      </c>
      <c r="D5734" t="s">
        <v>2373</v>
      </c>
      <c r="E5734">
        <v>30.723503000000001</v>
      </c>
      <c r="F5734" t="s">
        <v>2374</v>
      </c>
      <c r="G5734">
        <v>-89.802783000000005</v>
      </c>
      <c r="H5734">
        <v>1700</v>
      </c>
      <c r="I5734">
        <v>94</v>
      </c>
      <c r="J5734">
        <v>-127</v>
      </c>
      <c r="K5734">
        <v>192</v>
      </c>
      <c r="L5734">
        <v>1200</v>
      </c>
      <c r="M5734" t="str">
        <f t="shared" si="601"/>
        <v xml:space="preserve">N35DC   </v>
      </c>
      <c r="N5734">
        <v>1</v>
      </c>
      <c r="O5734">
        <v>1750</v>
      </c>
    </row>
    <row r="5735" spans="1:15" x14ac:dyDescent="0.25">
      <c r="A5735" t="str">
        <f>"10/21/2020 18:55:04.552"</f>
        <v>10/21/2020 18:55:04.552</v>
      </c>
      <c r="B5735" t="str">
        <f>"18:55:12.500"</f>
        <v>18:55:12.500</v>
      </c>
      <c r="C5735" t="str">
        <f>"18:55:12.200"</f>
        <v>18:55:12.200</v>
      </c>
      <c r="D5735" t="s">
        <v>2373</v>
      </c>
      <c r="E5735">
        <v>30.723503000000001</v>
      </c>
      <c r="F5735" t="s">
        <v>2374</v>
      </c>
      <c r="G5735">
        <v>-89.802783000000005</v>
      </c>
      <c r="H5735">
        <v>1700</v>
      </c>
      <c r="I5735">
        <v>94</v>
      </c>
      <c r="J5735">
        <v>-127</v>
      </c>
      <c r="K5735">
        <v>192</v>
      </c>
      <c r="L5735">
        <v>1200</v>
      </c>
      <c r="M5735" t="str">
        <f t="shared" si="601"/>
        <v xml:space="preserve">N35DC   </v>
      </c>
      <c r="N5735">
        <v>1</v>
      </c>
      <c r="O5735">
        <v>1750</v>
      </c>
    </row>
    <row r="5736" spans="1:15" x14ac:dyDescent="0.25">
      <c r="A5736" t="str">
        <f>"10/21/2020 18:55:04.552"</f>
        <v>10/21/2020 18:55:04.552</v>
      </c>
      <c r="B5736" t="str">
        <f>"18:55:12.500"</f>
        <v>18:55:12.500</v>
      </c>
      <c r="C5736" t="str">
        <f>"18:55:12.200"</f>
        <v>18:55:12.200</v>
      </c>
      <c r="D5736" t="s">
        <v>2373</v>
      </c>
      <c r="E5736">
        <v>30.723503000000001</v>
      </c>
      <c r="F5736" t="s">
        <v>2374</v>
      </c>
      <c r="G5736">
        <v>-89.802783000000005</v>
      </c>
      <c r="H5736">
        <v>1700</v>
      </c>
      <c r="I5736">
        <v>94</v>
      </c>
      <c r="J5736">
        <v>-127</v>
      </c>
      <c r="K5736">
        <v>192</v>
      </c>
      <c r="L5736">
        <v>1200</v>
      </c>
      <c r="M5736" t="str">
        <f t="shared" si="601"/>
        <v xml:space="preserve">N35DC   </v>
      </c>
      <c r="N5736">
        <v>1</v>
      </c>
      <c r="O5736">
        <v>1750</v>
      </c>
    </row>
    <row r="5737" spans="1:15" x14ac:dyDescent="0.25">
      <c r="A5737" t="str">
        <f>"10/21/2020 18:55:05.094"</f>
        <v>10/21/2020 18:55:05.094</v>
      </c>
      <c r="B5737" t="str">
        <f>"18:55:13.008"</f>
        <v>18:55:13.008</v>
      </c>
      <c r="C5737" t="str">
        <f>"18:55:12.608"</f>
        <v>18:55:12.608</v>
      </c>
      <c r="D5737" t="s">
        <v>2375</v>
      </c>
      <c r="E5737">
        <v>30.723181</v>
      </c>
      <c r="F5737" t="s">
        <v>2376</v>
      </c>
      <c r="G5737">
        <v>-89.802525000000003</v>
      </c>
      <c r="H5737">
        <v>1700</v>
      </c>
      <c r="I5737">
        <v>94</v>
      </c>
      <c r="J5737">
        <v>-127</v>
      </c>
      <c r="K5737">
        <v>192</v>
      </c>
      <c r="L5737">
        <v>1200</v>
      </c>
      <c r="M5737" t="str">
        <f t="shared" si="601"/>
        <v xml:space="preserve">N35DC   </v>
      </c>
      <c r="N5737">
        <v>1</v>
      </c>
      <c r="O5737">
        <v>1750</v>
      </c>
    </row>
    <row r="5738" spans="1:15" x14ac:dyDescent="0.25">
      <c r="A5738" t="str">
        <f>"10/21/2020 18:55:05.548"</f>
        <v>10/21/2020 18:55:05.548</v>
      </c>
      <c r="B5738" t="str">
        <f>"18:55:13.492"</f>
        <v>18:55:13.492</v>
      </c>
      <c r="C5738" t="str">
        <f>"18:55:13.092"</f>
        <v>18:55:13.092</v>
      </c>
      <c r="D5738" t="s">
        <v>2377</v>
      </c>
      <c r="E5738">
        <v>30.722902000000001</v>
      </c>
      <c r="F5738" t="s">
        <v>2378</v>
      </c>
      <c r="G5738">
        <v>-89.802310000000006</v>
      </c>
      <c r="H5738">
        <v>1700</v>
      </c>
      <c r="I5738">
        <v>94</v>
      </c>
      <c r="J5738">
        <v>-127</v>
      </c>
      <c r="K5738">
        <v>192</v>
      </c>
      <c r="L5738">
        <v>1200</v>
      </c>
      <c r="M5738" t="str">
        <f t="shared" si="601"/>
        <v xml:space="preserve">N35DC   </v>
      </c>
      <c r="N5738">
        <v>1</v>
      </c>
      <c r="O5738">
        <v>1750</v>
      </c>
    </row>
    <row r="5739" spans="1:15" x14ac:dyDescent="0.25">
      <c r="A5739" t="str">
        <f>"10/21/2020 18:55:05.548"</f>
        <v>10/21/2020 18:55:05.548</v>
      </c>
      <c r="B5739" t="str">
        <f>"18:55:13.492"</f>
        <v>18:55:13.492</v>
      </c>
      <c r="C5739" t="str">
        <f>"18:55:13.092"</f>
        <v>18:55:13.092</v>
      </c>
      <c r="D5739" t="s">
        <v>2377</v>
      </c>
      <c r="E5739">
        <v>30.722902000000001</v>
      </c>
      <c r="F5739" t="s">
        <v>2378</v>
      </c>
      <c r="G5739">
        <v>-89.802310000000006</v>
      </c>
      <c r="H5739">
        <v>1700</v>
      </c>
      <c r="I5739">
        <v>94</v>
      </c>
      <c r="J5739">
        <v>-127</v>
      </c>
      <c r="K5739">
        <v>192</v>
      </c>
      <c r="L5739">
        <v>1200</v>
      </c>
      <c r="M5739" t="str">
        <f t="shared" si="601"/>
        <v xml:space="preserve">N35DC   </v>
      </c>
      <c r="N5739">
        <v>1</v>
      </c>
      <c r="O5739">
        <v>1750</v>
      </c>
    </row>
    <row r="5740" spans="1:15" x14ac:dyDescent="0.25">
      <c r="A5740" t="str">
        <f>"10/21/2020 18:55:05.548"</f>
        <v>10/21/2020 18:55:05.548</v>
      </c>
      <c r="B5740" t="str">
        <f>"18:55:13.492"</f>
        <v>18:55:13.492</v>
      </c>
      <c r="C5740" t="str">
        <f>"18:55:13.092"</f>
        <v>18:55:13.092</v>
      </c>
      <c r="D5740" t="s">
        <v>2377</v>
      </c>
      <c r="E5740">
        <v>30.722902000000001</v>
      </c>
      <c r="F5740" t="s">
        <v>2378</v>
      </c>
      <c r="G5740">
        <v>-89.802310000000006</v>
      </c>
      <c r="H5740">
        <v>1700</v>
      </c>
      <c r="I5740">
        <v>94</v>
      </c>
      <c r="J5740">
        <v>-127</v>
      </c>
      <c r="K5740">
        <v>192</v>
      </c>
      <c r="L5740">
        <v>1200</v>
      </c>
      <c r="M5740" t="str">
        <f t="shared" si="601"/>
        <v xml:space="preserve">N35DC   </v>
      </c>
      <c r="N5740">
        <v>1</v>
      </c>
      <c r="O5740">
        <v>1750</v>
      </c>
    </row>
    <row r="5741" spans="1:15" x14ac:dyDescent="0.25">
      <c r="A5741" t="str">
        <f>"10/21/2020 18:55:05.548"</f>
        <v>10/21/2020 18:55:05.548</v>
      </c>
      <c r="B5741" t="str">
        <f>"18:55:13.492"</f>
        <v>18:55:13.492</v>
      </c>
      <c r="C5741" t="str">
        <f>"18:55:13.092"</f>
        <v>18:55:13.092</v>
      </c>
      <c r="D5741" t="s">
        <v>2377</v>
      </c>
      <c r="E5741">
        <v>30.722902000000001</v>
      </c>
      <c r="F5741" t="s">
        <v>2378</v>
      </c>
      <c r="G5741">
        <v>-89.802310000000006</v>
      </c>
      <c r="H5741">
        <v>1700</v>
      </c>
      <c r="I5741">
        <v>94</v>
      </c>
      <c r="J5741">
        <v>-127</v>
      </c>
      <c r="K5741">
        <v>192</v>
      </c>
      <c r="L5741">
        <v>1200</v>
      </c>
      <c r="M5741" t="str">
        <f t="shared" si="601"/>
        <v xml:space="preserve">N35DC   </v>
      </c>
      <c r="N5741">
        <v>1</v>
      </c>
      <c r="O5741">
        <v>1750</v>
      </c>
    </row>
    <row r="5742" spans="1:15" x14ac:dyDescent="0.25">
      <c r="A5742" t="str">
        <f>"10/21/2020 18:55:05.548"</f>
        <v>10/21/2020 18:55:05.548</v>
      </c>
      <c r="B5742" t="str">
        <f>"18:55:13.492"</f>
        <v>18:55:13.492</v>
      </c>
      <c r="C5742" t="str">
        <f>"18:55:13.092"</f>
        <v>18:55:13.092</v>
      </c>
      <c r="D5742" t="s">
        <v>2377</v>
      </c>
      <c r="E5742">
        <v>30.722902000000001</v>
      </c>
      <c r="F5742" t="s">
        <v>2378</v>
      </c>
      <c r="G5742">
        <v>-89.802310000000006</v>
      </c>
      <c r="H5742">
        <v>1700</v>
      </c>
      <c r="I5742">
        <v>94</v>
      </c>
      <c r="J5742">
        <v>-127</v>
      </c>
      <c r="K5742">
        <v>192</v>
      </c>
      <c r="L5742">
        <v>1200</v>
      </c>
      <c r="M5742" t="str">
        <f t="shared" si="601"/>
        <v xml:space="preserve">N35DC   </v>
      </c>
      <c r="N5742">
        <v>1</v>
      </c>
      <c r="O5742">
        <v>1750</v>
      </c>
    </row>
    <row r="5743" spans="1:15" x14ac:dyDescent="0.25">
      <c r="A5743" t="str">
        <f>"10/21/2020 18:55:08.487"</f>
        <v>10/21/2020 18:55:08.487</v>
      </c>
      <c r="B5743" t="str">
        <f>"18:55:16.414"</f>
        <v>18:55:16.414</v>
      </c>
      <c r="C5743" t="str">
        <f>"18:55:16.214"</f>
        <v>18:55:16.214</v>
      </c>
      <c r="D5743" t="s">
        <v>2379</v>
      </c>
      <c r="E5743">
        <v>30.721207</v>
      </c>
      <c r="F5743" t="s">
        <v>2380</v>
      </c>
      <c r="G5743">
        <v>-89.800787</v>
      </c>
      <c r="H5743">
        <v>1700</v>
      </c>
      <c r="I5743">
        <v>95</v>
      </c>
      <c r="J5743">
        <v>-125</v>
      </c>
      <c r="K5743">
        <v>0</v>
      </c>
      <c r="L5743">
        <v>1200</v>
      </c>
      <c r="M5743" t="str">
        <f t="shared" si="601"/>
        <v xml:space="preserve">N35DC   </v>
      </c>
      <c r="N5743">
        <v>1</v>
      </c>
      <c r="O5743">
        <v>1750</v>
      </c>
    </row>
    <row r="5744" spans="1:15" x14ac:dyDescent="0.25">
      <c r="A5744" t="str">
        <f>"10/21/2020 18:55:08.487"</f>
        <v>10/21/2020 18:55:08.487</v>
      </c>
      <c r="B5744" t="str">
        <f>"18:55:16.414"</f>
        <v>18:55:16.414</v>
      </c>
      <c r="C5744" t="str">
        <f>"18:55:16.214"</f>
        <v>18:55:16.214</v>
      </c>
      <c r="D5744" t="s">
        <v>2379</v>
      </c>
      <c r="E5744">
        <v>30.721207</v>
      </c>
      <c r="F5744" t="s">
        <v>2380</v>
      </c>
      <c r="G5744">
        <v>-89.800787</v>
      </c>
      <c r="H5744">
        <v>1700</v>
      </c>
      <c r="I5744">
        <v>95</v>
      </c>
      <c r="J5744">
        <v>-125</v>
      </c>
      <c r="K5744">
        <v>0</v>
      </c>
      <c r="L5744">
        <v>1200</v>
      </c>
      <c r="M5744" t="str">
        <f t="shared" si="601"/>
        <v xml:space="preserve">N35DC   </v>
      </c>
      <c r="N5744">
        <v>1</v>
      </c>
      <c r="O5744">
        <v>1750</v>
      </c>
    </row>
    <row r="5745" spans="1:15" x14ac:dyDescent="0.25">
      <c r="A5745" t="str">
        <f>"10/21/2020 18:55:08.487"</f>
        <v>10/21/2020 18:55:08.487</v>
      </c>
      <c r="B5745" t="str">
        <f>"18:55:16.414"</f>
        <v>18:55:16.414</v>
      </c>
      <c r="C5745" t="str">
        <f>"18:55:16.214"</f>
        <v>18:55:16.214</v>
      </c>
      <c r="D5745" t="s">
        <v>2379</v>
      </c>
      <c r="E5745">
        <v>30.721207</v>
      </c>
      <c r="F5745" t="s">
        <v>2380</v>
      </c>
      <c r="G5745">
        <v>-89.800787</v>
      </c>
      <c r="H5745">
        <v>1700</v>
      </c>
      <c r="I5745">
        <v>95</v>
      </c>
      <c r="J5745">
        <v>-125</v>
      </c>
      <c r="K5745">
        <v>0</v>
      </c>
      <c r="L5745">
        <v>1200</v>
      </c>
      <c r="M5745" t="str">
        <f t="shared" si="601"/>
        <v xml:space="preserve">N35DC   </v>
      </c>
      <c r="N5745">
        <v>1</v>
      </c>
      <c r="O5745">
        <v>1750</v>
      </c>
    </row>
    <row r="5746" spans="1:15" x14ac:dyDescent="0.25">
      <c r="A5746" t="str">
        <f>"10/21/2020 18:55:08.487"</f>
        <v>10/21/2020 18:55:08.487</v>
      </c>
      <c r="B5746" t="str">
        <f>"18:55:16.414"</f>
        <v>18:55:16.414</v>
      </c>
      <c r="C5746" t="str">
        <f>"18:55:16.214"</f>
        <v>18:55:16.214</v>
      </c>
      <c r="D5746" t="s">
        <v>2379</v>
      </c>
      <c r="E5746">
        <v>30.721207</v>
      </c>
      <c r="F5746" t="s">
        <v>2380</v>
      </c>
      <c r="G5746">
        <v>-89.800787</v>
      </c>
      <c r="H5746">
        <v>1700</v>
      </c>
      <c r="I5746">
        <v>95</v>
      </c>
      <c r="J5746">
        <v>-125</v>
      </c>
      <c r="K5746">
        <v>0</v>
      </c>
      <c r="L5746">
        <v>1200</v>
      </c>
      <c r="M5746" t="str">
        <f t="shared" si="601"/>
        <v xml:space="preserve">N35DC   </v>
      </c>
      <c r="N5746">
        <v>1</v>
      </c>
      <c r="O5746">
        <v>1750</v>
      </c>
    </row>
    <row r="5747" spans="1:15" x14ac:dyDescent="0.25">
      <c r="A5747" t="str">
        <f>"10/21/2020 18:55:08.487"</f>
        <v>10/21/2020 18:55:08.487</v>
      </c>
      <c r="B5747" t="str">
        <f>"18:55:16.414"</f>
        <v>18:55:16.414</v>
      </c>
      <c r="C5747" t="str">
        <f>"18:55:16.214"</f>
        <v>18:55:16.214</v>
      </c>
      <c r="D5747" t="s">
        <v>2379</v>
      </c>
      <c r="E5747">
        <v>30.721207</v>
      </c>
      <c r="F5747" t="s">
        <v>2380</v>
      </c>
      <c r="G5747">
        <v>-89.800787</v>
      </c>
      <c r="H5747">
        <v>1700</v>
      </c>
      <c r="I5747">
        <v>95</v>
      </c>
      <c r="J5747">
        <v>-125</v>
      </c>
      <c r="K5747">
        <v>0</v>
      </c>
      <c r="L5747">
        <v>1200</v>
      </c>
      <c r="M5747" t="str">
        <f t="shared" si="601"/>
        <v xml:space="preserve">N35DC   </v>
      </c>
      <c r="N5747">
        <v>1</v>
      </c>
      <c r="O5747">
        <v>1750</v>
      </c>
    </row>
    <row r="5748" spans="1:15" x14ac:dyDescent="0.25">
      <c r="A5748" t="str">
        <f>"10/21/2020 18:55:09.068"</f>
        <v>10/21/2020 18:55:09.068</v>
      </c>
      <c r="B5748" t="str">
        <f>"18:55:16.953"</f>
        <v>18:55:16.953</v>
      </c>
      <c r="C5748" t="str">
        <f>"18:55:16.653"</f>
        <v>18:55:16.653</v>
      </c>
      <c r="D5748" t="s">
        <v>2381</v>
      </c>
      <c r="E5748">
        <v>30.720884999999999</v>
      </c>
      <c r="F5748" t="s">
        <v>2382</v>
      </c>
      <c r="G5748">
        <v>-89.800528999999997</v>
      </c>
      <c r="H5748">
        <v>1700</v>
      </c>
      <c r="I5748">
        <v>96</v>
      </c>
      <c r="J5748">
        <v>-125</v>
      </c>
      <c r="K5748">
        <v>-64</v>
      </c>
      <c r="L5748">
        <v>1200</v>
      </c>
      <c r="M5748" t="str">
        <f t="shared" si="601"/>
        <v xml:space="preserve">N35DC   </v>
      </c>
      <c r="N5748">
        <v>1</v>
      </c>
      <c r="O5748">
        <v>1750</v>
      </c>
    </row>
    <row r="5749" spans="1:15" x14ac:dyDescent="0.25">
      <c r="A5749" t="str">
        <f>"10/21/2020 18:55:09.442"</f>
        <v>10/21/2020 18:55:09.442</v>
      </c>
      <c r="B5749" t="str">
        <f>"18:55:17.391"</f>
        <v>18:55:17.391</v>
      </c>
      <c r="C5749" t="str">
        <f>"18:55:17.191"</f>
        <v>18:55:17.191</v>
      </c>
      <c r="D5749" t="s">
        <v>2383</v>
      </c>
      <c r="E5749">
        <v>30.720606</v>
      </c>
      <c r="F5749" t="s">
        <v>2384</v>
      </c>
      <c r="G5749">
        <v>-89.800272000000007</v>
      </c>
      <c r="H5749">
        <v>1700</v>
      </c>
      <c r="I5749">
        <v>96</v>
      </c>
      <c r="J5749">
        <v>-125</v>
      </c>
      <c r="K5749">
        <v>0</v>
      </c>
      <c r="L5749">
        <v>1200</v>
      </c>
      <c r="M5749" t="str">
        <f t="shared" si="601"/>
        <v xml:space="preserve">N35DC   </v>
      </c>
      <c r="N5749">
        <v>1</v>
      </c>
      <c r="O5749">
        <v>1750</v>
      </c>
    </row>
    <row r="5750" spans="1:15" x14ac:dyDescent="0.25">
      <c r="A5750" t="str">
        <f>"10/21/2020 18:55:09.442"</f>
        <v>10/21/2020 18:55:09.442</v>
      </c>
      <c r="B5750" t="str">
        <f>"18:55:17.391"</f>
        <v>18:55:17.391</v>
      </c>
      <c r="C5750" t="str">
        <f>"18:55:17.191"</f>
        <v>18:55:17.191</v>
      </c>
      <c r="D5750" t="s">
        <v>2383</v>
      </c>
      <c r="E5750">
        <v>30.720606</v>
      </c>
      <c r="F5750" t="s">
        <v>2384</v>
      </c>
      <c r="G5750">
        <v>-89.800272000000007</v>
      </c>
      <c r="H5750">
        <v>1700</v>
      </c>
      <c r="I5750">
        <v>96</v>
      </c>
      <c r="J5750">
        <v>-125</v>
      </c>
      <c r="K5750">
        <v>0</v>
      </c>
      <c r="L5750">
        <v>1200</v>
      </c>
      <c r="M5750" t="str">
        <f t="shared" si="601"/>
        <v xml:space="preserve">N35DC   </v>
      </c>
      <c r="N5750">
        <v>1</v>
      </c>
      <c r="O5750">
        <v>1750</v>
      </c>
    </row>
    <row r="5751" spans="1:15" x14ac:dyDescent="0.25">
      <c r="A5751" t="str">
        <f>"10/21/2020 18:55:09.442"</f>
        <v>10/21/2020 18:55:09.442</v>
      </c>
      <c r="B5751" t="str">
        <f>"18:55:17.391"</f>
        <v>18:55:17.391</v>
      </c>
      <c r="C5751" t="str">
        <f>"18:55:17.191"</f>
        <v>18:55:17.191</v>
      </c>
      <c r="D5751" t="s">
        <v>2383</v>
      </c>
      <c r="E5751">
        <v>30.720606</v>
      </c>
      <c r="F5751" t="s">
        <v>2384</v>
      </c>
      <c r="G5751">
        <v>-89.800272000000007</v>
      </c>
      <c r="H5751">
        <v>1700</v>
      </c>
      <c r="I5751">
        <v>96</v>
      </c>
      <c r="J5751">
        <v>-125</v>
      </c>
      <c r="K5751">
        <v>0</v>
      </c>
      <c r="L5751">
        <v>1200</v>
      </c>
      <c r="M5751" t="str">
        <f t="shared" si="601"/>
        <v xml:space="preserve">N35DC   </v>
      </c>
      <c r="N5751">
        <v>1</v>
      </c>
      <c r="O5751">
        <v>1750</v>
      </c>
    </row>
    <row r="5752" spans="1:15" x14ac:dyDescent="0.25">
      <c r="A5752" t="str">
        <f>"10/21/2020 18:55:09.442"</f>
        <v>10/21/2020 18:55:09.442</v>
      </c>
      <c r="B5752" t="str">
        <f>"18:55:17.391"</f>
        <v>18:55:17.391</v>
      </c>
      <c r="C5752" t="str">
        <f>"18:55:17.191"</f>
        <v>18:55:17.191</v>
      </c>
      <c r="D5752" t="s">
        <v>2383</v>
      </c>
      <c r="E5752">
        <v>30.720606</v>
      </c>
      <c r="F5752" t="s">
        <v>2384</v>
      </c>
      <c r="G5752">
        <v>-89.800272000000007</v>
      </c>
      <c r="H5752">
        <v>1700</v>
      </c>
      <c r="I5752">
        <v>96</v>
      </c>
      <c r="J5752">
        <v>-125</v>
      </c>
      <c r="K5752">
        <v>0</v>
      </c>
      <c r="L5752">
        <v>1200</v>
      </c>
      <c r="M5752" t="str">
        <f t="shared" si="601"/>
        <v xml:space="preserve">N35DC   </v>
      </c>
      <c r="N5752">
        <v>1</v>
      </c>
      <c r="O5752">
        <v>1750</v>
      </c>
    </row>
    <row r="5753" spans="1:15" x14ac:dyDescent="0.25">
      <c r="A5753" t="str">
        <f>"10/21/2020 18:55:09.442"</f>
        <v>10/21/2020 18:55:09.442</v>
      </c>
      <c r="B5753" t="str">
        <f>"18:55:17.391"</f>
        <v>18:55:17.391</v>
      </c>
      <c r="C5753" t="str">
        <f>"18:55:17.191"</f>
        <v>18:55:17.191</v>
      </c>
      <c r="D5753" t="s">
        <v>2383</v>
      </c>
      <c r="E5753">
        <v>30.720606</v>
      </c>
      <c r="F5753" t="s">
        <v>2384</v>
      </c>
      <c r="G5753">
        <v>-89.800272000000007</v>
      </c>
      <c r="H5753">
        <v>1700</v>
      </c>
      <c r="I5753">
        <v>96</v>
      </c>
      <c r="J5753">
        <v>-125</v>
      </c>
      <c r="K5753">
        <v>0</v>
      </c>
      <c r="L5753">
        <v>1200</v>
      </c>
      <c r="M5753" t="str">
        <f t="shared" si="601"/>
        <v xml:space="preserve">N35DC   </v>
      </c>
      <c r="N5753">
        <v>1</v>
      </c>
      <c r="O5753">
        <v>1750</v>
      </c>
    </row>
    <row r="5754" spans="1:15" x14ac:dyDescent="0.25">
      <c r="A5754" t="str">
        <f t="shared" ref="A5754:A5759" si="607">"10/21/2020 18:55:12.444"</f>
        <v>10/21/2020 18:55:12.444</v>
      </c>
      <c r="B5754" t="str">
        <f t="shared" ref="B5754:B5759" si="608">"18:55:20.406"</f>
        <v>18:55:20.406</v>
      </c>
      <c r="C5754" t="str">
        <f t="shared" ref="C5754:C5759" si="609">"18:55:20.006"</f>
        <v>18:55:20.006</v>
      </c>
      <c r="D5754" t="s">
        <v>2385</v>
      </c>
      <c r="E5754">
        <v>30.718868000000001</v>
      </c>
      <c r="F5754" t="s">
        <v>2386</v>
      </c>
      <c r="G5754">
        <v>-89.798683999999994</v>
      </c>
      <c r="H5754">
        <v>1700</v>
      </c>
      <c r="I5754">
        <v>97</v>
      </c>
      <c r="J5754">
        <v>-124</v>
      </c>
      <c r="K5754">
        <v>-64</v>
      </c>
      <c r="L5754">
        <v>1200</v>
      </c>
      <c r="M5754" t="str">
        <f t="shared" si="601"/>
        <v xml:space="preserve">N35DC   </v>
      </c>
      <c r="N5754">
        <v>1</v>
      </c>
      <c r="O5754">
        <v>1750</v>
      </c>
    </row>
    <row r="5755" spans="1:15" x14ac:dyDescent="0.25">
      <c r="A5755" t="str">
        <f t="shared" si="607"/>
        <v>10/21/2020 18:55:12.444</v>
      </c>
      <c r="B5755" t="str">
        <f t="shared" si="608"/>
        <v>18:55:20.406</v>
      </c>
      <c r="C5755" t="str">
        <f t="shared" si="609"/>
        <v>18:55:20.006</v>
      </c>
      <c r="D5755" t="s">
        <v>2385</v>
      </c>
      <c r="E5755">
        <v>30.718868000000001</v>
      </c>
      <c r="F5755" t="s">
        <v>2386</v>
      </c>
      <c r="G5755">
        <v>-89.798683999999994</v>
      </c>
      <c r="H5755">
        <v>1700</v>
      </c>
      <c r="I5755">
        <v>97</v>
      </c>
      <c r="J5755">
        <v>-124</v>
      </c>
      <c r="K5755">
        <v>-64</v>
      </c>
      <c r="L5755">
        <v>1200</v>
      </c>
      <c r="M5755" t="str">
        <f t="shared" si="601"/>
        <v xml:space="preserve">N35DC   </v>
      </c>
      <c r="N5755">
        <v>1</v>
      </c>
      <c r="O5755">
        <v>1750</v>
      </c>
    </row>
    <row r="5756" spans="1:15" x14ac:dyDescent="0.25">
      <c r="A5756" t="str">
        <f t="shared" si="607"/>
        <v>10/21/2020 18:55:12.444</v>
      </c>
      <c r="B5756" t="str">
        <f t="shared" si="608"/>
        <v>18:55:20.406</v>
      </c>
      <c r="C5756" t="str">
        <f t="shared" si="609"/>
        <v>18:55:20.006</v>
      </c>
      <c r="D5756" t="s">
        <v>2385</v>
      </c>
      <c r="E5756">
        <v>30.718868000000001</v>
      </c>
      <c r="F5756" t="s">
        <v>2386</v>
      </c>
      <c r="G5756">
        <v>-89.798683999999994</v>
      </c>
      <c r="H5756">
        <v>1700</v>
      </c>
      <c r="I5756">
        <v>97</v>
      </c>
      <c r="J5756">
        <v>-124</v>
      </c>
      <c r="K5756">
        <v>-64</v>
      </c>
      <c r="L5756">
        <v>1200</v>
      </c>
      <c r="M5756" t="str">
        <f t="shared" si="601"/>
        <v xml:space="preserve">N35DC   </v>
      </c>
      <c r="N5756">
        <v>1</v>
      </c>
      <c r="O5756">
        <v>1750</v>
      </c>
    </row>
    <row r="5757" spans="1:15" x14ac:dyDescent="0.25">
      <c r="A5757" t="str">
        <f t="shared" si="607"/>
        <v>10/21/2020 18:55:12.444</v>
      </c>
      <c r="B5757" t="str">
        <f t="shared" si="608"/>
        <v>18:55:20.406</v>
      </c>
      <c r="C5757" t="str">
        <f t="shared" si="609"/>
        <v>18:55:20.006</v>
      </c>
      <c r="D5757" t="s">
        <v>2385</v>
      </c>
      <c r="E5757">
        <v>30.718868000000001</v>
      </c>
      <c r="F5757" t="s">
        <v>2386</v>
      </c>
      <c r="G5757">
        <v>-89.798683999999994</v>
      </c>
      <c r="H5757">
        <v>1700</v>
      </c>
      <c r="I5757">
        <v>97</v>
      </c>
      <c r="J5757">
        <v>-124</v>
      </c>
      <c r="K5757">
        <v>-64</v>
      </c>
      <c r="L5757">
        <v>1200</v>
      </c>
      <c r="M5757" t="str">
        <f t="shared" si="601"/>
        <v xml:space="preserve">N35DC   </v>
      </c>
      <c r="N5757">
        <v>1</v>
      </c>
      <c r="O5757">
        <v>1750</v>
      </c>
    </row>
    <row r="5758" spans="1:15" x14ac:dyDescent="0.25">
      <c r="A5758" t="str">
        <f t="shared" si="607"/>
        <v>10/21/2020 18:55:12.444</v>
      </c>
      <c r="B5758" t="str">
        <f t="shared" si="608"/>
        <v>18:55:20.406</v>
      </c>
      <c r="C5758" t="str">
        <f t="shared" si="609"/>
        <v>18:55:20.006</v>
      </c>
      <c r="D5758" t="s">
        <v>2385</v>
      </c>
      <c r="E5758">
        <v>30.718868000000001</v>
      </c>
      <c r="F5758" t="s">
        <v>2386</v>
      </c>
      <c r="G5758">
        <v>-89.798683999999994</v>
      </c>
      <c r="H5758">
        <v>1700</v>
      </c>
      <c r="I5758">
        <v>97</v>
      </c>
      <c r="J5758">
        <v>-124</v>
      </c>
      <c r="K5758">
        <v>-64</v>
      </c>
      <c r="L5758">
        <v>1200</v>
      </c>
      <c r="M5758" t="str">
        <f t="shared" si="601"/>
        <v xml:space="preserve">N35DC   </v>
      </c>
      <c r="N5758">
        <v>1</v>
      </c>
      <c r="O5758">
        <v>1750</v>
      </c>
    </row>
    <row r="5759" spans="1:15" x14ac:dyDescent="0.25">
      <c r="A5759" t="str">
        <f t="shared" si="607"/>
        <v>10/21/2020 18:55:12.444</v>
      </c>
      <c r="B5759" t="str">
        <f t="shared" si="608"/>
        <v>18:55:20.406</v>
      </c>
      <c r="C5759" t="str">
        <f t="shared" si="609"/>
        <v>18:55:20.006</v>
      </c>
      <c r="D5759" t="s">
        <v>2385</v>
      </c>
      <c r="E5759">
        <v>30.718868000000001</v>
      </c>
      <c r="F5759" t="s">
        <v>2386</v>
      </c>
      <c r="G5759">
        <v>-89.798683999999994</v>
      </c>
      <c r="H5759">
        <v>1700</v>
      </c>
      <c r="I5759">
        <v>97</v>
      </c>
      <c r="J5759">
        <v>-124</v>
      </c>
      <c r="K5759">
        <v>-64</v>
      </c>
      <c r="L5759">
        <v>1200</v>
      </c>
      <c r="M5759" t="str">
        <f t="shared" si="601"/>
        <v xml:space="preserve">N35DC   </v>
      </c>
      <c r="N5759">
        <v>1</v>
      </c>
      <c r="O5759">
        <v>1750</v>
      </c>
    </row>
    <row r="5760" spans="1:15" x14ac:dyDescent="0.25">
      <c r="A5760" t="str">
        <f t="shared" ref="A5760:A5765" si="610">"10/21/2020 18:55:13.597"</f>
        <v>10/21/2020 18:55:13.597</v>
      </c>
      <c r="B5760" t="str">
        <f t="shared" ref="B5760:B5765" si="611">"18:55:21.547"</f>
        <v>18:55:21.547</v>
      </c>
      <c r="C5760" t="str">
        <f t="shared" ref="C5760:C5765" si="612">"18:55:21.147"</f>
        <v>18:55:21.147</v>
      </c>
      <c r="D5760" t="s">
        <v>2387</v>
      </c>
      <c r="E5760">
        <v>30.718246000000001</v>
      </c>
      <c r="F5760" t="s">
        <v>2388</v>
      </c>
      <c r="G5760">
        <v>-89.798125999999996</v>
      </c>
      <c r="H5760">
        <v>1700</v>
      </c>
      <c r="I5760">
        <v>97</v>
      </c>
      <c r="J5760">
        <v>-124</v>
      </c>
      <c r="K5760">
        <v>-64</v>
      </c>
      <c r="L5760">
        <v>1200</v>
      </c>
      <c r="M5760" t="str">
        <f t="shared" si="601"/>
        <v xml:space="preserve">N35DC   </v>
      </c>
      <c r="N5760">
        <v>1</v>
      </c>
      <c r="O5760">
        <v>1750</v>
      </c>
    </row>
    <row r="5761" spans="1:15" x14ac:dyDescent="0.25">
      <c r="A5761" t="str">
        <f t="shared" si="610"/>
        <v>10/21/2020 18:55:13.597</v>
      </c>
      <c r="B5761" t="str">
        <f t="shared" si="611"/>
        <v>18:55:21.547</v>
      </c>
      <c r="C5761" t="str">
        <f t="shared" si="612"/>
        <v>18:55:21.147</v>
      </c>
      <c r="D5761" t="s">
        <v>2387</v>
      </c>
      <c r="E5761">
        <v>30.718246000000001</v>
      </c>
      <c r="F5761" t="s">
        <v>2388</v>
      </c>
      <c r="G5761">
        <v>-89.798125999999996</v>
      </c>
      <c r="H5761">
        <v>1700</v>
      </c>
      <c r="I5761">
        <v>97</v>
      </c>
      <c r="J5761">
        <v>-124</v>
      </c>
      <c r="K5761">
        <v>-64</v>
      </c>
      <c r="L5761">
        <v>1200</v>
      </c>
      <c r="M5761" t="str">
        <f t="shared" si="601"/>
        <v xml:space="preserve">N35DC   </v>
      </c>
      <c r="N5761">
        <v>1</v>
      </c>
      <c r="O5761">
        <v>1750</v>
      </c>
    </row>
    <row r="5762" spans="1:15" x14ac:dyDescent="0.25">
      <c r="A5762" t="str">
        <f t="shared" si="610"/>
        <v>10/21/2020 18:55:13.597</v>
      </c>
      <c r="B5762" t="str">
        <f t="shared" si="611"/>
        <v>18:55:21.547</v>
      </c>
      <c r="C5762" t="str">
        <f t="shared" si="612"/>
        <v>18:55:21.147</v>
      </c>
      <c r="D5762" t="s">
        <v>2387</v>
      </c>
      <c r="E5762">
        <v>30.718246000000001</v>
      </c>
      <c r="F5762" t="s">
        <v>2388</v>
      </c>
      <c r="G5762">
        <v>-89.798125999999996</v>
      </c>
      <c r="H5762">
        <v>1700</v>
      </c>
      <c r="I5762">
        <v>97</v>
      </c>
      <c r="J5762">
        <v>-124</v>
      </c>
      <c r="K5762">
        <v>-64</v>
      </c>
      <c r="L5762">
        <v>1200</v>
      </c>
      <c r="M5762" t="str">
        <f t="shared" si="601"/>
        <v xml:space="preserve">N35DC   </v>
      </c>
      <c r="N5762">
        <v>1</v>
      </c>
      <c r="O5762">
        <v>1750</v>
      </c>
    </row>
    <row r="5763" spans="1:15" x14ac:dyDescent="0.25">
      <c r="A5763" t="str">
        <f t="shared" si="610"/>
        <v>10/21/2020 18:55:13.597</v>
      </c>
      <c r="B5763" t="str">
        <f t="shared" si="611"/>
        <v>18:55:21.547</v>
      </c>
      <c r="C5763" t="str">
        <f t="shared" si="612"/>
        <v>18:55:21.147</v>
      </c>
      <c r="D5763" t="s">
        <v>2387</v>
      </c>
      <c r="E5763">
        <v>30.718246000000001</v>
      </c>
      <c r="F5763" t="s">
        <v>2388</v>
      </c>
      <c r="G5763">
        <v>-89.798125999999996</v>
      </c>
      <c r="H5763">
        <v>1700</v>
      </c>
      <c r="I5763">
        <v>97</v>
      </c>
      <c r="J5763">
        <v>-124</v>
      </c>
      <c r="K5763">
        <v>-64</v>
      </c>
      <c r="L5763">
        <v>1200</v>
      </c>
      <c r="M5763" t="str">
        <f t="shared" si="601"/>
        <v xml:space="preserve">N35DC   </v>
      </c>
      <c r="N5763">
        <v>1</v>
      </c>
      <c r="O5763">
        <v>1750</v>
      </c>
    </row>
    <row r="5764" spans="1:15" x14ac:dyDescent="0.25">
      <c r="A5764" t="str">
        <f t="shared" si="610"/>
        <v>10/21/2020 18:55:13.597</v>
      </c>
      <c r="B5764" t="str">
        <f t="shared" si="611"/>
        <v>18:55:21.547</v>
      </c>
      <c r="C5764" t="str">
        <f t="shared" si="612"/>
        <v>18:55:21.147</v>
      </c>
      <c r="D5764" t="s">
        <v>2387</v>
      </c>
      <c r="E5764">
        <v>30.718246000000001</v>
      </c>
      <c r="F5764" t="s">
        <v>2388</v>
      </c>
      <c r="G5764">
        <v>-89.798125999999996</v>
      </c>
      <c r="H5764">
        <v>1700</v>
      </c>
      <c r="I5764">
        <v>97</v>
      </c>
      <c r="J5764">
        <v>-124</v>
      </c>
      <c r="K5764">
        <v>-64</v>
      </c>
      <c r="L5764">
        <v>1200</v>
      </c>
      <c r="M5764" t="str">
        <f t="shared" si="601"/>
        <v xml:space="preserve">N35DC   </v>
      </c>
      <c r="N5764">
        <v>1</v>
      </c>
      <c r="O5764">
        <v>1750</v>
      </c>
    </row>
    <row r="5765" spans="1:15" x14ac:dyDescent="0.25">
      <c r="A5765" t="str">
        <f t="shared" si="610"/>
        <v>10/21/2020 18:55:13.597</v>
      </c>
      <c r="B5765" t="str">
        <f t="shared" si="611"/>
        <v>18:55:21.547</v>
      </c>
      <c r="C5765" t="str">
        <f t="shared" si="612"/>
        <v>18:55:21.147</v>
      </c>
      <c r="D5765" t="s">
        <v>2387</v>
      </c>
      <c r="E5765">
        <v>30.718246000000001</v>
      </c>
      <c r="F5765" t="s">
        <v>2388</v>
      </c>
      <c r="G5765">
        <v>-89.798125999999996</v>
      </c>
      <c r="H5765">
        <v>1700</v>
      </c>
      <c r="I5765">
        <v>97</v>
      </c>
      <c r="J5765">
        <v>-124</v>
      </c>
      <c r="K5765">
        <v>-64</v>
      </c>
      <c r="L5765">
        <v>1200</v>
      </c>
      <c r="M5765" t="str">
        <f t="shared" si="601"/>
        <v xml:space="preserve">N35DC   </v>
      </c>
      <c r="N5765">
        <v>1</v>
      </c>
      <c r="O5765">
        <v>1750</v>
      </c>
    </row>
    <row r="5766" spans="1:15" x14ac:dyDescent="0.25">
      <c r="A5766" t="str">
        <f>"10/21/2020 18:55:15.518"</f>
        <v>10/21/2020 18:55:15.518</v>
      </c>
      <c r="B5766" t="str">
        <f>"18:55:23.477"</f>
        <v>18:55:23.477</v>
      </c>
      <c r="C5766" t="str">
        <f>"18:55:23.377"</f>
        <v>18:55:23.377</v>
      </c>
      <c r="D5766" t="s">
        <v>2389</v>
      </c>
      <c r="E5766">
        <v>30.717130000000001</v>
      </c>
      <c r="F5766" t="s">
        <v>125</v>
      </c>
      <c r="G5766">
        <v>-89.797139000000001</v>
      </c>
      <c r="H5766">
        <v>1700</v>
      </c>
      <c r="I5766">
        <v>98</v>
      </c>
      <c r="J5766">
        <v>-123</v>
      </c>
      <c r="K5766">
        <v>-64</v>
      </c>
      <c r="L5766">
        <v>1200</v>
      </c>
      <c r="M5766" t="str">
        <f t="shared" si="601"/>
        <v xml:space="preserve">N35DC   </v>
      </c>
      <c r="N5766">
        <v>1</v>
      </c>
      <c r="O5766">
        <v>1750</v>
      </c>
    </row>
    <row r="5767" spans="1:15" x14ac:dyDescent="0.25">
      <c r="A5767" t="str">
        <f>"10/21/2020 18:55:15.518"</f>
        <v>10/21/2020 18:55:15.518</v>
      </c>
      <c r="B5767" t="str">
        <f>"18:55:23.477"</f>
        <v>18:55:23.477</v>
      </c>
      <c r="C5767" t="str">
        <f>"18:55:23.377"</f>
        <v>18:55:23.377</v>
      </c>
      <c r="D5767" t="s">
        <v>2389</v>
      </c>
      <c r="E5767">
        <v>30.717130000000001</v>
      </c>
      <c r="F5767" t="s">
        <v>125</v>
      </c>
      <c r="G5767">
        <v>-89.797139000000001</v>
      </c>
      <c r="H5767">
        <v>1700</v>
      </c>
      <c r="I5767">
        <v>98</v>
      </c>
      <c r="J5767">
        <v>-123</v>
      </c>
      <c r="K5767">
        <v>-64</v>
      </c>
      <c r="L5767">
        <v>1200</v>
      </c>
      <c r="M5767" t="str">
        <f t="shared" ref="M5767:M5830" si="613">"N35DC   "</f>
        <v xml:space="preserve">N35DC   </v>
      </c>
      <c r="N5767">
        <v>1</v>
      </c>
      <c r="O5767">
        <v>1750</v>
      </c>
    </row>
    <row r="5768" spans="1:15" x14ac:dyDescent="0.25">
      <c r="A5768" t="str">
        <f>"10/21/2020 18:55:15.518"</f>
        <v>10/21/2020 18:55:15.518</v>
      </c>
      <c r="B5768" t="str">
        <f>"18:55:23.477"</f>
        <v>18:55:23.477</v>
      </c>
      <c r="C5768" t="str">
        <f>"18:55:23.377"</f>
        <v>18:55:23.377</v>
      </c>
      <c r="D5768" t="s">
        <v>2389</v>
      </c>
      <c r="E5768">
        <v>30.717130000000001</v>
      </c>
      <c r="F5768" t="s">
        <v>125</v>
      </c>
      <c r="G5768">
        <v>-89.797139000000001</v>
      </c>
      <c r="H5768">
        <v>1700</v>
      </c>
      <c r="I5768">
        <v>98</v>
      </c>
      <c r="J5768">
        <v>-123</v>
      </c>
      <c r="K5768">
        <v>-64</v>
      </c>
      <c r="L5768">
        <v>1200</v>
      </c>
      <c r="M5768" t="str">
        <f t="shared" si="613"/>
        <v xml:space="preserve">N35DC   </v>
      </c>
      <c r="N5768">
        <v>1</v>
      </c>
      <c r="O5768">
        <v>1750</v>
      </c>
    </row>
    <row r="5769" spans="1:15" x14ac:dyDescent="0.25">
      <c r="A5769" t="str">
        <f>"10/21/2020 18:55:15.518"</f>
        <v>10/21/2020 18:55:15.518</v>
      </c>
      <c r="B5769" t="str">
        <f>"18:55:23.477"</f>
        <v>18:55:23.477</v>
      </c>
      <c r="C5769" t="str">
        <f>"18:55:23.377"</f>
        <v>18:55:23.377</v>
      </c>
      <c r="D5769" t="s">
        <v>2389</v>
      </c>
      <c r="E5769">
        <v>30.717130000000001</v>
      </c>
      <c r="F5769" t="s">
        <v>125</v>
      </c>
      <c r="G5769">
        <v>-89.797139000000001</v>
      </c>
      <c r="H5769">
        <v>1700</v>
      </c>
      <c r="I5769">
        <v>98</v>
      </c>
      <c r="J5769">
        <v>-123</v>
      </c>
      <c r="K5769">
        <v>-64</v>
      </c>
      <c r="L5769">
        <v>1200</v>
      </c>
      <c r="M5769" t="str">
        <f t="shared" si="613"/>
        <v xml:space="preserve">N35DC   </v>
      </c>
      <c r="N5769">
        <v>1</v>
      </c>
      <c r="O5769">
        <v>1750</v>
      </c>
    </row>
    <row r="5770" spans="1:15" x14ac:dyDescent="0.25">
      <c r="A5770" t="str">
        <f>"10/21/2020 18:55:15.518"</f>
        <v>10/21/2020 18:55:15.518</v>
      </c>
      <c r="B5770" t="str">
        <f>"18:55:23.477"</f>
        <v>18:55:23.477</v>
      </c>
      <c r="C5770" t="str">
        <f>"18:55:23.377"</f>
        <v>18:55:23.377</v>
      </c>
      <c r="D5770" t="s">
        <v>2389</v>
      </c>
      <c r="E5770">
        <v>30.717130000000001</v>
      </c>
      <c r="F5770" t="s">
        <v>125</v>
      </c>
      <c r="G5770">
        <v>-89.797139000000001</v>
      </c>
      <c r="H5770">
        <v>1700</v>
      </c>
      <c r="I5770">
        <v>98</v>
      </c>
      <c r="J5770">
        <v>-123</v>
      </c>
      <c r="K5770">
        <v>-64</v>
      </c>
      <c r="L5770">
        <v>1200</v>
      </c>
      <c r="M5770" t="str">
        <f t="shared" si="613"/>
        <v xml:space="preserve">N35DC   </v>
      </c>
      <c r="N5770">
        <v>1</v>
      </c>
      <c r="O5770">
        <v>1750</v>
      </c>
    </row>
    <row r="5771" spans="1:15" x14ac:dyDescent="0.25">
      <c r="A5771" t="str">
        <f>"10/21/2020 18:55:16.116"</f>
        <v>10/21/2020 18:55:16.116</v>
      </c>
      <c r="B5771" t="str">
        <f>"18:55:24.008"</f>
        <v>18:55:24.008</v>
      </c>
      <c r="C5771" t="str">
        <f>"18:55:23.708"</f>
        <v>18:55:23.708</v>
      </c>
      <c r="D5771" t="s">
        <v>2390</v>
      </c>
      <c r="E5771">
        <v>30.716808</v>
      </c>
      <c r="F5771" t="s">
        <v>127</v>
      </c>
      <c r="G5771">
        <v>-89.796859999999995</v>
      </c>
      <c r="H5771">
        <v>1700</v>
      </c>
      <c r="I5771">
        <v>98</v>
      </c>
      <c r="J5771">
        <v>-123</v>
      </c>
      <c r="K5771">
        <v>-64</v>
      </c>
      <c r="L5771">
        <v>1200</v>
      </c>
      <c r="M5771" t="str">
        <f t="shared" si="613"/>
        <v xml:space="preserve">N35DC   </v>
      </c>
      <c r="N5771">
        <v>1</v>
      </c>
      <c r="O5771">
        <v>1750</v>
      </c>
    </row>
    <row r="5772" spans="1:15" x14ac:dyDescent="0.25">
      <c r="A5772" t="str">
        <f>"10/21/2020 18:55:16.612"</f>
        <v>10/21/2020 18:55:16.612</v>
      </c>
      <c r="B5772" t="str">
        <f>"18:55:24.547"</f>
        <v>18:55:24.547</v>
      </c>
      <c r="C5772" t="str">
        <f>"18:55:24.247"</f>
        <v>18:55:24.247</v>
      </c>
      <c r="D5772" t="s">
        <v>2391</v>
      </c>
      <c r="E5772">
        <v>30.716529000000001</v>
      </c>
      <c r="F5772" t="s">
        <v>2392</v>
      </c>
      <c r="G5772">
        <v>-89.796581000000003</v>
      </c>
      <c r="H5772">
        <v>1700</v>
      </c>
      <c r="I5772">
        <v>99</v>
      </c>
      <c r="J5772">
        <v>-123</v>
      </c>
      <c r="K5772">
        <v>-64</v>
      </c>
      <c r="L5772">
        <v>1200</v>
      </c>
      <c r="M5772" t="str">
        <f t="shared" si="613"/>
        <v xml:space="preserve">N35DC   </v>
      </c>
      <c r="N5772">
        <v>1</v>
      </c>
      <c r="O5772">
        <v>1750</v>
      </c>
    </row>
    <row r="5773" spans="1:15" x14ac:dyDescent="0.25">
      <c r="A5773" t="str">
        <f>"10/21/2020 18:55:16.612"</f>
        <v>10/21/2020 18:55:16.612</v>
      </c>
      <c r="B5773" t="str">
        <f>"18:55:24.547"</f>
        <v>18:55:24.547</v>
      </c>
      <c r="C5773" t="str">
        <f>"18:55:24.247"</f>
        <v>18:55:24.247</v>
      </c>
      <c r="D5773" t="s">
        <v>2391</v>
      </c>
      <c r="E5773">
        <v>30.716529000000001</v>
      </c>
      <c r="F5773" t="s">
        <v>2392</v>
      </c>
      <c r="G5773">
        <v>-89.796581000000003</v>
      </c>
      <c r="H5773">
        <v>1700</v>
      </c>
      <c r="I5773">
        <v>99</v>
      </c>
      <c r="J5773">
        <v>-123</v>
      </c>
      <c r="K5773">
        <v>-64</v>
      </c>
      <c r="L5773">
        <v>1200</v>
      </c>
      <c r="M5773" t="str">
        <f t="shared" si="613"/>
        <v xml:space="preserve">N35DC   </v>
      </c>
      <c r="N5773">
        <v>1</v>
      </c>
      <c r="O5773">
        <v>1750</v>
      </c>
    </row>
    <row r="5774" spans="1:15" x14ac:dyDescent="0.25">
      <c r="A5774" t="str">
        <f>"10/21/2020 18:55:16.612"</f>
        <v>10/21/2020 18:55:16.612</v>
      </c>
      <c r="B5774" t="str">
        <f>"18:55:24.547"</f>
        <v>18:55:24.547</v>
      </c>
      <c r="C5774" t="str">
        <f>"18:55:24.247"</f>
        <v>18:55:24.247</v>
      </c>
      <c r="D5774" t="s">
        <v>2391</v>
      </c>
      <c r="E5774">
        <v>30.716529000000001</v>
      </c>
      <c r="F5774" t="s">
        <v>2392</v>
      </c>
      <c r="G5774">
        <v>-89.796581000000003</v>
      </c>
      <c r="H5774">
        <v>1700</v>
      </c>
      <c r="I5774">
        <v>99</v>
      </c>
      <c r="J5774">
        <v>-123</v>
      </c>
      <c r="K5774">
        <v>-64</v>
      </c>
      <c r="L5774">
        <v>1200</v>
      </c>
      <c r="M5774" t="str">
        <f t="shared" si="613"/>
        <v xml:space="preserve">N35DC   </v>
      </c>
      <c r="N5774">
        <v>1</v>
      </c>
      <c r="O5774">
        <v>1750</v>
      </c>
    </row>
    <row r="5775" spans="1:15" x14ac:dyDescent="0.25">
      <c r="A5775" t="str">
        <f>"10/21/2020 18:55:16.612"</f>
        <v>10/21/2020 18:55:16.612</v>
      </c>
      <c r="B5775" t="str">
        <f>"18:55:24.547"</f>
        <v>18:55:24.547</v>
      </c>
      <c r="C5775" t="str">
        <f>"18:55:24.247"</f>
        <v>18:55:24.247</v>
      </c>
      <c r="D5775" t="s">
        <v>2391</v>
      </c>
      <c r="E5775">
        <v>30.716529000000001</v>
      </c>
      <c r="F5775" t="s">
        <v>2392</v>
      </c>
      <c r="G5775">
        <v>-89.796581000000003</v>
      </c>
      <c r="H5775">
        <v>1700</v>
      </c>
      <c r="I5775">
        <v>99</v>
      </c>
      <c r="J5775">
        <v>-123</v>
      </c>
      <c r="K5775">
        <v>-64</v>
      </c>
      <c r="L5775">
        <v>1200</v>
      </c>
      <c r="M5775" t="str">
        <f t="shared" si="613"/>
        <v xml:space="preserve">N35DC   </v>
      </c>
      <c r="N5775">
        <v>1</v>
      </c>
      <c r="O5775">
        <v>1750</v>
      </c>
    </row>
    <row r="5776" spans="1:15" x14ac:dyDescent="0.25">
      <c r="A5776" t="str">
        <f>"10/21/2020 18:55:16.612"</f>
        <v>10/21/2020 18:55:16.612</v>
      </c>
      <c r="B5776" t="str">
        <f>"18:55:24.547"</f>
        <v>18:55:24.547</v>
      </c>
      <c r="C5776" t="str">
        <f>"18:55:24.247"</f>
        <v>18:55:24.247</v>
      </c>
      <c r="D5776" t="s">
        <v>2391</v>
      </c>
      <c r="E5776">
        <v>30.716529000000001</v>
      </c>
      <c r="F5776" t="s">
        <v>2392</v>
      </c>
      <c r="G5776">
        <v>-89.796581000000003</v>
      </c>
      <c r="H5776">
        <v>1700</v>
      </c>
      <c r="I5776">
        <v>99</v>
      </c>
      <c r="J5776">
        <v>-123</v>
      </c>
      <c r="K5776">
        <v>-64</v>
      </c>
      <c r="L5776">
        <v>1200</v>
      </c>
      <c r="M5776" t="str">
        <f t="shared" si="613"/>
        <v xml:space="preserve">N35DC   </v>
      </c>
      <c r="N5776">
        <v>1</v>
      </c>
      <c r="O5776">
        <v>1750</v>
      </c>
    </row>
    <row r="5777" spans="1:15" x14ac:dyDescent="0.25">
      <c r="A5777" t="str">
        <f t="shared" ref="A5777:A5782" si="614">"10/21/2020 18:55:18.554"</f>
        <v>10/21/2020 18:55:18.554</v>
      </c>
      <c r="B5777" t="str">
        <f t="shared" ref="B5777:B5782" si="615">"18:55:26.508"</f>
        <v>18:55:26.508</v>
      </c>
      <c r="C5777" t="str">
        <f t="shared" ref="C5777:C5782" si="616">"18:55:26.308"</f>
        <v>18:55:26.308</v>
      </c>
      <c r="D5777" t="s">
        <v>2393</v>
      </c>
      <c r="E5777">
        <v>30.715392000000001</v>
      </c>
      <c r="F5777" t="s">
        <v>2394</v>
      </c>
      <c r="G5777">
        <v>-89.795507999999998</v>
      </c>
      <c r="H5777">
        <v>1700</v>
      </c>
      <c r="I5777">
        <v>99</v>
      </c>
      <c r="J5777">
        <v>-122</v>
      </c>
      <c r="K5777">
        <v>0</v>
      </c>
      <c r="L5777">
        <v>1200</v>
      </c>
      <c r="M5777" t="str">
        <f t="shared" si="613"/>
        <v xml:space="preserve">N35DC   </v>
      </c>
      <c r="N5777">
        <v>1</v>
      </c>
      <c r="O5777">
        <v>1750</v>
      </c>
    </row>
    <row r="5778" spans="1:15" x14ac:dyDescent="0.25">
      <c r="A5778" t="str">
        <f t="shared" si="614"/>
        <v>10/21/2020 18:55:18.554</v>
      </c>
      <c r="B5778" t="str">
        <f t="shared" si="615"/>
        <v>18:55:26.508</v>
      </c>
      <c r="C5778" t="str">
        <f t="shared" si="616"/>
        <v>18:55:26.308</v>
      </c>
      <c r="D5778" t="s">
        <v>2393</v>
      </c>
      <c r="E5778">
        <v>30.715392000000001</v>
      </c>
      <c r="F5778" t="s">
        <v>2394</v>
      </c>
      <c r="G5778">
        <v>-89.795507999999998</v>
      </c>
      <c r="H5778">
        <v>1700</v>
      </c>
      <c r="I5778">
        <v>99</v>
      </c>
      <c r="J5778">
        <v>-122</v>
      </c>
      <c r="K5778">
        <v>0</v>
      </c>
      <c r="L5778">
        <v>1200</v>
      </c>
      <c r="M5778" t="str">
        <f t="shared" si="613"/>
        <v xml:space="preserve">N35DC   </v>
      </c>
      <c r="N5778">
        <v>1</v>
      </c>
      <c r="O5778">
        <v>1750</v>
      </c>
    </row>
    <row r="5779" spans="1:15" x14ac:dyDescent="0.25">
      <c r="A5779" t="str">
        <f t="shared" si="614"/>
        <v>10/21/2020 18:55:18.554</v>
      </c>
      <c r="B5779" t="str">
        <f t="shared" si="615"/>
        <v>18:55:26.508</v>
      </c>
      <c r="C5779" t="str">
        <f t="shared" si="616"/>
        <v>18:55:26.308</v>
      </c>
      <c r="D5779" t="s">
        <v>2393</v>
      </c>
      <c r="E5779">
        <v>30.715392000000001</v>
      </c>
      <c r="F5779" t="s">
        <v>2394</v>
      </c>
      <c r="G5779">
        <v>-89.795507999999998</v>
      </c>
      <c r="H5779">
        <v>1700</v>
      </c>
      <c r="I5779">
        <v>99</v>
      </c>
      <c r="J5779">
        <v>-122</v>
      </c>
      <c r="K5779">
        <v>0</v>
      </c>
      <c r="L5779">
        <v>1200</v>
      </c>
      <c r="M5779" t="str">
        <f t="shared" si="613"/>
        <v xml:space="preserve">N35DC   </v>
      </c>
      <c r="N5779">
        <v>1</v>
      </c>
      <c r="O5779">
        <v>1750</v>
      </c>
    </row>
    <row r="5780" spans="1:15" x14ac:dyDescent="0.25">
      <c r="A5780" t="str">
        <f t="shared" si="614"/>
        <v>10/21/2020 18:55:18.554</v>
      </c>
      <c r="B5780" t="str">
        <f t="shared" si="615"/>
        <v>18:55:26.508</v>
      </c>
      <c r="C5780" t="str">
        <f t="shared" si="616"/>
        <v>18:55:26.308</v>
      </c>
      <c r="D5780" t="s">
        <v>2393</v>
      </c>
      <c r="E5780">
        <v>30.715392000000001</v>
      </c>
      <c r="F5780" t="s">
        <v>2394</v>
      </c>
      <c r="G5780">
        <v>-89.795507999999998</v>
      </c>
      <c r="H5780">
        <v>1700</v>
      </c>
      <c r="I5780">
        <v>99</v>
      </c>
      <c r="J5780">
        <v>-122</v>
      </c>
      <c r="K5780">
        <v>0</v>
      </c>
      <c r="L5780">
        <v>1200</v>
      </c>
      <c r="M5780" t="str">
        <f t="shared" si="613"/>
        <v xml:space="preserve">N35DC   </v>
      </c>
      <c r="N5780">
        <v>1</v>
      </c>
      <c r="O5780">
        <v>1750</v>
      </c>
    </row>
    <row r="5781" spans="1:15" x14ac:dyDescent="0.25">
      <c r="A5781" t="str">
        <f t="shared" si="614"/>
        <v>10/21/2020 18:55:18.554</v>
      </c>
      <c r="B5781" t="str">
        <f t="shared" si="615"/>
        <v>18:55:26.508</v>
      </c>
      <c r="C5781" t="str">
        <f t="shared" si="616"/>
        <v>18:55:26.308</v>
      </c>
      <c r="D5781" t="s">
        <v>2393</v>
      </c>
      <c r="E5781">
        <v>30.715392000000001</v>
      </c>
      <c r="F5781" t="s">
        <v>2394</v>
      </c>
      <c r="G5781">
        <v>-89.795507999999998</v>
      </c>
      <c r="H5781">
        <v>1700</v>
      </c>
      <c r="I5781">
        <v>99</v>
      </c>
      <c r="J5781">
        <v>-122</v>
      </c>
      <c r="K5781">
        <v>0</v>
      </c>
      <c r="L5781">
        <v>1200</v>
      </c>
      <c r="M5781" t="str">
        <f t="shared" si="613"/>
        <v xml:space="preserve">N35DC   </v>
      </c>
      <c r="N5781">
        <v>1</v>
      </c>
      <c r="O5781">
        <v>1750</v>
      </c>
    </row>
    <row r="5782" spans="1:15" x14ac:dyDescent="0.25">
      <c r="A5782" t="str">
        <f t="shared" si="614"/>
        <v>10/21/2020 18:55:18.554</v>
      </c>
      <c r="B5782" t="str">
        <f t="shared" si="615"/>
        <v>18:55:26.508</v>
      </c>
      <c r="C5782" t="str">
        <f t="shared" si="616"/>
        <v>18:55:26.308</v>
      </c>
      <c r="D5782" t="s">
        <v>2393</v>
      </c>
      <c r="E5782">
        <v>30.715392000000001</v>
      </c>
      <c r="F5782" t="s">
        <v>2394</v>
      </c>
      <c r="G5782">
        <v>-89.795507999999998</v>
      </c>
      <c r="H5782">
        <v>1700</v>
      </c>
      <c r="I5782">
        <v>99</v>
      </c>
      <c r="J5782">
        <v>-122</v>
      </c>
      <c r="K5782">
        <v>0</v>
      </c>
      <c r="L5782">
        <v>1200</v>
      </c>
      <c r="M5782" t="str">
        <f t="shared" si="613"/>
        <v xml:space="preserve">N35DC   </v>
      </c>
      <c r="N5782">
        <v>1</v>
      </c>
      <c r="O5782">
        <v>1750</v>
      </c>
    </row>
    <row r="5783" spans="1:15" x14ac:dyDescent="0.25">
      <c r="A5783" t="str">
        <f>"10/21/2020 18:55:19.529"</f>
        <v>10/21/2020 18:55:19.529</v>
      </c>
      <c r="B5783" t="str">
        <f>"18:55:27.453"</f>
        <v>18:55:27.453</v>
      </c>
      <c r="C5783" t="str">
        <f>"18:55:27.253"</f>
        <v>18:55:27.253</v>
      </c>
      <c r="D5783" t="s">
        <v>2395</v>
      </c>
      <c r="E5783">
        <v>30.714834</v>
      </c>
      <c r="F5783" t="s">
        <v>2396</v>
      </c>
      <c r="G5783">
        <v>-89.794993000000005</v>
      </c>
      <c r="H5783">
        <v>1700</v>
      </c>
      <c r="I5783">
        <v>99</v>
      </c>
      <c r="J5783">
        <v>-123</v>
      </c>
      <c r="K5783">
        <v>-64</v>
      </c>
      <c r="L5783">
        <v>1200</v>
      </c>
      <c r="M5783" t="str">
        <f t="shared" si="613"/>
        <v xml:space="preserve">N35DC   </v>
      </c>
      <c r="N5783">
        <v>1</v>
      </c>
      <c r="O5783">
        <v>1750</v>
      </c>
    </row>
    <row r="5784" spans="1:15" x14ac:dyDescent="0.25">
      <c r="A5784" t="str">
        <f>"10/21/2020 18:55:19.529"</f>
        <v>10/21/2020 18:55:19.529</v>
      </c>
      <c r="B5784" t="str">
        <f>"18:55:27.453"</f>
        <v>18:55:27.453</v>
      </c>
      <c r="C5784" t="str">
        <f>"18:55:27.253"</f>
        <v>18:55:27.253</v>
      </c>
      <c r="D5784" t="s">
        <v>2395</v>
      </c>
      <c r="E5784">
        <v>30.714834</v>
      </c>
      <c r="F5784" t="s">
        <v>2396</v>
      </c>
      <c r="G5784">
        <v>-89.794993000000005</v>
      </c>
      <c r="H5784">
        <v>1700</v>
      </c>
      <c r="I5784">
        <v>99</v>
      </c>
      <c r="J5784">
        <v>-123</v>
      </c>
      <c r="K5784">
        <v>-64</v>
      </c>
      <c r="L5784">
        <v>1200</v>
      </c>
      <c r="M5784" t="str">
        <f t="shared" si="613"/>
        <v xml:space="preserve">N35DC   </v>
      </c>
      <c r="N5784">
        <v>1</v>
      </c>
      <c r="O5784">
        <v>1750</v>
      </c>
    </row>
    <row r="5785" spans="1:15" x14ac:dyDescent="0.25">
      <c r="A5785" t="str">
        <f>"10/21/2020 18:55:19.529"</f>
        <v>10/21/2020 18:55:19.529</v>
      </c>
      <c r="B5785" t="str">
        <f>"18:55:27.453"</f>
        <v>18:55:27.453</v>
      </c>
      <c r="C5785" t="str">
        <f>"18:55:27.253"</f>
        <v>18:55:27.253</v>
      </c>
      <c r="D5785" t="s">
        <v>2395</v>
      </c>
      <c r="E5785">
        <v>30.714834</v>
      </c>
      <c r="F5785" t="s">
        <v>2396</v>
      </c>
      <c r="G5785">
        <v>-89.794993000000005</v>
      </c>
      <c r="H5785">
        <v>1700</v>
      </c>
      <c r="I5785">
        <v>99</v>
      </c>
      <c r="J5785">
        <v>-123</v>
      </c>
      <c r="K5785">
        <v>-64</v>
      </c>
      <c r="L5785">
        <v>1200</v>
      </c>
      <c r="M5785" t="str">
        <f t="shared" si="613"/>
        <v xml:space="preserve">N35DC   </v>
      </c>
      <c r="N5785">
        <v>1</v>
      </c>
      <c r="O5785">
        <v>1750</v>
      </c>
    </row>
    <row r="5786" spans="1:15" x14ac:dyDescent="0.25">
      <c r="A5786" t="str">
        <f>"10/21/2020 18:55:19.529"</f>
        <v>10/21/2020 18:55:19.529</v>
      </c>
      <c r="B5786" t="str">
        <f>"18:55:27.453"</f>
        <v>18:55:27.453</v>
      </c>
      <c r="C5786" t="str">
        <f>"18:55:27.253"</f>
        <v>18:55:27.253</v>
      </c>
      <c r="D5786" t="s">
        <v>2395</v>
      </c>
      <c r="E5786">
        <v>30.714834</v>
      </c>
      <c r="F5786" t="s">
        <v>2396</v>
      </c>
      <c r="G5786">
        <v>-89.794993000000005</v>
      </c>
      <c r="H5786">
        <v>1700</v>
      </c>
      <c r="I5786">
        <v>99</v>
      </c>
      <c r="J5786">
        <v>-123</v>
      </c>
      <c r="K5786">
        <v>-64</v>
      </c>
      <c r="L5786">
        <v>1200</v>
      </c>
      <c r="M5786" t="str">
        <f t="shared" si="613"/>
        <v xml:space="preserve">N35DC   </v>
      </c>
      <c r="N5786">
        <v>1</v>
      </c>
      <c r="O5786">
        <v>1750</v>
      </c>
    </row>
    <row r="5787" spans="1:15" x14ac:dyDescent="0.25">
      <c r="A5787" t="str">
        <f>"10/21/2020 18:55:19.529"</f>
        <v>10/21/2020 18:55:19.529</v>
      </c>
      <c r="B5787" t="str">
        <f>"18:55:27.453"</f>
        <v>18:55:27.453</v>
      </c>
      <c r="C5787" t="str">
        <f>"18:55:27.253"</f>
        <v>18:55:27.253</v>
      </c>
      <c r="D5787" t="s">
        <v>2395</v>
      </c>
      <c r="E5787">
        <v>30.714834</v>
      </c>
      <c r="F5787" t="s">
        <v>2396</v>
      </c>
      <c r="G5787">
        <v>-89.794993000000005</v>
      </c>
      <c r="H5787">
        <v>1700</v>
      </c>
      <c r="I5787">
        <v>99</v>
      </c>
      <c r="J5787">
        <v>-123</v>
      </c>
      <c r="K5787">
        <v>-64</v>
      </c>
      <c r="L5787">
        <v>1200</v>
      </c>
      <c r="M5787" t="str">
        <f t="shared" si="613"/>
        <v xml:space="preserve">N35DC   </v>
      </c>
      <c r="N5787">
        <v>1</v>
      </c>
      <c r="O5787">
        <v>1750</v>
      </c>
    </row>
    <row r="5788" spans="1:15" x14ac:dyDescent="0.25">
      <c r="A5788" t="str">
        <f>"10/21/2020 18:55:20.088"</f>
        <v>10/21/2020 18:55:20.088</v>
      </c>
      <c r="B5788" t="str">
        <f>"18:55:28.023"</f>
        <v>18:55:28.023</v>
      </c>
      <c r="C5788" t="str">
        <f>"18:55:27.723"</f>
        <v>18:55:27.723</v>
      </c>
      <c r="D5788" t="s">
        <v>2397</v>
      </c>
      <c r="E5788">
        <v>30.714532999999999</v>
      </c>
      <c r="F5788" t="s">
        <v>2398</v>
      </c>
      <c r="G5788">
        <v>-89.794650000000004</v>
      </c>
      <c r="H5788">
        <v>1700</v>
      </c>
      <c r="I5788">
        <v>100</v>
      </c>
      <c r="J5788">
        <v>-122</v>
      </c>
      <c r="K5788">
        <v>-64</v>
      </c>
      <c r="L5788">
        <v>1200</v>
      </c>
      <c r="M5788" t="str">
        <f t="shared" si="613"/>
        <v xml:space="preserve">N35DC   </v>
      </c>
      <c r="N5788">
        <v>1</v>
      </c>
      <c r="O5788">
        <v>1750</v>
      </c>
    </row>
    <row r="5789" spans="1:15" x14ac:dyDescent="0.25">
      <c r="A5789" t="str">
        <f t="shared" ref="A5789:A5794" si="617">"10/21/2020 18:55:22.665"</f>
        <v>10/21/2020 18:55:22.665</v>
      </c>
      <c r="B5789" t="str">
        <f t="shared" ref="B5789:B5794" si="618">"18:55:30.602"</f>
        <v>18:55:30.602</v>
      </c>
      <c r="C5789" t="str">
        <f t="shared" ref="C5789:C5794" si="619">"18:55:30.402"</f>
        <v>18:55:30.402</v>
      </c>
      <c r="D5789" t="s">
        <v>2399</v>
      </c>
      <c r="E5789">
        <v>30.713073999999999</v>
      </c>
      <c r="F5789" t="s">
        <v>2400</v>
      </c>
      <c r="G5789">
        <v>-89.793297999999993</v>
      </c>
      <c r="H5789">
        <v>1700</v>
      </c>
      <c r="I5789">
        <v>100</v>
      </c>
      <c r="J5789">
        <v>-122</v>
      </c>
      <c r="K5789">
        <v>-192</v>
      </c>
      <c r="L5789">
        <v>1200</v>
      </c>
      <c r="M5789" t="str">
        <f t="shared" si="613"/>
        <v xml:space="preserve">N35DC   </v>
      </c>
      <c r="N5789">
        <v>1</v>
      </c>
      <c r="O5789">
        <v>1750</v>
      </c>
    </row>
    <row r="5790" spans="1:15" x14ac:dyDescent="0.25">
      <c r="A5790" t="str">
        <f t="shared" si="617"/>
        <v>10/21/2020 18:55:22.665</v>
      </c>
      <c r="B5790" t="str">
        <f t="shared" si="618"/>
        <v>18:55:30.602</v>
      </c>
      <c r="C5790" t="str">
        <f t="shared" si="619"/>
        <v>18:55:30.402</v>
      </c>
      <c r="D5790" t="s">
        <v>2399</v>
      </c>
      <c r="E5790">
        <v>30.713073999999999</v>
      </c>
      <c r="F5790" t="s">
        <v>2400</v>
      </c>
      <c r="G5790">
        <v>-89.793297999999993</v>
      </c>
      <c r="H5790">
        <v>1700</v>
      </c>
      <c r="I5790">
        <v>100</v>
      </c>
      <c r="J5790">
        <v>-122</v>
      </c>
      <c r="K5790">
        <v>-192</v>
      </c>
      <c r="L5790">
        <v>1200</v>
      </c>
      <c r="M5790" t="str">
        <f t="shared" si="613"/>
        <v xml:space="preserve">N35DC   </v>
      </c>
      <c r="N5790">
        <v>1</v>
      </c>
      <c r="O5790">
        <v>1750</v>
      </c>
    </row>
    <row r="5791" spans="1:15" x14ac:dyDescent="0.25">
      <c r="A5791" t="str">
        <f t="shared" si="617"/>
        <v>10/21/2020 18:55:22.665</v>
      </c>
      <c r="B5791" t="str">
        <f t="shared" si="618"/>
        <v>18:55:30.602</v>
      </c>
      <c r="C5791" t="str">
        <f t="shared" si="619"/>
        <v>18:55:30.402</v>
      </c>
      <c r="D5791" t="s">
        <v>2399</v>
      </c>
      <c r="E5791">
        <v>30.713073999999999</v>
      </c>
      <c r="F5791" t="s">
        <v>2400</v>
      </c>
      <c r="G5791">
        <v>-89.793297999999993</v>
      </c>
      <c r="H5791">
        <v>1700</v>
      </c>
      <c r="I5791">
        <v>100</v>
      </c>
      <c r="J5791">
        <v>-122</v>
      </c>
      <c r="K5791">
        <v>-192</v>
      </c>
      <c r="L5791">
        <v>1200</v>
      </c>
      <c r="M5791" t="str">
        <f t="shared" si="613"/>
        <v xml:space="preserve">N35DC   </v>
      </c>
      <c r="N5791">
        <v>1</v>
      </c>
      <c r="O5791">
        <v>1750</v>
      </c>
    </row>
    <row r="5792" spans="1:15" x14ac:dyDescent="0.25">
      <c r="A5792" t="str">
        <f t="shared" si="617"/>
        <v>10/21/2020 18:55:22.665</v>
      </c>
      <c r="B5792" t="str">
        <f t="shared" si="618"/>
        <v>18:55:30.602</v>
      </c>
      <c r="C5792" t="str">
        <f t="shared" si="619"/>
        <v>18:55:30.402</v>
      </c>
      <c r="D5792" t="s">
        <v>2399</v>
      </c>
      <c r="E5792">
        <v>30.713073999999999</v>
      </c>
      <c r="F5792" t="s">
        <v>2400</v>
      </c>
      <c r="G5792">
        <v>-89.793297999999993</v>
      </c>
      <c r="H5792">
        <v>1700</v>
      </c>
      <c r="I5792">
        <v>100</v>
      </c>
      <c r="J5792">
        <v>-122</v>
      </c>
      <c r="K5792">
        <v>-192</v>
      </c>
      <c r="L5792">
        <v>1200</v>
      </c>
      <c r="M5792" t="str">
        <f t="shared" si="613"/>
        <v xml:space="preserve">N35DC   </v>
      </c>
      <c r="N5792">
        <v>1</v>
      </c>
      <c r="O5792">
        <v>1750</v>
      </c>
    </row>
    <row r="5793" spans="1:15" x14ac:dyDescent="0.25">
      <c r="A5793" t="str">
        <f t="shared" si="617"/>
        <v>10/21/2020 18:55:22.665</v>
      </c>
      <c r="B5793" t="str">
        <f t="shared" si="618"/>
        <v>18:55:30.602</v>
      </c>
      <c r="C5793" t="str">
        <f t="shared" si="619"/>
        <v>18:55:30.402</v>
      </c>
      <c r="D5793" t="s">
        <v>2399</v>
      </c>
      <c r="E5793">
        <v>30.713073999999999</v>
      </c>
      <c r="F5793" t="s">
        <v>2400</v>
      </c>
      <c r="G5793">
        <v>-89.793297999999993</v>
      </c>
      <c r="H5793">
        <v>1700</v>
      </c>
      <c r="I5793">
        <v>100</v>
      </c>
      <c r="J5793">
        <v>-122</v>
      </c>
      <c r="K5793">
        <v>-192</v>
      </c>
      <c r="L5793">
        <v>1200</v>
      </c>
      <c r="M5793" t="str">
        <f t="shared" si="613"/>
        <v xml:space="preserve">N35DC   </v>
      </c>
      <c r="N5793">
        <v>1</v>
      </c>
      <c r="O5793">
        <v>1750</v>
      </c>
    </row>
    <row r="5794" spans="1:15" x14ac:dyDescent="0.25">
      <c r="A5794" t="str">
        <f t="shared" si="617"/>
        <v>10/21/2020 18:55:22.665</v>
      </c>
      <c r="B5794" t="str">
        <f t="shared" si="618"/>
        <v>18:55:30.602</v>
      </c>
      <c r="C5794" t="str">
        <f t="shared" si="619"/>
        <v>18:55:30.402</v>
      </c>
      <c r="D5794" t="s">
        <v>2399</v>
      </c>
      <c r="E5794">
        <v>30.713073999999999</v>
      </c>
      <c r="F5794" t="s">
        <v>2400</v>
      </c>
      <c r="G5794">
        <v>-89.793297999999993</v>
      </c>
      <c r="H5794">
        <v>1700</v>
      </c>
      <c r="I5794">
        <v>100</v>
      </c>
      <c r="J5794">
        <v>-122</v>
      </c>
      <c r="K5794">
        <v>-192</v>
      </c>
      <c r="L5794">
        <v>1200</v>
      </c>
      <c r="M5794" t="str">
        <f t="shared" si="613"/>
        <v xml:space="preserve">N35DC   </v>
      </c>
      <c r="N5794">
        <v>1</v>
      </c>
      <c r="O5794">
        <v>1750</v>
      </c>
    </row>
    <row r="5795" spans="1:15" x14ac:dyDescent="0.25">
      <c r="A5795" t="str">
        <f>"10/21/2020 18:55:23.499"</f>
        <v>10/21/2020 18:55:23.499</v>
      </c>
      <c r="B5795" t="str">
        <f>"18:55:31.445"</f>
        <v>18:55:31.445</v>
      </c>
      <c r="C5795" t="str">
        <f>"18:55:30.945"</f>
        <v>18:55:30.945</v>
      </c>
      <c r="D5795" t="s">
        <v>2401</v>
      </c>
      <c r="E5795">
        <v>30.712602</v>
      </c>
      <c r="F5795" t="s">
        <v>2402</v>
      </c>
      <c r="G5795">
        <v>-89.792848000000006</v>
      </c>
      <c r="H5795">
        <v>1700</v>
      </c>
      <c r="I5795">
        <v>100</v>
      </c>
      <c r="J5795">
        <v>-123</v>
      </c>
      <c r="K5795">
        <v>-64</v>
      </c>
      <c r="L5795">
        <v>1200</v>
      </c>
      <c r="M5795" t="str">
        <f t="shared" si="613"/>
        <v xml:space="preserve">N35DC   </v>
      </c>
      <c r="N5795">
        <v>1</v>
      </c>
      <c r="O5795">
        <v>1750</v>
      </c>
    </row>
    <row r="5796" spans="1:15" x14ac:dyDescent="0.25">
      <c r="A5796" t="str">
        <f>"10/21/2020 18:55:23.499"</f>
        <v>10/21/2020 18:55:23.499</v>
      </c>
      <c r="B5796" t="str">
        <f>"18:55:31.445"</f>
        <v>18:55:31.445</v>
      </c>
      <c r="C5796" t="str">
        <f>"18:55:30.945"</f>
        <v>18:55:30.945</v>
      </c>
      <c r="D5796" t="s">
        <v>2401</v>
      </c>
      <c r="E5796">
        <v>30.712602</v>
      </c>
      <c r="F5796" t="s">
        <v>2402</v>
      </c>
      <c r="G5796">
        <v>-89.792848000000006</v>
      </c>
      <c r="H5796">
        <v>1700</v>
      </c>
      <c r="I5796">
        <v>100</v>
      </c>
      <c r="J5796">
        <v>-123</v>
      </c>
      <c r="K5796">
        <v>-64</v>
      </c>
      <c r="L5796">
        <v>1200</v>
      </c>
      <c r="M5796" t="str">
        <f t="shared" si="613"/>
        <v xml:space="preserve">N35DC   </v>
      </c>
      <c r="N5796">
        <v>1</v>
      </c>
      <c r="O5796">
        <v>1750</v>
      </c>
    </row>
    <row r="5797" spans="1:15" x14ac:dyDescent="0.25">
      <c r="A5797" t="str">
        <f>"10/21/2020 18:55:23.499"</f>
        <v>10/21/2020 18:55:23.499</v>
      </c>
      <c r="B5797" t="str">
        <f>"18:55:31.445"</f>
        <v>18:55:31.445</v>
      </c>
      <c r="C5797" t="str">
        <f>"18:55:30.945"</f>
        <v>18:55:30.945</v>
      </c>
      <c r="D5797" t="s">
        <v>2401</v>
      </c>
      <c r="E5797">
        <v>30.712602</v>
      </c>
      <c r="F5797" t="s">
        <v>2402</v>
      </c>
      <c r="G5797">
        <v>-89.792848000000006</v>
      </c>
      <c r="H5797">
        <v>1700</v>
      </c>
      <c r="I5797">
        <v>100</v>
      </c>
      <c r="J5797">
        <v>-123</v>
      </c>
      <c r="K5797">
        <v>-64</v>
      </c>
      <c r="L5797">
        <v>1200</v>
      </c>
      <c r="M5797" t="str">
        <f t="shared" si="613"/>
        <v xml:space="preserve">N35DC   </v>
      </c>
      <c r="N5797">
        <v>1</v>
      </c>
      <c r="O5797">
        <v>1750</v>
      </c>
    </row>
    <row r="5798" spans="1:15" x14ac:dyDescent="0.25">
      <c r="A5798" t="str">
        <f>"10/21/2020 18:55:23.499"</f>
        <v>10/21/2020 18:55:23.499</v>
      </c>
      <c r="B5798" t="str">
        <f>"18:55:31.445"</f>
        <v>18:55:31.445</v>
      </c>
      <c r="C5798" t="str">
        <f>"18:55:30.945"</f>
        <v>18:55:30.945</v>
      </c>
      <c r="D5798" t="s">
        <v>2401</v>
      </c>
      <c r="E5798">
        <v>30.712602</v>
      </c>
      <c r="F5798" t="s">
        <v>2402</v>
      </c>
      <c r="G5798">
        <v>-89.792848000000006</v>
      </c>
      <c r="H5798">
        <v>1700</v>
      </c>
      <c r="I5798">
        <v>100</v>
      </c>
      <c r="J5798">
        <v>-123</v>
      </c>
      <c r="K5798">
        <v>-64</v>
      </c>
      <c r="L5798">
        <v>1200</v>
      </c>
      <c r="M5798" t="str">
        <f t="shared" si="613"/>
        <v xml:space="preserve">N35DC   </v>
      </c>
      <c r="N5798">
        <v>1</v>
      </c>
      <c r="O5798">
        <v>1750</v>
      </c>
    </row>
    <row r="5799" spans="1:15" x14ac:dyDescent="0.25">
      <c r="A5799" t="str">
        <f>"10/21/2020 18:55:23.499"</f>
        <v>10/21/2020 18:55:23.499</v>
      </c>
      <c r="B5799" t="str">
        <f>"18:55:31.445"</f>
        <v>18:55:31.445</v>
      </c>
      <c r="C5799" t="str">
        <f>"18:55:30.945"</f>
        <v>18:55:30.945</v>
      </c>
      <c r="D5799" t="s">
        <v>2401</v>
      </c>
      <c r="E5799">
        <v>30.712602</v>
      </c>
      <c r="F5799" t="s">
        <v>2402</v>
      </c>
      <c r="G5799">
        <v>-89.792848000000006</v>
      </c>
      <c r="H5799">
        <v>1700</v>
      </c>
      <c r="I5799">
        <v>100</v>
      </c>
      <c r="J5799">
        <v>-123</v>
      </c>
      <c r="K5799">
        <v>-64</v>
      </c>
      <c r="L5799">
        <v>1200</v>
      </c>
      <c r="M5799" t="str">
        <f t="shared" si="613"/>
        <v xml:space="preserve">N35DC   </v>
      </c>
      <c r="N5799">
        <v>1</v>
      </c>
      <c r="O5799">
        <v>1750</v>
      </c>
    </row>
    <row r="5800" spans="1:15" x14ac:dyDescent="0.25">
      <c r="A5800" t="str">
        <f>"10/21/2020 18:55:25.674"</f>
        <v>10/21/2020 18:55:25.674</v>
      </c>
      <c r="B5800" t="str">
        <f>"18:55:33.602"</f>
        <v>18:55:33.602</v>
      </c>
      <c r="C5800" t="str">
        <f>"18:55:33.502"</f>
        <v>18:55:33.502</v>
      </c>
      <c r="D5800" t="s">
        <v>2403</v>
      </c>
      <c r="E5800">
        <v>30.711358000000001</v>
      </c>
      <c r="F5800" t="s">
        <v>2404</v>
      </c>
      <c r="G5800">
        <v>-89.791689000000005</v>
      </c>
      <c r="H5800">
        <v>1700</v>
      </c>
      <c r="I5800">
        <v>99</v>
      </c>
      <c r="J5800">
        <v>-124</v>
      </c>
      <c r="K5800">
        <v>64</v>
      </c>
      <c r="L5800">
        <v>1200</v>
      </c>
      <c r="M5800" t="str">
        <f t="shared" si="613"/>
        <v xml:space="preserve">N35DC   </v>
      </c>
      <c r="N5800">
        <v>1</v>
      </c>
      <c r="O5800">
        <v>1750</v>
      </c>
    </row>
    <row r="5801" spans="1:15" x14ac:dyDescent="0.25">
      <c r="A5801" t="str">
        <f>"10/21/2020 18:55:25.674"</f>
        <v>10/21/2020 18:55:25.674</v>
      </c>
      <c r="B5801" t="str">
        <f>"18:55:33.602"</f>
        <v>18:55:33.602</v>
      </c>
      <c r="C5801" t="str">
        <f>"18:55:33.502"</f>
        <v>18:55:33.502</v>
      </c>
      <c r="D5801" t="s">
        <v>2403</v>
      </c>
      <c r="E5801">
        <v>30.711358000000001</v>
      </c>
      <c r="F5801" t="s">
        <v>2404</v>
      </c>
      <c r="G5801">
        <v>-89.791689000000005</v>
      </c>
      <c r="H5801">
        <v>1700</v>
      </c>
      <c r="I5801">
        <v>99</v>
      </c>
      <c r="J5801">
        <v>-124</v>
      </c>
      <c r="K5801">
        <v>64</v>
      </c>
      <c r="L5801">
        <v>1200</v>
      </c>
      <c r="M5801" t="str">
        <f t="shared" si="613"/>
        <v xml:space="preserve">N35DC   </v>
      </c>
      <c r="N5801">
        <v>1</v>
      </c>
      <c r="O5801">
        <v>1750</v>
      </c>
    </row>
    <row r="5802" spans="1:15" x14ac:dyDescent="0.25">
      <c r="A5802" t="str">
        <f>"10/21/2020 18:55:25.674"</f>
        <v>10/21/2020 18:55:25.674</v>
      </c>
      <c r="B5802" t="str">
        <f>"18:55:33.602"</f>
        <v>18:55:33.602</v>
      </c>
      <c r="C5802" t="str">
        <f>"18:55:33.502"</f>
        <v>18:55:33.502</v>
      </c>
      <c r="D5802" t="s">
        <v>2403</v>
      </c>
      <c r="E5802">
        <v>30.711358000000001</v>
      </c>
      <c r="F5802" t="s">
        <v>2404</v>
      </c>
      <c r="G5802">
        <v>-89.791689000000005</v>
      </c>
      <c r="H5802">
        <v>1700</v>
      </c>
      <c r="I5802">
        <v>99</v>
      </c>
      <c r="J5802">
        <v>-124</v>
      </c>
      <c r="K5802">
        <v>64</v>
      </c>
      <c r="L5802">
        <v>1200</v>
      </c>
      <c r="M5802" t="str">
        <f t="shared" si="613"/>
        <v xml:space="preserve">N35DC   </v>
      </c>
      <c r="N5802">
        <v>1</v>
      </c>
      <c r="O5802">
        <v>1750</v>
      </c>
    </row>
    <row r="5803" spans="1:15" x14ac:dyDescent="0.25">
      <c r="A5803" t="str">
        <f>"10/21/2020 18:55:25.674"</f>
        <v>10/21/2020 18:55:25.674</v>
      </c>
      <c r="B5803" t="str">
        <f>"18:55:33.602"</f>
        <v>18:55:33.602</v>
      </c>
      <c r="C5803" t="str">
        <f>"18:55:33.502"</f>
        <v>18:55:33.502</v>
      </c>
      <c r="D5803" t="s">
        <v>2403</v>
      </c>
      <c r="E5803">
        <v>30.711358000000001</v>
      </c>
      <c r="F5803" t="s">
        <v>2404</v>
      </c>
      <c r="G5803">
        <v>-89.791689000000005</v>
      </c>
      <c r="H5803">
        <v>1700</v>
      </c>
      <c r="I5803">
        <v>99</v>
      </c>
      <c r="J5803">
        <v>-124</v>
      </c>
      <c r="K5803">
        <v>64</v>
      </c>
      <c r="L5803">
        <v>1200</v>
      </c>
      <c r="M5803" t="str">
        <f t="shared" si="613"/>
        <v xml:space="preserve">N35DC   </v>
      </c>
      <c r="N5803">
        <v>1</v>
      </c>
      <c r="O5803">
        <v>1750</v>
      </c>
    </row>
    <row r="5804" spans="1:15" x14ac:dyDescent="0.25">
      <c r="A5804" t="str">
        <f>"10/21/2020 18:55:25.674"</f>
        <v>10/21/2020 18:55:25.674</v>
      </c>
      <c r="B5804" t="str">
        <f>"18:55:33.602"</f>
        <v>18:55:33.602</v>
      </c>
      <c r="C5804" t="str">
        <f>"18:55:33.502"</f>
        <v>18:55:33.502</v>
      </c>
      <c r="D5804" t="s">
        <v>2403</v>
      </c>
      <c r="E5804">
        <v>30.711358000000001</v>
      </c>
      <c r="F5804" t="s">
        <v>2404</v>
      </c>
      <c r="G5804">
        <v>-89.791689000000005</v>
      </c>
      <c r="H5804">
        <v>1700</v>
      </c>
      <c r="I5804">
        <v>99</v>
      </c>
      <c r="J5804">
        <v>-124</v>
      </c>
      <c r="K5804">
        <v>64</v>
      </c>
      <c r="L5804">
        <v>1200</v>
      </c>
      <c r="M5804" t="str">
        <f t="shared" si="613"/>
        <v xml:space="preserve">N35DC   </v>
      </c>
      <c r="N5804">
        <v>1</v>
      </c>
      <c r="O5804">
        <v>1750</v>
      </c>
    </row>
    <row r="5805" spans="1:15" x14ac:dyDescent="0.25">
      <c r="A5805" t="str">
        <f>"10/21/2020 18:55:26.275"</f>
        <v>10/21/2020 18:55:26.275</v>
      </c>
      <c r="B5805" t="str">
        <f>"18:55:34.188"</f>
        <v>18:55:34.188</v>
      </c>
      <c r="C5805" t="str">
        <f>"18:55:34.087"</f>
        <v>18:55:34.087</v>
      </c>
      <c r="D5805" t="s">
        <v>2405</v>
      </c>
      <c r="E5805">
        <v>30.711013999999999</v>
      </c>
      <c r="F5805" t="s">
        <v>2406</v>
      </c>
      <c r="G5805">
        <v>-89.791366999999994</v>
      </c>
      <c r="H5805">
        <v>1700</v>
      </c>
      <c r="I5805">
        <v>99</v>
      </c>
      <c r="J5805">
        <v>-124</v>
      </c>
      <c r="K5805">
        <v>0</v>
      </c>
      <c r="L5805">
        <v>1200</v>
      </c>
      <c r="M5805" t="str">
        <f t="shared" si="613"/>
        <v xml:space="preserve">N35DC   </v>
      </c>
      <c r="N5805">
        <v>1</v>
      </c>
      <c r="O5805">
        <v>1750</v>
      </c>
    </row>
    <row r="5806" spans="1:15" x14ac:dyDescent="0.25">
      <c r="A5806" t="str">
        <f>"10/21/2020 18:55:26.681"</f>
        <v>10/21/2020 18:55:26.681</v>
      </c>
      <c r="B5806" t="str">
        <f t="shared" ref="B5806:C5810" si="620">"18:55:34.641"</f>
        <v>18:55:34.641</v>
      </c>
      <c r="C5806" t="str">
        <f t="shared" si="620"/>
        <v>18:55:34.641</v>
      </c>
      <c r="D5806" t="s">
        <v>2407</v>
      </c>
      <c r="E5806">
        <v>30.710735</v>
      </c>
      <c r="F5806" t="s">
        <v>2408</v>
      </c>
      <c r="G5806">
        <v>-89.791151999999997</v>
      </c>
      <c r="H5806">
        <v>1700</v>
      </c>
      <c r="I5806">
        <v>99</v>
      </c>
      <c r="J5806">
        <v>-124</v>
      </c>
      <c r="K5806">
        <v>-64</v>
      </c>
      <c r="L5806">
        <v>1200</v>
      </c>
      <c r="M5806" t="str">
        <f t="shared" si="613"/>
        <v xml:space="preserve">N35DC   </v>
      </c>
      <c r="N5806">
        <v>1</v>
      </c>
      <c r="O5806">
        <v>1750</v>
      </c>
    </row>
    <row r="5807" spans="1:15" x14ac:dyDescent="0.25">
      <c r="A5807" t="str">
        <f>"10/21/2020 18:55:26.681"</f>
        <v>10/21/2020 18:55:26.681</v>
      </c>
      <c r="B5807" t="str">
        <f t="shared" si="620"/>
        <v>18:55:34.641</v>
      </c>
      <c r="C5807" t="str">
        <f t="shared" si="620"/>
        <v>18:55:34.641</v>
      </c>
      <c r="D5807" t="s">
        <v>2407</v>
      </c>
      <c r="E5807">
        <v>30.710735</v>
      </c>
      <c r="F5807" t="s">
        <v>2408</v>
      </c>
      <c r="G5807">
        <v>-89.791151999999997</v>
      </c>
      <c r="H5807">
        <v>1700</v>
      </c>
      <c r="I5807">
        <v>99</v>
      </c>
      <c r="J5807">
        <v>-124</v>
      </c>
      <c r="K5807">
        <v>-64</v>
      </c>
      <c r="L5807">
        <v>1200</v>
      </c>
      <c r="M5807" t="str">
        <f t="shared" si="613"/>
        <v xml:space="preserve">N35DC   </v>
      </c>
      <c r="N5807">
        <v>1</v>
      </c>
      <c r="O5807">
        <v>1750</v>
      </c>
    </row>
    <row r="5808" spans="1:15" x14ac:dyDescent="0.25">
      <c r="A5808" t="str">
        <f>"10/21/2020 18:55:26.681"</f>
        <v>10/21/2020 18:55:26.681</v>
      </c>
      <c r="B5808" t="str">
        <f t="shared" si="620"/>
        <v>18:55:34.641</v>
      </c>
      <c r="C5808" t="str">
        <f t="shared" si="620"/>
        <v>18:55:34.641</v>
      </c>
      <c r="D5808" t="s">
        <v>2407</v>
      </c>
      <c r="E5808">
        <v>30.710735</v>
      </c>
      <c r="F5808" t="s">
        <v>2408</v>
      </c>
      <c r="G5808">
        <v>-89.791151999999997</v>
      </c>
      <c r="H5808">
        <v>1700</v>
      </c>
      <c r="I5808">
        <v>99</v>
      </c>
      <c r="J5808">
        <v>-124</v>
      </c>
      <c r="K5808">
        <v>-64</v>
      </c>
      <c r="L5808">
        <v>1200</v>
      </c>
      <c r="M5808" t="str">
        <f t="shared" si="613"/>
        <v xml:space="preserve">N35DC   </v>
      </c>
      <c r="N5808">
        <v>1</v>
      </c>
      <c r="O5808">
        <v>1750</v>
      </c>
    </row>
    <row r="5809" spans="1:15" x14ac:dyDescent="0.25">
      <c r="A5809" t="str">
        <f>"10/21/2020 18:55:26.681"</f>
        <v>10/21/2020 18:55:26.681</v>
      </c>
      <c r="B5809" t="str">
        <f t="shared" si="620"/>
        <v>18:55:34.641</v>
      </c>
      <c r="C5809" t="str">
        <f t="shared" si="620"/>
        <v>18:55:34.641</v>
      </c>
      <c r="D5809" t="s">
        <v>2407</v>
      </c>
      <c r="E5809">
        <v>30.710735</v>
      </c>
      <c r="F5809" t="s">
        <v>2408</v>
      </c>
      <c r="G5809">
        <v>-89.791151999999997</v>
      </c>
      <c r="H5809">
        <v>1700</v>
      </c>
      <c r="I5809">
        <v>99</v>
      </c>
      <c r="J5809">
        <v>-124</v>
      </c>
      <c r="K5809">
        <v>-64</v>
      </c>
      <c r="L5809">
        <v>1200</v>
      </c>
      <c r="M5809" t="str">
        <f t="shared" si="613"/>
        <v xml:space="preserve">N35DC   </v>
      </c>
      <c r="N5809">
        <v>1</v>
      </c>
      <c r="O5809">
        <v>1750</v>
      </c>
    </row>
    <row r="5810" spans="1:15" x14ac:dyDescent="0.25">
      <c r="A5810" t="str">
        <f>"10/21/2020 18:55:26.681"</f>
        <v>10/21/2020 18:55:26.681</v>
      </c>
      <c r="B5810" t="str">
        <f t="shared" si="620"/>
        <v>18:55:34.641</v>
      </c>
      <c r="C5810" t="str">
        <f t="shared" si="620"/>
        <v>18:55:34.641</v>
      </c>
      <c r="D5810" t="s">
        <v>2407</v>
      </c>
      <c r="E5810">
        <v>30.710735</v>
      </c>
      <c r="F5810" t="s">
        <v>2408</v>
      </c>
      <c r="G5810">
        <v>-89.791151999999997</v>
      </c>
      <c r="H5810">
        <v>1700</v>
      </c>
      <c r="I5810">
        <v>99</v>
      </c>
      <c r="J5810">
        <v>-124</v>
      </c>
      <c r="K5810">
        <v>-64</v>
      </c>
      <c r="L5810">
        <v>1200</v>
      </c>
      <c r="M5810" t="str">
        <f t="shared" si="613"/>
        <v xml:space="preserve">N35DC   </v>
      </c>
      <c r="N5810">
        <v>1</v>
      </c>
      <c r="O5810">
        <v>1750</v>
      </c>
    </row>
    <row r="5811" spans="1:15" x14ac:dyDescent="0.25">
      <c r="A5811" t="str">
        <f>"10/21/2020 18:55:29.701"</f>
        <v>10/21/2020 18:55:29.701</v>
      </c>
      <c r="B5811" t="str">
        <f>"18:55:37.656"</f>
        <v>18:55:37.656</v>
      </c>
      <c r="C5811" t="str">
        <f>"18:55:37.456"</f>
        <v>18:55:37.456</v>
      </c>
      <c r="D5811" t="s">
        <v>2409</v>
      </c>
      <c r="E5811">
        <v>30.709083</v>
      </c>
      <c r="F5811" t="s">
        <v>2410</v>
      </c>
      <c r="G5811">
        <v>-89.789542999999995</v>
      </c>
      <c r="H5811">
        <v>1700</v>
      </c>
      <c r="I5811">
        <v>101</v>
      </c>
      <c r="J5811">
        <v>-121</v>
      </c>
      <c r="K5811">
        <v>64</v>
      </c>
      <c r="L5811">
        <v>1200</v>
      </c>
      <c r="M5811" t="str">
        <f t="shared" si="613"/>
        <v xml:space="preserve">N35DC   </v>
      </c>
      <c r="N5811">
        <v>1</v>
      </c>
      <c r="O5811">
        <v>1750</v>
      </c>
    </row>
    <row r="5812" spans="1:15" x14ac:dyDescent="0.25">
      <c r="A5812" t="str">
        <f>"10/21/2020 18:55:29.701"</f>
        <v>10/21/2020 18:55:29.701</v>
      </c>
      <c r="B5812" t="str">
        <f>"18:55:37.656"</f>
        <v>18:55:37.656</v>
      </c>
      <c r="C5812" t="str">
        <f>"18:55:37.456"</f>
        <v>18:55:37.456</v>
      </c>
      <c r="D5812" t="s">
        <v>2409</v>
      </c>
      <c r="E5812">
        <v>30.709083</v>
      </c>
      <c r="F5812" t="s">
        <v>2410</v>
      </c>
      <c r="G5812">
        <v>-89.789542999999995</v>
      </c>
      <c r="H5812">
        <v>1700</v>
      </c>
      <c r="I5812">
        <v>101</v>
      </c>
      <c r="J5812">
        <v>-121</v>
      </c>
      <c r="K5812">
        <v>64</v>
      </c>
      <c r="L5812">
        <v>1200</v>
      </c>
      <c r="M5812" t="str">
        <f t="shared" si="613"/>
        <v xml:space="preserve">N35DC   </v>
      </c>
      <c r="N5812">
        <v>1</v>
      </c>
      <c r="O5812">
        <v>1750</v>
      </c>
    </row>
    <row r="5813" spans="1:15" x14ac:dyDescent="0.25">
      <c r="A5813" t="str">
        <f>"10/21/2020 18:55:29.701"</f>
        <v>10/21/2020 18:55:29.701</v>
      </c>
      <c r="B5813" t="str">
        <f>"18:55:37.656"</f>
        <v>18:55:37.656</v>
      </c>
      <c r="C5813" t="str">
        <f>"18:55:37.456"</f>
        <v>18:55:37.456</v>
      </c>
      <c r="D5813" t="s">
        <v>2409</v>
      </c>
      <c r="E5813">
        <v>30.709083</v>
      </c>
      <c r="F5813" t="s">
        <v>2410</v>
      </c>
      <c r="G5813">
        <v>-89.789542999999995</v>
      </c>
      <c r="H5813">
        <v>1700</v>
      </c>
      <c r="I5813">
        <v>101</v>
      </c>
      <c r="J5813">
        <v>-121</v>
      </c>
      <c r="K5813">
        <v>64</v>
      </c>
      <c r="L5813">
        <v>1200</v>
      </c>
      <c r="M5813" t="str">
        <f t="shared" si="613"/>
        <v xml:space="preserve">N35DC   </v>
      </c>
      <c r="N5813">
        <v>1</v>
      </c>
      <c r="O5813">
        <v>1750</v>
      </c>
    </row>
    <row r="5814" spans="1:15" x14ac:dyDescent="0.25">
      <c r="A5814" t="str">
        <f>"10/21/2020 18:55:29.701"</f>
        <v>10/21/2020 18:55:29.701</v>
      </c>
      <c r="B5814" t="str">
        <f>"18:55:37.656"</f>
        <v>18:55:37.656</v>
      </c>
      <c r="C5814" t="str">
        <f>"18:55:37.456"</f>
        <v>18:55:37.456</v>
      </c>
      <c r="D5814" t="s">
        <v>2409</v>
      </c>
      <c r="E5814">
        <v>30.709083</v>
      </c>
      <c r="F5814" t="s">
        <v>2410</v>
      </c>
      <c r="G5814">
        <v>-89.789542999999995</v>
      </c>
      <c r="H5814">
        <v>1700</v>
      </c>
      <c r="I5814">
        <v>101</v>
      </c>
      <c r="J5814">
        <v>-121</v>
      </c>
      <c r="K5814">
        <v>64</v>
      </c>
      <c r="L5814">
        <v>1200</v>
      </c>
      <c r="M5814" t="str">
        <f t="shared" si="613"/>
        <v xml:space="preserve">N35DC   </v>
      </c>
      <c r="N5814">
        <v>1</v>
      </c>
      <c r="O5814">
        <v>1750</v>
      </c>
    </row>
    <row r="5815" spans="1:15" x14ac:dyDescent="0.25">
      <c r="A5815" t="str">
        <f>"10/21/2020 18:55:29.701"</f>
        <v>10/21/2020 18:55:29.701</v>
      </c>
      <c r="B5815" t="str">
        <f>"18:55:37.656"</f>
        <v>18:55:37.656</v>
      </c>
      <c r="C5815" t="str">
        <f>"18:55:37.456"</f>
        <v>18:55:37.456</v>
      </c>
      <c r="D5815" t="s">
        <v>2409</v>
      </c>
      <c r="E5815">
        <v>30.709083</v>
      </c>
      <c r="F5815" t="s">
        <v>2410</v>
      </c>
      <c r="G5815">
        <v>-89.789542999999995</v>
      </c>
      <c r="H5815">
        <v>1700</v>
      </c>
      <c r="I5815">
        <v>101</v>
      </c>
      <c r="J5815">
        <v>-121</v>
      </c>
      <c r="K5815">
        <v>64</v>
      </c>
      <c r="L5815">
        <v>1200</v>
      </c>
      <c r="M5815" t="str">
        <f t="shared" si="613"/>
        <v xml:space="preserve">N35DC   </v>
      </c>
      <c r="N5815">
        <v>1</v>
      </c>
      <c r="O5815">
        <v>1750</v>
      </c>
    </row>
    <row r="5816" spans="1:15" x14ac:dyDescent="0.25">
      <c r="A5816" t="str">
        <f>"10/21/2020 18:55:30.205"</f>
        <v>10/21/2020 18:55:30.205</v>
      </c>
      <c r="B5816" t="str">
        <f>"18:55:38.102"</f>
        <v>18:55:38.102</v>
      </c>
      <c r="C5816" t="str">
        <f>"18:55:38.002"</f>
        <v>18:55:38.002</v>
      </c>
      <c r="D5816" t="s">
        <v>2411</v>
      </c>
      <c r="E5816">
        <v>30.708804000000001</v>
      </c>
      <c r="F5816" t="s">
        <v>2412</v>
      </c>
      <c r="G5816">
        <v>-89.789328999999995</v>
      </c>
      <c r="H5816">
        <v>1700</v>
      </c>
      <c r="I5816">
        <v>101</v>
      </c>
      <c r="J5816">
        <v>-121</v>
      </c>
      <c r="K5816">
        <v>0</v>
      </c>
      <c r="L5816">
        <v>1200</v>
      </c>
      <c r="M5816" t="str">
        <f t="shared" si="613"/>
        <v xml:space="preserve">N35DC   </v>
      </c>
      <c r="N5816">
        <v>1</v>
      </c>
      <c r="O5816">
        <v>1750</v>
      </c>
    </row>
    <row r="5817" spans="1:15" x14ac:dyDescent="0.25">
      <c r="A5817" t="str">
        <f>"10/21/2020 18:55:30.714"</f>
        <v>10/21/2020 18:55:30.714</v>
      </c>
      <c r="B5817" t="str">
        <f>"18:55:38.641"</f>
        <v>18:55:38.641</v>
      </c>
      <c r="C5817" t="str">
        <f>"18:55:38.541"</f>
        <v>18:55:38.541</v>
      </c>
      <c r="D5817" t="s">
        <v>2413</v>
      </c>
      <c r="E5817">
        <v>30.708504000000001</v>
      </c>
      <c r="F5817" t="s">
        <v>2414</v>
      </c>
      <c r="G5817">
        <v>-89.789006999999998</v>
      </c>
      <c r="H5817">
        <v>1700</v>
      </c>
      <c r="I5817">
        <v>101</v>
      </c>
      <c r="J5817">
        <v>-121</v>
      </c>
      <c r="K5817">
        <v>64</v>
      </c>
      <c r="L5817">
        <v>1200</v>
      </c>
      <c r="M5817" t="str">
        <f t="shared" si="613"/>
        <v xml:space="preserve">N35DC   </v>
      </c>
      <c r="N5817">
        <v>1</v>
      </c>
      <c r="O5817">
        <v>1750</v>
      </c>
    </row>
    <row r="5818" spans="1:15" x14ac:dyDescent="0.25">
      <c r="A5818" t="str">
        <f>"10/21/2020 18:55:30.714"</f>
        <v>10/21/2020 18:55:30.714</v>
      </c>
      <c r="B5818" t="str">
        <f>"18:55:38.641"</f>
        <v>18:55:38.641</v>
      </c>
      <c r="C5818" t="str">
        <f>"18:55:38.541"</f>
        <v>18:55:38.541</v>
      </c>
      <c r="D5818" t="s">
        <v>2413</v>
      </c>
      <c r="E5818">
        <v>30.708504000000001</v>
      </c>
      <c r="F5818" t="s">
        <v>2414</v>
      </c>
      <c r="G5818">
        <v>-89.789006999999998</v>
      </c>
      <c r="H5818">
        <v>1700</v>
      </c>
      <c r="I5818">
        <v>101</v>
      </c>
      <c r="J5818">
        <v>-121</v>
      </c>
      <c r="K5818">
        <v>64</v>
      </c>
      <c r="L5818">
        <v>1200</v>
      </c>
      <c r="M5818" t="str">
        <f t="shared" si="613"/>
        <v xml:space="preserve">N35DC   </v>
      </c>
      <c r="N5818">
        <v>1</v>
      </c>
      <c r="O5818">
        <v>1750</v>
      </c>
    </row>
    <row r="5819" spans="1:15" x14ac:dyDescent="0.25">
      <c r="A5819" t="str">
        <f>"10/21/2020 18:55:30.714"</f>
        <v>10/21/2020 18:55:30.714</v>
      </c>
      <c r="B5819" t="str">
        <f>"18:55:38.641"</f>
        <v>18:55:38.641</v>
      </c>
      <c r="C5819" t="str">
        <f>"18:55:38.541"</f>
        <v>18:55:38.541</v>
      </c>
      <c r="D5819" t="s">
        <v>2413</v>
      </c>
      <c r="E5819">
        <v>30.708504000000001</v>
      </c>
      <c r="F5819" t="s">
        <v>2414</v>
      </c>
      <c r="G5819">
        <v>-89.789006999999998</v>
      </c>
      <c r="H5819">
        <v>1700</v>
      </c>
      <c r="I5819">
        <v>101</v>
      </c>
      <c r="J5819">
        <v>-121</v>
      </c>
      <c r="K5819">
        <v>64</v>
      </c>
      <c r="L5819">
        <v>1200</v>
      </c>
      <c r="M5819" t="str">
        <f t="shared" si="613"/>
        <v xml:space="preserve">N35DC   </v>
      </c>
      <c r="N5819">
        <v>1</v>
      </c>
      <c r="O5819">
        <v>1750</v>
      </c>
    </row>
    <row r="5820" spans="1:15" x14ac:dyDescent="0.25">
      <c r="A5820" t="str">
        <f>"10/21/2020 18:55:30.714"</f>
        <v>10/21/2020 18:55:30.714</v>
      </c>
      <c r="B5820" t="str">
        <f>"18:55:38.641"</f>
        <v>18:55:38.641</v>
      </c>
      <c r="C5820" t="str">
        <f>"18:55:38.541"</f>
        <v>18:55:38.541</v>
      </c>
      <c r="D5820" t="s">
        <v>2413</v>
      </c>
      <c r="E5820">
        <v>30.708504000000001</v>
      </c>
      <c r="F5820" t="s">
        <v>2414</v>
      </c>
      <c r="G5820">
        <v>-89.789006999999998</v>
      </c>
      <c r="H5820">
        <v>1700</v>
      </c>
      <c r="I5820">
        <v>101</v>
      </c>
      <c r="J5820">
        <v>-121</v>
      </c>
      <c r="K5820">
        <v>64</v>
      </c>
      <c r="L5820">
        <v>1200</v>
      </c>
      <c r="M5820" t="str">
        <f t="shared" si="613"/>
        <v xml:space="preserve">N35DC   </v>
      </c>
      <c r="N5820">
        <v>1</v>
      </c>
      <c r="O5820">
        <v>1750</v>
      </c>
    </row>
    <row r="5821" spans="1:15" x14ac:dyDescent="0.25">
      <c r="A5821" t="str">
        <f>"10/21/2020 18:55:30.714"</f>
        <v>10/21/2020 18:55:30.714</v>
      </c>
      <c r="B5821" t="str">
        <f>"18:55:38.641"</f>
        <v>18:55:38.641</v>
      </c>
      <c r="C5821" t="str">
        <f>"18:55:38.541"</f>
        <v>18:55:38.541</v>
      </c>
      <c r="D5821" t="s">
        <v>2413</v>
      </c>
      <c r="E5821">
        <v>30.708504000000001</v>
      </c>
      <c r="F5821" t="s">
        <v>2414</v>
      </c>
      <c r="G5821">
        <v>-89.789006999999998</v>
      </c>
      <c r="H5821">
        <v>1700</v>
      </c>
      <c r="I5821">
        <v>101</v>
      </c>
      <c r="J5821">
        <v>-121</v>
      </c>
      <c r="K5821">
        <v>64</v>
      </c>
      <c r="L5821">
        <v>1200</v>
      </c>
      <c r="M5821" t="str">
        <f t="shared" si="613"/>
        <v xml:space="preserve">N35DC   </v>
      </c>
      <c r="N5821">
        <v>1</v>
      </c>
      <c r="O5821">
        <v>1750</v>
      </c>
    </row>
    <row r="5822" spans="1:15" x14ac:dyDescent="0.25">
      <c r="A5822" t="str">
        <f>"10/21/2020 18:55:33.120"</f>
        <v>10/21/2020 18:55:33.120</v>
      </c>
      <c r="B5822" t="str">
        <f>"18:55:41.016"</f>
        <v>18:55:41.016</v>
      </c>
      <c r="C5822" t="str">
        <f>"18:55:40.916"</f>
        <v>18:55:40.916</v>
      </c>
      <c r="D5822" t="s">
        <v>2415</v>
      </c>
      <c r="E5822">
        <v>30.707152000000001</v>
      </c>
      <c r="F5822" t="s">
        <v>2416</v>
      </c>
      <c r="G5822">
        <v>-89.787698000000006</v>
      </c>
      <c r="H5822">
        <v>1700</v>
      </c>
      <c r="I5822">
        <v>101</v>
      </c>
      <c r="J5822">
        <v>-121</v>
      </c>
      <c r="K5822">
        <v>-64</v>
      </c>
      <c r="L5822">
        <v>1200</v>
      </c>
      <c r="M5822" t="str">
        <f t="shared" si="613"/>
        <v xml:space="preserve">N35DC   </v>
      </c>
      <c r="N5822">
        <v>1</v>
      </c>
      <c r="O5822">
        <v>1750</v>
      </c>
    </row>
    <row r="5823" spans="1:15" x14ac:dyDescent="0.25">
      <c r="A5823" t="str">
        <f>"10/21/2020 18:55:33.646"</f>
        <v>10/21/2020 18:55:33.646</v>
      </c>
      <c r="B5823" t="str">
        <f>"18:55:41.586"</f>
        <v>18:55:41.586</v>
      </c>
      <c r="C5823" t="str">
        <f>"18:55:41.386"</f>
        <v>18:55:41.386</v>
      </c>
      <c r="D5823" t="s">
        <v>2417</v>
      </c>
      <c r="E5823">
        <v>30.70683</v>
      </c>
      <c r="F5823" t="s">
        <v>2418</v>
      </c>
      <c r="G5823">
        <v>-89.787440000000004</v>
      </c>
      <c r="H5823">
        <v>1700</v>
      </c>
      <c r="I5823">
        <v>101</v>
      </c>
      <c r="J5823">
        <v>-121</v>
      </c>
      <c r="K5823">
        <v>-64</v>
      </c>
      <c r="L5823">
        <v>1200</v>
      </c>
      <c r="M5823" t="str">
        <f t="shared" si="613"/>
        <v xml:space="preserve">N35DC   </v>
      </c>
      <c r="N5823">
        <v>1</v>
      </c>
      <c r="O5823">
        <v>1750</v>
      </c>
    </row>
    <row r="5824" spans="1:15" x14ac:dyDescent="0.25">
      <c r="A5824" t="str">
        <f>"10/21/2020 18:55:33.646"</f>
        <v>10/21/2020 18:55:33.646</v>
      </c>
      <c r="B5824" t="str">
        <f>"18:55:41.586"</f>
        <v>18:55:41.586</v>
      </c>
      <c r="C5824" t="str">
        <f>"18:55:41.386"</f>
        <v>18:55:41.386</v>
      </c>
      <c r="D5824" t="s">
        <v>2417</v>
      </c>
      <c r="E5824">
        <v>30.70683</v>
      </c>
      <c r="F5824" t="s">
        <v>2418</v>
      </c>
      <c r="G5824">
        <v>-89.787440000000004</v>
      </c>
      <c r="H5824">
        <v>1700</v>
      </c>
      <c r="I5824">
        <v>101</v>
      </c>
      <c r="J5824">
        <v>-121</v>
      </c>
      <c r="K5824">
        <v>-64</v>
      </c>
      <c r="L5824">
        <v>1200</v>
      </c>
      <c r="M5824" t="str">
        <f t="shared" si="613"/>
        <v xml:space="preserve">N35DC   </v>
      </c>
      <c r="N5824">
        <v>1</v>
      </c>
      <c r="O5824">
        <v>1750</v>
      </c>
    </row>
    <row r="5825" spans="1:15" x14ac:dyDescent="0.25">
      <c r="A5825" t="str">
        <f>"10/21/2020 18:55:33.646"</f>
        <v>10/21/2020 18:55:33.646</v>
      </c>
      <c r="B5825" t="str">
        <f>"18:55:41.586"</f>
        <v>18:55:41.586</v>
      </c>
      <c r="C5825" t="str">
        <f>"18:55:41.386"</f>
        <v>18:55:41.386</v>
      </c>
      <c r="D5825" t="s">
        <v>2417</v>
      </c>
      <c r="E5825">
        <v>30.70683</v>
      </c>
      <c r="F5825" t="s">
        <v>2418</v>
      </c>
      <c r="G5825">
        <v>-89.787440000000004</v>
      </c>
      <c r="H5825">
        <v>1700</v>
      </c>
      <c r="I5825">
        <v>101</v>
      </c>
      <c r="J5825">
        <v>-121</v>
      </c>
      <c r="K5825">
        <v>-64</v>
      </c>
      <c r="L5825">
        <v>1200</v>
      </c>
      <c r="M5825" t="str">
        <f t="shared" si="613"/>
        <v xml:space="preserve">N35DC   </v>
      </c>
      <c r="N5825">
        <v>1</v>
      </c>
      <c r="O5825">
        <v>1750</v>
      </c>
    </row>
    <row r="5826" spans="1:15" x14ac:dyDescent="0.25">
      <c r="A5826" t="str">
        <f>"10/21/2020 18:55:33.646"</f>
        <v>10/21/2020 18:55:33.646</v>
      </c>
      <c r="B5826" t="str">
        <f>"18:55:41.586"</f>
        <v>18:55:41.586</v>
      </c>
      <c r="C5826" t="str">
        <f>"18:55:41.386"</f>
        <v>18:55:41.386</v>
      </c>
      <c r="D5826" t="s">
        <v>2417</v>
      </c>
      <c r="E5826">
        <v>30.70683</v>
      </c>
      <c r="F5826" t="s">
        <v>2418</v>
      </c>
      <c r="G5826">
        <v>-89.787440000000004</v>
      </c>
      <c r="H5826">
        <v>1700</v>
      </c>
      <c r="I5826">
        <v>101</v>
      </c>
      <c r="J5826">
        <v>-121</v>
      </c>
      <c r="K5826">
        <v>-64</v>
      </c>
      <c r="L5826">
        <v>1200</v>
      </c>
      <c r="M5826" t="str">
        <f t="shared" si="613"/>
        <v xml:space="preserve">N35DC   </v>
      </c>
      <c r="N5826">
        <v>1</v>
      </c>
      <c r="O5826">
        <v>1750</v>
      </c>
    </row>
    <row r="5827" spans="1:15" x14ac:dyDescent="0.25">
      <c r="A5827" t="str">
        <f>"10/21/2020 18:55:33.646"</f>
        <v>10/21/2020 18:55:33.646</v>
      </c>
      <c r="B5827" t="str">
        <f>"18:55:41.586"</f>
        <v>18:55:41.586</v>
      </c>
      <c r="C5827" t="str">
        <f>"18:55:41.386"</f>
        <v>18:55:41.386</v>
      </c>
      <c r="D5827" t="s">
        <v>2417</v>
      </c>
      <c r="E5827">
        <v>30.70683</v>
      </c>
      <c r="F5827" t="s">
        <v>2418</v>
      </c>
      <c r="G5827">
        <v>-89.787440000000004</v>
      </c>
      <c r="H5827">
        <v>1700</v>
      </c>
      <c r="I5827">
        <v>101</v>
      </c>
      <c r="J5827">
        <v>-121</v>
      </c>
      <c r="K5827">
        <v>-64</v>
      </c>
      <c r="L5827">
        <v>1200</v>
      </c>
      <c r="M5827" t="str">
        <f t="shared" si="613"/>
        <v xml:space="preserve">N35DC   </v>
      </c>
      <c r="N5827">
        <v>1</v>
      </c>
      <c r="O5827">
        <v>1750</v>
      </c>
    </row>
    <row r="5828" spans="1:15" x14ac:dyDescent="0.25">
      <c r="A5828" t="str">
        <f>"10/21/2020 18:55:34.177"</f>
        <v>10/21/2020 18:55:34.177</v>
      </c>
      <c r="B5828" t="str">
        <f>"18:55:42.094"</f>
        <v>18:55:42.094</v>
      </c>
      <c r="C5828" t="str">
        <f>"18:55:41.794"</f>
        <v>18:55:41.794</v>
      </c>
      <c r="D5828" t="s">
        <v>2419</v>
      </c>
      <c r="E5828">
        <v>30.706551000000001</v>
      </c>
      <c r="F5828" t="s">
        <v>2420</v>
      </c>
      <c r="G5828">
        <v>-89.787118000000007</v>
      </c>
      <c r="H5828">
        <v>1700</v>
      </c>
      <c r="I5828">
        <v>100</v>
      </c>
      <c r="J5828">
        <v>-122</v>
      </c>
      <c r="K5828">
        <v>-64</v>
      </c>
      <c r="L5828">
        <v>1200</v>
      </c>
      <c r="M5828" t="str">
        <f t="shared" si="613"/>
        <v xml:space="preserve">N35DC   </v>
      </c>
      <c r="N5828">
        <v>1</v>
      </c>
      <c r="O5828">
        <v>1750</v>
      </c>
    </row>
    <row r="5829" spans="1:15" x14ac:dyDescent="0.25">
      <c r="A5829" t="str">
        <f t="shared" ref="A5829:A5834" si="621">"10/21/2020 18:55:36.680"</f>
        <v>10/21/2020 18:55:36.680</v>
      </c>
      <c r="B5829" t="str">
        <f t="shared" ref="B5829:C5834" si="622">"18:55:44.609"</f>
        <v>18:55:44.609</v>
      </c>
      <c r="C5829" t="str">
        <f t="shared" si="622"/>
        <v>18:55:44.609</v>
      </c>
      <c r="D5829" t="s">
        <v>2421</v>
      </c>
      <c r="E5829">
        <v>30.705155999999999</v>
      </c>
      <c r="F5829" t="s">
        <v>2422</v>
      </c>
      <c r="G5829">
        <v>-89.785767000000007</v>
      </c>
      <c r="H5829">
        <v>1700</v>
      </c>
      <c r="I5829">
        <v>99</v>
      </c>
      <c r="J5829">
        <v>-122</v>
      </c>
      <c r="K5829">
        <v>128</v>
      </c>
      <c r="L5829">
        <v>1200</v>
      </c>
      <c r="M5829" t="str">
        <f t="shared" si="613"/>
        <v xml:space="preserve">N35DC   </v>
      </c>
      <c r="N5829">
        <v>1</v>
      </c>
      <c r="O5829">
        <v>1750</v>
      </c>
    </row>
    <row r="5830" spans="1:15" x14ac:dyDescent="0.25">
      <c r="A5830" t="str">
        <f t="shared" si="621"/>
        <v>10/21/2020 18:55:36.680</v>
      </c>
      <c r="B5830" t="str">
        <f t="shared" si="622"/>
        <v>18:55:44.609</v>
      </c>
      <c r="C5830" t="str">
        <f t="shared" si="622"/>
        <v>18:55:44.609</v>
      </c>
      <c r="D5830" t="s">
        <v>2421</v>
      </c>
      <c r="E5830">
        <v>30.705155999999999</v>
      </c>
      <c r="F5830" t="s">
        <v>2422</v>
      </c>
      <c r="G5830">
        <v>-89.785767000000007</v>
      </c>
      <c r="H5830">
        <v>1700</v>
      </c>
      <c r="I5830">
        <v>99</v>
      </c>
      <c r="J5830">
        <v>-122</v>
      </c>
      <c r="K5830">
        <v>128</v>
      </c>
      <c r="L5830">
        <v>1200</v>
      </c>
      <c r="M5830" t="str">
        <f t="shared" si="613"/>
        <v xml:space="preserve">N35DC   </v>
      </c>
      <c r="N5830">
        <v>1</v>
      </c>
      <c r="O5830">
        <v>1750</v>
      </c>
    </row>
    <row r="5831" spans="1:15" x14ac:dyDescent="0.25">
      <c r="A5831" t="str">
        <f t="shared" si="621"/>
        <v>10/21/2020 18:55:36.680</v>
      </c>
      <c r="B5831" t="str">
        <f t="shared" si="622"/>
        <v>18:55:44.609</v>
      </c>
      <c r="C5831" t="str">
        <f t="shared" si="622"/>
        <v>18:55:44.609</v>
      </c>
      <c r="D5831" t="s">
        <v>2421</v>
      </c>
      <c r="E5831">
        <v>30.705155999999999</v>
      </c>
      <c r="F5831" t="s">
        <v>2422</v>
      </c>
      <c r="G5831">
        <v>-89.785767000000007</v>
      </c>
      <c r="H5831">
        <v>1700</v>
      </c>
      <c r="I5831">
        <v>99</v>
      </c>
      <c r="J5831">
        <v>-122</v>
      </c>
      <c r="K5831">
        <v>128</v>
      </c>
      <c r="L5831">
        <v>1200</v>
      </c>
      <c r="M5831" t="str">
        <f t="shared" ref="M5831:M5894" si="623">"N35DC   "</f>
        <v xml:space="preserve">N35DC   </v>
      </c>
      <c r="N5831">
        <v>1</v>
      </c>
      <c r="O5831">
        <v>1750</v>
      </c>
    </row>
    <row r="5832" spans="1:15" x14ac:dyDescent="0.25">
      <c r="A5832" t="str">
        <f t="shared" si="621"/>
        <v>10/21/2020 18:55:36.680</v>
      </c>
      <c r="B5832" t="str">
        <f t="shared" si="622"/>
        <v>18:55:44.609</v>
      </c>
      <c r="C5832" t="str">
        <f t="shared" si="622"/>
        <v>18:55:44.609</v>
      </c>
      <c r="D5832" t="s">
        <v>2421</v>
      </c>
      <c r="E5832">
        <v>30.705155999999999</v>
      </c>
      <c r="F5832" t="s">
        <v>2422</v>
      </c>
      <c r="G5832">
        <v>-89.785767000000007</v>
      </c>
      <c r="H5832">
        <v>1700</v>
      </c>
      <c r="I5832">
        <v>99</v>
      </c>
      <c r="J5832">
        <v>-122</v>
      </c>
      <c r="K5832">
        <v>128</v>
      </c>
      <c r="L5832">
        <v>1200</v>
      </c>
      <c r="M5832" t="str">
        <f t="shared" si="623"/>
        <v xml:space="preserve">N35DC   </v>
      </c>
      <c r="N5832">
        <v>1</v>
      </c>
      <c r="O5832">
        <v>1750</v>
      </c>
    </row>
    <row r="5833" spans="1:15" x14ac:dyDescent="0.25">
      <c r="A5833" t="str">
        <f t="shared" si="621"/>
        <v>10/21/2020 18:55:36.680</v>
      </c>
      <c r="B5833" t="str">
        <f t="shared" si="622"/>
        <v>18:55:44.609</v>
      </c>
      <c r="C5833" t="str">
        <f t="shared" si="622"/>
        <v>18:55:44.609</v>
      </c>
      <c r="D5833" t="s">
        <v>2421</v>
      </c>
      <c r="E5833">
        <v>30.705155999999999</v>
      </c>
      <c r="F5833" t="s">
        <v>2422</v>
      </c>
      <c r="G5833">
        <v>-89.785767000000007</v>
      </c>
      <c r="H5833">
        <v>1700</v>
      </c>
      <c r="I5833">
        <v>99</v>
      </c>
      <c r="J5833">
        <v>-122</v>
      </c>
      <c r="K5833">
        <v>128</v>
      </c>
      <c r="L5833">
        <v>1200</v>
      </c>
      <c r="M5833" t="str">
        <f t="shared" si="623"/>
        <v xml:space="preserve">N35DC   </v>
      </c>
      <c r="N5833">
        <v>1</v>
      </c>
      <c r="O5833">
        <v>1750</v>
      </c>
    </row>
    <row r="5834" spans="1:15" x14ac:dyDescent="0.25">
      <c r="A5834" t="str">
        <f t="shared" si="621"/>
        <v>10/21/2020 18:55:36.680</v>
      </c>
      <c r="B5834" t="str">
        <f t="shared" si="622"/>
        <v>18:55:44.609</v>
      </c>
      <c r="C5834" t="str">
        <f t="shared" si="622"/>
        <v>18:55:44.609</v>
      </c>
      <c r="D5834" t="s">
        <v>2421</v>
      </c>
      <c r="E5834">
        <v>30.705155999999999</v>
      </c>
      <c r="F5834" t="s">
        <v>2422</v>
      </c>
      <c r="G5834">
        <v>-89.785767000000007</v>
      </c>
      <c r="H5834">
        <v>1700</v>
      </c>
      <c r="I5834">
        <v>99</v>
      </c>
      <c r="J5834">
        <v>-122</v>
      </c>
      <c r="K5834">
        <v>128</v>
      </c>
      <c r="L5834">
        <v>1200</v>
      </c>
      <c r="M5834" t="str">
        <f t="shared" si="623"/>
        <v xml:space="preserve">N35DC   </v>
      </c>
      <c r="N5834">
        <v>1</v>
      </c>
      <c r="O5834">
        <v>1750</v>
      </c>
    </row>
    <row r="5835" spans="1:15" x14ac:dyDescent="0.25">
      <c r="A5835" t="str">
        <f>"10/21/2020 18:55:37.640"</f>
        <v>10/21/2020 18:55:37.640</v>
      </c>
      <c r="B5835" t="str">
        <f>"18:55:45.570"</f>
        <v>18:55:45.570</v>
      </c>
      <c r="C5835" t="str">
        <f>"18:55:45.170"</f>
        <v>18:55:45.170</v>
      </c>
      <c r="D5835" t="s">
        <v>2423</v>
      </c>
      <c r="E5835">
        <v>30.704598000000001</v>
      </c>
      <c r="F5835" t="s">
        <v>2424</v>
      </c>
      <c r="G5835">
        <v>-89.785273000000004</v>
      </c>
      <c r="H5835">
        <v>1700</v>
      </c>
      <c r="I5835">
        <v>99</v>
      </c>
      <c r="J5835">
        <v>-122</v>
      </c>
      <c r="K5835">
        <v>64</v>
      </c>
      <c r="L5835">
        <v>1200</v>
      </c>
      <c r="M5835" t="str">
        <f t="shared" si="623"/>
        <v xml:space="preserve">N35DC   </v>
      </c>
      <c r="N5835">
        <v>1</v>
      </c>
      <c r="O5835">
        <v>1750</v>
      </c>
    </row>
    <row r="5836" spans="1:15" x14ac:dyDescent="0.25">
      <c r="A5836" t="str">
        <f>"10/21/2020 18:55:37.640"</f>
        <v>10/21/2020 18:55:37.640</v>
      </c>
      <c r="B5836" t="str">
        <f>"18:55:45.570"</f>
        <v>18:55:45.570</v>
      </c>
      <c r="C5836" t="str">
        <f>"18:55:45.170"</f>
        <v>18:55:45.170</v>
      </c>
      <c r="D5836" t="s">
        <v>2423</v>
      </c>
      <c r="E5836">
        <v>30.704598000000001</v>
      </c>
      <c r="F5836" t="s">
        <v>2424</v>
      </c>
      <c r="G5836">
        <v>-89.785273000000004</v>
      </c>
      <c r="H5836">
        <v>1700</v>
      </c>
      <c r="I5836">
        <v>99</v>
      </c>
      <c r="J5836">
        <v>-122</v>
      </c>
      <c r="K5836">
        <v>64</v>
      </c>
      <c r="L5836">
        <v>1200</v>
      </c>
      <c r="M5836" t="str">
        <f t="shared" si="623"/>
        <v xml:space="preserve">N35DC   </v>
      </c>
      <c r="N5836">
        <v>1</v>
      </c>
      <c r="O5836">
        <v>1750</v>
      </c>
    </row>
    <row r="5837" spans="1:15" x14ac:dyDescent="0.25">
      <c r="A5837" t="str">
        <f>"10/21/2020 18:55:37.640"</f>
        <v>10/21/2020 18:55:37.640</v>
      </c>
      <c r="B5837" t="str">
        <f>"18:55:45.570"</f>
        <v>18:55:45.570</v>
      </c>
      <c r="C5837" t="str">
        <f>"18:55:45.170"</f>
        <v>18:55:45.170</v>
      </c>
      <c r="D5837" t="s">
        <v>2423</v>
      </c>
      <c r="E5837">
        <v>30.704598000000001</v>
      </c>
      <c r="F5837" t="s">
        <v>2424</v>
      </c>
      <c r="G5837">
        <v>-89.785273000000004</v>
      </c>
      <c r="H5837">
        <v>1700</v>
      </c>
      <c r="I5837">
        <v>99</v>
      </c>
      <c r="J5837">
        <v>-122</v>
      </c>
      <c r="K5837">
        <v>64</v>
      </c>
      <c r="L5837">
        <v>1200</v>
      </c>
      <c r="M5837" t="str">
        <f t="shared" si="623"/>
        <v xml:space="preserve">N35DC   </v>
      </c>
      <c r="N5837">
        <v>1</v>
      </c>
      <c r="O5837">
        <v>1750</v>
      </c>
    </row>
    <row r="5838" spans="1:15" x14ac:dyDescent="0.25">
      <c r="A5838" t="str">
        <f>"10/21/2020 18:55:37.640"</f>
        <v>10/21/2020 18:55:37.640</v>
      </c>
      <c r="B5838" t="str">
        <f>"18:55:45.570"</f>
        <v>18:55:45.570</v>
      </c>
      <c r="C5838" t="str">
        <f>"18:55:45.170"</f>
        <v>18:55:45.170</v>
      </c>
      <c r="D5838" t="s">
        <v>2423</v>
      </c>
      <c r="E5838">
        <v>30.704598000000001</v>
      </c>
      <c r="F5838" t="s">
        <v>2424</v>
      </c>
      <c r="G5838">
        <v>-89.785273000000004</v>
      </c>
      <c r="H5838">
        <v>1700</v>
      </c>
      <c r="I5838">
        <v>99</v>
      </c>
      <c r="J5838">
        <v>-122</v>
      </c>
      <c r="K5838">
        <v>64</v>
      </c>
      <c r="L5838">
        <v>1200</v>
      </c>
      <c r="M5838" t="str">
        <f t="shared" si="623"/>
        <v xml:space="preserve">N35DC   </v>
      </c>
      <c r="N5838">
        <v>1</v>
      </c>
      <c r="O5838">
        <v>1750</v>
      </c>
    </row>
    <row r="5839" spans="1:15" x14ac:dyDescent="0.25">
      <c r="A5839" t="str">
        <f>"10/21/2020 18:55:37.640"</f>
        <v>10/21/2020 18:55:37.640</v>
      </c>
      <c r="B5839" t="str">
        <f>"18:55:45.570"</f>
        <v>18:55:45.570</v>
      </c>
      <c r="C5839" t="str">
        <f>"18:55:45.170"</f>
        <v>18:55:45.170</v>
      </c>
      <c r="D5839" t="s">
        <v>2423</v>
      </c>
      <c r="E5839">
        <v>30.704598000000001</v>
      </c>
      <c r="F5839" t="s">
        <v>2424</v>
      </c>
      <c r="G5839">
        <v>-89.785273000000004</v>
      </c>
      <c r="H5839">
        <v>1700</v>
      </c>
      <c r="I5839">
        <v>99</v>
      </c>
      <c r="J5839">
        <v>-122</v>
      </c>
      <c r="K5839">
        <v>64</v>
      </c>
      <c r="L5839">
        <v>1200</v>
      </c>
      <c r="M5839" t="str">
        <f t="shared" si="623"/>
        <v xml:space="preserve">N35DC   </v>
      </c>
      <c r="N5839">
        <v>1</v>
      </c>
      <c r="O5839">
        <v>1750</v>
      </c>
    </row>
    <row r="5840" spans="1:15" x14ac:dyDescent="0.25">
      <c r="A5840" t="str">
        <f>"10/21/2020 18:55:38.106"</f>
        <v>10/21/2020 18:55:38.106</v>
      </c>
      <c r="B5840" t="str">
        <f>"18:55:46.023"</f>
        <v>18:55:46.023</v>
      </c>
      <c r="C5840" t="str">
        <f>"18:55:45.623"</f>
        <v>18:55:45.623</v>
      </c>
      <c r="D5840" t="s">
        <v>2425</v>
      </c>
      <c r="E5840">
        <v>30.704362</v>
      </c>
      <c r="F5840" t="s">
        <v>2426</v>
      </c>
      <c r="G5840">
        <v>-89.785015999999999</v>
      </c>
      <c r="H5840">
        <v>1700</v>
      </c>
      <c r="I5840">
        <v>99</v>
      </c>
      <c r="J5840">
        <v>-122</v>
      </c>
      <c r="K5840">
        <v>256</v>
      </c>
      <c r="L5840">
        <v>1200</v>
      </c>
      <c r="M5840" t="str">
        <f t="shared" si="623"/>
        <v xml:space="preserve">N35DC   </v>
      </c>
      <c r="N5840">
        <v>1</v>
      </c>
      <c r="O5840">
        <v>1750</v>
      </c>
    </row>
    <row r="5841" spans="1:15" x14ac:dyDescent="0.25">
      <c r="A5841" t="str">
        <f>"10/21/2020 18:55:38.463"</f>
        <v>10/21/2020 18:55:38.463</v>
      </c>
      <c r="B5841" t="str">
        <f>"18:55:46.430"</f>
        <v>18:55:46.430</v>
      </c>
      <c r="C5841" t="str">
        <f>"18:55:46.130"</f>
        <v>18:55:46.130</v>
      </c>
      <c r="D5841" t="s">
        <v>2427</v>
      </c>
      <c r="E5841">
        <v>30.704125999999999</v>
      </c>
      <c r="F5841" t="s">
        <v>2428</v>
      </c>
      <c r="G5841">
        <v>-89.784801000000002</v>
      </c>
      <c r="H5841">
        <v>1700</v>
      </c>
      <c r="I5841">
        <v>99</v>
      </c>
      <c r="J5841">
        <v>-121</v>
      </c>
      <c r="K5841">
        <v>320</v>
      </c>
      <c r="L5841">
        <v>1200</v>
      </c>
      <c r="M5841" t="str">
        <f t="shared" si="623"/>
        <v xml:space="preserve">N35DC   </v>
      </c>
      <c r="N5841">
        <v>1</v>
      </c>
      <c r="O5841">
        <v>1750</v>
      </c>
    </row>
    <row r="5842" spans="1:15" x14ac:dyDescent="0.25">
      <c r="A5842" t="str">
        <f>"10/21/2020 18:55:38.463"</f>
        <v>10/21/2020 18:55:38.463</v>
      </c>
      <c r="B5842" t="str">
        <f>"18:55:46.430"</f>
        <v>18:55:46.430</v>
      </c>
      <c r="C5842" t="str">
        <f>"18:55:46.130"</f>
        <v>18:55:46.130</v>
      </c>
      <c r="D5842" t="s">
        <v>2427</v>
      </c>
      <c r="E5842">
        <v>30.704125999999999</v>
      </c>
      <c r="F5842" t="s">
        <v>2428</v>
      </c>
      <c r="G5842">
        <v>-89.784801000000002</v>
      </c>
      <c r="H5842">
        <v>1700</v>
      </c>
      <c r="I5842">
        <v>99</v>
      </c>
      <c r="J5842">
        <v>-121</v>
      </c>
      <c r="K5842">
        <v>320</v>
      </c>
      <c r="L5842">
        <v>1200</v>
      </c>
      <c r="M5842" t="str">
        <f t="shared" si="623"/>
        <v xml:space="preserve">N35DC   </v>
      </c>
      <c r="N5842">
        <v>1</v>
      </c>
      <c r="O5842">
        <v>1750</v>
      </c>
    </row>
    <row r="5843" spans="1:15" x14ac:dyDescent="0.25">
      <c r="A5843" t="str">
        <f>"10/21/2020 18:55:38.463"</f>
        <v>10/21/2020 18:55:38.463</v>
      </c>
      <c r="B5843" t="str">
        <f>"18:55:46.430"</f>
        <v>18:55:46.430</v>
      </c>
      <c r="C5843" t="str">
        <f>"18:55:46.130"</f>
        <v>18:55:46.130</v>
      </c>
      <c r="D5843" t="s">
        <v>2427</v>
      </c>
      <c r="E5843">
        <v>30.704125999999999</v>
      </c>
      <c r="F5843" t="s">
        <v>2428</v>
      </c>
      <c r="G5843">
        <v>-89.784801000000002</v>
      </c>
      <c r="H5843">
        <v>1700</v>
      </c>
      <c r="I5843">
        <v>99</v>
      </c>
      <c r="J5843">
        <v>-121</v>
      </c>
      <c r="K5843">
        <v>320</v>
      </c>
      <c r="L5843">
        <v>1200</v>
      </c>
      <c r="M5843" t="str">
        <f t="shared" si="623"/>
        <v xml:space="preserve">N35DC   </v>
      </c>
      <c r="N5843">
        <v>1</v>
      </c>
      <c r="O5843">
        <v>1750</v>
      </c>
    </row>
    <row r="5844" spans="1:15" x14ac:dyDescent="0.25">
      <c r="A5844" t="str">
        <f>"10/21/2020 18:55:38.463"</f>
        <v>10/21/2020 18:55:38.463</v>
      </c>
      <c r="B5844" t="str">
        <f>"18:55:46.430"</f>
        <v>18:55:46.430</v>
      </c>
      <c r="C5844" t="str">
        <f>"18:55:45.630"</f>
        <v>18:55:45.630</v>
      </c>
      <c r="D5844" t="s">
        <v>2427</v>
      </c>
      <c r="E5844">
        <v>30.704125999999999</v>
      </c>
      <c r="F5844" t="s">
        <v>2428</v>
      </c>
      <c r="G5844">
        <v>-89.784801000000002</v>
      </c>
      <c r="H5844">
        <v>1700</v>
      </c>
      <c r="I5844">
        <v>99</v>
      </c>
      <c r="J5844">
        <v>-122</v>
      </c>
      <c r="K5844">
        <v>256</v>
      </c>
      <c r="L5844">
        <v>1200</v>
      </c>
      <c r="M5844" t="str">
        <f t="shared" si="623"/>
        <v xml:space="preserve">N35DC   </v>
      </c>
      <c r="N5844">
        <v>1</v>
      </c>
      <c r="O5844">
        <v>1750</v>
      </c>
    </row>
    <row r="5845" spans="1:15" x14ac:dyDescent="0.25">
      <c r="A5845" t="str">
        <f>"10/21/2020 18:55:38.463"</f>
        <v>10/21/2020 18:55:38.463</v>
      </c>
      <c r="B5845" t="str">
        <f>"18:55:46.430"</f>
        <v>18:55:46.430</v>
      </c>
      <c r="C5845" t="str">
        <f>"18:55:46.130"</f>
        <v>18:55:46.130</v>
      </c>
      <c r="D5845" t="s">
        <v>2427</v>
      </c>
      <c r="E5845">
        <v>30.704125999999999</v>
      </c>
      <c r="F5845" t="s">
        <v>2428</v>
      </c>
      <c r="G5845">
        <v>-89.784801000000002</v>
      </c>
      <c r="H5845">
        <v>1700</v>
      </c>
      <c r="I5845">
        <v>99</v>
      </c>
      <c r="J5845">
        <v>-121</v>
      </c>
      <c r="K5845">
        <v>320</v>
      </c>
      <c r="L5845">
        <v>1200</v>
      </c>
      <c r="M5845" t="str">
        <f t="shared" si="623"/>
        <v xml:space="preserve">N35DC   </v>
      </c>
      <c r="N5845">
        <v>1</v>
      </c>
      <c r="O5845">
        <v>1750</v>
      </c>
    </row>
    <row r="5846" spans="1:15" x14ac:dyDescent="0.25">
      <c r="A5846" t="str">
        <f t="shared" ref="A5846:A5851" si="624">"10/21/2020 18:55:41.773"</f>
        <v>10/21/2020 18:55:41.773</v>
      </c>
      <c r="B5846" t="str">
        <f t="shared" ref="B5846:C5851" si="625">"18:55:49.711"</f>
        <v>18:55:49.711</v>
      </c>
      <c r="C5846" t="str">
        <f t="shared" si="625"/>
        <v>18:55:49.711</v>
      </c>
      <c r="D5846" t="s">
        <v>2429</v>
      </c>
      <c r="E5846">
        <v>30.702259999999999</v>
      </c>
      <c r="F5846" t="s">
        <v>2430</v>
      </c>
      <c r="G5846">
        <v>-89.783019999999993</v>
      </c>
      <c r="H5846">
        <v>1700</v>
      </c>
      <c r="I5846">
        <v>100</v>
      </c>
      <c r="J5846">
        <v>-122</v>
      </c>
      <c r="K5846">
        <v>-192</v>
      </c>
      <c r="L5846">
        <v>1200</v>
      </c>
      <c r="M5846" t="str">
        <f t="shared" si="623"/>
        <v xml:space="preserve">N35DC   </v>
      </c>
      <c r="N5846">
        <v>1</v>
      </c>
      <c r="O5846">
        <v>1750</v>
      </c>
    </row>
    <row r="5847" spans="1:15" x14ac:dyDescent="0.25">
      <c r="A5847" t="str">
        <f t="shared" si="624"/>
        <v>10/21/2020 18:55:41.773</v>
      </c>
      <c r="B5847" t="str">
        <f t="shared" si="625"/>
        <v>18:55:49.711</v>
      </c>
      <c r="C5847" t="str">
        <f t="shared" si="625"/>
        <v>18:55:49.711</v>
      </c>
      <c r="D5847" t="s">
        <v>2429</v>
      </c>
      <c r="E5847">
        <v>30.702259999999999</v>
      </c>
      <c r="F5847" t="s">
        <v>2430</v>
      </c>
      <c r="G5847">
        <v>-89.783019999999993</v>
      </c>
      <c r="H5847">
        <v>1700</v>
      </c>
      <c r="I5847">
        <v>100</v>
      </c>
      <c r="J5847">
        <v>-122</v>
      </c>
      <c r="K5847">
        <v>-192</v>
      </c>
      <c r="L5847">
        <v>1200</v>
      </c>
      <c r="M5847" t="str">
        <f t="shared" si="623"/>
        <v xml:space="preserve">N35DC   </v>
      </c>
      <c r="N5847">
        <v>1</v>
      </c>
      <c r="O5847">
        <v>1750</v>
      </c>
    </row>
    <row r="5848" spans="1:15" x14ac:dyDescent="0.25">
      <c r="A5848" t="str">
        <f t="shared" si="624"/>
        <v>10/21/2020 18:55:41.773</v>
      </c>
      <c r="B5848" t="str">
        <f t="shared" si="625"/>
        <v>18:55:49.711</v>
      </c>
      <c r="C5848" t="str">
        <f t="shared" si="625"/>
        <v>18:55:49.711</v>
      </c>
      <c r="D5848" t="s">
        <v>2429</v>
      </c>
      <c r="E5848">
        <v>30.702259999999999</v>
      </c>
      <c r="F5848" t="s">
        <v>2430</v>
      </c>
      <c r="G5848">
        <v>-89.783019999999993</v>
      </c>
      <c r="H5848">
        <v>1700</v>
      </c>
      <c r="I5848">
        <v>100</v>
      </c>
      <c r="J5848">
        <v>-122</v>
      </c>
      <c r="K5848">
        <v>-192</v>
      </c>
      <c r="L5848">
        <v>1200</v>
      </c>
      <c r="M5848" t="str">
        <f t="shared" si="623"/>
        <v xml:space="preserve">N35DC   </v>
      </c>
      <c r="N5848">
        <v>1</v>
      </c>
      <c r="O5848">
        <v>1750</v>
      </c>
    </row>
    <row r="5849" spans="1:15" x14ac:dyDescent="0.25">
      <c r="A5849" t="str">
        <f t="shared" si="624"/>
        <v>10/21/2020 18:55:41.773</v>
      </c>
      <c r="B5849" t="str">
        <f t="shared" si="625"/>
        <v>18:55:49.711</v>
      </c>
      <c r="C5849" t="str">
        <f t="shared" si="625"/>
        <v>18:55:49.711</v>
      </c>
      <c r="D5849" t="s">
        <v>2429</v>
      </c>
      <c r="E5849">
        <v>30.702259999999999</v>
      </c>
      <c r="F5849" t="s">
        <v>2430</v>
      </c>
      <c r="G5849">
        <v>-89.783019999999993</v>
      </c>
      <c r="H5849">
        <v>1700</v>
      </c>
      <c r="I5849">
        <v>100</v>
      </c>
      <c r="J5849">
        <v>-122</v>
      </c>
      <c r="K5849">
        <v>-192</v>
      </c>
      <c r="L5849">
        <v>1200</v>
      </c>
      <c r="M5849" t="str">
        <f t="shared" si="623"/>
        <v xml:space="preserve">N35DC   </v>
      </c>
      <c r="N5849">
        <v>1</v>
      </c>
      <c r="O5849">
        <v>1750</v>
      </c>
    </row>
    <row r="5850" spans="1:15" x14ac:dyDescent="0.25">
      <c r="A5850" t="str">
        <f t="shared" si="624"/>
        <v>10/21/2020 18:55:41.773</v>
      </c>
      <c r="B5850" t="str">
        <f t="shared" si="625"/>
        <v>18:55:49.711</v>
      </c>
      <c r="C5850" t="str">
        <f t="shared" si="625"/>
        <v>18:55:49.711</v>
      </c>
      <c r="D5850" t="s">
        <v>2429</v>
      </c>
      <c r="E5850">
        <v>30.702259999999999</v>
      </c>
      <c r="F5850" t="s">
        <v>2430</v>
      </c>
      <c r="G5850">
        <v>-89.783019999999993</v>
      </c>
      <c r="H5850">
        <v>1700</v>
      </c>
      <c r="I5850">
        <v>100</v>
      </c>
      <c r="J5850">
        <v>-122</v>
      </c>
      <c r="K5850">
        <v>-192</v>
      </c>
      <c r="L5850">
        <v>1200</v>
      </c>
      <c r="M5850" t="str">
        <f t="shared" si="623"/>
        <v xml:space="preserve">N35DC   </v>
      </c>
      <c r="N5850">
        <v>1</v>
      </c>
      <c r="O5850">
        <v>1750</v>
      </c>
    </row>
    <row r="5851" spans="1:15" x14ac:dyDescent="0.25">
      <c r="A5851" t="str">
        <f t="shared" si="624"/>
        <v>10/21/2020 18:55:41.773</v>
      </c>
      <c r="B5851" t="str">
        <f t="shared" si="625"/>
        <v>18:55:49.711</v>
      </c>
      <c r="C5851" t="str">
        <f t="shared" si="625"/>
        <v>18:55:49.711</v>
      </c>
      <c r="D5851" t="s">
        <v>2429</v>
      </c>
      <c r="E5851">
        <v>30.702259999999999</v>
      </c>
      <c r="F5851" t="s">
        <v>2430</v>
      </c>
      <c r="G5851">
        <v>-89.783019999999993</v>
      </c>
      <c r="H5851">
        <v>1700</v>
      </c>
      <c r="I5851">
        <v>100</v>
      </c>
      <c r="J5851">
        <v>-122</v>
      </c>
      <c r="K5851">
        <v>-192</v>
      </c>
      <c r="L5851">
        <v>1200</v>
      </c>
      <c r="M5851" t="str">
        <f t="shared" si="623"/>
        <v xml:space="preserve">N35DC   </v>
      </c>
      <c r="N5851">
        <v>1</v>
      </c>
      <c r="O5851">
        <v>1750</v>
      </c>
    </row>
    <row r="5852" spans="1:15" x14ac:dyDescent="0.25">
      <c r="A5852" t="str">
        <f t="shared" ref="A5852:A5857" si="626">"10/21/2020 18:55:46.617"</f>
        <v>10/21/2020 18:55:46.617</v>
      </c>
      <c r="B5852" t="str">
        <f t="shared" ref="B5852:B5857" si="627">"18:55:54.570"</f>
        <v>18:55:54.570</v>
      </c>
      <c r="C5852" t="str">
        <f t="shared" ref="C5852:C5857" si="628">"18:55:54.270"</f>
        <v>18:55:54.270</v>
      </c>
      <c r="D5852" t="s">
        <v>2431</v>
      </c>
      <c r="E5852">
        <v>30.699427</v>
      </c>
      <c r="F5852" t="s">
        <v>2432</v>
      </c>
      <c r="G5852">
        <v>-89.780488000000005</v>
      </c>
      <c r="H5852">
        <v>1700</v>
      </c>
      <c r="I5852">
        <v>97</v>
      </c>
      <c r="J5852">
        <v>-126</v>
      </c>
      <c r="K5852">
        <v>-192</v>
      </c>
      <c r="L5852">
        <v>1200</v>
      </c>
      <c r="M5852" t="str">
        <f t="shared" si="623"/>
        <v xml:space="preserve">N35DC   </v>
      </c>
      <c r="N5852">
        <v>1</v>
      </c>
      <c r="O5852">
        <v>1750</v>
      </c>
    </row>
    <row r="5853" spans="1:15" x14ac:dyDescent="0.25">
      <c r="A5853" t="str">
        <f t="shared" si="626"/>
        <v>10/21/2020 18:55:46.617</v>
      </c>
      <c r="B5853" t="str">
        <f t="shared" si="627"/>
        <v>18:55:54.570</v>
      </c>
      <c r="C5853" t="str">
        <f t="shared" si="628"/>
        <v>18:55:54.270</v>
      </c>
      <c r="D5853" t="s">
        <v>2431</v>
      </c>
      <c r="E5853">
        <v>30.699427</v>
      </c>
      <c r="F5853" t="s">
        <v>2432</v>
      </c>
      <c r="G5853">
        <v>-89.780488000000005</v>
      </c>
      <c r="H5853">
        <v>1700</v>
      </c>
      <c r="I5853">
        <v>97</v>
      </c>
      <c r="J5853">
        <v>-126</v>
      </c>
      <c r="K5853">
        <v>-192</v>
      </c>
      <c r="L5853">
        <v>1200</v>
      </c>
      <c r="M5853" t="str">
        <f t="shared" si="623"/>
        <v xml:space="preserve">N35DC   </v>
      </c>
      <c r="N5853">
        <v>1</v>
      </c>
      <c r="O5853">
        <v>1750</v>
      </c>
    </row>
    <row r="5854" spans="1:15" x14ac:dyDescent="0.25">
      <c r="A5854" t="str">
        <f t="shared" si="626"/>
        <v>10/21/2020 18:55:46.617</v>
      </c>
      <c r="B5854" t="str">
        <f t="shared" si="627"/>
        <v>18:55:54.570</v>
      </c>
      <c r="C5854" t="str">
        <f t="shared" si="628"/>
        <v>18:55:54.270</v>
      </c>
      <c r="D5854" t="s">
        <v>2431</v>
      </c>
      <c r="E5854">
        <v>30.699427</v>
      </c>
      <c r="F5854" t="s">
        <v>2432</v>
      </c>
      <c r="G5854">
        <v>-89.780488000000005</v>
      </c>
      <c r="H5854">
        <v>1700</v>
      </c>
      <c r="I5854">
        <v>97</v>
      </c>
      <c r="J5854">
        <v>-126</v>
      </c>
      <c r="K5854">
        <v>-192</v>
      </c>
      <c r="L5854">
        <v>1200</v>
      </c>
      <c r="M5854" t="str">
        <f t="shared" si="623"/>
        <v xml:space="preserve">N35DC   </v>
      </c>
      <c r="N5854">
        <v>1</v>
      </c>
      <c r="O5854">
        <v>1750</v>
      </c>
    </row>
    <row r="5855" spans="1:15" x14ac:dyDescent="0.25">
      <c r="A5855" t="str">
        <f t="shared" si="626"/>
        <v>10/21/2020 18:55:46.617</v>
      </c>
      <c r="B5855" t="str">
        <f t="shared" si="627"/>
        <v>18:55:54.570</v>
      </c>
      <c r="C5855" t="str">
        <f t="shared" si="628"/>
        <v>18:55:54.270</v>
      </c>
      <c r="D5855" t="s">
        <v>2431</v>
      </c>
      <c r="E5855">
        <v>30.699427</v>
      </c>
      <c r="F5855" t="s">
        <v>2432</v>
      </c>
      <c r="G5855">
        <v>-89.780488000000005</v>
      </c>
      <c r="H5855">
        <v>1700</v>
      </c>
      <c r="I5855">
        <v>97</v>
      </c>
      <c r="J5855">
        <v>-126</v>
      </c>
      <c r="K5855">
        <v>-192</v>
      </c>
      <c r="L5855">
        <v>1200</v>
      </c>
      <c r="M5855" t="str">
        <f t="shared" si="623"/>
        <v xml:space="preserve">N35DC   </v>
      </c>
      <c r="N5855">
        <v>1</v>
      </c>
      <c r="O5855">
        <v>1750</v>
      </c>
    </row>
    <row r="5856" spans="1:15" x14ac:dyDescent="0.25">
      <c r="A5856" t="str">
        <f t="shared" si="626"/>
        <v>10/21/2020 18:55:46.617</v>
      </c>
      <c r="B5856" t="str">
        <f t="shared" si="627"/>
        <v>18:55:54.570</v>
      </c>
      <c r="C5856" t="str">
        <f t="shared" si="628"/>
        <v>18:55:54.270</v>
      </c>
      <c r="D5856" t="s">
        <v>2431</v>
      </c>
      <c r="E5856">
        <v>30.699427</v>
      </c>
      <c r="F5856" t="s">
        <v>2432</v>
      </c>
      <c r="G5856">
        <v>-89.780488000000005</v>
      </c>
      <c r="H5856">
        <v>1700</v>
      </c>
      <c r="I5856">
        <v>97</v>
      </c>
      <c r="J5856">
        <v>-126</v>
      </c>
      <c r="K5856">
        <v>-192</v>
      </c>
      <c r="L5856">
        <v>1200</v>
      </c>
      <c r="M5856" t="str">
        <f t="shared" si="623"/>
        <v xml:space="preserve">N35DC   </v>
      </c>
      <c r="N5856">
        <v>1</v>
      </c>
      <c r="O5856">
        <v>1750</v>
      </c>
    </row>
    <row r="5857" spans="1:15" x14ac:dyDescent="0.25">
      <c r="A5857" t="str">
        <f t="shared" si="626"/>
        <v>10/21/2020 18:55:46.617</v>
      </c>
      <c r="B5857" t="str">
        <f t="shared" si="627"/>
        <v>18:55:54.570</v>
      </c>
      <c r="C5857" t="str">
        <f t="shared" si="628"/>
        <v>18:55:54.270</v>
      </c>
      <c r="D5857" t="s">
        <v>2431</v>
      </c>
      <c r="E5857">
        <v>30.699427</v>
      </c>
      <c r="F5857" t="s">
        <v>2432</v>
      </c>
      <c r="G5857">
        <v>-89.780488000000005</v>
      </c>
      <c r="H5857">
        <v>1700</v>
      </c>
      <c r="I5857">
        <v>97</v>
      </c>
      <c r="J5857">
        <v>-126</v>
      </c>
      <c r="K5857">
        <v>-192</v>
      </c>
      <c r="L5857">
        <v>1200</v>
      </c>
      <c r="M5857" t="str">
        <f t="shared" si="623"/>
        <v xml:space="preserve">N35DC   </v>
      </c>
      <c r="N5857">
        <v>1</v>
      </c>
      <c r="O5857">
        <v>1750</v>
      </c>
    </row>
    <row r="5858" spans="1:15" x14ac:dyDescent="0.25">
      <c r="A5858" t="str">
        <f>"10/21/2020 18:55:48.654"</f>
        <v>10/21/2020 18:55:48.654</v>
      </c>
      <c r="B5858" t="str">
        <f>"18:55:56.609"</f>
        <v>18:55:56.609</v>
      </c>
      <c r="C5858" t="str">
        <f>"18:55:56.309"</f>
        <v>18:55:56.309</v>
      </c>
      <c r="D5858" t="s">
        <v>2433</v>
      </c>
      <c r="E5858">
        <v>30.698225000000001</v>
      </c>
      <c r="F5858" t="s">
        <v>2434</v>
      </c>
      <c r="G5858">
        <v>-89.779458000000005</v>
      </c>
      <c r="H5858">
        <v>1700</v>
      </c>
      <c r="I5858">
        <v>97</v>
      </c>
      <c r="J5858">
        <v>-126</v>
      </c>
      <c r="K5858">
        <v>0</v>
      </c>
      <c r="L5858">
        <v>1200</v>
      </c>
      <c r="M5858" t="str">
        <f t="shared" si="623"/>
        <v xml:space="preserve">N35DC   </v>
      </c>
      <c r="N5858">
        <v>1</v>
      </c>
      <c r="O5858">
        <v>1725</v>
      </c>
    </row>
    <row r="5859" spans="1:15" x14ac:dyDescent="0.25">
      <c r="A5859" t="str">
        <f>"10/21/2020 18:55:48.654"</f>
        <v>10/21/2020 18:55:48.654</v>
      </c>
      <c r="B5859" t="str">
        <f>"18:55:56.609"</f>
        <v>18:55:56.609</v>
      </c>
      <c r="C5859" t="str">
        <f>"18:55:56.309"</f>
        <v>18:55:56.309</v>
      </c>
      <c r="D5859" t="s">
        <v>2433</v>
      </c>
      <c r="E5859">
        <v>30.698225000000001</v>
      </c>
      <c r="F5859" t="s">
        <v>2434</v>
      </c>
      <c r="G5859">
        <v>-89.779458000000005</v>
      </c>
      <c r="H5859">
        <v>1700</v>
      </c>
      <c r="I5859">
        <v>97</v>
      </c>
      <c r="J5859">
        <v>-126</v>
      </c>
      <c r="K5859">
        <v>0</v>
      </c>
      <c r="L5859">
        <v>1200</v>
      </c>
      <c r="M5859" t="str">
        <f t="shared" si="623"/>
        <v xml:space="preserve">N35DC   </v>
      </c>
      <c r="N5859">
        <v>1</v>
      </c>
      <c r="O5859">
        <v>1725</v>
      </c>
    </row>
    <row r="5860" spans="1:15" x14ac:dyDescent="0.25">
      <c r="A5860" t="str">
        <f>"10/21/2020 18:55:48.654"</f>
        <v>10/21/2020 18:55:48.654</v>
      </c>
      <c r="B5860" t="str">
        <f>"18:55:56.609"</f>
        <v>18:55:56.609</v>
      </c>
      <c r="C5860" t="str">
        <f>"18:55:56.309"</f>
        <v>18:55:56.309</v>
      </c>
      <c r="D5860" t="s">
        <v>2433</v>
      </c>
      <c r="E5860">
        <v>30.698225000000001</v>
      </c>
      <c r="F5860" t="s">
        <v>2434</v>
      </c>
      <c r="G5860">
        <v>-89.779458000000005</v>
      </c>
      <c r="H5860">
        <v>1700</v>
      </c>
      <c r="I5860">
        <v>97</v>
      </c>
      <c r="J5860">
        <v>-126</v>
      </c>
      <c r="K5860">
        <v>0</v>
      </c>
      <c r="L5860">
        <v>1200</v>
      </c>
      <c r="M5860" t="str">
        <f t="shared" si="623"/>
        <v xml:space="preserve">N35DC   </v>
      </c>
      <c r="N5860">
        <v>1</v>
      </c>
      <c r="O5860">
        <v>1725</v>
      </c>
    </row>
    <row r="5861" spans="1:15" x14ac:dyDescent="0.25">
      <c r="A5861" t="str">
        <f>"10/21/2020 18:55:48.654"</f>
        <v>10/21/2020 18:55:48.654</v>
      </c>
      <c r="B5861" t="str">
        <f>"18:55:56.609"</f>
        <v>18:55:56.609</v>
      </c>
      <c r="C5861" t="str">
        <f>"18:55:56.309"</f>
        <v>18:55:56.309</v>
      </c>
      <c r="D5861" t="s">
        <v>2433</v>
      </c>
      <c r="E5861">
        <v>30.698225000000001</v>
      </c>
      <c r="F5861" t="s">
        <v>2434</v>
      </c>
      <c r="G5861">
        <v>-89.779458000000005</v>
      </c>
      <c r="H5861">
        <v>1700</v>
      </c>
      <c r="I5861">
        <v>97</v>
      </c>
      <c r="J5861">
        <v>-126</v>
      </c>
      <c r="K5861">
        <v>0</v>
      </c>
      <c r="L5861">
        <v>1200</v>
      </c>
      <c r="M5861" t="str">
        <f t="shared" si="623"/>
        <v xml:space="preserve">N35DC   </v>
      </c>
      <c r="N5861">
        <v>1</v>
      </c>
      <c r="O5861">
        <v>1725</v>
      </c>
    </row>
    <row r="5862" spans="1:15" x14ac:dyDescent="0.25">
      <c r="A5862" t="str">
        <f>"10/21/2020 18:55:48.654"</f>
        <v>10/21/2020 18:55:48.654</v>
      </c>
      <c r="B5862" t="str">
        <f>"18:55:56.609"</f>
        <v>18:55:56.609</v>
      </c>
      <c r="C5862" t="str">
        <f>"18:55:56.309"</f>
        <v>18:55:56.309</v>
      </c>
      <c r="D5862" t="s">
        <v>2433</v>
      </c>
      <c r="E5862">
        <v>30.698225000000001</v>
      </c>
      <c r="F5862" t="s">
        <v>2434</v>
      </c>
      <c r="G5862">
        <v>-89.779458000000005</v>
      </c>
      <c r="H5862">
        <v>1700</v>
      </c>
      <c r="I5862">
        <v>97</v>
      </c>
      <c r="J5862">
        <v>-126</v>
      </c>
      <c r="K5862">
        <v>0</v>
      </c>
      <c r="L5862">
        <v>1200</v>
      </c>
      <c r="M5862" t="str">
        <f t="shared" si="623"/>
        <v xml:space="preserve">N35DC   </v>
      </c>
      <c r="N5862">
        <v>1</v>
      </c>
      <c r="O5862">
        <v>1725</v>
      </c>
    </row>
    <row r="5863" spans="1:15" x14ac:dyDescent="0.25">
      <c r="A5863" t="str">
        <f>"10/21/2020 18:55:49.194"</f>
        <v>10/21/2020 18:55:49.194</v>
      </c>
      <c r="B5863" t="str">
        <f>"18:55:57.133"</f>
        <v>18:55:57.133</v>
      </c>
      <c r="C5863" t="str">
        <f>"18:55:56.933"</f>
        <v>18:55:56.933</v>
      </c>
      <c r="D5863" t="s">
        <v>2435</v>
      </c>
      <c r="E5863">
        <v>30.697946999999999</v>
      </c>
      <c r="F5863" t="s">
        <v>2436</v>
      </c>
      <c r="G5863">
        <v>-89.779178999999999</v>
      </c>
      <c r="H5863">
        <v>1700</v>
      </c>
      <c r="I5863">
        <v>97</v>
      </c>
      <c r="J5863">
        <v>-126</v>
      </c>
      <c r="K5863">
        <v>64</v>
      </c>
      <c r="L5863">
        <v>1200</v>
      </c>
      <c r="M5863" t="str">
        <f t="shared" si="623"/>
        <v xml:space="preserve">N35DC   </v>
      </c>
      <c r="N5863">
        <v>1</v>
      </c>
      <c r="O5863">
        <v>1725</v>
      </c>
    </row>
    <row r="5864" spans="1:15" x14ac:dyDescent="0.25">
      <c r="A5864" t="str">
        <f>"10/21/2020 18:55:49.575"</f>
        <v>10/21/2020 18:55:49.575</v>
      </c>
      <c r="B5864" t="str">
        <f>"18:55:57.539"</f>
        <v>18:55:57.539</v>
      </c>
      <c r="C5864" t="str">
        <f>"18:55:57.439"</f>
        <v>18:55:57.439</v>
      </c>
      <c r="D5864" t="s">
        <v>2437</v>
      </c>
      <c r="E5864">
        <v>30.697711000000002</v>
      </c>
      <c r="F5864" t="s">
        <v>2438</v>
      </c>
      <c r="G5864">
        <v>-89.778964999999999</v>
      </c>
      <c r="H5864">
        <v>1700</v>
      </c>
      <c r="I5864">
        <v>97</v>
      </c>
      <c r="J5864">
        <v>-126</v>
      </c>
      <c r="K5864">
        <v>64</v>
      </c>
      <c r="L5864">
        <v>1200</v>
      </c>
      <c r="M5864" t="str">
        <f t="shared" si="623"/>
        <v xml:space="preserve">N35DC   </v>
      </c>
      <c r="N5864">
        <v>1</v>
      </c>
      <c r="O5864">
        <v>1725</v>
      </c>
    </row>
    <row r="5865" spans="1:15" x14ac:dyDescent="0.25">
      <c r="A5865" t="str">
        <f>"10/21/2020 18:55:49.575"</f>
        <v>10/21/2020 18:55:49.575</v>
      </c>
      <c r="B5865" t="str">
        <f>"18:55:57.539"</f>
        <v>18:55:57.539</v>
      </c>
      <c r="C5865" t="str">
        <f>"18:55:57.439"</f>
        <v>18:55:57.439</v>
      </c>
      <c r="D5865" t="s">
        <v>2437</v>
      </c>
      <c r="E5865">
        <v>30.697711000000002</v>
      </c>
      <c r="F5865" t="s">
        <v>2438</v>
      </c>
      <c r="G5865">
        <v>-89.778964999999999</v>
      </c>
      <c r="H5865">
        <v>1700</v>
      </c>
      <c r="I5865">
        <v>97</v>
      </c>
      <c r="J5865">
        <v>-126</v>
      </c>
      <c r="K5865">
        <v>64</v>
      </c>
      <c r="L5865">
        <v>1200</v>
      </c>
      <c r="M5865" t="str">
        <f t="shared" si="623"/>
        <v xml:space="preserve">N35DC   </v>
      </c>
      <c r="N5865">
        <v>1</v>
      </c>
      <c r="O5865">
        <v>1725</v>
      </c>
    </row>
    <row r="5866" spans="1:15" x14ac:dyDescent="0.25">
      <c r="A5866" t="str">
        <f>"10/21/2020 18:55:49.575"</f>
        <v>10/21/2020 18:55:49.575</v>
      </c>
      <c r="B5866" t="str">
        <f>"18:55:57.539"</f>
        <v>18:55:57.539</v>
      </c>
      <c r="C5866" t="str">
        <f>"18:55:57.439"</f>
        <v>18:55:57.439</v>
      </c>
      <c r="D5866" t="s">
        <v>2437</v>
      </c>
      <c r="E5866">
        <v>30.697711000000002</v>
      </c>
      <c r="F5866" t="s">
        <v>2438</v>
      </c>
      <c r="G5866">
        <v>-89.778964999999999</v>
      </c>
      <c r="H5866">
        <v>1700</v>
      </c>
      <c r="I5866">
        <v>97</v>
      </c>
      <c r="J5866">
        <v>-126</v>
      </c>
      <c r="K5866">
        <v>64</v>
      </c>
      <c r="L5866">
        <v>1200</v>
      </c>
      <c r="M5866" t="str">
        <f t="shared" si="623"/>
        <v xml:space="preserve">N35DC   </v>
      </c>
      <c r="N5866">
        <v>1</v>
      </c>
      <c r="O5866">
        <v>1725</v>
      </c>
    </row>
    <row r="5867" spans="1:15" x14ac:dyDescent="0.25">
      <c r="A5867" t="str">
        <f>"10/21/2020 18:55:49.575"</f>
        <v>10/21/2020 18:55:49.575</v>
      </c>
      <c r="B5867" t="str">
        <f>"18:55:57.539"</f>
        <v>18:55:57.539</v>
      </c>
      <c r="C5867" t="str">
        <f>"18:55:57.439"</f>
        <v>18:55:57.439</v>
      </c>
      <c r="D5867" t="s">
        <v>2437</v>
      </c>
      <c r="E5867">
        <v>30.697711000000002</v>
      </c>
      <c r="F5867" t="s">
        <v>2438</v>
      </c>
      <c r="G5867">
        <v>-89.778964999999999</v>
      </c>
      <c r="H5867">
        <v>1700</v>
      </c>
      <c r="I5867">
        <v>97</v>
      </c>
      <c r="J5867">
        <v>-126</v>
      </c>
      <c r="K5867">
        <v>64</v>
      </c>
      <c r="L5867">
        <v>1200</v>
      </c>
      <c r="M5867" t="str">
        <f t="shared" si="623"/>
        <v xml:space="preserve">N35DC   </v>
      </c>
      <c r="N5867">
        <v>1</v>
      </c>
      <c r="O5867">
        <v>1725</v>
      </c>
    </row>
    <row r="5868" spans="1:15" x14ac:dyDescent="0.25">
      <c r="A5868" t="str">
        <f>"10/21/2020 18:55:49.575"</f>
        <v>10/21/2020 18:55:49.575</v>
      </c>
      <c r="B5868" t="str">
        <f>"18:55:57.539"</f>
        <v>18:55:57.539</v>
      </c>
      <c r="C5868" t="str">
        <f>"18:55:57.439"</f>
        <v>18:55:57.439</v>
      </c>
      <c r="D5868" t="s">
        <v>2437</v>
      </c>
      <c r="E5868">
        <v>30.697711000000002</v>
      </c>
      <c r="F5868" t="s">
        <v>2438</v>
      </c>
      <c r="G5868">
        <v>-89.778964999999999</v>
      </c>
      <c r="H5868">
        <v>1700</v>
      </c>
      <c r="I5868">
        <v>97</v>
      </c>
      <c r="J5868">
        <v>-126</v>
      </c>
      <c r="K5868">
        <v>64</v>
      </c>
      <c r="L5868">
        <v>1200</v>
      </c>
      <c r="M5868" t="str">
        <f t="shared" si="623"/>
        <v xml:space="preserve">N35DC   </v>
      </c>
      <c r="N5868">
        <v>1</v>
      </c>
      <c r="O5868">
        <v>1725</v>
      </c>
    </row>
    <row r="5869" spans="1:15" x14ac:dyDescent="0.25">
      <c r="A5869" t="str">
        <f>"10/21/2020 18:55:53.670"</f>
        <v>10/21/2020 18:55:53.670</v>
      </c>
      <c r="B5869" t="str">
        <f>"18:56:01.609"</f>
        <v>18:56:01.609</v>
      </c>
      <c r="C5869" t="str">
        <f>"18:56:01.509"</f>
        <v>18:56:01.509</v>
      </c>
      <c r="D5869" t="s">
        <v>2439</v>
      </c>
      <c r="E5869">
        <v>30.695350000000001</v>
      </c>
      <c r="F5869" t="s">
        <v>2440</v>
      </c>
      <c r="G5869">
        <v>-89.776775999999998</v>
      </c>
      <c r="H5869">
        <v>1700</v>
      </c>
      <c r="I5869">
        <v>99</v>
      </c>
      <c r="J5869">
        <v>-124</v>
      </c>
      <c r="K5869">
        <v>256</v>
      </c>
      <c r="L5869">
        <v>1200</v>
      </c>
      <c r="M5869" t="str">
        <f t="shared" si="623"/>
        <v xml:space="preserve">N35DC   </v>
      </c>
      <c r="N5869">
        <v>1</v>
      </c>
      <c r="O5869">
        <v>1750</v>
      </c>
    </row>
    <row r="5870" spans="1:15" x14ac:dyDescent="0.25">
      <c r="A5870" t="str">
        <f>"10/21/2020 18:55:53.670"</f>
        <v>10/21/2020 18:55:53.670</v>
      </c>
      <c r="B5870" t="str">
        <f>"18:56:01.609"</f>
        <v>18:56:01.609</v>
      </c>
      <c r="C5870" t="str">
        <f>"18:56:01.509"</f>
        <v>18:56:01.509</v>
      </c>
      <c r="D5870" t="s">
        <v>2439</v>
      </c>
      <c r="E5870">
        <v>30.695350000000001</v>
      </c>
      <c r="F5870" t="s">
        <v>2440</v>
      </c>
      <c r="G5870">
        <v>-89.776775999999998</v>
      </c>
      <c r="H5870">
        <v>1700</v>
      </c>
      <c r="I5870">
        <v>99</v>
      </c>
      <c r="J5870">
        <v>-124</v>
      </c>
      <c r="K5870">
        <v>256</v>
      </c>
      <c r="L5870">
        <v>1200</v>
      </c>
      <c r="M5870" t="str">
        <f t="shared" si="623"/>
        <v xml:space="preserve">N35DC   </v>
      </c>
      <c r="N5870">
        <v>1</v>
      </c>
      <c r="O5870">
        <v>1750</v>
      </c>
    </row>
    <row r="5871" spans="1:15" x14ac:dyDescent="0.25">
      <c r="A5871" t="str">
        <f>"10/21/2020 18:55:53.670"</f>
        <v>10/21/2020 18:55:53.670</v>
      </c>
      <c r="B5871" t="str">
        <f>"18:56:01.609"</f>
        <v>18:56:01.609</v>
      </c>
      <c r="C5871" t="str">
        <f>"18:56:01.509"</f>
        <v>18:56:01.509</v>
      </c>
      <c r="D5871" t="s">
        <v>2439</v>
      </c>
      <c r="E5871">
        <v>30.695350000000001</v>
      </c>
      <c r="F5871" t="s">
        <v>2440</v>
      </c>
      <c r="G5871">
        <v>-89.776775999999998</v>
      </c>
      <c r="H5871">
        <v>1700</v>
      </c>
      <c r="I5871">
        <v>99</v>
      </c>
      <c r="J5871">
        <v>-124</v>
      </c>
      <c r="K5871">
        <v>256</v>
      </c>
      <c r="L5871">
        <v>1200</v>
      </c>
      <c r="M5871" t="str">
        <f t="shared" si="623"/>
        <v xml:space="preserve">N35DC   </v>
      </c>
      <c r="N5871">
        <v>1</v>
      </c>
      <c r="O5871">
        <v>1750</v>
      </c>
    </row>
    <row r="5872" spans="1:15" x14ac:dyDescent="0.25">
      <c r="A5872" t="str">
        <f>"10/21/2020 18:55:53.670"</f>
        <v>10/21/2020 18:55:53.670</v>
      </c>
      <c r="B5872" t="str">
        <f>"18:56:01.609"</f>
        <v>18:56:01.609</v>
      </c>
      <c r="C5872" t="str">
        <f>"18:56:01.509"</f>
        <v>18:56:01.509</v>
      </c>
      <c r="D5872" t="s">
        <v>2439</v>
      </c>
      <c r="E5872">
        <v>30.695350000000001</v>
      </c>
      <c r="F5872" t="s">
        <v>2440</v>
      </c>
      <c r="G5872">
        <v>-89.776775999999998</v>
      </c>
      <c r="H5872">
        <v>1700</v>
      </c>
      <c r="I5872">
        <v>99</v>
      </c>
      <c r="J5872">
        <v>-124</v>
      </c>
      <c r="K5872">
        <v>256</v>
      </c>
      <c r="L5872">
        <v>1200</v>
      </c>
      <c r="M5872" t="str">
        <f t="shared" si="623"/>
        <v xml:space="preserve">N35DC   </v>
      </c>
      <c r="N5872">
        <v>1</v>
      </c>
      <c r="O5872">
        <v>1750</v>
      </c>
    </row>
    <row r="5873" spans="1:15" x14ac:dyDescent="0.25">
      <c r="A5873" t="str">
        <f>"10/21/2020 18:55:53.670"</f>
        <v>10/21/2020 18:55:53.670</v>
      </c>
      <c r="B5873" t="str">
        <f>"18:56:01.609"</f>
        <v>18:56:01.609</v>
      </c>
      <c r="C5873" t="str">
        <f>"18:56:01.509"</f>
        <v>18:56:01.509</v>
      </c>
      <c r="D5873" t="s">
        <v>2439</v>
      </c>
      <c r="E5873">
        <v>30.695350000000001</v>
      </c>
      <c r="F5873" t="s">
        <v>2440</v>
      </c>
      <c r="G5873">
        <v>-89.776775999999998</v>
      </c>
      <c r="H5873">
        <v>1700</v>
      </c>
      <c r="I5873">
        <v>99</v>
      </c>
      <c r="J5873">
        <v>-124</v>
      </c>
      <c r="K5873">
        <v>256</v>
      </c>
      <c r="L5873">
        <v>1200</v>
      </c>
      <c r="M5873" t="str">
        <f t="shared" si="623"/>
        <v xml:space="preserve">N35DC   </v>
      </c>
      <c r="N5873">
        <v>1</v>
      </c>
      <c r="O5873">
        <v>1750</v>
      </c>
    </row>
    <row r="5874" spans="1:15" x14ac:dyDescent="0.25">
      <c r="A5874" t="str">
        <f>"10/21/2020 18:55:54.224"</f>
        <v>10/21/2020 18:55:54.224</v>
      </c>
      <c r="B5874" t="str">
        <f>"18:56:02.148"</f>
        <v>18:56:02.148</v>
      </c>
      <c r="C5874" t="str">
        <f>"18:56:01.948"</f>
        <v>18:56:01.948</v>
      </c>
      <c r="D5874" t="s">
        <v>2441</v>
      </c>
      <c r="E5874">
        <v>30.695028000000001</v>
      </c>
      <c r="F5874" t="s">
        <v>2442</v>
      </c>
      <c r="G5874">
        <v>-89.776497000000006</v>
      </c>
      <c r="H5874">
        <v>1700</v>
      </c>
      <c r="I5874">
        <v>99</v>
      </c>
      <c r="J5874">
        <v>-123</v>
      </c>
      <c r="K5874">
        <v>192</v>
      </c>
      <c r="L5874">
        <v>1200</v>
      </c>
      <c r="M5874" t="str">
        <f t="shared" si="623"/>
        <v xml:space="preserve">N35DC   </v>
      </c>
      <c r="N5874">
        <v>1</v>
      </c>
      <c r="O5874">
        <v>1750</v>
      </c>
    </row>
    <row r="5875" spans="1:15" x14ac:dyDescent="0.25">
      <c r="A5875" t="str">
        <f>"10/21/2020 18:55:54.782"</f>
        <v>10/21/2020 18:55:54.782</v>
      </c>
      <c r="B5875" t="str">
        <f>"18:56:02.734"</f>
        <v>18:56:02.734</v>
      </c>
      <c r="C5875" t="str">
        <f>"18:56:02.334"</f>
        <v>18:56:02.334</v>
      </c>
      <c r="D5875" t="s">
        <v>2443</v>
      </c>
      <c r="E5875">
        <v>30.694685</v>
      </c>
      <c r="F5875" t="s">
        <v>2444</v>
      </c>
      <c r="G5875">
        <v>-89.776218</v>
      </c>
      <c r="H5875">
        <v>1700</v>
      </c>
      <c r="I5875">
        <v>99</v>
      </c>
      <c r="J5875">
        <v>-123</v>
      </c>
      <c r="K5875">
        <v>192</v>
      </c>
      <c r="L5875">
        <v>1200</v>
      </c>
      <c r="M5875" t="str">
        <f t="shared" si="623"/>
        <v xml:space="preserve">N35DC   </v>
      </c>
      <c r="N5875">
        <v>1</v>
      </c>
      <c r="O5875">
        <v>1750</v>
      </c>
    </row>
    <row r="5876" spans="1:15" x14ac:dyDescent="0.25">
      <c r="A5876" t="str">
        <f>"10/21/2020 18:55:54.782"</f>
        <v>10/21/2020 18:55:54.782</v>
      </c>
      <c r="B5876" t="str">
        <f>"18:56:02.734"</f>
        <v>18:56:02.734</v>
      </c>
      <c r="C5876" t="str">
        <f>"18:56:02.334"</f>
        <v>18:56:02.334</v>
      </c>
      <c r="D5876" t="s">
        <v>2443</v>
      </c>
      <c r="E5876">
        <v>30.694685</v>
      </c>
      <c r="F5876" t="s">
        <v>2444</v>
      </c>
      <c r="G5876">
        <v>-89.776218</v>
      </c>
      <c r="H5876">
        <v>1700</v>
      </c>
      <c r="I5876">
        <v>99</v>
      </c>
      <c r="J5876">
        <v>-123</v>
      </c>
      <c r="K5876">
        <v>192</v>
      </c>
      <c r="L5876">
        <v>1200</v>
      </c>
      <c r="M5876" t="str">
        <f t="shared" si="623"/>
        <v xml:space="preserve">N35DC   </v>
      </c>
      <c r="N5876">
        <v>1</v>
      </c>
      <c r="O5876">
        <v>1750</v>
      </c>
    </row>
    <row r="5877" spans="1:15" x14ac:dyDescent="0.25">
      <c r="A5877" t="str">
        <f>"10/21/2020 18:55:54.782"</f>
        <v>10/21/2020 18:55:54.782</v>
      </c>
      <c r="B5877" t="str">
        <f>"18:56:02.734"</f>
        <v>18:56:02.734</v>
      </c>
      <c r="C5877" t="str">
        <f>"18:56:02.334"</f>
        <v>18:56:02.334</v>
      </c>
      <c r="D5877" t="s">
        <v>2443</v>
      </c>
      <c r="E5877">
        <v>30.694685</v>
      </c>
      <c r="F5877" t="s">
        <v>2444</v>
      </c>
      <c r="G5877">
        <v>-89.776218</v>
      </c>
      <c r="H5877">
        <v>1700</v>
      </c>
      <c r="I5877">
        <v>99</v>
      </c>
      <c r="J5877">
        <v>-123</v>
      </c>
      <c r="K5877">
        <v>192</v>
      </c>
      <c r="L5877">
        <v>1200</v>
      </c>
      <c r="M5877" t="str">
        <f t="shared" si="623"/>
        <v xml:space="preserve">N35DC   </v>
      </c>
      <c r="N5877">
        <v>1</v>
      </c>
      <c r="O5877">
        <v>1750</v>
      </c>
    </row>
    <row r="5878" spans="1:15" x14ac:dyDescent="0.25">
      <c r="A5878" t="str">
        <f>"10/21/2020 18:55:54.782"</f>
        <v>10/21/2020 18:55:54.782</v>
      </c>
      <c r="B5878" t="str">
        <f>"18:56:02.734"</f>
        <v>18:56:02.734</v>
      </c>
      <c r="C5878" t="str">
        <f>"18:56:02.334"</f>
        <v>18:56:02.334</v>
      </c>
      <c r="D5878" t="s">
        <v>2443</v>
      </c>
      <c r="E5878">
        <v>30.694685</v>
      </c>
      <c r="F5878" t="s">
        <v>2444</v>
      </c>
      <c r="G5878">
        <v>-89.776218</v>
      </c>
      <c r="H5878">
        <v>1700</v>
      </c>
      <c r="I5878">
        <v>99</v>
      </c>
      <c r="J5878">
        <v>-123</v>
      </c>
      <c r="K5878">
        <v>192</v>
      </c>
      <c r="L5878">
        <v>1200</v>
      </c>
      <c r="M5878" t="str">
        <f t="shared" si="623"/>
        <v xml:space="preserve">N35DC   </v>
      </c>
      <c r="N5878">
        <v>1</v>
      </c>
      <c r="O5878">
        <v>1750</v>
      </c>
    </row>
    <row r="5879" spans="1:15" x14ac:dyDescent="0.25">
      <c r="A5879" t="str">
        <f>"10/21/2020 18:55:54.782"</f>
        <v>10/21/2020 18:55:54.782</v>
      </c>
      <c r="B5879" t="str">
        <f>"18:56:02.727"</f>
        <v>18:56:02.727</v>
      </c>
      <c r="C5879" t="str">
        <f>"18:56:02.327"</f>
        <v>18:56:02.327</v>
      </c>
      <c r="D5879" t="s">
        <v>2443</v>
      </c>
      <c r="E5879">
        <v>30.694685</v>
      </c>
      <c r="F5879" t="s">
        <v>2444</v>
      </c>
      <c r="G5879">
        <v>-89.776218</v>
      </c>
      <c r="H5879">
        <v>1700</v>
      </c>
      <c r="I5879">
        <v>99</v>
      </c>
      <c r="J5879">
        <v>-123</v>
      </c>
      <c r="K5879">
        <v>192</v>
      </c>
      <c r="L5879">
        <v>1200</v>
      </c>
      <c r="M5879" t="str">
        <f t="shared" si="623"/>
        <v xml:space="preserve">N35DC   </v>
      </c>
      <c r="N5879">
        <v>1</v>
      </c>
      <c r="O5879">
        <v>1750</v>
      </c>
    </row>
    <row r="5880" spans="1:15" x14ac:dyDescent="0.25">
      <c r="A5880" t="str">
        <f>"10/21/2020 18:55:55.280"</f>
        <v>10/21/2020 18:55:55.280</v>
      </c>
      <c r="B5880" t="str">
        <f>"18:56:03.195"</f>
        <v>18:56:03.195</v>
      </c>
      <c r="C5880" t="str">
        <f>"18:56:02.895"</f>
        <v>18:56:02.895</v>
      </c>
      <c r="D5880" t="s">
        <v>2445</v>
      </c>
      <c r="E5880">
        <v>30.694427000000001</v>
      </c>
      <c r="F5880" t="s">
        <v>2446</v>
      </c>
      <c r="G5880">
        <v>-89.775959999999998</v>
      </c>
      <c r="H5880">
        <v>1700</v>
      </c>
      <c r="I5880">
        <v>99</v>
      </c>
      <c r="J5880">
        <v>-124</v>
      </c>
      <c r="K5880">
        <v>128</v>
      </c>
      <c r="L5880">
        <v>1200</v>
      </c>
      <c r="M5880" t="str">
        <f t="shared" si="623"/>
        <v xml:space="preserve">N35DC   </v>
      </c>
      <c r="N5880">
        <v>1</v>
      </c>
      <c r="O5880">
        <v>1750</v>
      </c>
    </row>
    <row r="5881" spans="1:15" x14ac:dyDescent="0.25">
      <c r="A5881" t="str">
        <f>"10/21/2020 18:55:57.851"</f>
        <v>10/21/2020 18:55:57.851</v>
      </c>
      <c r="B5881" t="str">
        <f>"18:56:05.773"</f>
        <v>18:56:05.773</v>
      </c>
      <c r="C5881" t="str">
        <f>"18:56:05.473"</f>
        <v>18:56:05.473</v>
      </c>
      <c r="D5881" t="s">
        <v>2447</v>
      </c>
      <c r="E5881">
        <v>30.692968</v>
      </c>
      <c r="F5881" t="s">
        <v>199</v>
      </c>
      <c r="G5881">
        <v>-89.774608999999998</v>
      </c>
      <c r="H5881">
        <v>1700</v>
      </c>
      <c r="I5881">
        <v>98</v>
      </c>
      <c r="J5881">
        <v>-125</v>
      </c>
      <c r="K5881">
        <v>-64</v>
      </c>
      <c r="L5881">
        <v>1200</v>
      </c>
      <c r="M5881" t="str">
        <f t="shared" si="623"/>
        <v xml:space="preserve">N35DC   </v>
      </c>
      <c r="N5881">
        <v>1</v>
      </c>
      <c r="O5881">
        <v>1750</v>
      </c>
    </row>
    <row r="5882" spans="1:15" x14ac:dyDescent="0.25">
      <c r="A5882" t="str">
        <f>"10/21/2020 18:55:57.851"</f>
        <v>10/21/2020 18:55:57.851</v>
      </c>
      <c r="B5882" t="str">
        <f>"18:56:05.773"</f>
        <v>18:56:05.773</v>
      </c>
      <c r="C5882" t="str">
        <f>"18:56:05.473"</f>
        <v>18:56:05.473</v>
      </c>
      <c r="D5882" t="s">
        <v>2447</v>
      </c>
      <c r="E5882">
        <v>30.692968</v>
      </c>
      <c r="F5882" t="s">
        <v>199</v>
      </c>
      <c r="G5882">
        <v>-89.774608999999998</v>
      </c>
      <c r="H5882">
        <v>1700</v>
      </c>
      <c r="I5882">
        <v>98</v>
      </c>
      <c r="J5882">
        <v>-125</v>
      </c>
      <c r="K5882">
        <v>-64</v>
      </c>
      <c r="L5882">
        <v>1200</v>
      </c>
      <c r="M5882" t="str">
        <f t="shared" si="623"/>
        <v xml:space="preserve">N35DC   </v>
      </c>
      <c r="N5882">
        <v>1</v>
      </c>
      <c r="O5882">
        <v>1750</v>
      </c>
    </row>
    <row r="5883" spans="1:15" x14ac:dyDescent="0.25">
      <c r="A5883" t="str">
        <f>"10/21/2020 18:55:57.851"</f>
        <v>10/21/2020 18:55:57.851</v>
      </c>
      <c r="B5883" t="str">
        <f>"18:56:05.773"</f>
        <v>18:56:05.773</v>
      </c>
      <c r="C5883" t="str">
        <f>"18:56:05.473"</f>
        <v>18:56:05.473</v>
      </c>
      <c r="D5883" t="s">
        <v>2447</v>
      </c>
      <c r="E5883">
        <v>30.692968</v>
      </c>
      <c r="F5883" t="s">
        <v>199</v>
      </c>
      <c r="G5883">
        <v>-89.774608999999998</v>
      </c>
      <c r="H5883">
        <v>1700</v>
      </c>
      <c r="I5883">
        <v>98</v>
      </c>
      <c r="J5883">
        <v>-125</v>
      </c>
      <c r="K5883">
        <v>-64</v>
      </c>
      <c r="L5883">
        <v>1200</v>
      </c>
      <c r="M5883" t="str">
        <f t="shared" si="623"/>
        <v xml:space="preserve">N35DC   </v>
      </c>
      <c r="N5883">
        <v>1</v>
      </c>
      <c r="O5883">
        <v>1750</v>
      </c>
    </row>
    <row r="5884" spans="1:15" x14ac:dyDescent="0.25">
      <c r="A5884" t="str">
        <f>"10/21/2020 18:55:57.851"</f>
        <v>10/21/2020 18:55:57.851</v>
      </c>
      <c r="B5884" t="str">
        <f>"18:56:05.773"</f>
        <v>18:56:05.773</v>
      </c>
      <c r="C5884" t="str">
        <f>"18:56:05.473"</f>
        <v>18:56:05.473</v>
      </c>
      <c r="D5884" t="s">
        <v>2447</v>
      </c>
      <c r="E5884">
        <v>30.692968</v>
      </c>
      <c r="F5884" t="s">
        <v>199</v>
      </c>
      <c r="G5884">
        <v>-89.774608999999998</v>
      </c>
      <c r="H5884">
        <v>1700</v>
      </c>
      <c r="I5884">
        <v>98</v>
      </c>
      <c r="J5884">
        <v>-125</v>
      </c>
      <c r="K5884">
        <v>-64</v>
      </c>
      <c r="L5884">
        <v>1200</v>
      </c>
      <c r="M5884" t="str">
        <f t="shared" si="623"/>
        <v xml:space="preserve">N35DC   </v>
      </c>
      <c r="N5884">
        <v>1</v>
      </c>
      <c r="O5884">
        <v>1750</v>
      </c>
    </row>
    <row r="5885" spans="1:15" x14ac:dyDescent="0.25">
      <c r="A5885" t="str">
        <f>"10/21/2020 18:55:57.851"</f>
        <v>10/21/2020 18:55:57.851</v>
      </c>
      <c r="B5885" t="str">
        <f>"18:56:05.773"</f>
        <v>18:56:05.773</v>
      </c>
      <c r="C5885" t="str">
        <f>"18:56:05.473"</f>
        <v>18:56:05.473</v>
      </c>
      <c r="D5885" t="s">
        <v>2447</v>
      </c>
      <c r="E5885">
        <v>30.692968</v>
      </c>
      <c r="F5885" t="s">
        <v>199</v>
      </c>
      <c r="G5885">
        <v>-89.774608999999998</v>
      </c>
      <c r="H5885">
        <v>1700</v>
      </c>
      <c r="I5885">
        <v>98</v>
      </c>
      <c r="J5885">
        <v>-125</v>
      </c>
      <c r="K5885">
        <v>-64</v>
      </c>
      <c r="L5885">
        <v>1200</v>
      </c>
      <c r="M5885" t="str">
        <f t="shared" si="623"/>
        <v xml:space="preserve">N35DC   </v>
      </c>
      <c r="N5885">
        <v>1</v>
      </c>
      <c r="O5885">
        <v>1750</v>
      </c>
    </row>
    <row r="5886" spans="1:15" x14ac:dyDescent="0.25">
      <c r="A5886" t="str">
        <f>"10/21/2020 18:55:58.822"</f>
        <v>10/21/2020 18:55:58.822</v>
      </c>
      <c r="B5886" t="str">
        <f>"18:56:06.766"</f>
        <v>18:56:06.766</v>
      </c>
      <c r="C5886" t="str">
        <f>"18:56:06.366"</f>
        <v>18:56:06.366</v>
      </c>
      <c r="D5886" t="s">
        <v>2448</v>
      </c>
      <c r="E5886">
        <v>30.692409999999999</v>
      </c>
      <c r="F5886" t="s">
        <v>2449</v>
      </c>
      <c r="G5886">
        <v>-89.774114999999995</v>
      </c>
      <c r="H5886">
        <v>1700</v>
      </c>
      <c r="I5886">
        <v>98</v>
      </c>
      <c r="J5886">
        <v>-125</v>
      </c>
      <c r="K5886">
        <v>64</v>
      </c>
      <c r="L5886">
        <v>1200</v>
      </c>
      <c r="M5886" t="str">
        <f t="shared" si="623"/>
        <v xml:space="preserve">N35DC   </v>
      </c>
      <c r="N5886">
        <v>1</v>
      </c>
      <c r="O5886">
        <v>1750</v>
      </c>
    </row>
    <row r="5887" spans="1:15" x14ac:dyDescent="0.25">
      <c r="A5887" t="str">
        <f>"10/21/2020 18:55:58.822"</f>
        <v>10/21/2020 18:55:58.822</v>
      </c>
      <c r="B5887" t="str">
        <f>"18:56:06.766"</f>
        <v>18:56:06.766</v>
      </c>
      <c r="C5887" t="str">
        <f>"18:56:06.366"</f>
        <v>18:56:06.366</v>
      </c>
      <c r="D5887" t="s">
        <v>2448</v>
      </c>
      <c r="E5887">
        <v>30.692409999999999</v>
      </c>
      <c r="F5887" t="s">
        <v>2449</v>
      </c>
      <c r="G5887">
        <v>-89.774114999999995</v>
      </c>
      <c r="H5887">
        <v>1700</v>
      </c>
      <c r="I5887">
        <v>98</v>
      </c>
      <c r="J5887">
        <v>-125</v>
      </c>
      <c r="K5887">
        <v>64</v>
      </c>
      <c r="L5887">
        <v>1200</v>
      </c>
      <c r="M5887" t="str">
        <f t="shared" si="623"/>
        <v xml:space="preserve">N35DC   </v>
      </c>
      <c r="N5887">
        <v>1</v>
      </c>
      <c r="O5887">
        <v>1750</v>
      </c>
    </row>
    <row r="5888" spans="1:15" x14ac:dyDescent="0.25">
      <c r="A5888" t="str">
        <f>"10/21/2020 18:55:58.822"</f>
        <v>10/21/2020 18:55:58.822</v>
      </c>
      <c r="B5888" t="str">
        <f>"18:56:06.766"</f>
        <v>18:56:06.766</v>
      </c>
      <c r="C5888" t="str">
        <f>"18:56:06.366"</f>
        <v>18:56:06.366</v>
      </c>
      <c r="D5888" t="s">
        <v>2448</v>
      </c>
      <c r="E5888">
        <v>30.692409999999999</v>
      </c>
      <c r="F5888" t="s">
        <v>2449</v>
      </c>
      <c r="G5888">
        <v>-89.774114999999995</v>
      </c>
      <c r="H5888">
        <v>1700</v>
      </c>
      <c r="I5888">
        <v>98</v>
      </c>
      <c r="J5888">
        <v>-125</v>
      </c>
      <c r="K5888">
        <v>64</v>
      </c>
      <c r="L5888">
        <v>1200</v>
      </c>
      <c r="M5888" t="str">
        <f t="shared" si="623"/>
        <v xml:space="preserve">N35DC   </v>
      </c>
      <c r="N5888">
        <v>1</v>
      </c>
      <c r="O5888">
        <v>1750</v>
      </c>
    </row>
    <row r="5889" spans="1:15" x14ac:dyDescent="0.25">
      <c r="A5889" t="str">
        <f>"10/21/2020 18:55:58.822"</f>
        <v>10/21/2020 18:55:58.822</v>
      </c>
      <c r="B5889" t="str">
        <f>"18:56:06.766"</f>
        <v>18:56:06.766</v>
      </c>
      <c r="C5889" t="str">
        <f>"18:56:06.366"</f>
        <v>18:56:06.366</v>
      </c>
      <c r="D5889" t="s">
        <v>2448</v>
      </c>
      <c r="E5889">
        <v>30.692409999999999</v>
      </c>
      <c r="F5889" t="s">
        <v>2449</v>
      </c>
      <c r="G5889">
        <v>-89.774114999999995</v>
      </c>
      <c r="H5889">
        <v>1700</v>
      </c>
      <c r="I5889">
        <v>98</v>
      </c>
      <c r="J5889">
        <v>-125</v>
      </c>
      <c r="K5889">
        <v>64</v>
      </c>
      <c r="L5889">
        <v>1200</v>
      </c>
      <c r="M5889" t="str">
        <f t="shared" si="623"/>
        <v xml:space="preserve">N35DC   </v>
      </c>
      <c r="N5889">
        <v>1</v>
      </c>
      <c r="O5889">
        <v>1750</v>
      </c>
    </row>
    <row r="5890" spans="1:15" x14ac:dyDescent="0.25">
      <c r="A5890" t="str">
        <f>"10/21/2020 18:55:58.822"</f>
        <v>10/21/2020 18:55:58.822</v>
      </c>
      <c r="B5890" t="str">
        <f>"18:56:06.766"</f>
        <v>18:56:06.766</v>
      </c>
      <c r="C5890" t="str">
        <f>"18:56:06.366"</f>
        <v>18:56:06.366</v>
      </c>
      <c r="D5890" t="s">
        <v>2448</v>
      </c>
      <c r="E5890">
        <v>30.692409999999999</v>
      </c>
      <c r="F5890" t="s">
        <v>2449</v>
      </c>
      <c r="G5890">
        <v>-89.774114999999995</v>
      </c>
      <c r="H5890">
        <v>1700</v>
      </c>
      <c r="I5890">
        <v>98</v>
      </c>
      <c r="J5890">
        <v>-125</v>
      </c>
      <c r="K5890">
        <v>64</v>
      </c>
      <c r="L5890">
        <v>1200</v>
      </c>
      <c r="M5890" t="str">
        <f t="shared" si="623"/>
        <v xml:space="preserve">N35DC   </v>
      </c>
      <c r="N5890">
        <v>1</v>
      </c>
      <c r="O5890">
        <v>1750</v>
      </c>
    </row>
    <row r="5891" spans="1:15" x14ac:dyDescent="0.25">
      <c r="A5891" t="str">
        <f>"10/21/2020 18:55:59.308"</f>
        <v>10/21/2020 18:55:59.308</v>
      </c>
      <c r="B5891" t="str">
        <f>"18:56:07.242"</f>
        <v>18:56:07.242</v>
      </c>
      <c r="C5891" t="str">
        <f>"18:56:06.942"</f>
        <v>18:56:06.942</v>
      </c>
      <c r="D5891" t="s">
        <v>2450</v>
      </c>
      <c r="E5891">
        <v>30.692088999999999</v>
      </c>
      <c r="F5891" t="s">
        <v>2451</v>
      </c>
      <c r="G5891">
        <v>-89.773814999999999</v>
      </c>
      <c r="H5891">
        <v>1700</v>
      </c>
      <c r="I5891">
        <v>98</v>
      </c>
      <c r="J5891">
        <v>-125</v>
      </c>
      <c r="K5891">
        <v>-128</v>
      </c>
      <c r="L5891">
        <v>1200</v>
      </c>
      <c r="M5891" t="str">
        <f t="shared" si="623"/>
        <v xml:space="preserve">N35DC   </v>
      </c>
      <c r="N5891">
        <v>1</v>
      </c>
      <c r="O5891">
        <v>1750</v>
      </c>
    </row>
    <row r="5892" spans="1:15" x14ac:dyDescent="0.25">
      <c r="A5892" t="str">
        <f>"10/21/2020 18:55:59.696"</f>
        <v>10/21/2020 18:55:59.696</v>
      </c>
      <c r="B5892" t="str">
        <f>"18:56:07.648"</f>
        <v>18:56:07.648</v>
      </c>
      <c r="C5892" t="str">
        <f>"18:56:07.448"</f>
        <v>18:56:07.448</v>
      </c>
      <c r="D5892" t="s">
        <v>2452</v>
      </c>
      <c r="E5892">
        <v>30.691873999999999</v>
      </c>
      <c r="F5892" t="s">
        <v>2453</v>
      </c>
      <c r="G5892">
        <v>-89.773600000000002</v>
      </c>
      <c r="H5892">
        <v>1700</v>
      </c>
      <c r="I5892">
        <v>97</v>
      </c>
      <c r="J5892">
        <v>-126</v>
      </c>
      <c r="K5892">
        <v>-64</v>
      </c>
      <c r="L5892">
        <v>1200</v>
      </c>
      <c r="M5892" t="str">
        <f t="shared" si="623"/>
        <v xml:space="preserve">N35DC   </v>
      </c>
      <c r="N5892">
        <v>1</v>
      </c>
      <c r="O5892">
        <v>1750</v>
      </c>
    </row>
    <row r="5893" spans="1:15" x14ac:dyDescent="0.25">
      <c r="A5893" t="str">
        <f>"10/21/2020 18:55:59.696"</f>
        <v>10/21/2020 18:55:59.696</v>
      </c>
      <c r="B5893" t="str">
        <f>"18:56:07.648"</f>
        <v>18:56:07.648</v>
      </c>
      <c r="C5893" t="str">
        <f>"18:56:07.448"</f>
        <v>18:56:07.448</v>
      </c>
      <c r="D5893" t="s">
        <v>2452</v>
      </c>
      <c r="E5893">
        <v>30.691873999999999</v>
      </c>
      <c r="F5893" t="s">
        <v>2453</v>
      </c>
      <c r="G5893">
        <v>-89.773600000000002</v>
      </c>
      <c r="H5893">
        <v>1700</v>
      </c>
      <c r="I5893">
        <v>97</v>
      </c>
      <c r="J5893">
        <v>-126</v>
      </c>
      <c r="K5893">
        <v>-64</v>
      </c>
      <c r="L5893">
        <v>1200</v>
      </c>
      <c r="M5893" t="str">
        <f t="shared" si="623"/>
        <v xml:space="preserve">N35DC   </v>
      </c>
      <c r="N5893">
        <v>1</v>
      </c>
      <c r="O5893">
        <v>1750</v>
      </c>
    </row>
    <row r="5894" spans="1:15" x14ac:dyDescent="0.25">
      <c r="A5894" t="str">
        <f>"10/21/2020 18:55:59.696"</f>
        <v>10/21/2020 18:55:59.696</v>
      </c>
      <c r="B5894" t="str">
        <f>"18:56:07.648"</f>
        <v>18:56:07.648</v>
      </c>
      <c r="C5894" t="str">
        <f>"18:56:07.448"</f>
        <v>18:56:07.448</v>
      </c>
      <c r="D5894" t="s">
        <v>2452</v>
      </c>
      <c r="E5894">
        <v>30.691873999999999</v>
      </c>
      <c r="F5894" t="s">
        <v>2453</v>
      </c>
      <c r="G5894">
        <v>-89.773600000000002</v>
      </c>
      <c r="H5894">
        <v>1700</v>
      </c>
      <c r="I5894">
        <v>97</v>
      </c>
      <c r="J5894">
        <v>-126</v>
      </c>
      <c r="K5894">
        <v>-64</v>
      </c>
      <c r="L5894">
        <v>1200</v>
      </c>
      <c r="M5894" t="str">
        <f t="shared" si="623"/>
        <v xml:space="preserve">N35DC   </v>
      </c>
      <c r="N5894">
        <v>1</v>
      </c>
      <c r="O5894">
        <v>1750</v>
      </c>
    </row>
    <row r="5895" spans="1:15" x14ac:dyDescent="0.25">
      <c r="A5895" t="str">
        <f>"10/21/2020 18:55:59.696"</f>
        <v>10/21/2020 18:55:59.696</v>
      </c>
      <c r="B5895" t="str">
        <f>"18:56:07.648"</f>
        <v>18:56:07.648</v>
      </c>
      <c r="C5895" t="str">
        <f>"18:56:07.448"</f>
        <v>18:56:07.448</v>
      </c>
      <c r="D5895" t="s">
        <v>2452</v>
      </c>
      <c r="E5895">
        <v>30.691873999999999</v>
      </c>
      <c r="F5895" t="s">
        <v>2453</v>
      </c>
      <c r="G5895">
        <v>-89.773600000000002</v>
      </c>
      <c r="H5895">
        <v>1700</v>
      </c>
      <c r="I5895">
        <v>97</v>
      </c>
      <c r="J5895">
        <v>-126</v>
      </c>
      <c r="K5895">
        <v>-64</v>
      </c>
      <c r="L5895">
        <v>1200</v>
      </c>
      <c r="M5895" t="str">
        <f t="shared" ref="M5895:M5958" si="629">"N35DC   "</f>
        <v xml:space="preserve">N35DC   </v>
      </c>
      <c r="N5895">
        <v>1</v>
      </c>
      <c r="O5895">
        <v>1750</v>
      </c>
    </row>
    <row r="5896" spans="1:15" x14ac:dyDescent="0.25">
      <c r="A5896" t="str">
        <f>"10/21/2020 18:55:59.696"</f>
        <v>10/21/2020 18:55:59.696</v>
      </c>
      <c r="B5896" t="str">
        <f>"18:56:07.648"</f>
        <v>18:56:07.648</v>
      </c>
      <c r="C5896" t="str">
        <f>"18:56:07.448"</f>
        <v>18:56:07.448</v>
      </c>
      <c r="D5896" t="s">
        <v>2452</v>
      </c>
      <c r="E5896">
        <v>30.691873999999999</v>
      </c>
      <c r="F5896" t="s">
        <v>2453</v>
      </c>
      <c r="G5896">
        <v>-89.773600000000002</v>
      </c>
      <c r="H5896">
        <v>1700</v>
      </c>
      <c r="I5896">
        <v>97</v>
      </c>
      <c r="J5896">
        <v>-126</v>
      </c>
      <c r="K5896">
        <v>-64</v>
      </c>
      <c r="L5896">
        <v>1200</v>
      </c>
      <c r="M5896" t="str">
        <f t="shared" si="629"/>
        <v xml:space="preserve">N35DC   </v>
      </c>
      <c r="N5896">
        <v>1</v>
      </c>
      <c r="O5896">
        <v>1750</v>
      </c>
    </row>
    <row r="5897" spans="1:15" x14ac:dyDescent="0.25">
      <c r="A5897" t="str">
        <f>"10/21/2020 18:56:02.326"</f>
        <v>10/21/2020 18:56:02.326</v>
      </c>
      <c r="B5897" t="str">
        <f>"18:56:10.227"</f>
        <v>18:56:10.227</v>
      </c>
      <c r="C5897" t="str">
        <f>"18:56:09.927"</f>
        <v>18:56:09.927</v>
      </c>
      <c r="D5897" t="s">
        <v>2454</v>
      </c>
      <c r="E5897">
        <v>30.690351</v>
      </c>
      <c r="F5897" t="s">
        <v>2455</v>
      </c>
      <c r="G5897">
        <v>-89.772248000000005</v>
      </c>
      <c r="H5897">
        <v>1700</v>
      </c>
      <c r="I5897">
        <v>96</v>
      </c>
      <c r="J5897">
        <v>-126</v>
      </c>
      <c r="K5897">
        <v>64</v>
      </c>
      <c r="L5897">
        <v>1200</v>
      </c>
      <c r="M5897" t="str">
        <f t="shared" si="629"/>
        <v xml:space="preserve">N35DC   </v>
      </c>
      <c r="N5897">
        <v>1</v>
      </c>
      <c r="O5897">
        <v>1750</v>
      </c>
    </row>
    <row r="5898" spans="1:15" x14ac:dyDescent="0.25">
      <c r="A5898" t="str">
        <f>"10/21/2020 18:56:02.767"</f>
        <v>10/21/2020 18:56:02.767</v>
      </c>
      <c r="B5898" t="str">
        <f>"18:56:10.711"</f>
        <v>18:56:10.711</v>
      </c>
      <c r="C5898" t="str">
        <f>"18:56:10.411"</f>
        <v>18:56:10.411</v>
      </c>
      <c r="D5898" t="s">
        <v>2456</v>
      </c>
      <c r="E5898">
        <v>30.690072000000001</v>
      </c>
      <c r="F5898" t="s">
        <v>2457</v>
      </c>
      <c r="G5898">
        <v>-89.772034000000005</v>
      </c>
      <c r="H5898">
        <v>1700</v>
      </c>
      <c r="I5898">
        <v>97</v>
      </c>
      <c r="J5898">
        <v>-126</v>
      </c>
      <c r="K5898">
        <v>0</v>
      </c>
      <c r="L5898">
        <v>1200</v>
      </c>
      <c r="M5898" t="str">
        <f t="shared" si="629"/>
        <v xml:space="preserve">N35DC   </v>
      </c>
      <c r="N5898">
        <v>1</v>
      </c>
      <c r="O5898">
        <v>1750</v>
      </c>
    </row>
    <row r="5899" spans="1:15" x14ac:dyDescent="0.25">
      <c r="A5899" t="str">
        <f>"10/21/2020 18:56:02.767"</f>
        <v>10/21/2020 18:56:02.767</v>
      </c>
      <c r="B5899" t="str">
        <f>"18:56:10.711"</f>
        <v>18:56:10.711</v>
      </c>
      <c r="C5899" t="str">
        <f>"18:56:10.411"</f>
        <v>18:56:10.411</v>
      </c>
      <c r="D5899" t="s">
        <v>2456</v>
      </c>
      <c r="E5899">
        <v>30.690072000000001</v>
      </c>
      <c r="F5899" t="s">
        <v>2457</v>
      </c>
      <c r="G5899">
        <v>-89.772034000000005</v>
      </c>
      <c r="H5899">
        <v>1700</v>
      </c>
      <c r="I5899">
        <v>97</v>
      </c>
      <c r="J5899">
        <v>-126</v>
      </c>
      <c r="K5899">
        <v>0</v>
      </c>
      <c r="L5899">
        <v>1200</v>
      </c>
      <c r="M5899" t="str">
        <f t="shared" si="629"/>
        <v xml:space="preserve">N35DC   </v>
      </c>
      <c r="N5899">
        <v>1</v>
      </c>
      <c r="O5899">
        <v>1750</v>
      </c>
    </row>
    <row r="5900" spans="1:15" x14ac:dyDescent="0.25">
      <c r="A5900" t="str">
        <f>"10/21/2020 18:56:02.767"</f>
        <v>10/21/2020 18:56:02.767</v>
      </c>
      <c r="B5900" t="str">
        <f>"18:56:10.711"</f>
        <v>18:56:10.711</v>
      </c>
      <c r="C5900" t="str">
        <f>"18:56:10.411"</f>
        <v>18:56:10.411</v>
      </c>
      <c r="D5900" t="s">
        <v>2456</v>
      </c>
      <c r="E5900">
        <v>30.690072000000001</v>
      </c>
      <c r="F5900" t="s">
        <v>2457</v>
      </c>
      <c r="G5900">
        <v>-89.772034000000005</v>
      </c>
      <c r="H5900">
        <v>1700</v>
      </c>
      <c r="I5900">
        <v>97</v>
      </c>
      <c r="J5900">
        <v>-126</v>
      </c>
      <c r="K5900">
        <v>0</v>
      </c>
      <c r="L5900">
        <v>1200</v>
      </c>
      <c r="M5900" t="str">
        <f t="shared" si="629"/>
        <v xml:space="preserve">N35DC   </v>
      </c>
      <c r="N5900">
        <v>1</v>
      </c>
      <c r="O5900">
        <v>1750</v>
      </c>
    </row>
    <row r="5901" spans="1:15" x14ac:dyDescent="0.25">
      <c r="A5901" t="str">
        <f>"10/21/2020 18:56:02.767"</f>
        <v>10/21/2020 18:56:02.767</v>
      </c>
      <c r="B5901" t="str">
        <f>"18:56:10.711"</f>
        <v>18:56:10.711</v>
      </c>
      <c r="C5901" t="str">
        <f>"18:56:10.411"</f>
        <v>18:56:10.411</v>
      </c>
      <c r="D5901" t="s">
        <v>2456</v>
      </c>
      <c r="E5901">
        <v>30.690072000000001</v>
      </c>
      <c r="F5901" t="s">
        <v>2457</v>
      </c>
      <c r="G5901">
        <v>-89.772034000000005</v>
      </c>
      <c r="H5901">
        <v>1700</v>
      </c>
      <c r="I5901">
        <v>97</v>
      </c>
      <c r="J5901">
        <v>-126</v>
      </c>
      <c r="K5901">
        <v>0</v>
      </c>
      <c r="L5901">
        <v>1200</v>
      </c>
      <c r="M5901" t="str">
        <f t="shared" si="629"/>
        <v xml:space="preserve">N35DC   </v>
      </c>
      <c r="N5901">
        <v>1</v>
      </c>
      <c r="O5901">
        <v>1750</v>
      </c>
    </row>
    <row r="5902" spans="1:15" x14ac:dyDescent="0.25">
      <c r="A5902" t="str">
        <f>"10/21/2020 18:56:02.767"</f>
        <v>10/21/2020 18:56:02.767</v>
      </c>
      <c r="B5902" t="str">
        <f>"18:56:10.711"</f>
        <v>18:56:10.711</v>
      </c>
      <c r="C5902" t="str">
        <f>"18:56:10.411"</f>
        <v>18:56:10.411</v>
      </c>
      <c r="D5902" t="s">
        <v>2456</v>
      </c>
      <c r="E5902">
        <v>30.690072000000001</v>
      </c>
      <c r="F5902" t="s">
        <v>2457</v>
      </c>
      <c r="G5902">
        <v>-89.772034000000005</v>
      </c>
      <c r="H5902">
        <v>1700</v>
      </c>
      <c r="I5902">
        <v>97</v>
      </c>
      <c r="J5902">
        <v>-126</v>
      </c>
      <c r="K5902">
        <v>0</v>
      </c>
      <c r="L5902">
        <v>1200</v>
      </c>
      <c r="M5902" t="str">
        <f t="shared" si="629"/>
        <v xml:space="preserve">N35DC   </v>
      </c>
      <c r="N5902">
        <v>1</v>
      </c>
      <c r="O5902">
        <v>1750</v>
      </c>
    </row>
    <row r="5903" spans="1:15" x14ac:dyDescent="0.25">
      <c r="A5903" t="str">
        <f>"10/21/2020 18:56:03.387"</f>
        <v>10/21/2020 18:56:03.387</v>
      </c>
      <c r="B5903" t="str">
        <f>"18:56:11.281"</f>
        <v>18:56:11.281</v>
      </c>
      <c r="C5903" t="str">
        <f>"18:56:11.181"</f>
        <v>18:56:11.181</v>
      </c>
      <c r="D5903" t="s">
        <v>2458</v>
      </c>
      <c r="E5903">
        <v>30.689706999999999</v>
      </c>
      <c r="F5903" t="s">
        <v>2459</v>
      </c>
      <c r="G5903">
        <v>-89.771711999999994</v>
      </c>
      <c r="H5903">
        <v>1700</v>
      </c>
      <c r="I5903">
        <v>97</v>
      </c>
      <c r="J5903">
        <v>-126</v>
      </c>
      <c r="K5903">
        <v>0</v>
      </c>
      <c r="L5903">
        <v>1200</v>
      </c>
      <c r="M5903" t="str">
        <f t="shared" si="629"/>
        <v xml:space="preserve">N35DC   </v>
      </c>
      <c r="N5903">
        <v>1</v>
      </c>
      <c r="O5903">
        <v>1750</v>
      </c>
    </row>
    <row r="5904" spans="1:15" x14ac:dyDescent="0.25">
      <c r="A5904" t="str">
        <f>"10/21/2020 18:56:03.746"</f>
        <v>10/21/2020 18:56:03.746</v>
      </c>
      <c r="B5904" t="str">
        <f>"18:56:11.703"</f>
        <v>18:56:11.703</v>
      </c>
      <c r="C5904" t="str">
        <f>"18:56:11.603"</f>
        <v>18:56:11.603</v>
      </c>
      <c r="D5904" t="s">
        <v>2460</v>
      </c>
      <c r="E5904">
        <v>30.689492000000001</v>
      </c>
      <c r="F5904" t="s">
        <v>211</v>
      </c>
      <c r="G5904">
        <v>-89.771496999999997</v>
      </c>
      <c r="H5904">
        <v>1700</v>
      </c>
      <c r="I5904">
        <v>96</v>
      </c>
      <c r="J5904">
        <v>-126</v>
      </c>
      <c r="K5904">
        <v>-64</v>
      </c>
      <c r="L5904">
        <v>1200</v>
      </c>
      <c r="M5904" t="str">
        <f t="shared" si="629"/>
        <v xml:space="preserve">N35DC   </v>
      </c>
      <c r="N5904">
        <v>1</v>
      </c>
      <c r="O5904">
        <v>1750</v>
      </c>
    </row>
    <row r="5905" spans="1:15" x14ac:dyDescent="0.25">
      <c r="A5905" t="str">
        <f>"10/21/2020 18:56:03.746"</f>
        <v>10/21/2020 18:56:03.746</v>
      </c>
      <c r="B5905" t="str">
        <f>"18:56:11.703"</f>
        <v>18:56:11.703</v>
      </c>
      <c r="C5905" t="str">
        <f>"18:56:11.603"</f>
        <v>18:56:11.603</v>
      </c>
      <c r="D5905" t="s">
        <v>2460</v>
      </c>
      <c r="E5905">
        <v>30.689492000000001</v>
      </c>
      <c r="F5905" t="s">
        <v>211</v>
      </c>
      <c r="G5905">
        <v>-89.771496999999997</v>
      </c>
      <c r="H5905">
        <v>1700</v>
      </c>
      <c r="I5905">
        <v>96</v>
      </c>
      <c r="J5905">
        <v>-126</v>
      </c>
      <c r="K5905">
        <v>-64</v>
      </c>
      <c r="L5905">
        <v>1200</v>
      </c>
      <c r="M5905" t="str">
        <f t="shared" si="629"/>
        <v xml:space="preserve">N35DC   </v>
      </c>
      <c r="N5905">
        <v>1</v>
      </c>
      <c r="O5905">
        <v>1750</v>
      </c>
    </row>
    <row r="5906" spans="1:15" x14ac:dyDescent="0.25">
      <c r="A5906" t="str">
        <f>"10/21/2020 18:56:03.746"</f>
        <v>10/21/2020 18:56:03.746</v>
      </c>
      <c r="B5906" t="str">
        <f>"18:56:11.703"</f>
        <v>18:56:11.703</v>
      </c>
      <c r="C5906" t="str">
        <f>"18:56:11.603"</f>
        <v>18:56:11.603</v>
      </c>
      <c r="D5906" t="s">
        <v>2460</v>
      </c>
      <c r="E5906">
        <v>30.689492000000001</v>
      </c>
      <c r="F5906" t="s">
        <v>211</v>
      </c>
      <c r="G5906">
        <v>-89.771496999999997</v>
      </c>
      <c r="H5906">
        <v>1700</v>
      </c>
      <c r="I5906">
        <v>96</v>
      </c>
      <c r="J5906">
        <v>-126</v>
      </c>
      <c r="K5906">
        <v>-64</v>
      </c>
      <c r="L5906">
        <v>1200</v>
      </c>
      <c r="M5906" t="str">
        <f t="shared" si="629"/>
        <v xml:space="preserve">N35DC   </v>
      </c>
      <c r="N5906">
        <v>1</v>
      </c>
      <c r="O5906">
        <v>1750</v>
      </c>
    </row>
    <row r="5907" spans="1:15" x14ac:dyDescent="0.25">
      <c r="A5907" t="str">
        <f>"10/21/2020 18:56:03.746"</f>
        <v>10/21/2020 18:56:03.746</v>
      </c>
      <c r="B5907" t="str">
        <f>"18:56:11.703"</f>
        <v>18:56:11.703</v>
      </c>
      <c r="C5907" t="str">
        <f>"18:56:11.603"</f>
        <v>18:56:11.603</v>
      </c>
      <c r="D5907" t="s">
        <v>2460</v>
      </c>
      <c r="E5907">
        <v>30.689492000000001</v>
      </c>
      <c r="F5907" t="s">
        <v>211</v>
      </c>
      <c r="G5907">
        <v>-89.771496999999997</v>
      </c>
      <c r="H5907">
        <v>1700</v>
      </c>
      <c r="I5907">
        <v>96</v>
      </c>
      <c r="J5907">
        <v>-126</v>
      </c>
      <c r="K5907">
        <v>-64</v>
      </c>
      <c r="L5907">
        <v>1200</v>
      </c>
      <c r="M5907" t="str">
        <f t="shared" si="629"/>
        <v xml:space="preserve">N35DC   </v>
      </c>
      <c r="N5907">
        <v>1</v>
      </c>
      <c r="O5907">
        <v>1750</v>
      </c>
    </row>
    <row r="5908" spans="1:15" x14ac:dyDescent="0.25">
      <c r="A5908" t="str">
        <f>"10/21/2020 18:56:03.746"</f>
        <v>10/21/2020 18:56:03.746</v>
      </c>
      <c r="B5908" t="str">
        <f>"18:56:11.703"</f>
        <v>18:56:11.703</v>
      </c>
      <c r="C5908" t="str">
        <f>"18:56:11.603"</f>
        <v>18:56:11.603</v>
      </c>
      <c r="D5908" t="s">
        <v>2460</v>
      </c>
      <c r="E5908">
        <v>30.689492000000001</v>
      </c>
      <c r="F5908" t="s">
        <v>211</v>
      </c>
      <c r="G5908">
        <v>-89.771496999999997</v>
      </c>
      <c r="H5908">
        <v>1700</v>
      </c>
      <c r="I5908">
        <v>96</v>
      </c>
      <c r="J5908">
        <v>-126</v>
      </c>
      <c r="K5908">
        <v>-64</v>
      </c>
      <c r="L5908">
        <v>1200</v>
      </c>
      <c r="M5908" t="str">
        <f t="shared" si="629"/>
        <v xml:space="preserve">N35DC   </v>
      </c>
      <c r="N5908">
        <v>1</v>
      </c>
      <c r="O5908">
        <v>1750</v>
      </c>
    </row>
    <row r="5909" spans="1:15" x14ac:dyDescent="0.25">
      <c r="A5909" t="str">
        <f t="shared" ref="A5909:A5914" si="630">"10/21/2020 18:56:04.789"</f>
        <v>10/21/2020 18:56:04.789</v>
      </c>
      <c r="B5909" t="str">
        <f t="shared" ref="B5909:B5914" si="631">"18:56:12.719"</f>
        <v>18:56:12.719</v>
      </c>
      <c r="C5909" t="str">
        <f t="shared" ref="C5909:C5914" si="632">"18:56:12.619"</f>
        <v>18:56:12.619</v>
      </c>
      <c r="D5909" t="s">
        <v>2461</v>
      </c>
      <c r="E5909">
        <v>30.688912999999999</v>
      </c>
      <c r="F5909" t="s">
        <v>2462</v>
      </c>
      <c r="G5909">
        <v>-89.770982000000004</v>
      </c>
      <c r="H5909">
        <v>1700</v>
      </c>
      <c r="I5909">
        <v>97</v>
      </c>
      <c r="J5909">
        <v>-126</v>
      </c>
      <c r="K5909">
        <v>128</v>
      </c>
      <c r="L5909">
        <v>1200</v>
      </c>
      <c r="M5909" t="str">
        <f t="shared" si="629"/>
        <v xml:space="preserve">N35DC   </v>
      </c>
      <c r="N5909">
        <v>1</v>
      </c>
      <c r="O5909">
        <v>1750</v>
      </c>
    </row>
    <row r="5910" spans="1:15" x14ac:dyDescent="0.25">
      <c r="A5910" t="str">
        <f t="shared" si="630"/>
        <v>10/21/2020 18:56:04.789</v>
      </c>
      <c r="B5910" t="str">
        <f t="shared" si="631"/>
        <v>18:56:12.719</v>
      </c>
      <c r="C5910" t="str">
        <f t="shared" si="632"/>
        <v>18:56:12.619</v>
      </c>
      <c r="D5910" t="s">
        <v>2461</v>
      </c>
      <c r="E5910">
        <v>30.688912999999999</v>
      </c>
      <c r="F5910" t="s">
        <v>2462</v>
      </c>
      <c r="G5910">
        <v>-89.770982000000004</v>
      </c>
      <c r="H5910">
        <v>1700</v>
      </c>
      <c r="I5910">
        <v>97</v>
      </c>
      <c r="J5910">
        <v>-126</v>
      </c>
      <c r="K5910">
        <v>128</v>
      </c>
      <c r="L5910">
        <v>1200</v>
      </c>
      <c r="M5910" t="str">
        <f t="shared" si="629"/>
        <v xml:space="preserve">N35DC   </v>
      </c>
      <c r="N5910">
        <v>1</v>
      </c>
      <c r="O5910">
        <v>1750</v>
      </c>
    </row>
    <row r="5911" spans="1:15" x14ac:dyDescent="0.25">
      <c r="A5911" t="str">
        <f t="shared" si="630"/>
        <v>10/21/2020 18:56:04.789</v>
      </c>
      <c r="B5911" t="str">
        <f t="shared" si="631"/>
        <v>18:56:12.719</v>
      </c>
      <c r="C5911" t="str">
        <f t="shared" si="632"/>
        <v>18:56:12.619</v>
      </c>
      <c r="D5911" t="s">
        <v>2461</v>
      </c>
      <c r="E5911">
        <v>30.688912999999999</v>
      </c>
      <c r="F5911" t="s">
        <v>2462</v>
      </c>
      <c r="G5911">
        <v>-89.770982000000004</v>
      </c>
      <c r="H5911">
        <v>1700</v>
      </c>
      <c r="I5911">
        <v>97</v>
      </c>
      <c r="J5911">
        <v>-126</v>
      </c>
      <c r="K5911">
        <v>128</v>
      </c>
      <c r="L5911">
        <v>1200</v>
      </c>
      <c r="M5911" t="str">
        <f t="shared" si="629"/>
        <v xml:space="preserve">N35DC   </v>
      </c>
      <c r="N5911">
        <v>1</v>
      </c>
      <c r="O5911">
        <v>1750</v>
      </c>
    </row>
    <row r="5912" spans="1:15" x14ac:dyDescent="0.25">
      <c r="A5912" t="str">
        <f t="shared" si="630"/>
        <v>10/21/2020 18:56:04.789</v>
      </c>
      <c r="B5912" t="str">
        <f t="shared" si="631"/>
        <v>18:56:12.719</v>
      </c>
      <c r="C5912" t="str">
        <f t="shared" si="632"/>
        <v>18:56:12.619</v>
      </c>
      <c r="D5912" t="s">
        <v>2461</v>
      </c>
      <c r="E5912">
        <v>30.688912999999999</v>
      </c>
      <c r="F5912" t="s">
        <v>2462</v>
      </c>
      <c r="G5912">
        <v>-89.770982000000004</v>
      </c>
      <c r="H5912">
        <v>1700</v>
      </c>
      <c r="I5912">
        <v>97</v>
      </c>
      <c r="J5912">
        <v>-126</v>
      </c>
      <c r="K5912">
        <v>128</v>
      </c>
      <c r="L5912">
        <v>1200</v>
      </c>
      <c r="M5912" t="str">
        <f t="shared" si="629"/>
        <v xml:space="preserve">N35DC   </v>
      </c>
      <c r="N5912">
        <v>1</v>
      </c>
      <c r="O5912">
        <v>1750</v>
      </c>
    </row>
    <row r="5913" spans="1:15" x14ac:dyDescent="0.25">
      <c r="A5913" t="str">
        <f t="shared" si="630"/>
        <v>10/21/2020 18:56:04.789</v>
      </c>
      <c r="B5913" t="str">
        <f t="shared" si="631"/>
        <v>18:56:12.719</v>
      </c>
      <c r="C5913" t="str">
        <f t="shared" si="632"/>
        <v>18:56:12.619</v>
      </c>
      <c r="D5913" t="s">
        <v>2461</v>
      </c>
      <c r="E5913">
        <v>30.688912999999999</v>
      </c>
      <c r="F5913" t="s">
        <v>2462</v>
      </c>
      <c r="G5913">
        <v>-89.770982000000004</v>
      </c>
      <c r="H5913">
        <v>1700</v>
      </c>
      <c r="I5913">
        <v>97</v>
      </c>
      <c r="J5913">
        <v>-126</v>
      </c>
      <c r="K5913">
        <v>128</v>
      </c>
      <c r="L5913">
        <v>1200</v>
      </c>
      <c r="M5913" t="str">
        <f t="shared" si="629"/>
        <v xml:space="preserve">N35DC   </v>
      </c>
      <c r="N5913">
        <v>1</v>
      </c>
      <c r="O5913">
        <v>1750</v>
      </c>
    </row>
    <row r="5914" spans="1:15" x14ac:dyDescent="0.25">
      <c r="A5914" t="str">
        <f t="shared" si="630"/>
        <v>10/21/2020 18:56:04.789</v>
      </c>
      <c r="B5914" t="str">
        <f t="shared" si="631"/>
        <v>18:56:12.719</v>
      </c>
      <c r="C5914" t="str">
        <f t="shared" si="632"/>
        <v>18:56:12.619</v>
      </c>
      <c r="D5914" t="s">
        <v>2461</v>
      </c>
      <c r="E5914">
        <v>30.688912999999999</v>
      </c>
      <c r="F5914" t="s">
        <v>2462</v>
      </c>
      <c r="G5914">
        <v>-89.770982000000004</v>
      </c>
      <c r="H5914">
        <v>1700</v>
      </c>
      <c r="I5914">
        <v>97</v>
      </c>
      <c r="J5914">
        <v>-126</v>
      </c>
      <c r="K5914">
        <v>128</v>
      </c>
      <c r="L5914">
        <v>1200</v>
      </c>
      <c r="M5914" t="str">
        <f t="shared" si="629"/>
        <v xml:space="preserve">N35DC   </v>
      </c>
      <c r="N5914">
        <v>1</v>
      </c>
      <c r="O5914">
        <v>1750</v>
      </c>
    </row>
    <row r="5915" spans="1:15" x14ac:dyDescent="0.25">
      <c r="A5915" t="str">
        <f t="shared" ref="A5915:A5920" si="633">"10/21/2020 18:56:07.752"</f>
        <v>10/21/2020 18:56:07.752</v>
      </c>
      <c r="B5915" t="str">
        <f t="shared" ref="B5915:B5920" si="634">"18:56:15.672"</f>
        <v>18:56:15.672</v>
      </c>
      <c r="C5915" t="str">
        <f t="shared" ref="C5915:C5920" si="635">"18:56:15.272"</f>
        <v>18:56:15.272</v>
      </c>
      <c r="D5915" t="s">
        <v>2463</v>
      </c>
      <c r="E5915">
        <v>30.687152999999999</v>
      </c>
      <c r="F5915" t="s">
        <v>2464</v>
      </c>
      <c r="G5915">
        <v>-89.769458999999998</v>
      </c>
      <c r="H5915">
        <v>1700</v>
      </c>
      <c r="I5915">
        <v>97</v>
      </c>
      <c r="J5915">
        <v>-126</v>
      </c>
      <c r="K5915">
        <v>-64</v>
      </c>
      <c r="L5915">
        <v>1200</v>
      </c>
      <c r="M5915" t="str">
        <f t="shared" si="629"/>
        <v xml:space="preserve">N35DC   </v>
      </c>
      <c r="N5915">
        <v>1</v>
      </c>
      <c r="O5915">
        <v>1750</v>
      </c>
    </row>
    <row r="5916" spans="1:15" x14ac:dyDescent="0.25">
      <c r="A5916" t="str">
        <f t="shared" si="633"/>
        <v>10/21/2020 18:56:07.752</v>
      </c>
      <c r="B5916" t="str">
        <f t="shared" si="634"/>
        <v>18:56:15.672</v>
      </c>
      <c r="C5916" t="str">
        <f t="shared" si="635"/>
        <v>18:56:15.272</v>
      </c>
      <c r="D5916" t="s">
        <v>2463</v>
      </c>
      <c r="E5916">
        <v>30.687152999999999</v>
      </c>
      <c r="F5916" t="s">
        <v>2464</v>
      </c>
      <c r="G5916">
        <v>-89.769458999999998</v>
      </c>
      <c r="H5916">
        <v>1700</v>
      </c>
      <c r="I5916">
        <v>97</v>
      </c>
      <c r="J5916">
        <v>-126</v>
      </c>
      <c r="K5916">
        <v>-64</v>
      </c>
      <c r="L5916">
        <v>1200</v>
      </c>
      <c r="M5916" t="str">
        <f t="shared" si="629"/>
        <v xml:space="preserve">N35DC   </v>
      </c>
      <c r="N5916">
        <v>1</v>
      </c>
      <c r="O5916">
        <v>1750</v>
      </c>
    </row>
    <row r="5917" spans="1:15" x14ac:dyDescent="0.25">
      <c r="A5917" t="str">
        <f t="shared" si="633"/>
        <v>10/21/2020 18:56:07.752</v>
      </c>
      <c r="B5917" t="str">
        <f t="shared" si="634"/>
        <v>18:56:15.672</v>
      </c>
      <c r="C5917" t="str">
        <f t="shared" si="635"/>
        <v>18:56:15.272</v>
      </c>
      <c r="D5917" t="s">
        <v>2463</v>
      </c>
      <c r="E5917">
        <v>30.687152999999999</v>
      </c>
      <c r="F5917" t="s">
        <v>2464</v>
      </c>
      <c r="G5917">
        <v>-89.769458999999998</v>
      </c>
      <c r="H5917">
        <v>1700</v>
      </c>
      <c r="I5917">
        <v>97</v>
      </c>
      <c r="J5917">
        <v>-126</v>
      </c>
      <c r="K5917">
        <v>-64</v>
      </c>
      <c r="L5917">
        <v>1200</v>
      </c>
      <c r="M5917" t="str">
        <f t="shared" si="629"/>
        <v xml:space="preserve">N35DC   </v>
      </c>
      <c r="N5917">
        <v>1</v>
      </c>
      <c r="O5917">
        <v>1750</v>
      </c>
    </row>
    <row r="5918" spans="1:15" x14ac:dyDescent="0.25">
      <c r="A5918" t="str">
        <f t="shared" si="633"/>
        <v>10/21/2020 18:56:07.752</v>
      </c>
      <c r="B5918" t="str">
        <f t="shared" si="634"/>
        <v>18:56:15.672</v>
      </c>
      <c r="C5918" t="str">
        <f t="shared" si="635"/>
        <v>18:56:15.272</v>
      </c>
      <c r="D5918" t="s">
        <v>2463</v>
      </c>
      <c r="E5918">
        <v>30.687152999999999</v>
      </c>
      <c r="F5918" t="s">
        <v>2464</v>
      </c>
      <c r="G5918">
        <v>-89.769458999999998</v>
      </c>
      <c r="H5918">
        <v>1700</v>
      </c>
      <c r="I5918">
        <v>97</v>
      </c>
      <c r="J5918">
        <v>-126</v>
      </c>
      <c r="K5918">
        <v>-64</v>
      </c>
      <c r="L5918">
        <v>1200</v>
      </c>
      <c r="M5918" t="str">
        <f t="shared" si="629"/>
        <v xml:space="preserve">N35DC   </v>
      </c>
      <c r="N5918">
        <v>1</v>
      </c>
      <c r="O5918">
        <v>1750</v>
      </c>
    </row>
    <row r="5919" spans="1:15" x14ac:dyDescent="0.25">
      <c r="A5919" t="str">
        <f t="shared" si="633"/>
        <v>10/21/2020 18:56:07.752</v>
      </c>
      <c r="B5919" t="str">
        <f t="shared" si="634"/>
        <v>18:56:15.672</v>
      </c>
      <c r="C5919" t="str">
        <f t="shared" si="635"/>
        <v>18:56:15.272</v>
      </c>
      <c r="D5919" t="s">
        <v>2463</v>
      </c>
      <c r="E5919">
        <v>30.687152999999999</v>
      </c>
      <c r="F5919" t="s">
        <v>2464</v>
      </c>
      <c r="G5919">
        <v>-89.769458999999998</v>
      </c>
      <c r="H5919">
        <v>1700</v>
      </c>
      <c r="I5919">
        <v>97</v>
      </c>
      <c r="J5919">
        <v>-126</v>
      </c>
      <c r="K5919">
        <v>-64</v>
      </c>
      <c r="L5919">
        <v>1200</v>
      </c>
      <c r="M5919" t="str">
        <f t="shared" si="629"/>
        <v xml:space="preserve">N35DC   </v>
      </c>
      <c r="N5919">
        <v>1</v>
      </c>
      <c r="O5919">
        <v>1750</v>
      </c>
    </row>
    <row r="5920" spans="1:15" x14ac:dyDescent="0.25">
      <c r="A5920" t="str">
        <f t="shared" si="633"/>
        <v>10/21/2020 18:56:07.752</v>
      </c>
      <c r="B5920" t="str">
        <f t="shared" si="634"/>
        <v>18:56:15.672</v>
      </c>
      <c r="C5920" t="str">
        <f t="shared" si="635"/>
        <v>18:56:15.272</v>
      </c>
      <c r="D5920" t="s">
        <v>2463</v>
      </c>
      <c r="E5920">
        <v>30.687152999999999</v>
      </c>
      <c r="F5920" t="s">
        <v>2464</v>
      </c>
      <c r="G5920">
        <v>-89.769458999999998</v>
      </c>
      <c r="H5920">
        <v>1700</v>
      </c>
      <c r="I5920">
        <v>97</v>
      </c>
      <c r="J5920">
        <v>-126</v>
      </c>
      <c r="K5920">
        <v>-64</v>
      </c>
      <c r="L5920">
        <v>1200</v>
      </c>
      <c r="M5920" t="str">
        <f t="shared" si="629"/>
        <v xml:space="preserve">N35DC   </v>
      </c>
      <c r="N5920">
        <v>1</v>
      </c>
      <c r="O5920">
        <v>1750</v>
      </c>
    </row>
    <row r="5921" spans="1:15" x14ac:dyDescent="0.25">
      <c r="A5921" t="str">
        <f>"10/21/2020 18:56:08.727"</f>
        <v>10/21/2020 18:56:08.727</v>
      </c>
      <c r="B5921" t="str">
        <f>"18:56:16.680"</f>
        <v>18:56:16.680</v>
      </c>
      <c r="C5921" t="str">
        <f>"18:56:16.380"</f>
        <v>18:56:16.380</v>
      </c>
      <c r="D5921" t="s">
        <v>2465</v>
      </c>
      <c r="E5921">
        <v>30.686574</v>
      </c>
      <c r="F5921" t="s">
        <v>2466</v>
      </c>
      <c r="G5921">
        <v>-89.768901</v>
      </c>
      <c r="H5921">
        <v>1700</v>
      </c>
      <c r="I5921">
        <v>98</v>
      </c>
      <c r="J5921">
        <v>-126</v>
      </c>
      <c r="K5921">
        <v>-256</v>
      </c>
      <c r="L5921">
        <v>1200</v>
      </c>
      <c r="M5921" t="str">
        <f t="shared" si="629"/>
        <v xml:space="preserve">N35DC   </v>
      </c>
      <c r="N5921">
        <v>1</v>
      </c>
      <c r="O5921">
        <v>1750</v>
      </c>
    </row>
    <row r="5922" spans="1:15" x14ac:dyDescent="0.25">
      <c r="A5922" t="str">
        <f>"10/21/2020 18:56:08.727"</f>
        <v>10/21/2020 18:56:08.727</v>
      </c>
      <c r="B5922" t="str">
        <f>"18:56:16.680"</f>
        <v>18:56:16.680</v>
      </c>
      <c r="C5922" t="str">
        <f>"18:56:16.380"</f>
        <v>18:56:16.380</v>
      </c>
      <c r="D5922" t="s">
        <v>2465</v>
      </c>
      <c r="E5922">
        <v>30.686574</v>
      </c>
      <c r="F5922" t="s">
        <v>2466</v>
      </c>
      <c r="G5922">
        <v>-89.768901</v>
      </c>
      <c r="H5922">
        <v>1700</v>
      </c>
      <c r="I5922">
        <v>98</v>
      </c>
      <c r="J5922">
        <v>-126</v>
      </c>
      <c r="K5922">
        <v>-256</v>
      </c>
      <c r="L5922">
        <v>1200</v>
      </c>
      <c r="M5922" t="str">
        <f t="shared" si="629"/>
        <v xml:space="preserve">N35DC   </v>
      </c>
      <c r="N5922">
        <v>1</v>
      </c>
      <c r="O5922">
        <v>1750</v>
      </c>
    </row>
    <row r="5923" spans="1:15" x14ac:dyDescent="0.25">
      <c r="A5923" t="str">
        <f>"10/21/2020 18:56:08.727"</f>
        <v>10/21/2020 18:56:08.727</v>
      </c>
      <c r="B5923" t="str">
        <f>"18:56:16.680"</f>
        <v>18:56:16.680</v>
      </c>
      <c r="C5923" t="str">
        <f>"18:56:16.380"</f>
        <v>18:56:16.380</v>
      </c>
      <c r="D5923" t="s">
        <v>2465</v>
      </c>
      <c r="E5923">
        <v>30.686574</v>
      </c>
      <c r="F5923" t="s">
        <v>2466</v>
      </c>
      <c r="G5923">
        <v>-89.768901</v>
      </c>
      <c r="H5923">
        <v>1700</v>
      </c>
      <c r="I5923">
        <v>98</v>
      </c>
      <c r="J5923">
        <v>-126</v>
      </c>
      <c r="K5923">
        <v>-256</v>
      </c>
      <c r="L5923">
        <v>1200</v>
      </c>
      <c r="M5923" t="str">
        <f t="shared" si="629"/>
        <v xml:space="preserve">N35DC   </v>
      </c>
      <c r="N5923">
        <v>1</v>
      </c>
      <c r="O5923">
        <v>1750</v>
      </c>
    </row>
    <row r="5924" spans="1:15" x14ac:dyDescent="0.25">
      <c r="A5924" t="str">
        <f>"10/21/2020 18:56:08.727"</f>
        <v>10/21/2020 18:56:08.727</v>
      </c>
      <c r="B5924" t="str">
        <f>"18:56:16.680"</f>
        <v>18:56:16.680</v>
      </c>
      <c r="C5924" t="str">
        <f>"18:56:16.380"</f>
        <v>18:56:16.380</v>
      </c>
      <c r="D5924" t="s">
        <v>2465</v>
      </c>
      <c r="E5924">
        <v>30.686574</v>
      </c>
      <c r="F5924" t="s">
        <v>2466</v>
      </c>
      <c r="G5924">
        <v>-89.768901</v>
      </c>
      <c r="H5924">
        <v>1700</v>
      </c>
      <c r="I5924">
        <v>98</v>
      </c>
      <c r="J5924">
        <v>-126</v>
      </c>
      <c r="K5924">
        <v>-256</v>
      </c>
      <c r="L5924">
        <v>1200</v>
      </c>
      <c r="M5924" t="str">
        <f t="shared" si="629"/>
        <v xml:space="preserve">N35DC   </v>
      </c>
      <c r="N5924">
        <v>1</v>
      </c>
      <c r="O5924">
        <v>1750</v>
      </c>
    </row>
    <row r="5925" spans="1:15" x14ac:dyDescent="0.25">
      <c r="A5925" t="str">
        <f>"10/21/2020 18:56:08.727"</f>
        <v>10/21/2020 18:56:08.727</v>
      </c>
      <c r="B5925" t="str">
        <f>"18:56:16.680"</f>
        <v>18:56:16.680</v>
      </c>
      <c r="C5925" t="str">
        <f>"18:56:16.380"</f>
        <v>18:56:16.380</v>
      </c>
      <c r="D5925" t="s">
        <v>2465</v>
      </c>
      <c r="E5925">
        <v>30.686574</v>
      </c>
      <c r="F5925" t="s">
        <v>2466</v>
      </c>
      <c r="G5925">
        <v>-89.768901</v>
      </c>
      <c r="H5925">
        <v>1700</v>
      </c>
      <c r="I5925">
        <v>98</v>
      </c>
      <c r="J5925">
        <v>-126</v>
      </c>
      <c r="K5925">
        <v>-256</v>
      </c>
      <c r="L5925">
        <v>1200</v>
      </c>
      <c r="M5925" t="str">
        <f t="shared" si="629"/>
        <v xml:space="preserve">N35DC   </v>
      </c>
      <c r="N5925">
        <v>1</v>
      </c>
      <c r="O5925">
        <v>1750</v>
      </c>
    </row>
    <row r="5926" spans="1:15" x14ac:dyDescent="0.25">
      <c r="A5926" t="str">
        <f>"10/21/2020 18:56:09.339"</f>
        <v>10/21/2020 18:56:09.339</v>
      </c>
      <c r="B5926" t="str">
        <f>"18:56:17.266"</f>
        <v>18:56:17.266</v>
      </c>
      <c r="C5926" t="str">
        <f>"18:56:16.966"</f>
        <v>18:56:16.966</v>
      </c>
      <c r="D5926" t="s">
        <v>2467</v>
      </c>
      <c r="E5926">
        <v>30.686230999999999</v>
      </c>
      <c r="F5926" t="s">
        <v>2468</v>
      </c>
      <c r="G5926">
        <v>-89.768579000000003</v>
      </c>
      <c r="H5926">
        <v>1700</v>
      </c>
      <c r="I5926">
        <v>98</v>
      </c>
      <c r="J5926">
        <v>-127</v>
      </c>
      <c r="K5926">
        <v>-256</v>
      </c>
      <c r="L5926">
        <v>1200</v>
      </c>
      <c r="M5926" t="str">
        <f t="shared" si="629"/>
        <v xml:space="preserve">N35DC   </v>
      </c>
      <c r="N5926">
        <v>1</v>
      </c>
      <c r="O5926">
        <v>1750</v>
      </c>
    </row>
    <row r="5927" spans="1:15" x14ac:dyDescent="0.25">
      <c r="A5927" t="str">
        <f t="shared" ref="A5927:A5932" si="636">"10/21/2020 18:56:11.759"</f>
        <v>10/21/2020 18:56:11.759</v>
      </c>
      <c r="B5927" t="str">
        <f t="shared" ref="B5927:B5932" si="637">"18:56:19.711"</f>
        <v>18:56:19.711</v>
      </c>
      <c r="C5927" t="str">
        <f t="shared" ref="C5927:C5932" si="638">"18:56:19.311"</f>
        <v>18:56:19.311</v>
      </c>
      <c r="D5927" t="s">
        <v>2469</v>
      </c>
      <c r="E5927">
        <v>30.684771999999999</v>
      </c>
      <c r="F5927" t="s">
        <v>2470</v>
      </c>
      <c r="G5927">
        <v>-89.767356000000007</v>
      </c>
      <c r="H5927">
        <v>1700</v>
      </c>
      <c r="I5927">
        <v>98</v>
      </c>
      <c r="J5927">
        <v>-128</v>
      </c>
      <c r="K5927">
        <v>-256</v>
      </c>
      <c r="L5927">
        <v>1200</v>
      </c>
      <c r="M5927" t="str">
        <f t="shared" si="629"/>
        <v xml:space="preserve">N35DC   </v>
      </c>
      <c r="N5927">
        <v>1</v>
      </c>
      <c r="O5927">
        <v>1725</v>
      </c>
    </row>
    <row r="5928" spans="1:15" x14ac:dyDescent="0.25">
      <c r="A5928" t="str">
        <f t="shared" si="636"/>
        <v>10/21/2020 18:56:11.759</v>
      </c>
      <c r="B5928" t="str">
        <f t="shared" si="637"/>
        <v>18:56:19.711</v>
      </c>
      <c r="C5928" t="str">
        <f t="shared" si="638"/>
        <v>18:56:19.311</v>
      </c>
      <c r="D5928" t="s">
        <v>2469</v>
      </c>
      <c r="E5928">
        <v>30.684771999999999</v>
      </c>
      <c r="F5928" t="s">
        <v>2470</v>
      </c>
      <c r="G5928">
        <v>-89.767356000000007</v>
      </c>
      <c r="H5928">
        <v>1700</v>
      </c>
      <c r="I5928">
        <v>98</v>
      </c>
      <c r="J5928">
        <v>-128</v>
      </c>
      <c r="K5928">
        <v>-256</v>
      </c>
      <c r="L5928">
        <v>1200</v>
      </c>
      <c r="M5928" t="str">
        <f t="shared" si="629"/>
        <v xml:space="preserve">N35DC   </v>
      </c>
      <c r="N5928">
        <v>1</v>
      </c>
      <c r="O5928">
        <v>1725</v>
      </c>
    </row>
    <row r="5929" spans="1:15" x14ac:dyDescent="0.25">
      <c r="A5929" t="str">
        <f t="shared" si="636"/>
        <v>10/21/2020 18:56:11.759</v>
      </c>
      <c r="B5929" t="str">
        <f t="shared" si="637"/>
        <v>18:56:19.711</v>
      </c>
      <c r="C5929" t="str">
        <f t="shared" si="638"/>
        <v>18:56:19.311</v>
      </c>
      <c r="D5929" t="s">
        <v>2469</v>
      </c>
      <c r="E5929">
        <v>30.684771999999999</v>
      </c>
      <c r="F5929" t="s">
        <v>2470</v>
      </c>
      <c r="G5929">
        <v>-89.767356000000007</v>
      </c>
      <c r="H5929">
        <v>1700</v>
      </c>
      <c r="I5929">
        <v>98</v>
      </c>
      <c r="J5929">
        <v>-128</v>
      </c>
      <c r="K5929">
        <v>-256</v>
      </c>
      <c r="L5929">
        <v>1200</v>
      </c>
      <c r="M5929" t="str">
        <f t="shared" si="629"/>
        <v xml:space="preserve">N35DC   </v>
      </c>
      <c r="N5929">
        <v>1</v>
      </c>
      <c r="O5929">
        <v>1725</v>
      </c>
    </row>
    <row r="5930" spans="1:15" x14ac:dyDescent="0.25">
      <c r="A5930" t="str">
        <f t="shared" si="636"/>
        <v>10/21/2020 18:56:11.759</v>
      </c>
      <c r="B5930" t="str">
        <f t="shared" si="637"/>
        <v>18:56:19.711</v>
      </c>
      <c r="C5930" t="str">
        <f t="shared" si="638"/>
        <v>18:56:19.311</v>
      </c>
      <c r="D5930" t="s">
        <v>2469</v>
      </c>
      <c r="E5930">
        <v>30.684771999999999</v>
      </c>
      <c r="F5930" t="s">
        <v>2470</v>
      </c>
      <c r="G5930">
        <v>-89.767356000000007</v>
      </c>
      <c r="H5930">
        <v>1700</v>
      </c>
      <c r="I5930">
        <v>98</v>
      </c>
      <c r="J5930">
        <v>-128</v>
      </c>
      <c r="K5930">
        <v>-256</v>
      </c>
      <c r="L5930">
        <v>1200</v>
      </c>
      <c r="M5930" t="str">
        <f t="shared" si="629"/>
        <v xml:space="preserve">N35DC   </v>
      </c>
      <c r="N5930">
        <v>1</v>
      </c>
      <c r="O5930">
        <v>1725</v>
      </c>
    </row>
    <row r="5931" spans="1:15" x14ac:dyDescent="0.25">
      <c r="A5931" t="str">
        <f t="shared" si="636"/>
        <v>10/21/2020 18:56:11.759</v>
      </c>
      <c r="B5931" t="str">
        <f t="shared" si="637"/>
        <v>18:56:19.711</v>
      </c>
      <c r="C5931" t="str">
        <f t="shared" si="638"/>
        <v>18:56:19.311</v>
      </c>
      <c r="D5931" t="s">
        <v>2469</v>
      </c>
      <c r="E5931">
        <v>30.684771999999999</v>
      </c>
      <c r="F5931" t="s">
        <v>2470</v>
      </c>
      <c r="G5931">
        <v>-89.767356000000007</v>
      </c>
      <c r="H5931">
        <v>1700</v>
      </c>
      <c r="I5931">
        <v>98</v>
      </c>
      <c r="J5931">
        <v>-128</v>
      </c>
      <c r="K5931">
        <v>-256</v>
      </c>
      <c r="L5931">
        <v>1200</v>
      </c>
      <c r="M5931" t="str">
        <f t="shared" si="629"/>
        <v xml:space="preserve">N35DC   </v>
      </c>
      <c r="N5931">
        <v>1</v>
      </c>
      <c r="O5931">
        <v>1725</v>
      </c>
    </row>
    <row r="5932" spans="1:15" x14ac:dyDescent="0.25">
      <c r="A5932" t="str">
        <f t="shared" si="636"/>
        <v>10/21/2020 18:56:11.759</v>
      </c>
      <c r="B5932" t="str">
        <f t="shared" si="637"/>
        <v>18:56:19.711</v>
      </c>
      <c r="C5932" t="str">
        <f t="shared" si="638"/>
        <v>18:56:19.311</v>
      </c>
      <c r="D5932" t="s">
        <v>2469</v>
      </c>
      <c r="E5932">
        <v>30.684771999999999</v>
      </c>
      <c r="F5932" t="s">
        <v>2470</v>
      </c>
      <c r="G5932">
        <v>-89.767356000000007</v>
      </c>
      <c r="H5932">
        <v>1700</v>
      </c>
      <c r="I5932">
        <v>98</v>
      </c>
      <c r="J5932">
        <v>-128</v>
      </c>
      <c r="K5932">
        <v>-256</v>
      </c>
      <c r="L5932">
        <v>1200</v>
      </c>
      <c r="M5932" t="str">
        <f t="shared" si="629"/>
        <v xml:space="preserve">N35DC   </v>
      </c>
      <c r="N5932">
        <v>1</v>
      </c>
      <c r="O5932">
        <v>1725</v>
      </c>
    </row>
    <row r="5933" spans="1:15" x14ac:dyDescent="0.25">
      <c r="A5933" t="str">
        <f t="shared" ref="A5933:A5938" si="639">"10/21/2020 18:56:12.931"</f>
        <v>10/21/2020 18:56:12.931</v>
      </c>
      <c r="B5933" t="str">
        <f t="shared" ref="B5933:B5938" si="640">"18:56:20.875"</f>
        <v>18:56:20.875</v>
      </c>
      <c r="C5933" t="str">
        <f t="shared" ref="C5933:C5938" si="641">"18:56:20.375"</f>
        <v>18:56:20.375</v>
      </c>
      <c r="D5933" t="s">
        <v>2471</v>
      </c>
      <c r="E5933">
        <v>30.684085</v>
      </c>
      <c r="F5933" t="s">
        <v>2472</v>
      </c>
      <c r="G5933">
        <v>-89.766711999999998</v>
      </c>
      <c r="H5933">
        <v>1700</v>
      </c>
      <c r="I5933">
        <v>97</v>
      </c>
      <c r="J5933">
        <v>-129</v>
      </c>
      <c r="K5933">
        <v>-192</v>
      </c>
      <c r="L5933">
        <v>1200</v>
      </c>
      <c r="M5933" t="str">
        <f t="shared" si="629"/>
        <v xml:space="preserve">N35DC   </v>
      </c>
      <c r="N5933">
        <v>1</v>
      </c>
      <c r="O5933">
        <v>1725</v>
      </c>
    </row>
    <row r="5934" spans="1:15" x14ac:dyDescent="0.25">
      <c r="A5934" t="str">
        <f t="shared" si="639"/>
        <v>10/21/2020 18:56:12.931</v>
      </c>
      <c r="B5934" t="str">
        <f t="shared" si="640"/>
        <v>18:56:20.875</v>
      </c>
      <c r="C5934" t="str">
        <f t="shared" si="641"/>
        <v>18:56:20.375</v>
      </c>
      <c r="D5934" t="s">
        <v>2471</v>
      </c>
      <c r="E5934">
        <v>30.684085</v>
      </c>
      <c r="F5934" t="s">
        <v>2472</v>
      </c>
      <c r="G5934">
        <v>-89.766711999999998</v>
      </c>
      <c r="H5934">
        <v>1700</v>
      </c>
      <c r="I5934">
        <v>97</v>
      </c>
      <c r="J5934">
        <v>-129</v>
      </c>
      <c r="K5934">
        <v>-192</v>
      </c>
      <c r="L5934">
        <v>1200</v>
      </c>
      <c r="M5934" t="str">
        <f t="shared" si="629"/>
        <v xml:space="preserve">N35DC   </v>
      </c>
      <c r="N5934">
        <v>1</v>
      </c>
      <c r="O5934">
        <v>1725</v>
      </c>
    </row>
    <row r="5935" spans="1:15" x14ac:dyDescent="0.25">
      <c r="A5935" t="str">
        <f t="shared" si="639"/>
        <v>10/21/2020 18:56:12.931</v>
      </c>
      <c r="B5935" t="str">
        <f t="shared" si="640"/>
        <v>18:56:20.875</v>
      </c>
      <c r="C5935" t="str">
        <f t="shared" si="641"/>
        <v>18:56:20.375</v>
      </c>
      <c r="D5935" t="s">
        <v>2471</v>
      </c>
      <c r="E5935">
        <v>30.684085</v>
      </c>
      <c r="F5935" t="s">
        <v>2472</v>
      </c>
      <c r="G5935">
        <v>-89.766711999999998</v>
      </c>
      <c r="H5935">
        <v>1700</v>
      </c>
      <c r="I5935">
        <v>97</v>
      </c>
      <c r="J5935">
        <v>-129</v>
      </c>
      <c r="K5935">
        <v>-192</v>
      </c>
      <c r="L5935">
        <v>1200</v>
      </c>
      <c r="M5935" t="str">
        <f t="shared" si="629"/>
        <v xml:space="preserve">N35DC   </v>
      </c>
      <c r="N5935">
        <v>1</v>
      </c>
      <c r="O5935">
        <v>1725</v>
      </c>
    </row>
    <row r="5936" spans="1:15" x14ac:dyDescent="0.25">
      <c r="A5936" t="str">
        <f t="shared" si="639"/>
        <v>10/21/2020 18:56:12.931</v>
      </c>
      <c r="B5936" t="str">
        <f t="shared" si="640"/>
        <v>18:56:20.875</v>
      </c>
      <c r="C5936" t="str">
        <f t="shared" si="641"/>
        <v>18:56:20.375</v>
      </c>
      <c r="D5936" t="s">
        <v>2471</v>
      </c>
      <c r="E5936">
        <v>30.684085</v>
      </c>
      <c r="F5936" t="s">
        <v>2472</v>
      </c>
      <c r="G5936">
        <v>-89.766711999999998</v>
      </c>
      <c r="H5936">
        <v>1700</v>
      </c>
      <c r="I5936">
        <v>97</v>
      </c>
      <c r="J5936">
        <v>-129</v>
      </c>
      <c r="K5936">
        <v>-192</v>
      </c>
      <c r="L5936">
        <v>1200</v>
      </c>
      <c r="M5936" t="str">
        <f t="shared" si="629"/>
        <v xml:space="preserve">N35DC   </v>
      </c>
      <c r="N5936">
        <v>1</v>
      </c>
      <c r="O5936">
        <v>1725</v>
      </c>
    </row>
    <row r="5937" spans="1:15" x14ac:dyDescent="0.25">
      <c r="A5937" t="str">
        <f t="shared" si="639"/>
        <v>10/21/2020 18:56:12.931</v>
      </c>
      <c r="B5937" t="str">
        <f t="shared" si="640"/>
        <v>18:56:20.875</v>
      </c>
      <c r="C5937" t="str">
        <f t="shared" si="641"/>
        <v>18:56:20.375</v>
      </c>
      <c r="D5937" t="s">
        <v>2471</v>
      </c>
      <c r="E5937">
        <v>30.684085</v>
      </c>
      <c r="F5937" t="s">
        <v>2472</v>
      </c>
      <c r="G5937">
        <v>-89.766711999999998</v>
      </c>
      <c r="H5937">
        <v>1700</v>
      </c>
      <c r="I5937">
        <v>97</v>
      </c>
      <c r="J5937">
        <v>-129</v>
      </c>
      <c r="K5937">
        <v>-192</v>
      </c>
      <c r="L5937">
        <v>1200</v>
      </c>
      <c r="M5937" t="str">
        <f t="shared" si="629"/>
        <v xml:space="preserve">N35DC   </v>
      </c>
      <c r="N5937">
        <v>1</v>
      </c>
      <c r="O5937">
        <v>1725</v>
      </c>
    </row>
    <row r="5938" spans="1:15" x14ac:dyDescent="0.25">
      <c r="A5938" t="str">
        <f t="shared" si="639"/>
        <v>10/21/2020 18:56:12.931</v>
      </c>
      <c r="B5938" t="str">
        <f t="shared" si="640"/>
        <v>18:56:20.875</v>
      </c>
      <c r="C5938" t="str">
        <f t="shared" si="641"/>
        <v>18:56:20.375</v>
      </c>
      <c r="D5938" t="s">
        <v>2471</v>
      </c>
      <c r="E5938">
        <v>30.684085</v>
      </c>
      <c r="F5938" t="s">
        <v>2472</v>
      </c>
      <c r="G5938">
        <v>-89.766711999999998</v>
      </c>
      <c r="H5938">
        <v>1700</v>
      </c>
      <c r="I5938">
        <v>97</v>
      </c>
      <c r="J5938">
        <v>-129</v>
      </c>
      <c r="K5938">
        <v>-192</v>
      </c>
      <c r="L5938">
        <v>1200</v>
      </c>
      <c r="M5938" t="str">
        <f t="shared" si="629"/>
        <v xml:space="preserve">N35DC   </v>
      </c>
      <c r="N5938">
        <v>1</v>
      </c>
      <c r="O5938">
        <v>1725</v>
      </c>
    </row>
    <row r="5939" spans="1:15" x14ac:dyDescent="0.25">
      <c r="A5939" t="str">
        <f>"10/21/2020 18:56:15.323"</f>
        <v>10/21/2020 18:56:15.323</v>
      </c>
      <c r="B5939" t="str">
        <f>"18:56:23.281"</f>
        <v>18:56:23.281</v>
      </c>
      <c r="C5939" t="str">
        <f>"18:56:22.881"</f>
        <v>18:56:22.881</v>
      </c>
      <c r="D5939" t="s">
        <v>2473</v>
      </c>
      <c r="E5939">
        <v>30.682669000000001</v>
      </c>
      <c r="F5939" t="s">
        <v>2474</v>
      </c>
      <c r="G5939">
        <v>-89.765467999999998</v>
      </c>
      <c r="H5939">
        <v>1700</v>
      </c>
      <c r="I5939">
        <v>97</v>
      </c>
      <c r="J5939">
        <v>-128</v>
      </c>
      <c r="K5939">
        <v>384</v>
      </c>
      <c r="L5939">
        <v>1200</v>
      </c>
      <c r="M5939" t="str">
        <f t="shared" si="629"/>
        <v xml:space="preserve">N35DC   </v>
      </c>
      <c r="N5939">
        <v>1</v>
      </c>
      <c r="O5939">
        <v>1725</v>
      </c>
    </row>
    <row r="5940" spans="1:15" x14ac:dyDescent="0.25">
      <c r="A5940" t="str">
        <f>"10/21/2020 18:56:15.865"</f>
        <v>10/21/2020 18:56:15.865</v>
      </c>
      <c r="B5940" t="str">
        <f>"18:56:23.820"</f>
        <v>18:56:23.820</v>
      </c>
      <c r="C5940" t="str">
        <f>"18:56:23.320"</f>
        <v>18:56:23.320</v>
      </c>
      <c r="D5940" t="s">
        <v>2475</v>
      </c>
      <c r="E5940">
        <v>30.682303999999998</v>
      </c>
      <c r="F5940" t="s">
        <v>278</v>
      </c>
      <c r="G5940">
        <v>-89.765167000000005</v>
      </c>
      <c r="H5940">
        <v>1700</v>
      </c>
      <c r="I5940">
        <v>97</v>
      </c>
      <c r="J5940">
        <v>-128</v>
      </c>
      <c r="K5940">
        <v>192</v>
      </c>
      <c r="L5940">
        <v>1200</v>
      </c>
      <c r="M5940" t="str">
        <f t="shared" si="629"/>
        <v xml:space="preserve">N35DC   </v>
      </c>
      <c r="N5940">
        <v>1</v>
      </c>
      <c r="O5940">
        <v>1725</v>
      </c>
    </row>
    <row r="5941" spans="1:15" x14ac:dyDescent="0.25">
      <c r="A5941" t="str">
        <f>"10/21/2020 18:56:15.865"</f>
        <v>10/21/2020 18:56:15.865</v>
      </c>
      <c r="B5941" t="str">
        <f>"18:56:23.820"</f>
        <v>18:56:23.820</v>
      </c>
      <c r="C5941" t="str">
        <f>"18:56:23.320"</f>
        <v>18:56:23.320</v>
      </c>
      <c r="D5941" t="s">
        <v>2475</v>
      </c>
      <c r="E5941">
        <v>30.682303999999998</v>
      </c>
      <c r="F5941" t="s">
        <v>278</v>
      </c>
      <c r="G5941">
        <v>-89.765167000000005</v>
      </c>
      <c r="H5941">
        <v>1700</v>
      </c>
      <c r="I5941">
        <v>97</v>
      </c>
      <c r="J5941">
        <v>-128</v>
      </c>
      <c r="K5941">
        <v>192</v>
      </c>
      <c r="L5941">
        <v>1200</v>
      </c>
      <c r="M5941" t="str">
        <f t="shared" si="629"/>
        <v xml:space="preserve">N35DC   </v>
      </c>
      <c r="N5941">
        <v>1</v>
      </c>
      <c r="O5941">
        <v>1725</v>
      </c>
    </row>
    <row r="5942" spans="1:15" x14ac:dyDescent="0.25">
      <c r="A5942" t="str">
        <f>"10/21/2020 18:56:15.865"</f>
        <v>10/21/2020 18:56:15.865</v>
      </c>
      <c r="B5942" t="str">
        <f>"18:56:23.820"</f>
        <v>18:56:23.820</v>
      </c>
      <c r="C5942" t="str">
        <f>"18:56:23.320"</f>
        <v>18:56:23.320</v>
      </c>
      <c r="D5942" t="s">
        <v>2475</v>
      </c>
      <c r="E5942">
        <v>30.682303999999998</v>
      </c>
      <c r="F5942" t="s">
        <v>278</v>
      </c>
      <c r="G5942">
        <v>-89.765167000000005</v>
      </c>
      <c r="H5942">
        <v>1700</v>
      </c>
      <c r="I5942">
        <v>97</v>
      </c>
      <c r="J5942">
        <v>-128</v>
      </c>
      <c r="K5942">
        <v>192</v>
      </c>
      <c r="L5942">
        <v>1200</v>
      </c>
      <c r="M5942" t="str">
        <f t="shared" si="629"/>
        <v xml:space="preserve">N35DC   </v>
      </c>
      <c r="N5942">
        <v>1</v>
      </c>
      <c r="O5942">
        <v>1725</v>
      </c>
    </row>
    <row r="5943" spans="1:15" x14ac:dyDescent="0.25">
      <c r="A5943" t="str">
        <f>"10/21/2020 18:56:15.865"</f>
        <v>10/21/2020 18:56:15.865</v>
      </c>
      <c r="B5943" t="str">
        <f>"18:56:23.820"</f>
        <v>18:56:23.820</v>
      </c>
      <c r="C5943" t="str">
        <f>"18:56:23.320"</f>
        <v>18:56:23.320</v>
      </c>
      <c r="D5943" t="s">
        <v>2475</v>
      </c>
      <c r="E5943">
        <v>30.682303999999998</v>
      </c>
      <c r="F5943" t="s">
        <v>278</v>
      </c>
      <c r="G5943">
        <v>-89.765167000000005</v>
      </c>
      <c r="H5943">
        <v>1700</v>
      </c>
      <c r="I5943">
        <v>97</v>
      </c>
      <c r="J5943">
        <v>-128</v>
      </c>
      <c r="K5943">
        <v>192</v>
      </c>
      <c r="L5943">
        <v>1200</v>
      </c>
      <c r="M5943" t="str">
        <f t="shared" si="629"/>
        <v xml:space="preserve">N35DC   </v>
      </c>
      <c r="N5943">
        <v>1</v>
      </c>
      <c r="O5943">
        <v>1725</v>
      </c>
    </row>
    <row r="5944" spans="1:15" x14ac:dyDescent="0.25">
      <c r="A5944" t="str">
        <f>"10/21/2020 18:56:15.865"</f>
        <v>10/21/2020 18:56:15.865</v>
      </c>
      <c r="B5944" t="str">
        <f>"18:56:23.820"</f>
        <v>18:56:23.820</v>
      </c>
      <c r="C5944" t="str">
        <f>"18:56:23.320"</f>
        <v>18:56:23.320</v>
      </c>
      <c r="D5944" t="s">
        <v>2475</v>
      </c>
      <c r="E5944">
        <v>30.682303999999998</v>
      </c>
      <c r="F5944" t="s">
        <v>278</v>
      </c>
      <c r="G5944">
        <v>-89.765167000000005</v>
      </c>
      <c r="H5944">
        <v>1700</v>
      </c>
      <c r="I5944">
        <v>97</v>
      </c>
      <c r="J5944">
        <v>-128</v>
      </c>
      <c r="K5944">
        <v>192</v>
      </c>
      <c r="L5944">
        <v>1200</v>
      </c>
      <c r="M5944" t="str">
        <f t="shared" si="629"/>
        <v xml:space="preserve">N35DC   </v>
      </c>
      <c r="N5944">
        <v>1</v>
      </c>
      <c r="O5944">
        <v>1725</v>
      </c>
    </row>
    <row r="5945" spans="1:15" x14ac:dyDescent="0.25">
      <c r="A5945" t="str">
        <f>"10/21/2020 18:56:18.239"</f>
        <v>10/21/2020 18:56:18.239</v>
      </c>
      <c r="B5945" t="str">
        <f>"18:56:26.203"</f>
        <v>18:56:26.203</v>
      </c>
      <c r="C5945" t="str">
        <f>"18:56:25.903"</f>
        <v>18:56:25.903</v>
      </c>
      <c r="D5945" t="s">
        <v>2476</v>
      </c>
      <c r="E5945">
        <v>30.680909</v>
      </c>
      <c r="F5945" t="s">
        <v>225</v>
      </c>
      <c r="G5945">
        <v>-89.763965999999996</v>
      </c>
      <c r="H5945">
        <v>1700</v>
      </c>
      <c r="I5945">
        <v>97</v>
      </c>
      <c r="J5945">
        <v>-129</v>
      </c>
      <c r="K5945">
        <v>0</v>
      </c>
      <c r="L5945">
        <v>1200</v>
      </c>
      <c r="M5945" t="str">
        <f t="shared" si="629"/>
        <v xml:space="preserve">N35DC   </v>
      </c>
      <c r="N5945">
        <v>1</v>
      </c>
      <c r="O5945">
        <v>1750</v>
      </c>
    </row>
    <row r="5946" spans="1:15" x14ac:dyDescent="0.25">
      <c r="A5946" t="str">
        <f>"10/21/2020 18:56:18.800"</f>
        <v>10/21/2020 18:56:18.800</v>
      </c>
      <c r="B5946" t="str">
        <f>"18:56:26.758"</f>
        <v>18:56:26.758</v>
      </c>
      <c r="C5946" t="str">
        <f>"18:56:26.358"</f>
        <v>18:56:26.358</v>
      </c>
      <c r="D5946" t="s">
        <v>2477</v>
      </c>
      <c r="E5946">
        <v>30.680586999999999</v>
      </c>
      <c r="F5946" t="s">
        <v>2478</v>
      </c>
      <c r="G5946">
        <v>-89.763687000000004</v>
      </c>
      <c r="H5946">
        <v>1700</v>
      </c>
      <c r="I5946">
        <v>97</v>
      </c>
      <c r="J5946">
        <v>-129</v>
      </c>
      <c r="K5946">
        <v>0</v>
      </c>
      <c r="L5946">
        <v>1200</v>
      </c>
      <c r="M5946" t="str">
        <f t="shared" si="629"/>
        <v xml:space="preserve">N35DC   </v>
      </c>
      <c r="N5946">
        <v>1</v>
      </c>
      <c r="O5946">
        <v>1750</v>
      </c>
    </row>
    <row r="5947" spans="1:15" x14ac:dyDescent="0.25">
      <c r="A5947" t="str">
        <f>"10/21/2020 18:56:18.800"</f>
        <v>10/21/2020 18:56:18.800</v>
      </c>
      <c r="B5947" t="str">
        <f>"18:56:26.758"</f>
        <v>18:56:26.758</v>
      </c>
      <c r="C5947" t="str">
        <f>"18:56:26.358"</f>
        <v>18:56:26.358</v>
      </c>
      <c r="D5947" t="s">
        <v>2477</v>
      </c>
      <c r="E5947">
        <v>30.680586999999999</v>
      </c>
      <c r="F5947" t="s">
        <v>2478</v>
      </c>
      <c r="G5947">
        <v>-89.763687000000004</v>
      </c>
      <c r="H5947">
        <v>1700</v>
      </c>
      <c r="I5947">
        <v>97</v>
      </c>
      <c r="J5947">
        <v>-129</v>
      </c>
      <c r="K5947">
        <v>0</v>
      </c>
      <c r="L5947">
        <v>1200</v>
      </c>
      <c r="M5947" t="str">
        <f t="shared" si="629"/>
        <v xml:space="preserve">N35DC   </v>
      </c>
      <c r="N5947">
        <v>1</v>
      </c>
      <c r="O5947">
        <v>1750</v>
      </c>
    </row>
    <row r="5948" spans="1:15" x14ac:dyDescent="0.25">
      <c r="A5948" t="str">
        <f>"10/21/2020 18:56:18.800"</f>
        <v>10/21/2020 18:56:18.800</v>
      </c>
      <c r="B5948" t="str">
        <f>"18:56:26.758"</f>
        <v>18:56:26.758</v>
      </c>
      <c r="C5948" t="str">
        <f>"18:56:26.358"</f>
        <v>18:56:26.358</v>
      </c>
      <c r="D5948" t="s">
        <v>2477</v>
      </c>
      <c r="E5948">
        <v>30.680586999999999</v>
      </c>
      <c r="F5948" t="s">
        <v>2478</v>
      </c>
      <c r="G5948">
        <v>-89.763687000000004</v>
      </c>
      <c r="H5948">
        <v>1700</v>
      </c>
      <c r="I5948">
        <v>97</v>
      </c>
      <c r="J5948">
        <v>-129</v>
      </c>
      <c r="K5948">
        <v>0</v>
      </c>
      <c r="L5948">
        <v>1200</v>
      </c>
      <c r="M5948" t="str">
        <f t="shared" si="629"/>
        <v xml:space="preserve">N35DC   </v>
      </c>
      <c r="N5948">
        <v>1</v>
      </c>
      <c r="O5948">
        <v>1750</v>
      </c>
    </row>
    <row r="5949" spans="1:15" x14ac:dyDescent="0.25">
      <c r="A5949" t="str">
        <f>"10/21/2020 18:56:18.800"</f>
        <v>10/21/2020 18:56:18.800</v>
      </c>
      <c r="B5949" t="str">
        <f>"18:56:26.758"</f>
        <v>18:56:26.758</v>
      </c>
      <c r="C5949" t="str">
        <f>"18:56:26.358"</f>
        <v>18:56:26.358</v>
      </c>
      <c r="D5949" t="s">
        <v>2477</v>
      </c>
      <c r="E5949">
        <v>30.680586999999999</v>
      </c>
      <c r="F5949" t="s">
        <v>2478</v>
      </c>
      <c r="G5949">
        <v>-89.763687000000004</v>
      </c>
      <c r="H5949">
        <v>1700</v>
      </c>
      <c r="I5949">
        <v>97</v>
      </c>
      <c r="J5949">
        <v>-129</v>
      </c>
      <c r="K5949">
        <v>0</v>
      </c>
      <c r="L5949">
        <v>1200</v>
      </c>
      <c r="M5949" t="str">
        <f t="shared" si="629"/>
        <v xml:space="preserve">N35DC   </v>
      </c>
      <c r="N5949">
        <v>1</v>
      </c>
      <c r="O5949">
        <v>1750</v>
      </c>
    </row>
    <row r="5950" spans="1:15" x14ac:dyDescent="0.25">
      <c r="A5950" t="str">
        <f>"10/21/2020 18:56:18.800"</f>
        <v>10/21/2020 18:56:18.800</v>
      </c>
      <c r="B5950" t="str">
        <f>"18:56:26.758"</f>
        <v>18:56:26.758</v>
      </c>
      <c r="C5950" t="str">
        <f>"18:56:26.358"</f>
        <v>18:56:26.358</v>
      </c>
      <c r="D5950" t="s">
        <v>2477</v>
      </c>
      <c r="E5950">
        <v>30.680586999999999</v>
      </c>
      <c r="F5950" t="s">
        <v>2478</v>
      </c>
      <c r="G5950">
        <v>-89.763687000000004</v>
      </c>
      <c r="H5950">
        <v>1700</v>
      </c>
      <c r="I5950">
        <v>97</v>
      </c>
      <c r="J5950">
        <v>-129</v>
      </c>
      <c r="K5950">
        <v>0</v>
      </c>
      <c r="L5950">
        <v>1200</v>
      </c>
      <c r="M5950" t="str">
        <f t="shared" si="629"/>
        <v xml:space="preserve">N35DC   </v>
      </c>
      <c r="N5950">
        <v>1</v>
      </c>
      <c r="O5950">
        <v>1750</v>
      </c>
    </row>
    <row r="5951" spans="1:15" x14ac:dyDescent="0.25">
      <c r="A5951" t="str">
        <f>"10/21/2020 18:56:19.346"</f>
        <v>10/21/2020 18:56:19.346</v>
      </c>
      <c r="B5951" t="str">
        <f>"18:56:27.234"</f>
        <v>18:56:27.234</v>
      </c>
      <c r="C5951" t="str">
        <f>"18:56:26.834"</f>
        <v>18:56:26.834</v>
      </c>
      <c r="D5951" t="s">
        <v>2479</v>
      </c>
      <c r="E5951">
        <v>30.680287</v>
      </c>
      <c r="F5951" t="s">
        <v>2480</v>
      </c>
      <c r="G5951">
        <v>-89.763407999999998</v>
      </c>
      <c r="H5951">
        <v>1700</v>
      </c>
      <c r="I5951">
        <v>97</v>
      </c>
      <c r="J5951">
        <v>-129</v>
      </c>
      <c r="K5951">
        <v>0</v>
      </c>
      <c r="L5951">
        <v>1200</v>
      </c>
      <c r="M5951" t="str">
        <f t="shared" si="629"/>
        <v xml:space="preserve">N35DC   </v>
      </c>
      <c r="N5951">
        <v>1</v>
      </c>
      <c r="O5951">
        <v>1750</v>
      </c>
    </row>
    <row r="5952" spans="1:15" x14ac:dyDescent="0.25">
      <c r="A5952" t="str">
        <f>"10/21/2020 18:56:19.750"</f>
        <v>10/21/2020 18:56:19.750</v>
      </c>
      <c r="B5952" t="str">
        <f>"18:56:27.672"</f>
        <v>18:56:27.672</v>
      </c>
      <c r="C5952" t="str">
        <f>"18:56:27.272"</f>
        <v>18:56:27.272</v>
      </c>
      <c r="D5952" t="s">
        <v>2481</v>
      </c>
      <c r="E5952">
        <v>30.680008000000001</v>
      </c>
      <c r="F5952" t="s">
        <v>2482</v>
      </c>
      <c r="G5952">
        <v>-89.763193000000001</v>
      </c>
      <c r="H5952">
        <v>1700</v>
      </c>
      <c r="I5952">
        <v>96</v>
      </c>
      <c r="J5952">
        <v>-130</v>
      </c>
      <c r="K5952">
        <v>0</v>
      </c>
      <c r="L5952">
        <v>1200</v>
      </c>
      <c r="M5952" t="str">
        <f t="shared" si="629"/>
        <v xml:space="preserve">N35DC   </v>
      </c>
      <c r="N5952">
        <v>1</v>
      </c>
      <c r="O5952">
        <v>1750</v>
      </c>
    </row>
    <row r="5953" spans="1:15" x14ac:dyDescent="0.25">
      <c r="A5953" t="str">
        <f>"10/21/2020 18:56:19.750"</f>
        <v>10/21/2020 18:56:19.750</v>
      </c>
      <c r="B5953" t="str">
        <f>"18:56:27.672"</f>
        <v>18:56:27.672</v>
      </c>
      <c r="C5953" t="str">
        <f>"18:56:27.272"</f>
        <v>18:56:27.272</v>
      </c>
      <c r="D5953" t="s">
        <v>2481</v>
      </c>
      <c r="E5953">
        <v>30.680008000000001</v>
      </c>
      <c r="F5953" t="s">
        <v>2482</v>
      </c>
      <c r="G5953">
        <v>-89.763193000000001</v>
      </c>
      <c r="H5953">
        <v>1700</v>
      </c>
      <c r="I5953">
        <v>96</v>
      </c>
      <c r="J5953">
        <v>-130</v>
      </c>
      <c r="K5953">
        <v>0</v>
      </c>
      <c r="L5953">
        <v>1200</v>
      </c>
      <c r="M5953" t="str">
        <f t="shared" si="629"/>
        <v xml:space="preserve">N35DC   </v>
      </c>
      <c r="N5953">
        <v>1</v>
      </c>
      <c r="O5953">
        <v>1750</v>
      </c>
    </row>
    <row r="5954" spans="1:15" x14ac:dyDescent="0.25">
      <c r="A5954" t="str">
        <f>"10/21/2020 18:56:19.750"</f>
        <v>10/21/2020 18:56:19.750</v>
      </c>
      <c r="B5954" t="str">
        <f>"18:56:27.672"</f>
        <v>18:56:27.672</v>
      </c>
      <c r="C5954" t="str">
        <f>"18:56:27.272"</f>
        <v>18:56:27.272</v>
      </c>
      <c r="D5954" t="s">
        <v>2481</v>
      </c>
      <c r="E5954">
        <v>30.680008000000001</v>
      </c>
      <c r="F5954" t="s">
        <v>2482</v>
      </c>
      <c r="G5954">
        <v>-89.763193000000001</v>
      </c>
      <c r="H5954">
        <v>1700</v>
      </c>
      <c r="I5954">
        <v>96</v>
      </c>
      <c r="J5954">
        <v>-130</v>
      </c>
      <c r="K5954">
        <v>0</v>
      </c>
      <c r="L5954">
        <v>1200</v>
      </c>
      <c r="M5954" t="str">
        <f t="shared" si="629"/>
        <v xml:space="preserve">N35DC   </v>
      </c>
      <c r="N5954">
        <v>1</v>
      </c>
      <c r="O5954">
        <v>1750</v>
      </c>
    </row>
    <row r="5955" spans="1:15" x14ac:dyDescent="0.25">
      <c r="A5955" t="str">
        <f>"10/21/2020 18:56:19.750"</f>
        <v>10/21/2020 18:56:19.750</v>
      </c>
      <c r="B5955" t="str">
        <f>"18:56:27.672"</f>
        <v>18:56:27.672</v>
      </c>
      <c r="C5955" t="str">
        <f>"18:56:27.272"</f>
        <v>18:56:27.272</v>
      </c>
      <c r="D5955" t="s">
        <v>2481</v>
      </c>
      <c r="E5955">
        <v>30.680008000000001</v>
      </c>
      <c r="F5955" t="s">
        <v>2482</v>
      </c>
      <c r="G5955">
        <v>-89.763193000000001</v>
      </c>
      <c r="H5955">
        <v>1700</v>
      </c>
      <c r="I5955">
        <v>96</v>
      </c>
      <c r="J5955">
        <v>-130</v>
      </c>
      <c r="K5955">
        <v>0</v>
      </c>
      <c r="L5955">
        <v>1200</v>
      </c>
      <c r="M5955" t="str">
        <f t="shared" si="629"/>
        <v xml:space="preserve">N35DC   </v>
      </c>
      <c r="N5955">
        <v>1</v>
      </c>
      <c r="O5955">
        <v>1750</v>
      </c>
    </row>
    <row r="5956" spans="1:15" x14ac:dyDescent="0.25">
      <c r="A5956" t="str">
        <f>"10/21/2020 18:56:19.750"</f>
        <v>10/21/2020 18:56:19.750</v>
      </c>
      <c r="B5956" t="str">
        <f>"18:56:27.672"</f>
        <v>18:56:27.672</v>
      </c>
      <c r="C5956" t="str">
        <f>"18:56:27.272"</f>
        <v>18:56:27.272</v>
      </c>
      <c r="D5956" t="s">
        <v>2481</v>
      </c>
      <c r="E5956">
        <v>30.680008000000001</v>
      </c>
      <c r="F5956" t="s">
        <v>2482</v>
      </c>
      <c r="G5956">
        <v>-89.763193000000001</v>
      </c>
      <c r="H5956">
        <v>1700</v>
      </c>
      <c r="I5956">
        <v>96</v>
      </c>
      <c r="J5956">
        <v>-130</v>
      </c>
      <c r="K5956">
        <v>0</v>
      </c>
      <c r="L5956">
        <v>1200</v>
      </c>
      <c r="M5956" t="str">
        <f t="shared" si="629"/>
        <v xml:space="preserve">N35DC   </v>
      </c>
      <c r="N5956">
        <v>1</v>
      </c>
      <c r="O5956">
        <v>1750</v>
      </c>
    </row>
    <row r="5957" spans="1:15" x14ac:dyDescent="0.25">
      <c r="A5957" t="str">
        <f t="shared" ref="A5957:A5962" si="642">"10/21/2020 18:56:20.593"</f>
        <v>10/21/2020 18:56:20.593</v>
      </c>
      <c r="B5957" t="str">
        <f>"18:56:28.539"</f>
        <v>18:56:28.539</v>
      </c>
      <c r="C5957" t="str">
        <f>"18:56:28.439"</f>
        <v>18:56:28.439</v>
      </c>
      <c r="D5957" t="s">
        <v>2483</v>
      </c>
      <c r="E5957">
        <v>30.679514000000001</v>
      </c>
      <c r="F5957" t="s">
        <v>2484</v>
      </c>
      <c r="G5957">
        <v>-89.762720999999999</v>
      </c>
      <c r="H5957">
        <v>1700</v>
      </c>
      <c r="I5957">
        <v>96</v>
      </c>
      <c r="J5957">
        <v>-130</v>
      </c>
      <c r="K5957">
        <v>64</v>
      </c>
      <c r="L5957">
        <v>1200</v>
      </c>
      <c r="M5957" t="str">
        <f t="shared" si="629"/>
        <v xml:space="preserve">N35DC   </v>
      </c>
      <c r="N5957">
        <v>1</v>
      </c>
      <c r="O5957">
        <v>1750</v>
      </c>
    </row>
    <row r="5958" spans="1:15" x14ac:dyDescent="0.25">
      <c r="A5958" t="str">
        <f t="shared" si="642"/>
        <v>10/21/2020 18:56:20.593</v>
      </c>
      <c r="B5958" t="str">
        <f>"18:56:28.547"</f>
        <v>18:56:28.547</v>
      </c>
      <c r="C5958" t="str">
        <f>"18:56:28.447"</f>
        <v>18:56:28.447</v>
      </c>
      <c r="D5958" t="s">
        <v>2483</v>
      </c>
      <c r="E5958">
        <v>30.679514000000001</v>
      </c>
      <c r="F5958" t="s">
        <v>2484</v>
      </c>
      <c r="G5958">
        <v>-89.762720999999999</v>
      </c>
      <c r="H5958">
        <v>1700</v>
      </c>
      <c r="I5958">
        <v>96</v>
      </c>
      <c r="J5958">
        <v>-130</v>
      </c>
      <c r="K5958">
        <v>64</v>
      </c>
      <c r="L5958">
        <v>1200</v>
      </c>
      <c r="M5958" t="str">
        <f t="shared" si="629"/>
        <v xml:space="preserve">N35DC   </v>
      </c>
      <c r="N5958">
        <v>1</v>
      </c>
      <c r="O5958">
        <v>1750</v>
      </c>
    </row>
    <row r="5959" spans="1:15" x14ac:dyDescent="0.25">
      <c r="A5959" t="str">
        <f t="shared" si="642"/>
        <v>10/21/2020 18:56:20.593</v>
      </c>
      <c r="B5959" t="str">
        <f>"18:56:28.547"</f>
        <v>18:56:28.547</v>
      </c>
      <c r="C5959" t="str">
        <f>"18:56:28.447"</f>
        <v>18:56:28.447</v>
      </c>
      <c r="D5959" t="s">
        <v>2483</v>
      </c>
      <c r="E5959">
        <v>30.679514000000001</v>
      </c>
      <c r="F5959" t="s">
        <v>2484</v>
      </c>
      <c r="G5959">
        <v>-89.762720999999999</v>
      </c>
      <c r="H5959">
        <v>1700</v>
      </c>
      <c r="I5959">
        <v>96</v>
      </c>
      <c r="J5959">
        <v>-130</v>
      </c>
      <c r="K5959">
        <v>64</v>
      </c>
      <c r="L5959">
        <v>1200</v>
      </c>
      <c r="M5959" t="str">
        <f t="shared" ref="M5959:M6022" si="643">"N35DC   "</f>
        <v xml:space="preserve">N35DC   </v>
      </c>
      <c r="N5959">
        <v>1</v>
      </c>
      <c r="O5959">
        <v>1750</v>
      </c>
    </row>
    <row r="5960" spans="1:15" x14ac:dyDescent="0.25">
      <c r="A5960" t="str">
        <f t="shared" si="642"/>
        <v>10/21/2020 18:56:20.593</v>
      </c>
      <c r="B5960" t="str">
        <f>"18:56:28.547"</f>
        <v>18:56:28.547</v>
      </c>
      <c r="C5960" t="str">
        <f>"18:56:28.447"</f>
        <v>18:56:28.447</v>
      </c>
      <c r="D5960" t="s">
        <v>2483</v>
      </c>
      <c r="E5960">
        <v>30.679514000000001</v>
      </c>
      <c r="F5960" t="s">
        <v>2484</v>
      </c>
      <c r="G5960">
        <v>-89.762720999999999</v>
      </c>
      <c r="H5960">
        <v>1700</v>
      </c>
      <c r="I5960">
        <v>96</v>
      </c>
      <c r="J5960">
        <v>-130</v>
      </c>
      <c r="K5960">
        <v>64</v>
      </c>
      <c r="L5960">
        <v>1200</v>
      </c>
      <c r="M5960" t="str">
        <f t="shared" si="643"/>
        <v xml:space="preserve">N35DC   </v>
      </c>
      <c r="N5960">
        <v>1</v>
      </c>
      <c r="O5960">
        <v>1750</v>
      </c>
    </row>
    <row r="5961" spans="1:15" x14ac:dyDescent="0.25">
      <c r="A5961" t="str">
        <f t="shared" si="642"/>
        <v>10/21/2020 18:56:20.593</v>
      </c>
      <c r="B5961" t="str">
        <f>"18:56:28.547"</f>
        <v>18:56:28.547</v>
      </c>
      <c r="C5961" t="str">
        <f>"18:56:28.447"</f>
        <v>18:56:28.447</v>
      </c>
      <c r="D5961" t="s">
        <v>2483</v>
      </c>
      <c r="E5961">
        <v>30.679514000000001</v>
      </c>
      <c r="F5961" t="s">
        <v>2484</v>
      </c>
      <c r="G5961">
        <v>-89.762720999999999</v>
      </c>
      <c r="H5961">
        <v>1700</v>
      </c>
      <c r="I5961">
        <v>96</v>
      </c>
      <c r="J5961">
        <v>-130</v>
      </c>
      <c r="K5961">
        <v>64</v>
      </c>
      <c r="L5961">
        <v>1200</v>
      </c>
      <c r="M5961" t="str">
        <f t="shared" si="643"/>
        <v xml:space="preserve">N35DC   </v>
      </c>
      <c r="N5961">
        <v>1</v>
      </c>
      <c r="O5961">
        <v>1750</v>
      </c>
    </row>
    <row r="5962" spans="1:15" x14ac:dyDescent="0.25">
      <c r="A5962" t="str">
        <f t="shared" si="642"/>
        <v>10/21/2020 18:56:20.593</v>
      </c>
      <c r="B5962" t="str">
        <f>"18:56:28.547"</f>
        <v>18:56:28.547</v>
      </c>
      <c r="C5962" t="str">
        <f>"18:56:28.447"</f>
        <v>18:56:28.447</v>
      </c>
      <c r="D5962" t="s">
        <v>2483</v>
      </c>
      <c r="E5962">
        <v>30.679514000000001</v>
      </c>
      <c r="F5962" t="s">
        <v>2484</v>
      </c>
      <c r="G5962">
        <v>-89.762720999999999</v>
      </c>
      <c r="H5962">
        <v>1700</v>
      </c>
      <c r="I5962">
        <v>96</v>
      </c>
      <c r="J5962">
        <v>-130</v>
      </c>
      <c r="K5962">
        <v>64</v>
      </c>
      <c r="L5962">
        <v>1200</v>
      </c>
      <c r="M5962" t="str">
        <f t="shared" si="643"/>
        <v xml:space="preserve">N35DC   </v>
      </c>
      <c r="N5962">
        <v>1</v>
      </c>
      <c r="O5962">
        <v>1750</v>
      </c>
    </row>
    <row r="5963" spans="1:15" x14ac:dyDescent="0.25">
      <c r="A5963" t="str">
        <f>"10/21/2020 18:56:23.794"</f>
        <v>10/21/2020 18:56:23.794</v>
      </c>
      <c r="B5963" t="str">
        <f>"18:56:31.734"</f>
        <v>18:56:31.734</v>
      </c>
      <c r="C5963" t="str">
        <f>"18:56:31.534"</f>
        <v>18:56:31.534</v>
      </c>
      <c r="D5963" t="s">
        <v>2485</v>
      </c>
      <c r="E5963">
        <v>30.677582999999998</v>
      </c>
      <c r="F5963" t="s">
        <v>266</v>
      </c>
      <c r="G5963">
        <v>-89.761111999999997</v>
      </c>
      <c r="H5963">
        <v>1700</v>
      </c>
      <c r="I5963">
        <v>96</v>
      </c>
      <c r="J5963">
        <v>-129</v>
      </c>
      <c r="K5963">
        <v>128</v>
      </c>
      <c r="L5963">
        <v>1200</v>
      </c>
      <c r="M5963" t="str">
        <f t="shared" si="643"/>
        <v xml:space="preserve">N35DC   </v>
      </c>
      <c r="N5963">
        <v>1</v>
      </c>
      <c r="O5963">
        <v>1750</v>
      </c>
    </row>
    <row r="5964" spans="1:15" x14ac:dyDescent="0.25">
      <c r="A5964" t="str">
        <f>"10/21/2020 18:56:23.794"</f>
        <v>10/21/2020 18:56:23.794</v>
      </c>
      <c r="B5964" t="str">
        <f>"18:56:31.734"</f>
        <v>18:56:31.734</v>
      </c>
      <c r="C5964" t="str">
        <f>"18:56:31.534"</f>
        <v>18:56:31.534</v>
      </c>
      <c r="D5964" t="s">
        <v>2485</v>
      </c>
      <c r="E5964">
        <v>30.677582999999998</v>
      </c>
      <c r="F5964" t="s">
        <v>266</v>
      </c>
      <c r="G5964">
        <v>-89.761111999999997</v>
      </c>
      <c r="H5964">
        <v>1700</v>
      </c>
      <c r="I5964">
        <v>96</v>
      </c>
      <c r="J5964">
        <v>-129</v>
      </c>
      <c r="K5964">
        <v>128</v>
      </c>
      <c r="L5964">
        <v>1200</v>
      </c>
      <c r="M5964" t="str">
        <f t="shared" si="643"/>
        <v xml:space="preserve">N35DC   </v>
      </c>
      <c r="N5964">
        <v>1</v>
      </c>
      <c r="O5964">
        <v>1750</v>
      </c>
    </row>
    <row r="5965" spans="1:15" x14ac:dyDescent="0.25">
      <c r="A5965" t="str">
        <f>"10/21/2020 18:56:23.794"</f>
        <v>10/21/2020 18:56:23.794</v>
      </c>
      <c r="B5965" t="str">
        <f>"18:56:31.734"</f>
        <v>18:56:31.734</v>
      </c>
      <c r="C5965" t="str">
        <f>"18:56:31.534"</f>
        <v>18:56:31.534</v>
      </c>
      <c r="D5965" t="s">
        <v>2485</v>
      </c>
      <c r="E5965">
        <v>30.677582999999998</v>
      </c>
      <c r="F5965" t="s">
        <v>266</v>
      </c>
      <c r="G5965">
        <v>-89.761111999999997</v>
      </c>
      <c r="H5965">
        <v>1700</v>
      </c>
      <c r="I5965">
        <v>96</v>
      </c>
      <c r="J5965">
        <v>-129</v>
      </c>
      <c r="K5965">
        <v>128</v>
      </c>
      <c r="L5965">
        <v>1200</v>
      </c>
      <c r="M5965" t="str">
        <f t="shared" si="643"/>
        <v xml:space="preserve">N35DC   </v>
      </c>
      <c r="N5965">
        <v>1</v>
      </c>
      <c r="O5965">
        <v>1750</v>
      </c>
    </row>
    <row r="5966" spans="1:15" x14ac:dyDescent="0.25">
      <c r="A5966" t="str">
        <f>"10/21/2020 18:56:23.794"</f>
        <v>10/21/2020 18:56:23.794</v>
      </c>
      <c r="B5966" t="str">
        <f>"18:56:31.734"</f>
        <v>18:56:31.734</v>
      </c>
      <c r="C5966" t="str">
        <f>"18:56:31.534"</f>
        <v>18:56:31.534</v>
      </c>
      <c r="D5966" t="s">
        <v>2485</v>
      </c>
      <c r="E5966">
        <v>30.677582999999998</v>
      </c>
      <c r="F5966" t="s">
        <v>266</v>
      </c>
      <c r="G5966">
        <v>-89.761111999999997</v>
      </c>
      <c r="H5966">
        <v>1700</v>
      </c>
      <c r="I5966">
        <v>96</v>
      </c>
      <c r="J5966">
        <v>-129</v>
      </c>
      <c r="K5966">
        <v>128</v>
      </c>
      <c r="L5966">
        <v>1200</v>
      </c>
      <c r="M5966" t="str">
        <f t="shared" si="643"/>
        <v xml:space="preserve">N35DC   </v>
      </c>
      <c r="N5966">
        <v>1</v>
      </c>
      <c r="O5966">
        <v>1750</v>
      </c>
    </row>
    <row r="5967" spans="1:15" x14ac:dyDescent="0.25">
      <c r="A5967" t="str">
        <f>"10/21/2020 18:56:23.794"</f>
        <v>10/21/2020 18:56:23.794</v>
      </c>
      <c r="B5967" t="str">
        <f>"18:56:31.734"</f>
        <v>18:56:31.734</v>
      </c>
      <c r="C5967" t="str">
        <f>"18:56:31.534"</f>
        <v>18:56:31.534</v>
      </c>
      <c r="D5967" t="s">
        <v>2485</v>
      </c>
      <c r="E5967">
        <v>30.677582999999998</v>
      </c>
      <c r="F5967" t="s">
        <v>266</v>
      </c>
      <c r="G5967">
        <v>-89.761111999999997</v>
      </c>
      <c r="H5967">
        <v>1700</v>
      </c>
      <c r="I5967">
        <v>96</v>
      </c>
      <c r="J5967">
        <v>-129</v>
      </c>
      <c r="K5967">
        <v>128</v>
      </c>
      <c r="L5967">
        <v>1200</v>
      </c>
      <c r="M5967" t="str">
        <f t="shared" si="643"/>
        <v xml:space="preserve">N35DC   </v>
      </c>
      <c r="N5967">
        <v>1</v>
      </c>
      <c r="O5967">
        <v>1750</v>
      </c>
    </row>
    <row r="5968" spans="1:15" x14ac:dyDescent="0.25">
      <c r="A5968" t="str">
        <f>"10/21/2020 18:56:24.374"</f>
        <v>10/21/2020 18:56:24.374</v>
      </c>
      <c r="B5968" t="str">
        <f>"18:56:32.281"</f>
        <v>18:56:32.281</v>
      </c>
      <c r="C5968" t="str">
        <f>"18:56:31.881"</f>
        <v>18:56:31.881</v>
      </c>
      <c r="D5968" t="s">
        <v>2486</v>
      </c>
      <c r="E5968">
        <v>30.677218</v>
      </c>
      <c r="F5968" t="s">
        <v>231</v>
      </c>
      <c r="G5968">
        <v>-89.760767999999999</v>
      </c>
      <c r="H5968">
        <v>1700</v>
      </c>
      <c r="I5968">
        <v>96</v>
      </c>
      <c r="J5968">
        <v>-129</v>
      </c>
      <c r="K5968">
        <v>128</v>
      </c>
      <c r="L5968">
        <v>1200</v>
      </c>
      <c r="M5968" t="str">
        <f t="shared" si="643"/>
        <v xml:space="preserve">N35DC   </v>
      </c>
      <c r="N5968">
        <v>1</v>
      </c>
      <c r="O5968">
        <v>1750</v>
      </c>
    </row>
    <row r="5969" spans="1:15" x14ac:dyDescent="0.25">
      <c r="A5969" t="str">
        <f>"10/21/2020 18:56:24.800"</f>
        <v>10/21/2020 18:56:24.800</v>
      </c>
      <c r="B5969" t="str">
        <f>"18:56:32.758"</f>
        <v>18:56:32.758</v>
      </c>
      <c r="C5969" t="str">
        <f>"18:56:32.358"</f>
        <v>18:56:32.358</v>
      </c>
      <c r="D5969" t="s">
        <v>2487</v>
      </c>
      <c r="E5969">
        <v>30.676939000000001</v>
      </c>
      <c r="F5969" t="s">
        <v>2488</v>
      </c>
      <c r="G5969">
        <v>-89.760553999999999</v>
      </c>
      <c r="H5969">
        <v>1700</v>
      </c>
      <c r="I5969">
        <v>96</v>
      </c>
      <c r="J5969">
        <v>-129</v>
      </c>
      <c r="K5969">
        <v>192</v>
      </c>
      <c r="L5969">
        <v>1200</v>
      </c>
      <c r="M5969" t="str">
        <f t="shared" si="643"/>
        <v xml:space="preserve">N35DC   </v>
      </c>
      <c r="N5969">
        <v>1</v>
      </c>
      <c r="O5969">
        <v>1750</v>
      </c>
    </row>
    <row r="5970" spans="1:15" x14ac:dyDescent="0.25">
      <c r="A5970" t="str">
        <f>"10/21/2020 18:56:24.800"</f>
        <v>10/21/2020 18:56:24.800</v>
      </c>
      <c r="B5970" t="str">
        <f>"18:56:32.758"</f>
        <v>18:56:32.758</v>
      </c>
      <c r="C5970" t="str">
        <f>"18:56:32.358"</f>
        <v>18:56:32.358</v>
      </c>
      <c r="D5970" t="s">
        <v>2487</v>
      </c>
      <c r="E5970">
        <v>30.676939000000001</v>
      </c>
      <c r="F5970" t="s">
        <v>2488</v>
      </c>
      <c r="G5970">
        <v>-89.760553999999999</v>
      </c>
      <c r="H5970">
        <v>1700</v>
      </c>
      <c r="I5970">
        <v>96</v>
      </c>
      <c r="J5970">
        <v>-129</v>
      </c>
      <c r="K5970">
        <v>192</v>
      </c>
      <c r="L5970">
        <v>1200</v>
      </c>
      <c r="M5970" t="str">
        <f t="shared" si="643"/>
        <v xml:space="preserve">N35DC   </v>
      </c>
      <c r="N5970">
        <v>1</v>
      </c>
      <c r="O5970">
        <v>1750</v>
      </c>
    </row>
    <row r="5971" spans="1:15" x14ac:dyDescent="0.25">
      <c r="A5971" t="str">
        <f>"10/21/2020 18:56:24.800"</f>
        <v>10/21/2020 18:56:24.800</v>
      </c>
      <c r="B5971" t="str">
        <f>"18:56:32.758"</f>
        <v>18:56:32.758</v>
      </c>
      <c r="C5971" t="str">
        <f>"18:56:32.358"</f>
        <v>18:56:32.358</v>
      </c>
      <c r="D5971" t="s">
        <v>2487</v>
      </c>
      <c r="E5971">
        <v>30.676939000000001</v>
      </c>
      <c r="F5971" t="s">
        <v>2488</v>
      </c>
      <c r="G5971">
        <v>-89.760553999999999</v>
      </c>
      <c r="H5971">
        <v>1700</v>
      </c>
      <c r="I5971">
        <v>96</v>
      </c>
      <c r="J5971">
        <v>-129</v>
      </c>
      <c r="K5971">
        <v>192</v>
      </c>
      <c r="L5971">
        <v>1200</v>
      </c>
      <c r="M5971" t="str">
        <f t="shared" si="643"/>
        <v xml:space="preserve">N35DC   </v>
      </c>
      <c r="N5971">
        <v>1</v>
      </c>
      <c r="O5971">
        <v>1750</v>
      </c>
    </row>
    <row r="5972" spans="1:15" x14ac:dyDescent="0.25">
      <c r="A5972" t="str">
        <f>"10/21/2020 18:56:24.800"</f>
        <v>10/21/2020 18:56:24.800</v>
      </c>
      <c r="B5972" t="str">
        <f>"18:56:32.758"</f>
        <v>18:56:32.758</v>
      </c>
      <c r="C5972" t="str">
        <f>"18:56:32.358"</f>
        <v>18:56:32.358</v>
      </c>
      <c r="D5972" t="s">
        <v>2487</v>
      </c>
      <c r="E5972">
        <v>30.676939000000001</v>
      </c>
      <c r="F5972" t="s">
        <v>2488</v>
      </c>
      <c r="G5972">
        <v>-89.760553999999999</v>
      </c>
      <c r="H5972">
        <v>1700</v>
      </c>
      <c r="I5972">
        <v>96</v>
      </c>
      <c r="J5972">
        <v>-129</v>
      </c>
      <c r="K5972">
        <v>192</v>
      </c>
      <c r="L5972">
        <v>1200</v>
      </c>
      <c r="M5972" t="str">
        <f t="shared" si="643"/>
        <v xml:space="preserve">N35DC   </v>
      </c>
      <c r="N5972">
        <v>1</v>
      </c>
      <c r="O5972">
        <v>1750</v>
      </c>
    </row>
    <row r="5973" spans="1:15" x14ac:dyDescent="0.25">
      <c r="A5973" t="str">
        <f>"10/21/2020 18:56:24.800"</f>
        <v>10/21/2020 18:56:24.800</v>
      </c>
      <c r="B5973" t="str">
        <f>"18:56:32.758"</f>
        <v>18:56:32.758</v>
      </c>
      <c r="C5973" t="str">
        <f>"18:56:32.358"</f>
        <v>18:56:32.358</v>
      </c>
      <c r="D5973" t="s">
        <v>2487</v>
      </c>
      <c r="E5973">
        <v>30.676939000000001</v>
      </c>
      <c r="F5973" t="s">
        <v>2488</v>
      </c>
      <c r="G5973">
        <v>-89.760553999999999</v>
      </c>
      <c r="H5973">
        <v>1700</v>
      </c>
      <c r="I5973">
        <v>96</v>
      </c>
      <c r="J5973">
        <v>-129</v>
      </c>
      <c r="K5973">
        <v>192</v>
      </c>
      <c r="L5973">
        <v>1200</v>
      </c>
      <c r="M5973" t="str">
        <f t="shared" si="643"/>
        <v xml:space="preserve">N35DC   </v>
      </c>
      <c r="N5973">
        <v>1</v>
      </c>
      <c r="O5973">
        <v>1750</v>
      </c>
    </row>
    <row r="5974" spans="1:15" x14ac:dyDescent="0.25">
      <c r="A5974" t="str">
        <f t="shared" ref="A5974:A5979" si="644">"10/21/2020 18:56:25.758"</f>
        <v>10/21/2020 18:56:25.758</v>
      </c>
      <c r="B5974" t="str">
        <f t="shared" ref="B5974:B5979" si="645">"18:56:33.672"</f>
        <v>18:56:33.672</v>
      </c>
      <c r="C5974" t="str">
        <f t="shared" ref="C5974:C5979" si="646">"18:56:33.272"</f>
        <v>18:56:33.272</v>
      </c>
      <c r="D5974" t="s">
        <v>2489</v>
      </c>
      <c r="E5974">
        <v>30.676445999999999</v>
      </c>
      <c r="F5974" t="s">
        <v>2490</v>
      </c>
      <c r="G5974">
        <v>-89.760081999999997</v>
      </c>
      <c r="H5974">
        <v>1700</v>
      </c>
      <c r="I5974">
        <v>96</v>
      </c>
      <c r="J5974">
        <v>-129</v>
      </c>
      <c r="K5974">
        <v>64</v>
      </c>
      <c r="L5974">
        <v>1200</v>
      </c>
      <c r="M5974" t="str">
        <f t="shared" si="643"/>
        <v xml:space="preserve">N35DC   </v>
      </c>
      <c r="N5974">
        <v>1</v>
      </c>
      <c r="O5974">
        <v>1750</v>
      </c>
    </row>
    <row r="5975" spans="1:15" x14ac:dyDescent="0.25">
      <c r="A5975" t="str">
        <f t="shared" si="644"/>
        <v>10/21/2020 18:56:25.758</v>
      </c>
      <c r="B5975" t="str">
        <f t="shared" si="645"/>
        <v>18:56:33.672</v>
      </c>
      <c r="C5975" t="str">
        <f t="shared" si="646"/>
        <v>18:56:33.272</v>
      </c>
      <c r="D5975" t="s">
        <v>2489</v>
      </c>
      <c r="E5975">
        <v>30.676445999999999</v>
      </c>
      <c r="F5975" t="s">
        <v>2490</v>
      </c>
      <c r="G5975">
        <v>-89.760081999999997</v>
      </c>
      <c r="H5975">
        <v>1700</v>
      </c>
      <c r="I5975">
        <v>96</v>
      </c>
      <c r="J5975">
        <v>-129</v>
      </c>
      <c r="K5975">
        <v>64</v>
      </c>
      <c r="L5975">
        <v>1200</v>
      </c>
      <c r="M5975" t="str">
        <f t="shared" si="643"/>
        <v xml:space="preserve">N35DC   </v>
      </c>
      <c r="N5975">
        <v>1</v>
      </c>
      <c r="O5975">
        <v>1750</v>
      </c>
    </row>
    <row r="5976" spans="1:15" x14ac:dyDescent="0.25">
      <c r="A5976" t="str">
        <f t="shared" si="644"/>
        <v>10/21/2020 18:56:25.758</v>
      </c>
      <c r="B5976" t="str">
        <f t="shared" si="645"/>
        <v>18:56:33.672</v>
      </c>
      <c r="C5976" t="str">
        <f t="shared" si="646"/>
        <v>18:56:33.272</v>
      </c>
      <c r="D5976" t="s">
        <v>2489</v>
      </c>
      <c r="E5976">
        <v>30.676445999999999</v>
      </c>
      <c r="F5976" t="s">
        <v>2490</v>
      </c>
      <c r="G5976">
        <v>-89.760081999999997</v>
      </c>
      <c r="H5976">
        <v>1700</v>
      </c>
      <c r="I5976">
        <v>96</v>
      </c>
      <c r="J5976">
        <v>-129</v>
      </c>
      <c r="K5976">
        <v>64</v>
      </c>
      <c r="L5976">
        <v>1200</v>
      </c>
      <c r="M5976" t="str">
        <f t="shared" si="643"/>
        <v xml:space="preserve">N35DC   </v>
      </c>
      <c r="N5976">
        <v>1</v>
      </c>
      <c r="O5976">
        <v>1750</v>
      </c>
    </row>
    <row r="5977" spans="1:15" x14ac:dyDescent="0.25">
      <c r="A5977" t="str">
        <f t="shared" si="644"/>
        <v>10/21/2020 18:56:25.758</v>
      </c>
      <c r="B5977" t="str">
        <f t="shared" si="645"/>
        <v>18:56:33.672</v>
      </c>
      <c r="C5977" t="str">
        <f t="shared" si="646"/>
        <v>18:56:33.272</v>
      </c>
      <c r="D5977" t="s">
        <v>2489</v>
      </c>
      <c r="E5977">
        <v>30.676445999999999</v>
      </c>
      <c r="F5977" t="s">
        <v>2490</v>
      </c>
      <c r="G5977">
        <v>-89.760081999999997</v>
      </c>
      <c r="H5977">
        <v>1700</v>
      </c>
      <c r="I5977">
        <v>96</v>
      </c>
      <c r="J5977">
        <v>-129</v>
      </c>
      <c r="K5977">
        <v>64</v>
      </c>
      <c r="L5977">
        <v>1200</v>
      </c>
      <c r="M5977" t="str">
        <f t="shared" si="643"/>
        <v xml:space="preserve">N35DC   </v>
      </c>
      <c r="N5977">
        <v>1</v>
      </c>
      <c r="O5977">
        <v>1750</v>
      </c>
    </row>
    <row r="5978" spans="1:15" x14ac:dyDescent="0.25">
      <c r="A5978" t="str">
        <f t="shared" si="644"/>
        <v>10/21/2020 18:56:25.758</v>
      </c>
      <c r="B5978" t="str">
        <f t="shared" si="645"/>
        <v>18:56:33.672</v>
      </c>
      <c r="C5978" t="str">
        <f t="shared" si="646"/>
        <v>18:56:33.272</v>
      </c>
      <c r="D5978" t="s">
        <v>2489</v>
      </c>
      <c r="E5978">
        <v>30.676445999999999</v>
      </c>
      <c r="F5978" t="s">
        <v>2490</v>
      </c>
      <c r="G5978">
        <v>-89.760081999999997</v>
      </c>
      <c r="H5978">
        <v>1700</v>
      </c>
      <c r="I5978">
        <v>96</v>
      </c>
      <c r="J5978">
        <v>-129</v>
      </c>
      <c r="K5978">
        <v>64</v>
      </c>
      <c r="L5978">
        <v>1200</v>
      </c>
      <c r="M5978" t="str">
        <f t="shared" si="643"/>
        <v xml:space="preserve">N35DC   </v>
      </c>
      <c r="N5978">
        <v>1</v>
      </c>
      <c r="O5978">
        <v>1750</v>
      </c>
    </row>
    <row r="5979" spans="1:15" x14ac:dyDescent="0.25">
      <c r="A5979" t="str">
        <f t="shared" si="644"/>
        <v>10/21/2020 18:56:25.758</v>
      </c>
      <c r="B5979" t="str">
        <f t="shared" si="645"/>
        <v>18:56:33.672</v>
      </c>
      <c r="C5979" t="str">
        <f t="shared" si="646"/>
        <v>18:56:33.272</v>
      </c>
      <c r="D5979" t="s">
        <v>2489</v>
      </c>
      <c r="E5979">
        <v>30.676445999999999</v>
      </c>
      <c r="F5979" t="s">
        <v>2490</v>
      </c>
      <c r="G5979">
        <v>-89.760081999999997</v>
      </c>
      <c r="H5979">
        <v>1700</v>
      </c>
      <c r="I5979">
        <v>96</v>
      </c>
      <c r="J5979">
        <v>-129</v>
      </c>
      <c r="K5979">
        <v>64</v>
      </c>
      <c r="L5979">
        <v>1200</v>
      </c>
      <c r="M5979" t="str">
        <f t="shared" si="643"/>
        <v xml:space="preserve">N35DC   </v>
      </c>
      <c r="N5979">
        <v>1</v>
      </c>
      <c r="O5979">
        <v>1750</v>
      </c>
    </row>
    <row r="5980" spans="1:15" x14ac:dyDescent="0.25">
      <c r="A5980" t="str">
        <f>"10/21/2020 18:56:27.725"</f>
        <v>10/21/2020 18:56:27.725</v>
      </c>
      <c r="B5980" t="str">
        <f>"18:56:35.664"</f>
        <v>18:56:35.664</v>
      </c>
      <c r="C5980" t="str">
        <f>"18:56:35.364"</f>
        <v>18:56:35.364</v>
      </c>
      <c r="D5980" t="s">
        <v>2491</v>
      </c>
      <c r="E5980">
        <v>30.675243999999999</v>
      </c>
      <c r="F5980" t="s">
        <v>2492</v>
      </c>
      <c r="G5980">
        <v>-89.759051999999997</v>
      </c>
      <c r="H5980">
        <v>1700</v>
      </c>
      <c r="I5980">
        <v>97</v>
      </c>
      <c r="J5980">
        <v>-128</v>
      </c>
      <c r="K5980">
        <v>64</v>
      </c>
      <c r="L5980">
        <v>1200</v>
      </c>
      <c r="M5980" t="str">
        <f t="shared" si="643"/>
        <v xml:space="preserve">N35DC   </v>
      </c>
      <c r="N5980">
        <v>1</v>
      </c>
      <c r="O5980">
        <v>1750</v>
      </c>
    </row>
    <row r="5981" spans="1:15" x14ac:dyDescent="0.25">
      <c r="A5981" t="str">
        <f>"10/21/2020 18:56:27.725"</f>
        <v>10/21/2020 18:56:27.725</v>
      </c>
      <c r="B5981" t="str">
        <f>"18:56:35.664"</f>
        <v>18:56:35.664</v>
      </c>
      <c r="C5981" t="str">
        <f>"18:56:35.364"</f>
        <v>18:56:35.364</v>
      </c>
      <c r="D5981" t="s">
        <v>2491</v>
      </c>
      <c r="E5981">
        <v>30.675243999999999</v>
      </c>
      <c r="F5981" t="s">
        <v>2492</v>
      </c>
      <c r="G5981">
        <v>-89.759051999999997</v>
      </c>
      <c r="H5981">
        <v>1700</v>
      </c>
      <c r="I5981">
        <v>97</v>
      </c>
      <c r="J5981">
        <v>-128</v>
      </c>
      <c r="K5981">
        <v>64</v>
      </c>
      <c r="L5981">
        <v>1200</v>
      </c>
      <c r="M5981" t="str">
        <f t="shared" si="643"/>
        <v xml:space="preserve">N35DC   </v>
      </c>
      <c r="N5981">
        <v>1</v>
      </c>
      <c r="O5981">
        <v>1750</v>
      </c>
    </row>
    <row r="5982" spans="1:15" x14ac:dyDescent="0.25">
      <c r="A5982" t="str">
        <f>"10/21/2020 18:56:27.725"</f>
        <v>10/21/2020 18:56:27.725</v>
      </c>
      <c r="B5982" t="str">
        <f>"18:56:35.664"</f>
        <v>18:56:35.664</v>
      </c>
      <c r="C5982" t="str">
        <f>"18:56:35.364"</f>
        <v>18:56:35.364</v>
      </c>
      <c r="D5982" t="s">
        <v>2491</v>
      </c>
      <c r="E5982">
        <v>30.675243999999999</v>
      </c>
      <c r="F5982" t="s">
        <v>2492</v>
      </c>
      <c r="G5982">
        <v>-89.759051999999997</v>
      </c>
      <c r="H5982">
        <v>1700</v>
      </c>
      <c r="I5982">
        <v>97</v>
      </c>
      <c r="J5982">
        <v>-128</v>
      </c>
      <c r="K5982">
        <v>64</v>
      </c>
      <c r="L5982">
        <v>1200</v>
      </c>
      <c r="M5982" t="str">
        <f t="shared" si="643"/>
        <v xml:space="preserve">N35DC   </v>
      </c>
      <c r="N5982">
        <v>1</v>
      </c>
      <c r="O5982">
        <v>1750</v>
      </c>
    </row>
    <row r="5983" spans="1:15" x14ac:dyDescent="0.25">
      <c r="A5983" t="str">
        <f>"10/21/2020 18:56:27.725"</f>
        <v>10/21/2020 18:56:27.725</v>
      </c>
      <c r="B5983" t="str">
        <f>"18:56:35.664"</f>
        <v>18:56:35.664</v>
      </c>
      <c r="C5983" t="str">
        <f>"18:56:35.364"</f>
        <v>18:56:35.364</v>
      </c>
      <c r="D5983" t="s">
        <v>2491</v>
      </c>
      <c r="E5983">
        <v>30.675243999999999</v>
      </c>
      <c r="F5983" t="s">
        <v>2492</v>
      </c>
      <c r="G5983">
        <v>-89.759051999999997</v>
      </c>
      <c r="H5983">
        <v>1700</v>
      </c>
      <c r="I5983">
        <v>97</v>
      </c>
      <c r="J5983">
        <v>-128</v>
      </c>
      <c r="K5983">
        <v>64</v>
      </c>
      <c r="L5983">
        <v>1200</v>
      </c>
      <c r="M5983" t="str">
        <f t="shared" si="643"/>
        <v xml:space="preserve">N35DC   </v>
      </c>
      <c r="N5983">
        <v>1</v>
      </c>
      <c r="O5983">
        <v>1750</v>
      </c>
    </row>
    <row r="5984" spans="1:15" x14ac:dyDescent="0.25">
      <c r="A5984" t="str">
        <f>"10/21/2020 18:56:27.725"</f>
        <v>10/21/2020 18:56:27.725</v>
      </c>
      <c r="B5984" t="str">
        <f>"18:56:35.664"</f>
        <v>18:56:35.664</v>
      </c>
      <c r="C5984" t="str">
        <f>"18:56:35.364"</f>
        <v>18:56:35.364</v>
      </c>
      <c r="D5984" t="s">
        <v>2491</v>
      </c>
      <c r="E5984">
        <v>30.675243999999999</v>
      </c>
      <c r="F5984" t="s">
        <v>2492</v>
      </c>
      <c r="G5984">
        <v>-89.759051999999997</v>
      </c>
      <c r="H5984">
        <v>1700</v>
      </c>
      <c r="I5984">
        <v>97</v>
      </c>
      <c r="J5984">
        <v>-128</v>
      </c>
      <c r="K5984">
        <v>64</v>
      </c>
      <c r="L5984">
        <v>1200</v>
      </c>
      <c r="M5984" t="str">
        <f t="shared" si="643"/>
        <v xml:space="preserve">N35DC   </v>
      </c>
      <c r="N5984">
        <v>1</v>
      </c>
      <c r="O5984">
        <v>1750</v>
      </c>
    </row>
    <row r="5985" spans="1:15" x14ac:dyDescent="0.25">
      <c r="A5985" t="str">
        <f>"10/21/2020 18:56:28.346"</f>
        <v>10/21/2020 18:56:28.346</v>
      </c>
      <c r="B5985" t="str">
        <f>"18:56:36.250"</f>
        <v>18:56:36.250</v>
      </c>
      <c r="C5985" t="str">
        <f>"18:56:35.350"</f>
        <v>18:56:35.350</v>
      </c>
      <c r="D5985" t="s">
        <v>2493</v>
      </c>
      <c r="E5985">
        <v>30.674900999999998</v>
      </c>
      <c r="F5985" t="s">
        <v>2494</v>
      </c>
      <c r="G5985">
        <v>-89.75873</v>
      </c>
      <c r="H5985">
        <v>1700</v>
      </c>
      <c r="I5985">
        <v>97</v>
      </c>
      <c r="J5985">
        <v>-128</v>
      </c>
      <c r="K5985">
        <v>64</v>
      </c>
      <c r="L5985">
        <v>1200</v>
      </c>
      <c r="M5985" t="str">
        <f t="shared" si="643"/>
        <v xml:space="preserve">N35DC   </v>
      </c>
      <c r="N5985">
        <v>1</v>
      </c>
      <c r="O5985">
        <v>1750</v>
      </c>
    </row>
    <row r="5986" spans="1:15" x14ac:dyDescent="0.25">
      <c r="A5986" t="str">
        <f>"10/21/2020 18:56:28.765"</f>
        <v>10/21/2020 18:56:28.765</v>
      </c>
      <c r="B5986" t="str">
        <f>"18:56:36.688"</f>
        <v>18:56:36.688</v>
      </c>
      <c r="C5986" t="str">
        <f>"18:56:36.387"</f>
        <v>18:56:36.387</v>
      </c>
      <c r="D5986" t="s">
        <v>2495</v>
      </c>
      <c r="E5986">
        <v>30.674621999999999</v>
      </c>
      <c r="F5986" t="s">
        <v>2496</v>
      </c>
      <c r="G5986">
        <v>-89.758515000000003</v>
      </c>
      <c r="H5986">
        <v>1700</v>
      </c>
      <c r="I5986">
        <v>97</v>
      </c>
      <c r="J5986">
        <v>-128</v>
      </c>
      <c r="K5986">
        <v>64</v>
      </c>
      <c r="L5986">
        <v>1200</v>
      </c>
      <c r="M5986" t="str">
        <f t="shared" si="643"/>
        <v xml:space="preserve">N35DC   </v>
      </c>
      <c r="N5986">
        <v>1</v>
      </c>
      <c r="O5986">
        <v>1750</v>
      </c>
    </row>
    <row r="5987" spans="1:15" x14ac:dyDescent="0.25">
      <c r="A5987" t="str">
        <f>"10/21/2020 18:56:28.765"</f>
        <v>10/21/2020 18:56:28.765</v>
      </c>
      <c r="B5987" t="str">
        <f>"18:56:36.688"</f>
        <v>18:56:36.688</v>
      </c>
      <c r="C5987" t="str">
        <f>"18:56:36.387"</f>
        <v>18:56:36.387</v>
      </c>
      <c r="D5987" t="s">
        <v>2495</v>
      </c>
      <c r="E5987">
        <v>30.674621999999999</v>
      </c>
      <c r="F5987" t="s">
        <v>2496</v>
      </c>
      <c r="G5987">
        <v>-89.758515000000003</v>
      </c>
      <c r="H5987">
        <v>1700</v>
      </c>
      <c r="I5987">
        <v>97</v>
      </c>
      <c r="J5987">
        <v>-128</v>
      </c>
      <c r="K5987">
        <v>64</v>
      </c>
      <c r="L5987">
        <v>1200</v>
      </c>
      <c r="M5987" t="str">
        <f t="shared" si="643"/>
        <v xml:space="preserve">N35DC   </v>
      </c>
      <c r="N5987">
        <v>1</v>
      </c>
      <c r="O5987">
        <v>1750</v>
      </c>
    </row>
    <row r="5988" spans="1:15" x14ac:dyDescent="0.25">
      <c r="A5988" t="str">
        <f>"10/21/2020 18:56:28.765"</f>
        <v>10/21/2020 18:56:28.765</v>
      </c>
      <c r="B5988" t="str">
        <f>"18:56:36.688"</f>
        <v>18:56:36.688</v>
      </c>
      <c r="C5988" t="str">
        <f>"18:56:36.387"</f>
        <v>18:56:36.387</v>
      </c>
      <c r="D5988" t="s">
        <v>2495</v>
      </c>
      <c r="E5988">
        <v>30.674621999999999</v>
      </c>
      <c r="F5988" t="s">
        <v>2496</v>
      </c>
      <c r="G5988">
        <v>-89.758515000000003</v>
      </c>
      <c r="H5988">
        <v>1700</v>
      </c>
      <c r="I5988">
        <v>97</v>
      </c>
      <c r="J5988">
        <v>-128</v>
      </c>
      <c r="K5988">
        <v>64</v>
      </c>
      <c r="L5988">
        <v>1200</v>
      </c>
      <c r="M5988" t="str">
        <f t="shared" si="643"/>
        <v xml:space="preserve">N35DC   </v>
      </c>
      <c r="N5988">
        <v>1</v>
      </c>
      <c r="O5988">
        <v>1750</v>
      </c>
    </row>
    <row r="5989" spans="1:15" x14ac:dyDescent="0.25">
      <c r="A5989" t="str">
        <f>"10/21/2020 18:56:28.765"</f>
        <v>10/21/2020 18:56:28.765</v>
      </c>
      <c r="B5989" t="str">
        <f>"18:56:36.688"</f>
        <v>18:56:36.688</v>
      </c>
      <c r="C5989" t="str">
        <f>"18:56:36.387"</f>
        <v>18:56:36.387</v>
      </c>
      <c r="D5989" t="s">
        <v>2495</v>
      </c>
      <c r="E5989">
        <v>30.674621999999999</v>
      </c>
      <c r="F5989" t="s">
        <v>2496</v>
      </c>
      <c r="G5989">
        <v>-89.758515000000003</v>
      </c>
      <c r="H5989">
        <v>1700</v>
      </c>
      <c r="I5989">
        <v>97</v>
      </c>
      <c r="J5989">
        <v>-128</v>
      </c>
      <c r="K5989">
        <v>64</v>
      </c>
      <c r="L5989">
        <v>1200</v>
      </c>
      <c r="M5989" t="str">
        <f t="shared" si="643"/>
        <v xml:space="preserve">N35DC   </v>
      </c>
      <c r="N5989">
        <v>1</v>
      </c>
      <c r="O5989">
        <v>1750</v>
      </c>
    </row>
    <row r="5990" spans="1:15" x14ac:dyDescent="0.25">
      <c r="A5990" t="str">
        <f>"10/21/2020 18:56:28.765"</f>
        <v>10/21/2020 18:56:28.765</v>
      </c>
      <c r="B5990" t="str">
        <f>"18:56:36.688"</f>
        <v>18:56:36.688</v>
      </c>
      <c r="C5990" t="str">
        <f>"18:56:36.387"</f>
        <v>18:56:36.387</v>
      </c>
      <c r="D5990" t="s">
        <v>2495</v>
      </c>
      <c r="E5990">
        <v>30.674621999999999</v>
      </c>
      <c r="F5990" t="s">
        <v>2496</v>
      </c>
      <c r="G5990">
        <v>-89.758515000000003</v>
      </c>
      <c r="H5990">
        <v>1700</v>
      </c>
      <c r="I5990">
        <v>97</v>
      </c>
      <c r="J5990">
        <v>-128</v>
      </c>
      <c r="K5990">
        <v>64</v>
      </c>
      <c r="L5990">
        <v>1200</v>
      </c>
      <c r="M5990" t="str">
        <f t="shared" si="643"/>
        <v xml:space="preserve">N35DC   </v>
      </c>
      <c r="N5990">
        <v>1</v>
      </c>
      <c r="O5990">
        <v>1750</v>
      </c>
    </row>
    <row r="5991" spans="1:15" x14ac:dyDescent="0.25">
      <c r="A5991" t="str">
        <f>"10/21/2020 18:56:31.416"</f>
        <v>10/21/2020 18:56:31.416</v>
      </c>
      <c r="B5991" t="str">
        <f>"18:56:39.375"</f>
        <v>18:56:39.375</v>
      </c>
      <c r="C5991" t="str">
        <f>"18:56:39.075"</f>
        <v>18:56:39.075</v>
      </c>
      <c r="D5991" t="s">
        <v>2497</v>
      </c>
      <c r="E5991">
        <v>30.673034000000001</v>
      </c>
      <c r="F5991" t="s">
        <v>2498</v>
      </c>
      <c r="G5991">
        <v>-89.757142000000002</v>
      </c>
      <c r="H5991">
        <v>1700</v>
      </c>
      <c r="I5991">
        <v>97</v>
      </c>
      <c r="J5991">
        <v>-126</v>
      </c>
      <c r="K5991">
        <v>64</v>
      </c>
      <c r="L5991">
        <v>1200</v>
      </c>
      <c r="M5991" t="str">
        <f t="shared" si="643"/>
        <v xml:space="preserve">N35DC   </v>
      </c>
      <c r="N5991">
        <v>1</v>
      </c>
      <c r="O5991">
        <v>1750</v>
      </c>
    </row>
    <row r="5992" spans="1:15" x14ac:dyDescent="0.25">
      <c r="A5992" t="str">
        <f>"10/21/2020 18:56:31.973"</f>
        <v>10/21/2020 18:56:31.973</v>
      </c>
      <c r="B5992" t="str">
        <f>"18:56:39.914"</f>
        <v>18:56:39.914</v>
      </c>
      <c r="C5992" t="str">
        <f>"18:56:39.514"</f>
        <v>18:56:39.514</v>
      </c>
      <c r="D5992" t="s">
        <v>2499</v>
      </c>
      <c r="E5992">
        <v>30.672754999999999</v>
      </c>
      <c r="F5992" t="s">
        <v>2500</v>
      </c>
      <c r="G5992">
        <v>-89.756820000000005</v>
      </c>
      <c r="H5992">
        <v>1700</v>
      </c>
      <c r="I5992">
        <v>97</v>
      </c>
      <c r="J5992">
        <v>-126</v>
      </c>
      <c r="K5992">
        <v>128</v>
      </c>
      <c r="L5992">
        <v>1200</v>
      </c>
      <c r="M5992" t="str">
        <f t="shared" si="643"/>
        <v xml:space="preserve">N35DC   </v>
      </c>
      <c r="N5992">
        <v>1</v>
      </c>
      <c r="O5992">
        <v>1750</v>
      </c>
    </row>
    <row r="5993" spans="1:15" x14ac:dyDescent="0.25">
      <c r="A5993" t="str">
        <f>"10/21/2020 18:56:31.973"</f>
        <v>10/21/2020 18:56:31.973</v>
      </c>
      <c r="B5993" t="str">
        <f>"18:56:39.914"</f>
        <v>18:56:39.914</v>
      </c>
      <c r="C5993" t="str">
        <f>"18:56:39.514"</f>
        <v>18:56:39.514</v>
      </c>
      <c r="D5993" t="s">
        <v>2499</v>
      </c>
      <c r="E5993">
        <v>30.672754999999999</v>
      </c>
      <c r="F5993" t="s">
        <v>2500</v>
      </c>
      <c r="G5993">
        <v>-89.756820000000005</v>
      </c>
      <c r="H5993">
        <v>1700</v>
      </c>
      <c r="I5993">
        <v>97</v>
      </c>
      <c r="J5993">
        <v>-126</v>
      </c>
      <c r="K5993">
        <v>128</v>
      </c>
      <c r="L5993">
        <v>1200</v>
      </c>
      <c r="M5993" t="str">
        <f t="shared" si="643"/>
        <v xml:space="preserve">N35DC   </v>
      </c>
      <c r="N5993">
        <v>1</v>
      </c>
      <c r="O5993">
        <v>1750</v>
      </c>
    </row>
    <row r="5994" spans="1:15" x14ac:dyDescent="0.25">
      <c r="A5994" t="str">
        <f>"10/21/2020 18:56:31.973"</f>
        <v>10/21/2020 18:56:31.973</v>
      </c>
      <c r="B5994" t="str">
        <f>"18:56:39.914"</f>
        <v>18:56:39.914</v>
      </c>
      <c r="C5994" t="str">
        <f>"18:56:39.514"</f>
        <v>18:56:39.514</v>
      </c>
      <c r="D5994" t="s">
        <v>2499</v>
      </c>
      <c r="E5994">
        <v>30.672754999999999</v>
      </c>
      <c r="F5994" t="s">
        <v>2500</v>
      </c>
      <c r="G5994">
        <v>-89.756820000000005</v>
      </c>
      <c r="H5994">
        <v>1700</v>
      </c>
      <c r="I5994">
        <v>97</v>
      </c>
      <c r="J5994">
        <v>-126</v>
      </c>
      <c r="K5994">
        <v>128</v>
      </c>
      <c r="L5994">
        <v>1200</v>
      </c>
      <c r="M5994" t="str">
        <f t="shared" si="643"/>
        <v xml:space="preserve">N35DC   </v>
      </c>
      <c r="N5994">
        <v>1</v>
      </c>
      <c r="O5994">
        <v>1750</v>
      </c>
    </row>
    <row r="5995" spans="1:15" x14ac:dyDescent="0.25">
      <c r="A5995" t="str">
        <f>"10/21/2020 18:56:31.973"</f>
        <v>10/21/2020 18:56:31.973</v>
      </c>
      <c r="B5995" t="str">
        <f>"18:56:39.914"</f>
        <v>18:56:39.914</v>
      </c>
      <c r="C5995" t="str">
        <f>"18:56:39.514"</f>
        <v>18:56:39.514</v>
      </c>
      <c r="D5995" t="s">
        <v>2499</v>
      </c>
      <c r="E5995">
        <v>30.672754999999999</v>
      </c>
      <c r="F5995" t="s">
        <v>2500</v>
      </c>
      <c r="G5995">
        <v>-89.756820000000005</v>
      </c>
      <c r="H5995">
        <v>1700</v>
      </c>
      <c r="I5995">
        <v>97</v>
      </c>
      <c r="J5995">
        <v>-126</v>
      </c>
      <c r="K5995">
        <v>128</v>
      </c>
      <c r="L5995">
        <v>1200</v>
      </c>
      <c r="M5995" t="str">
        <f t="shared" si="643"/>
        <v xml:space="preserve">N35DC   </v>
      </c>
      <c r="N5995">
        <v>1</v>
      </c>
      <c r="O5995">
        <v>1750</v>
      </c>
    </row>
    <row r="5996" spans="1:15" x14ac:dyDescent="0.25">
      <c r="A5996" t="str">
        <f>"10/21/2020 18:56:31.973"</f>
        <v>10/21/2020 18:56:31.973</v>
      </c>
      <c r="B5996" t="str">
        <f>"18:56:39.914"</f>
        <v>18:56:39.914</v>
      </c>
      <c r="C5996" t="str">
        <f>"18:56:39.514"</f>
        <v>18:56:39.514</v>
      </c>
      <c r="D5996" t="s">
        <v>2499</v>
      </c>
      <c r="E5996">
        <v>30.672754999999999</v>
      </c>
      <c r="F5996" t="s">
        <v>2500</v>
      </c>
      <c r="G5996">
        <v>-89.756820000000005</v>
      </c>
      <c r="H5996">
        <v>1700</v>
      </c>
      <c r="I5996">
        <v>97</v>
      </c>
      <c r="J5996">
        <v>-126</v>
      </c>
      <c r="K5996">
        <v>128</v>
      </c>
      <c r="L5996">
        <v>1200</v>
      </c>
      <c r="M5996" t="str">
        <f t="shared" si="643"/>
        <v xml:space="preserve">N35DC   </v>
      </c>
      <c r="N5996">
        <v>1</v>
      </c>
      <c r="O5996">
        <v>1750</v>
      </c>
    </row>
    <row r="5997" spans="1:15" x14ac:dyDescent="0.25">
      <c r="A5997" t="str">
        <f>"10/21/2020 18:56:34.481"</f>
        <v>10/21/2020 18:56:34.481</v>
      </c>
      <c r="B5997" t="str">
        <f>"18:56:42.398"</f>
        <v>18:56:42.398</v>
      </c>
      <c r="C5997" t="str">
        <f>"18:56:41.998"</f>
        <v>18:56:41.998</v>
      </c>
      <c r="D5997" t="s">
        <v>2501</v>
      </c>
      <c r="E5997">
        <v>30.671317999999999</v>
      </c>
      <c r="F5997" t="s">
        <v>2502</v>
      </c>
      <c r="G5997">
        <v>-89.755554000000004</v>
      </c>
      <c r="H5997">
        <v>1700</v>
      </c>
      <c r="I5997">
        <v>97</v>
      </c>
      <c r="J5997">
        <v>-125</v>
      </c>
      <c r="K5997">
        <v>64</v>
      </c>
      <c r="L5997">
        <v>1200</v>
      </c>
      <c r="M5997" t="str">
        <f t="shared" si="643"/>
        <v xml:space="preserve">N35DC   </v>
      </c>
      <c r="N5997">
        <v>1</v>
      </c>
      <c r="O5997">
        <v>1750</v>
      </c>
    </row>
    <row r="5998" spans="1:15" x14ac:dyDescent="0.25">
      <c r="A5998" t="str">
        <f>"10/21/2020 18:56:34.975"</f>
        <v>10/21/2020 18:56:34.975</v>
      </c>
      <c r="B5998" t="str">
        <f t="shared" ref="B5998:C6002" si="647">"18:56:42.930"</f>
        <v>18:56:42.930</v>
      </c>
      <c r="C5998" t="str">
        <f t="shared" si="647"/>
        <v>18:56:42.930</v>
      </c>
      <c r="D5998" t="s">
        <v>955</v>
      </c>
      <c r="E5998">
        <v>30.670995999999999</v>
      </c>
      <c r="F5998" t="s">
        <v>2503</v>
      </c>
      <c r="G5998">
        <v>-89.755274999999997</v>
      </c>
      <c r="H5998">
        <v>1700</v>
      </c>
      <c r="I5998">
        <v>98</v>
      </c>
      <c r="J5998">
        <v>-125</v>
      </c>
      <c r="K5998">
        <v>-128</v>
      </c>
      <c r="L5998">
        <v>1200</v>
      </c>
      <c r="M5998" t="str">
        <f t="shared" si="643"/>
        <v xml:space="preserve">N35DC   </v>
      </c>
      <c r="N5998">
        <v>1</v>
      </c>
      <c r="O5998">
        <v>1750</v>
      </c>
    </row>
    <row r="5999" spans="1:15" x14ac:dyDescent="0.25">
      <c r="A5999" t="str">
        <f>"10/21/2020 18:56:34.975"</f>
        <v>10/21/2020 18:56:34.975</v>
      </c>
      <c r="B5999" t="str">
        <f t="shared" si="647"/>
        <v>18:56:42.930</v>
      </c>
      <c r="C5999" t="str">
        <f t="shared" si="647"/>
        <v>18:56:42.930</v>
      </c>
      <c r="D5999" t="s">
        <v>955</v>
      </c>
      <c r="E5999">
        <v>30.670995999999999</v>
      </c>
      <c r="F5999" t="s">
        <v>2503</v>
      </c>
      <c r="G5999">
        <v>-89.755274999999997</v>
      </c>
      <c r="H5999">
        <v>1700</v>
      </c>
      <c r="I5999">
        <v>98</v>
      </c>
      <c r="J5999">
        <v>-125</v>
      </c>
      <c r="K5999">
        <v>-128</v>
      </c>
      <c r="L5999">
        <v>1200</v>
      </c>
      <c r="M5999" t="str">
        <f t="shared" si="643"/>
        <v xml:space="preserve">N35DC   </v>
      </c>
      <c r="N5999">
        <v>1</v>
      </c>
      <c r="O5999">
        <v>1750</v>
      </c>
    </row>
    <row r="6000" spans="1:15" x14ac:dyDescent="0.25">
      <c r="A6000" t="str">
        <f>"10/21/2020 18:56:34.975"</f>
        <v>10/21/2020 18:56:34.975</v>
      </c>
      <c r="B6000" t="str">
        <f t="shared" si="647"/>
        <v>18:56:42.930</v>
      </c>
      <c r="C6000" t="str">
        <f t="shared" si="647"/>
        <v>18:56:42.930</v>
      </c>
      <c r="D6000" t="s">
        <v>955</v>
      </c>
      <c r="E6000">
        <v>30.670995999999999</v>
      </c>
      <c r="F6000" t="s">
        <v>2503</v>
      </c>
      <c r="G6000">
        <v>-89.755274999999997</v>
      </c>
      <c r="H6000">
        <v>1700</v>
      </c>
      <c r="I6000">
        <v>98</v>
      </c>
      <c r="J6000">
        <v>-125</v>
      </c>
      <c r="K6000">
        <v>-128</v>
      </c>
      <c r="L6000">
        <v>1200</v>
      </c>
      <c r="M6000" t="str">
        <f t="shared" si="643"/>
        <v xml:space="preserve">N35DC   </v>
      </c>
      <c r="N6000">
        <v>1</v>
      </c>
      <c r="O6000">
        <v>1750</v>
      </c>
    </row>
    <row r="6001" spans="1:15" x14ac:dyDescent="0.25">
      <c r="A6001" t="str">
        <f>"10/21/2020 18:56:34.975"</f>
        <v>10/21/2020 18:56:34.975</v>
      </c>
      <c r="B6001" t="str">
        <f t="shared" si="647"/>
        <v>18:56:42.930</v>
      </c>
      <c r="C6001" t="str">
        <f t="shared" si="647"/>
        <v>18:56:42.930</v>
      </c>
      <c r="D6001" t="s">
        <v>955</v>
      </c>
      <c r="E6001">
        <v>30.670995999999999</v>
      </c>
      <c r="F6001" t="s">
        <v>2503</v>
      </c>
      <c r="G6001">
        <v>-89.755274999999997</v>
      </c>
      <c r="H6001">
        <v>1700</v>
      </c>
      <c r="I6001">
        <v>98</v>
      </c>
      <c r="J6001">
        <v>-125</v>
      </c>
      <c r="K6001">
        <v>-128</v>
      </c>
      <c r="L6001">
        <v>1200</v>
      </c>
      <c r="M6001" t="str">
        <f t="shared" si="643"/>
        <v xml:space="preserve">N35DC   </v>
      </c>
      <c r="N6001">
        <v>1</v>
      </c>
      <c r="O6001">
        <v>1750</v>
      </c>
    </row>
    <row r="6002" spans="1:15" x14ac:dyDescent="0.25">
      <c r="A6002" t="str">
        <f>"10/21/2020 18:56:34.975"</f>
        <v>10/21/2020 18:56:34.975</v>
      </c>
      <c r="B6002" t="str">
        <f t="shared" si="647"/>
        <v>18:56:42.930</v>
      </c>
      <c r="C6002" t="str">
        <f t="shared" si="647"/>
        <v>18:56:42.930</v>
      </c>
      <c r="D6002" t="s">
        <v>955</v>
      </c>
      <c r="E6002">
        <v>30.670995999999999</v>
      </c>
      <c r="F6002" t="s">
        <v>2503</v>
      </c>
      <c r="G6002">
        <v>-89.755274999999997</v>
      </c>
      <c r="H6002">
        <v>1700</v>
      </c>
      <c r="I6002">
        <v>98</v>
      </c>
      <c r="J6002">
        <v>-125</v>
      </c>
      <c r="K6002">
        <v>-128</v>
      </c>
      <c r="L6002">
        <v>1200</v>
      </c>
      <c r="M6002" t="str">
        <f t="shared" si="643"/>
        <v xml:space="preserve">N35DC   </v>
      </c>
      <c r="N6002">
        <v>1</v>
      </c>
      <c r="O6002">
        <v>1750</v>
      </c>
    </row>
    <row r="6003" spans="1:15" x14ac:dyDescent="0.25">
      <c r="A6003" t="str">
        <f>"10/21/2020 18:56:35.590"</f>
        <v>10/21/2020 18:56:35.590</v>
      </c>
      <c r="B6003" t="str">
        <f>"18:56:43.484"</f>
        <v>18:56:43.484</v>
      </c>
      <c r="C6003" t="str">
        <f>"18:56:42.984"</f>
        <v>18:56:42.984</v>
      </c>
      <c r="D6003" t="s">
        <v>2504</v>
      </c>
      <c r="E6003">
        <v>30.670652</v>
      </c>
      <c r="F6003" t="s">
        <v>2505</v>
      </c>
      <c r="G6003">
        <v>-89.754953</v>
      </c>
      <c r="H6003">
        <v>1700</v>
      </c>
      <c r="I6003">
        <v>98</v>
      </c>
      <c r="J6003">
        <v>-125</v>
      </c>
      <c r="K6003">
        <v>-128</v>
      </c>
      <c r="L6003">
        <v>1200</v>
      </c>
      <c r="M6003" t="str">
        <f t="shared" si="643"/>
        <v xml:space="preserve">N35DC   </v>
      </c>
      <c r="N6003">
        <v>1</v>
      </c>
      <c r="O6003">
        <v>1750</v>
      </c>
    </row>
    <row r="6004" spans="1:15" x14ac:dyDescent="0.25">
      <c r="A6004" t="str">
        <f>"10/21/2020 18:56:35.996"</f>
        <v>10/21/2020 18:56:35.996</v>
      </c>
      <c r="B6004" t="str">
        <f>"18:56:43.930"</f>
        <v>18:56:43.930</v>
      </c>
      <c r="C6004" t="str">
        <f>"18:56:42.930"</f>
        <v>18:56:42.930</v>
      </c>
      <c r="D6004" t="s">
        <v>2506</v>
      </c>
      <c r="E6004">
        <v>30.670438000000001</v>
      </c>
      <c r="F6004" t="s">
        <v>2507</v>
      </c>
      <c r="G6004">
        <v>-89.754739000000001</v>
      </c>
      <c r="H6004">
        <v>1700</v>
      </c>
      <c r="I6004">
        <v>98</v>
      </c>
      <c r="J6004">
        <v>-125</v>
      </c>
      <c r="K6004">
        <v>-128</v>
      </c>
      <c r="L6004">
        <v>1200</v>
      </c>
      <c r="M6004" t="str">
        <f t="shared" si="643"/>
        <v xml:space="preserve">N35DC   </v>
      </c>
      <c r="N6004">
        <v>1</v>
      </c>
      <c r="O6004">
        <v>1750</v>
      </c>
    </row>
    <row r="6005" spans="1:15" x14ac:dyDescent="0.25">
      <c r="A6005" t="str">
        <f>"10/21/2020 18:56:35.996"</f>
        <v>10/21/2020 18:56:35.996</v>
      </c>
      <c r="B6005" t="str">
        <f>"18:56:43.930"</f>
        <v>18:56:43.930</v>
      </c>
      <c r="C6005" t="str">
        <f>"18:56:42.930"</f>
        <v>18:56:42.930</v>
      </c>
      <c r="D6005" t="s">
        <v>2506</v>
      </c>
      <c r="E6005">
        <v>30.670438000000001</v>
      </c>
      <c r="F6005" t="s">
        <v>2507</v>
      </c>
      <c r="G6005">
        <v>-89.754739000000001</v>
      </c>
      <c r="H6005">
        <v>1700</v>
      </c>
      <c r="I6005">
        <v>98</v>
      </c>
      <c r="J6005">
        <v>-125</v>
      </c>
      <c r="K6005">
        <v>-128</v>
      </c>
      <c r="L6005">
        <v>1200</v>
      </c>
      <c r="M6005" t="str">
        <f t="shared" si="643"/>
        <v xml:space="preserve">N35DC   </v>
      </c>
      <c r="N6005">
        <v>1</v>
      </c>
      <c r="O6005">
        <v>1750</v>
      </c>
    </row>
    <row r="6006" spans="1:15" x14ac:dyDescent="0.25">
      <c r="A6006" t="str">
        <f>"10/21/2020 18:56:35.996"</f>
        <v>10/21/2020 18:56:35.996</v>
      </c>
      <c r="B6006" t="str">
        <f>"18:56:43.930"</f>
        <v>18:56:43.930</v>
      </c>
      <c r="C6006" t="str">
        <f>"18:56:42.930"</f>
        <v>18:56:42.930</v>
      </c>
      <c r="D6006" t="s">
        <v>2506</v>
      </c>
      <c r="E6006">
        <v>30.670438000000001</v>
      </c>
      <c r="F6006" t="s">
        <v>2507</v>
      </c>
      <c r="G6006">
        <v>-89.754739000000001</v>
      </c>
      <c r="H6006">
        <v>1700</v>
      </c>
      <c r="I6006">
        <v>98</v>
      </c>
      <c r="J6006">
        <v>-125</v>
      </c>
      <c r="K6006">
        <v>-128</v>
      </c>
      <c r="L6006">
        <v>1200</v>
      </c>
      <c r="M6006" t="str">
        <f t="shared" si="643"/>
        <v xml:space="preserve">N35DC   </v>
      </c>
      <c r="N6006">
        <v>1</v>
      </c>
      <c r="O6006">
        <v>1750</v>
      </c>
    </row>
    <row r="6007" spans="1:15" x14ac:dyDescent="0.25">
      <c r="A6007" t="str">
        <f>"10/21/2020 18:56:35.996"</f>
        <v>10/21/2020 18:56:35.996</v>
      </c>
      <c r="B6007" t="str">
        <f>"18:56:43.930"</f>
        <v>18:56:43.930</v>
      </c>
      <c r="C6007" t="str">
        <f>"18:56:42.930"</f>
        <v>18:56:42.930</v>
      </c>
      <c r="D6007" t="s">
        <v>2506</v>
      </c>
      <c r="E6007">
        <v>30.670438000000001</v>
      </c>
      <c r="F6007" t="s">
        <v>2507</v>
      </c>
      <c r="G6007">
        <v>-89.754739000000001</v>
      </c>
      <c r="H6007">
        <v>1700</v>
      </c>
      <c r="I6007">
        <v>98</v>
      </c>
      <c r="J6007">
        <v>-125</v>
      </c>
      <c r="K6007">
        <v>-128</v>
      </c>
      <c r="L6007">
        <v>1200</v>
      </c>
      <c r="M6007" t="str">
        <f t="shared" si="643"/>
        <v xml:space="preserve">N35DC   </v>
      </c>
      <c r="N6007">
        <v>1</v>
      </c>
      <c r="O6007">
        <v>1750</v>
      </c>
    </row>
    <row r="6008" spans="1:15" x14ac:dyDescent="0.25">
      <c r="A6008" t="str">
        <f>"10/21/2020 18:56:35.996"</f>
        <v>10/21/2020 18:56:35.996</v>
      </c>
      <c r="B6008" t="str">
        <f>"18:56:43.930"</f>
        <v>18:56:43.930</v>
      </c>
      <c r="C6008" t="str">
        <f>"18:56:42.930"</f>
        <v>18:56:42.930</v>
      </c>
      <c r="D6008" t="s">
        <v>2506</v>
      </c>
      <c r="E6008">
        <v>30.670438000000001</v>
      </c>
      <c r="F6008" t="s">
        <v>2507</v>
      </c>
      <c r="G6008">
        <v>-89.754739000000001</v>
      </c>
      <c r="H6008">
        <v>1700</v>
      </c>
      <c r="I6008">
        <v>98</v>
      </c>
      <c r="J6008">
        <v>-125</v>
      </c>
      <c r="K6008">
        <v>-128</v>
      </c>
      <c r="L6008">
        <v>1200</v>
      </c>
      <c r="M6008" t="str">
        <f t="shared" si="643"/>
        <v xml:space="preserve">N35DC   </v>
      </c>
      <c r="N6008">
        <v>1</v>
      </c>
      <c r="O6008">
        <v>1750</v>
      </c>
    </row>
    <row r="6009" spans="1:15" x14ac:dyDescent="0.25">
      <c r="A6009" t="str">
        <f>"10/21/2020 18:56:36.596"</f>
        <v>10/21/2020 18:56:36.596</v>
      </c>
      <c r="B6009" t="str">
        <f>"18:56:44.500"</f>
        <v>18:56:44.500</v>
      </c>
      <c r="C6009" t="str">
        <f>"18:56:44.400"</f>
        <v>18:56:44.400</v>
      </c>
      <c r="D6009" t="s">
        <v>2508</v>
      </c>
      <c r="E6009">
        <v>30.670072999999999</v>
      </c>
      <c r="F6009" t="s">
        <v>2509</v>
      </c>
      <c r="G6009">
        <v>-89.754480999999998</v>
      </c>
      <c r="H6009">
        <v>1700</v>
      </c>
      <c r="I6009">
        <v>99</v>
      </c>
      <c r="J6009">
        <v>-124</v>
      </c>
      <c r="K6009">
        <v>-128</v>
      </c>
      <c r="L6009">
        <v>1200</v>
      </c>
      <c r="M6009" t="str">
        <f t="shared" si="643"/>
        <v xml:space="preserve">N35DC   </v>
      </c>
      <c r="N6009">
        <v>1</v>
      </c>
      <c r="O6009">
        <v>1750</v>
      </c>
    </row>
    <row r="6010" spans="1:15" x14ac:dyDescent="0.25">
      <c r="A6010" t="str">
        <f>"10/21/2020 18:56:37.040"</f>
        <v>10/21/2020 18:56:37.040</v>
      </c>
      <c r="B6010" t="str">
        <f t="shared" ref="B6010:C6014" si="648">"18:56:44.984"</f>
        <v>18:56:44.984</v>
      </c>
      <c r="C6010" t="str">
        <f t="shared" si="648"/>
        <v>18:56:44.984</v>
      </c>
      <c r="D6010" t="s">
        <v>2510</v>
      </c>
      <c r="E6010">
        <v>30.669816000000001</v>
      </c>
      <c r="F6010" t="s">
        <v>2511</v>
      </c>
      <c r="G6010">
        <v>-89.754181000000003</v>
      </c>
      <c r="H6010">
        <v>1700</v>
      </c>
      <c r="I6010">
        <v>99</v>
      </c>
      <c r="J6010">
        <v>-124</v>
      </c>
      <c r="K6010">
        <v>-128</v>
      </c>
      <c r="L6010">
        <v>1200</v>
      </c>
      <c r="M6010" t="str">
        <f t="shared" si="643"/>
        <v xml:space="preserve">N35DC   </v>
      </c>
      <c r="N6010">
        <v>1</v>
      </c>
      <c r="O6010">
        <v>1750</v>
      </c>
    </row>
    <row r="6011" spans="1:15" x14ac:dyDescent="0.25">
      <c r="A6011" t="str">
        <f>"10/21/2020 18:56:37.040"</f>
        <v>10/21/2020 18:56:37.040</v>
      </c>
      <c r="B6011" t="str">
        <f t="shared" si="648"/>
        <v>18:56:44.984</v>
      </c>
      <c r="C6011" t="str">
        <f t="shared" si="648"/>
        <v>18:56:44.984</v>
      </c>
      <c r="D6011" t="s">
        <v>2510</v>
      </c>
      <c r="E6011">
        <v>30.669816000000001</v>
      </c>
      <c r="F6011" t="s">
        <v>2511</v>
      </c>
      <c r="G6011">
        <v>-89.754181000000003</v>
      </c>
      <c r="H6011">
        <v>1700</v>
      </c>
      <c r="I6011">
        <v>99</v>
      </c>
      <c r="J6011">
        <v>-124</v>
      </c>
      <c r="K6011">
        <v>-128</v>
      </c>
      <c r="L6011">
        <v>1200</v>
      </c>
      <c r="M6011" t="str">
        <f t="shared" si="643"/>
        <v xml:space="preserve">N35DC   </v>
      </c>
      <c r="N6011">
        <v>1</v>
      </c>
      <c r="O6011">
        <v>1750</v>
      </c>
    </row>
    <row r="6012" spans="1:15" x14ac:dyDescent="0.25">
      <c r="A6012" t="str">
        <f>"10/21/2020 18:56:37.040"</f>
        <v>10/21/2020 18:56:37.040</v>
      </c>
      <c r="B6012" t="str">
        <f t="shared" si="648"/>
        <v>18:56:44.984</v>
      </c>
      <c r="C6012" t="str">
        <f t="shared" si="648"/>
        <v>18:56:44.984</v>
      </c>
      <c r="D6012" t="s">
        <v>2510</v>
      </c>
      <c r="E6012">
        <v>30.669816000000001</v>
      </c>
      <c r="F6012" t="s">
        <v>2511</v>
      </c>
      <c r="G6012">
        <v>-89.754181000000003</v>
      </c>
      <c r="H6012">
        <v>1700</v>
      </c>
      <c r="I6012">
        <v>99</v>
      </c>
      <c r="J6012">
        <v>-124</v>
      </c>
      <c r="K6012">
        <v>-128</v>
      </c>
      <c r="L6012">
        <v>1200</v>
      </c>
      <c r="M6012" t="str">
        <f t="shared" si="643"/>
        <v xml:space="preserve">N35DC   </v>
      </c>
      <c r="N6012">
        <v>1</v>
      </c>
      <c r="O6012">
        <v>1750</v>
      </c>
    </row>
    <row r="6013" spans="1:15" x14ac:dyDescent="0.25">
      <c r="A6013" t="str">
        <f>"10/21/2020 18:56:37.040"</f>
        <v>10/21/2020 18:56:37.040</v>
      </c>
      <c r="B6013" t="str">
        <f t="shared" si="648"/>
        <v>18:56:44.984</v>
      </c>
      <c r="C6013" t="str">
        <f t="shared" si="648"/>
        <v>18:56:44.984</v>
      </c>
      <c r="D6013" t="s">
        <v>2510</v>
      </c>
      <c r="E6013">
        <v>30.669816000000001</v>
      </c>
      <c r="F6013" t="s">
        <v>2511</v>
      </c>
      <c r="G6013">
        <v>-89.754181000000003</v>
      </c>
      <c r="H6013">
        <v>1700</v>
      </c>
      <c r="I6013">
        <v>99</v>
      </c>
      <c r="J6013">
        <v>-124</v>
      </c>
      <c r="K6013">
        <v>-128</v>
      </c>
      <c r="L6013">
        <v>1200</v>
      </c>
      <c r="M6013" t="str">
        <f t="shared" si="643"/>
        <v xml:space="preserve">N35DC   </v>
      </c>
      <c r="N6013">
        <v>1</v>
      </c>
      <c r="O6013">
        <v>1750</v>
      </c>
    </row>
    <row r="6014" spans="1:15" x14ac:dyDescent="0.25">
      <c r="A6014" t="str">
        <f>"10/21/2020 18:56:37.040"</f>
        <v>10/21/2020 18:56:37.040</v>
      </c>
      <c r="B6014" t="str">
        <f t="shared" si="648"/>
        <v>18:56:44.984</v>
      </c>
      <c r="C6014" t="str">
        <f t="shared" si="648"/>
        <v>18:56:44.984</v>
      </c>
      <c r="D6014" t="s">
        <v>2510</v>
      </c>
      <c r="E6014">
        <v>30.669816000000001</v>
      </c>
      <c r="F6014" t="s">
        <v>2511</v>
      </c>
      <c r="G6014">
        <v>-89.754181000000003</v>
      </c>
      <c r="H6014">
        <v>1700</v>
      </c>
      <c r="I6014">
        <v>99</v>
      </c>
      <c r="J6014">
        <v>-124</v>
      </c>
      <c r="K6014">
        <v>-128</v>
      </c>
      <c r="L6014">
        <v>1200</v>
      </c>
      <c r="M6014" t="str">
        <f t="shared" si="643"/>
        <v xml:space="preserve">N35DC   </v>
      </c>
      <c r="N6014">
        <v>1</v>
      </c>
      <c r="O6014">
        <v>1750</v>
      </c>
    </row>
    <row r="6015" spans="1:15" x14ac:dyDescent="0.25">
      <c r="A6015" t="str">
        <f t="shared" ref="A6015:A6020" si="649">"10/21/2020 18:56:40.042"</f>
        <v>10/21/2020 18:56:40.042</v>
      </c>
      <c r="B6015" t="str">
        <f t="shared" ref="B6015:B6020" si="650">"18:56:47.984"</f>
        <v>18:56:47.984</v>
      </c>
      <c r="C6015" t="str">
        <f t="shared" ref="C6015:C6020" si="651">"18:56:47.584"</f>
        <v>18:56:47.584</v>
      </c>
      <c r="D6015" t="s">
        <v>2512</v>
      </c>
      <c r="E6015">
        <v>30.668099000000002</v>
      </c>
      <c r="F6015" t="s">
        <v>2513</v>
      </c>
      <c r="G6015">
        <v>-89.752593000000005</v>
      </c>
      <c r="H6015">
        <v>1700</v>
      </c>
      <c r="I6015">
        <v>99</v>
      </c>
      <c r="J6015">
        <v>-124</v>
      </c>
      <c r="K6015">
        <v>-256</v>
      </c>
      <c r="L6015">
        <v>1200</v>
      </c>
      <c r="M6015" t="str">
        <f t="shared" si="643"/>
        <v xml:space="preserve">N35DC   </v>
      </c>
      <c r="N6015">
        <v>1</v>
      </c>
      <c r="O6015">
        <v>1750</v>
      </c>
    </row>
    <row r="6016" spans="1:15" x14ac:dyDescent="0.25">
      <c r="A6016" t="str">
        <f t="shared" si="649"/>
        <v>10/21/2020 18:56:40.042</v>
      </c>
      <c r="B6016" t="str">
        <f t="shared" si="650"/>
        <v>18:56:47.984</v>
      </c>
      <c r="C6016" t="str">
        <f t="shared" si="651"/>
        <v>18:56:47.584</v>
      </c>
      <c r="D6016" t="s">
        <v>2512</v>
      </c>
      <c r="E6016">
        <v>30.668099000000002</v>
      </c>
      <c r="F6016" t="s">
        <v>2513</v>
      </c>
      <c r="G6016">
        <v>-89.752593000000005</v>
      </c>
      <c r="H6016">
        <v>1700</v>
      </c>
      <c r="I6016">
        <v>99</v>
      </c>
      <c r="J6016">
        <v>-124</v>
      </c>
      <c r="K6016">
        <v>-256</v>
      </c>
      <c r="L6016">
        <v>1200</v>
      </c>
      <c r="M6016" t="str">
        <f t="shared" si="643"/>
        <v xml:space="preserve">N35DC   </v>
      </c>
      <c r="N6016">
        <v>1</v>
      </c>
      <c r="O6016">
        <v>1750</v>
      </c>
    </row>
    <row r="6017" spans="1:15" x14ac:dyDescent="0.25">
      <c r="A6017" t="str">
        <f t="shared" si="649"/>
        <v>10/21/2020 18:56:40.042</v>
      </c>
      <c r="B6017" t="str">
        <f t="shared" si="650"/>
        <v>18:56:47.984</v>
      </c>
      <c r="C6017" t="str">
        <f t="shared" si="651"/>
        <v>18:56:47.584</v>
      </c>
      <c r="D6017" t="s">
        <v>2512</v>
      </c>
      <c r="E6017">
        <v>30.668099000000002</v>
      </c>
      <c r="F6017" t="s">
        <v>2513</v>
      </c>
      <c r="G6017">
        <v>-89.752593000000005</v>
      </c>
      <c r="H6017">
        <v>1700</v>
      </c>
      <c r="I6017">
        <v>99</v>
      </c>
      <c r="J6017">
        <v>-124</v>
      </c>
      <c r="K6017">
        <v>-256</v>
      </c>
      <c r="L6017">
        <v>1200</v>
      </c>
      <c r="M6017" t="str">
        <f t="shared" si="643"/>
        <v xml:space="preserve">N35DC   </v>
      </c>
      <c r="N6017">
        <v>1</v>
      </c>
      <c r="O6017">
        <v>1750</v>
      </c>
    </row>
    <row r="6018" spans="1:15" x14ac:dyDescent="0.25">
      <c r="A6018" t="str">
        <f t="shared" si="649"/>
        <v>10/21/2020 18:56:40.042</v>
      </c>
      <c r="B6018" t="str">
        <f t="shared" si="650"/>
        <v>18:56:47.984</v>
      </c>
      <c r="C6018" t="str">
        <f t="shared" si="651"/>
        <v>18:56:47.584</v>
      </c>
      <c r="D6018" t="s">
        <v>2512</v>
      </c>
      <c r="E6018">
        <v>30.668099000000002</v>
      </c>
      <c r="F6018" t="s">
        <v>2513</v>
      </c>
      <c r="G6018">
        <v>-89.752593000000005</v>
      </c>
      <c r="H6018">
        <v>1700</v>
      </c>
      <c r="I6018">
        <v>99</v>
      </c>
      <c r="J6018">
        <v>-124</v>
      </c>
      <c r="K6018">
        <v>-256</v>
      </c>
      <c r="L6018">
        <v>1200</v>
      </c>
      <c r="M6018" t="str">
        <f t="shared" si="643"/>
        <v xml:space="preserve">N35DC   </v>
      </c>
      <c r="N6018">
        <v>1</v>
      </c>
      <c r="O6018">
        <v>1750</v>
      </c>
    </row>
    <row r="6019" spans="1:15" x14ac:dyDescent="0.25">
      <c r="A6019" t="str">
        <f t="shared" si="649"/>
        <v>10/21/2020 18:56:40.042</v>
      </c>
      <c r="B6019" t="str">
        <f t="shared" si="650"/>
        <v>18:56:47.984</v>
      </c>
      <c r="C6019" t="str">
        <f t="shared" si="651"/>
        <v>18:56:47.584</v>
      </c>
      <c r="D6019" t="s">
        <v>2512</v>
      </c>
      <c r="E6019">
        <v>30.668099000000002</v>
      </c>
      <c r="F6019" t="s">
        <v>2513</v>
      </c>
      <c r="G6019">
        <v>-89.752593000000005</v>
      </c>
      <c r="H6019">
        <v>1700</v>
      </c>
      <c r="I6019">
        <v>99</v>
      </c>
      <c r="J6019">
        <v>-124</v>
      </c>
      <c r="K6019">
        <v>-256</v>
      </c>
      <c r="L6019">
        <v>1200</v>
      </c>
      <c r="M6019" t="str">
        <f t="shared" si="643"/>
        <v xml:space="preserve">N35DC   </v>
      </c>
      <c r="N6019">
        <v>1</v>
      </c>
      <c r="O6019">
        <v>1750</v>
      </c>
    </row>
    <row r="6020" spans="1:15" x14ac:dyDescent="0.25">
      <c r="A6020" t="str">
        <f t="shared" si="649"/>
        <v>10/21/2020 18:56:40.042</v>
      </c>
      <c r="B6020" t="str">
        <f t="shared" si="650"/>
        <v>18:56:47.984</v>
      </c>
      <c r="C6020" t="str">
        <f t="shared" si="651"/>
        <v>18:56:47.584</v>
      </c>
      <c r="D6020" t="s">
        <v>2512</v>
      </c>
      <c r="E6020">
        <v>30.668099000000002</v>
      </c>
      <c r="F6020" t="s">
        <v>2513</v>
      </c>
      <c r="G6020">
        <v>-89.752593000000005</v>
      </c>
      <c r="H6020">
        <v>1700</v>
      </c>
      <c r="I6020">
        <v>99</v>
      </c>
      <c r="J6020">
        <v>-124</v>
      </c>
      <c r="K6020">
        <v>-256</v>
      </c>
      <c r="L6020">
        <v>1200</v>
      </c>
      <c r="M6020" t="str">
        <f t="shared" si="643"/>
        <v xml:space="preserve">N35DC   </v>
      </c>
      <c r="N6020">
        <v>1</v>
      </c>
      <c r="O6020">
        <v>1750</v>
      </c>
    </row>
    <row r="6021" spans="1:15" x14ac:dyDescent="0.25">
      <c r="A6021" t="str">
        <f>"10/21/2020 18:56:40.870"</f>
        <v>10/21/2020 18:56:40.870</v>
      </c>
      <c r="B6021" t="str">
        <f>"18:56:48.836"</f>
        <v>18:56:48.836</v>
      </c>
      <c r="C6021" t="str">
        <f>"18:56:48.636"</f>
        <v>18:56:48.636</v>
      </c>
      <c r="D6021" t="s">
        <v>2514</v>
      </c>
      <c r="E6021">
        <v>30.667604999999998</v>
      </c>
      <c r="F6021" t="s">
        <v>2515</v>
      </c>
      <c r="G6021">
        <v>-89.752099999999999</v>
      </c>
      <c r="H6021">
        <v>1700</v>
      </c>
      <c r="I6021">
        <v>100</v>
      </c>
      <c r="J6021">
        <v>-124</v>
      </c>
      <c r="K6021">
        <v>-192</v>
      </c>
      <c r="L6021">
        <v>1200</v>
      </c>
      <c r="M6021" t="str">
        <f t="shared" si="643"/>
        <v xml:space="preserve">N35DC   </v>
      </c>
      <c r="N6021">
        <v>1</v>
      </c>
      <c r="O6021">
        <v>1750</v>
      </c>
    </row>
    <row r="6022" spans="1:15" x14ac:dyDescent="0.25">
      <c r="A6022" t="str">
        <f>"10/21/2020 18:56:40.870"</f>
        <v>10/21/2020 18:56:40.870</v>
      </c>
      <c r="B6022" t="str">
        <f>"18:56:48.836"</f>
        <v>18:56:48.836</v>
      </c>
      <c r="C6022" t="str">
        <f>"18:56:48.636"</f>
        <v>18:56:48.636</v>
      </c>
      <c r="D6022" t="s">
        <v>2514</v>
      </c>
      <c r="E6022">
        <v>30.667604999999998</v>
      </c>
      <c r="F6022" t="s">
        <v>2515</v>
      </c>
      <c r="G6022">
        <v>-89.752099999999999</v>
      </c>
      <c r="H6022">
        <v>1700</v>
      </c>
      <c r="I6022">
        <v>100</v>
      </c>
      <c r="J6022">
        <v>-124</v>
      </c>
      <c r="K6022">
        <v>-192</v>
      </c>
      <c r="L6022">
        <v>1200</v>
      </c>
      <c r="M6022" t="str">
        <f t="shared" si="643"/>
        <v xml:space="preserve">N35DC   </v>
      </c>
      <c r="N6022">
        <v>1</v>
      </c>
      <c r="O6022">
        <v>1750</v>
      </c>
    </row>
    <row r="6023" spans="1:15" x14ac:dyDescent="0.25">
      <c r="A6023" t="str">
        <f>"10/21/2020 18:56:40.870"</f>
        <v>10/21/2020 18:56:40.870</v>
      </c>
      <c r="B6023" t="str">
        <f>"18:56:48.836"</f>
        <v>18:56:48.836</v>
      </c>
      <c r="C6023" t="str">
        <f>"18:56:48.636"</f>
        <v>18:56:48.636</v>
      </c>
      <c r="D6023" t="s">
        <v>2514</v>
      </c>
      <c r="E6023">
        <v>30.667604999999998</v>
      </c>
      <c r="F6023" t="s">
        <v>2515</v>
      </c>
      <c r="G6023">
        <v>-89.752099999999999</v>
      </c>
      <c r="H6023">
        <v>1700</v>
      </c>
      <c r="I6023">
        <v>100</v>
      </c>
      <c r="J6023">
        <v>-124</v>
      </c>
      <c r="K6023">
        <v>-192</v>
      </c>
      <c r="L6023">
        <v>1200</v>
      </c>
      <c r="M6023" t="str">
        <f t="shared" ref="M6023:M6086" si="652">"N35DC   "</f>
        <v xml:space="preserve">N35DC   </v>
      </c>
      <c r="N6023">
        <v>1</v>
      </c>
      <c r="O6023">
        <v>1750</v>
      </c>
    </row>
    <row r="6024" spans="1:15" x14ac:dyDescent="0.25">
      <c r="A6024" t="str">
        <f>"10/21/2020 18:56:40.870"</f>
        <v>10/21/2020 18:56:40.870</v>
      </c>
      <c r="B6024" t="str">
        <f>"18:56:48.836"</f>
        <v>18:56:48.836</v>
      </c>
      <c r="C6024" t="str">
        <f>"18:56:48.636"</f>
        <v>18:56:48.636</v>
      </c>
      <c r="D6024" t="s">
        <v>2514</v>
      </c>
      <c r="E6024">
        <v>30.667604999999998</v>
      </c>
      <c r="F6024" t="s">
        <v>2515</v>
      </c>
      <c r="G6024">
        <v>-89.752099999999999</v>
      </c>
      <c r="H6024">
        <v>1700</v>
      </c>
      <c r="I6024">
        <v>100</v>
      </c>
      <c r="J6024">
        <v>-124</v>
      </c>
      <c r="K6024">
        <v>-192</v>
      </c>
      <c r="L6024">
        <v>1200</v>
      </c>
      <c r="M6024" t="str">
        <f t="shared" si="652"/>
        <v xml:space="preserve">N35DC   </v>
      </c>
      <c r="N6024">
        <v>1</v>
      </c>
      <c r="O6024">
        <v>1750</v>
      </c>
    </row>
    <row r="6025" spans="1:15" x14ac:dyDescent="0.25">
      <c r="A6025" t="str">
        <f>"10/21/2020 18:56:40.870"</f>
        <v>10/21/2020 18:56:40.870</v>
      </c>
      <c r="B6025" t="str">
        <f>"18:56:48.836"</f>
        <v>18:56:48.836</v>
      </c>
      <c r="C6025" t="str">
        <f>"18:56:48.636"</f>
        <v>18:56:48.636</v>
      </c>
      <c r="D6025" t="s">
        <v>2514</v>
      </c>
      <c r="E6025">
        <v>30.667604999999998</v>
      </c>
      <c r="F6025" t="s">
        <v>2515</v>
      </c>
      <c r="G6025">
        <v>-89.752099999999999</v>
      </c>
      <c r="H6025">
        <v>1700</v>
      </c>
      <c r="I6025">
        <v>100</v>
      </c>
      <c r="J6025">
        <v>-124</v>
      </c>
      <c r="K6025">
        <v>-192</v>
      </c>
      <c r="L6025">
        <v>1200</v>
      </c>
      <c r="M6025" t="str">
        <f t="shared" si="652"/>
        <v xml:space="preserve">N35DC   </v>
      </c>
      <c r="N6025">
        <v>1</v>
      </c>
      <c r="O6025">
        <v>1750</v>
      </c>
    </row>
    <row r="6026" spans="1:15" x14ac:dyDescent="0.25">
      <c r="A6026" t="str">
        <f t="shared" ref="A6026:A6031" si="653">"10/21/2020 18:56:43.886"</f>
        <v>10/21/2020 18:56:43.886</v>
      </c>
      <c r="B6026" t="str">
        <f t="shared" ref="B6026:B6031" si="654">"18:56:51.836"</f>
        <v>18:56:51.836</v>
      </c>
      <c r="C6026" t="str">
        <f t="shared" ref="C6026:C6031" si="655">"18:56:51.536"</f>
        <v>18:56:51.536</v>
      </c>
      <c r="D6026" t="s">
        <v>2516</v>
      </c>
      <c r="E6026">
        <v>30.665824000000001</v>
      </c>
      <c r="F6026" t="s">
        <v>2517</v>
      </c>
      <c r="G6026">
        <v>-89.750555000000006</v>
      </c>
      <c r="H6026">
        <v>1700</v>
      </c>
      <c r="I6026">
        <v>96</v>
      </c>
      <c r="J6026">
        <v>-128</v>
      </c>
      <c r="K6026">
        <v>-128</v>
      </c>
      <c r="L6026">
        <v>1200</v>
      </c>
      <c r="M6026" t="str">
        <f t="shared" si="652"/>
        <v xml:space="preserve">N35DC   </v>
      </c>
      <c r="N6026">
        <v>1</v>
      </c>
      <c r="O6026">
        <v>1725</v>
      </c>
    </row>
    <row r="6027" spans="1:15" x14ac:dyDescent="0.25">
      <c r="A6027" t="str">
        <f t="shared" si="653"/>
        <v>10/21/2020 18:56:43.886</v>
      </c>
      <c r="B6027" t="str">
        <f t="shared" si="654"/>
        <v>18:56:51.836</v>
      </c>
      <c r="C6027" t="str">
        <f t="shared" si="655"/>
        <v>18:56:51.536</v>
      </c>
      <c r="D6027" t="s">
        <v>2516</v>
      </c>
      <c r="E6027">
        <v>30.665824000000001</v>
      </c>
      <c r="F6027" t="s">
        <v>2517</v>
      </c>
      <c r="G6027">
        <v>-89.750555000000006</v>
      </c>
      <c r="H6027">
        <v>1700</v>
      </c>
      <c r="I6027">
        <v>96</v>
      </c>
      <c r="J6027">
        <v>-128</v>
      </c>
      <c r="K6027">
        <v>-128</v>
      </c>
      <c r="L6027">
        <v>1200</v>
      </c>
      <c r="M6027" t="str">
        <f t="shared" si="652"/>
        <v xml:space="preserve">N35DC   </v>
      </c>
      <c r="N6027">
        <v>1</v>
      </c>
      <c r="O6027">
        <v>1725</v>
      </c>
    </row>
    <row r="6028" spans="1:15" x14ac:dyDescent="0.25">
      <c r="A6028" t="str">
        <f t="shared" si="653"/>
        <v>10/21/2020 18:56:43.886</v>
      </c>
      <c r="B6028" t="str">
        <f t="shared" si="654"/>
        <v>18:56:51.836</v>
      </c>
      <c r="C6028" t="str">
        <f t="shared" si="655"/>
        <v>18:56:51.536</v>
      </c>
      <c r="D6028" t="s">
        <v>2516</v>
      </c>
      <c r="E6028">
        <v>30.665824000000001</v>
      </c>
      <c r="F6028" t="s">
        <v>2517</v>
      </c>
      <c r="G6028">
        <v>-89.750555000000006</v>
      </c>
      <c r="H6028">
        <v>1700</v>
      </c>
      <c r="I6028">
        <v>96</v>
      </c>
      <c r="J6028">
        <v>-128</v>
      </c>
      <c r="K6028">
        <v>-128</v>
      </c>
      <c r="L6028">
        <v>1200</v>
      </c>
      <c r="M6028" t="str">
        <f t="shared" si="652"/>
        <v xml:space="preserve">N35DC   </v>
      </c>
      <c r="N6028">
        <v>1</v>
      </c>
      <c r="O6028">
        <v>1725</v>
      </c>
    </row>
    <row r="6029" spans="1:15" x14ac:dyDescent="0.25">
      <c r="A6029" t="str">
        <f t="shared" si="653"/>
        <v>10/21/2020 18:56:43.886</v>
      </c>
      <c r="B6029" t="str">
        <f t="shared" si="654"/>
        <v>18:56:51.836</v>
      </c>
      <c r="C6029" t="str">
        <f t="shared" si="655"/>
        <v>18:56:51.536</v>
      </c>
      <c r="D6029" t="s">
        <v>2516</v>
      </c>
      <c r="E6029">
        <v>30.665824000000001</v>
      </c>
      <c r="F6029" t="s">
        <v>2517</v>
      </c>
      <c r="G6029">
        <v>-89.750555000000006</v>
      </c>
      <c r="H6029">
        <v>1700</v>
      </c>
      <c r="I6029">
        <v>96</v>
      </c>
      <c r="J6029">
        <v>-128</v>
      </c>
      <c r="K6029">
        <v>-128</v>
      </c>
      <c r="L6029">
        <v>1200</v>
      </c>
      <c r="M6029" t="str">
        <f t="shared" si="652"/>
        <v xml:space="preserve">N35DC   </v>
      </c>
      <c r="N6029">
        <v>1</v>
      </c>
      <c r="O6029">
        <v>1725</v>
      </c>
    </row>
    <row r="6030" spans="1:15" x14ac:dyDescent="0.25">
      <c r="A6030" t="str">
        <f t="shared" si="653"/>
        <v>10/21/2020 18:56:43.886</v>
      </c>
      <c r="B6030" t="str">
        <f t="shared" si="654"/>
        <v>18:56:51.836</v>
      </c>
      <c r="C6030" t="str">
        <f t="shared" si="655"/>
        <v>18:56:51.536</v>
      </c>
      <c r="D6030" t="s">
        <v>2516</v>
      </c>
      <c r="E6030">
        <v>30.665824000000001</v>
      </c>
      <c r="F6030" t="s">
        <v>2517</v>
      </c>
      <c r="G6030">
        <v>-89.750555000000006</v>
      </c>
      <c r="H6030">
        <v>1700</v>
      </c>
      <c r="I6030">
        <v>96</v>
      </c>
      <c r="J6030">
        <v>-128</v>
      </c>
      <c r="K6030">
        <v>-128</v>
      </c>
      <c r="L6030">
        <v>1200</v>
      </c>
      <c r="M6030" t="str">
        <f t="shared" si="652"/>
        <v xml:space="preserve">N35DC   </v>
      </c>
      <c r="N6030">
        <v>1</v>
      </c>
      <c r="O6030">
        <v>1725</v>
      </c>
    </row>
    <row r="6031" spans="1:15" x14ac:dyDescent="0.25">
      <c r="A6031" t="str">
        <f t="shared" si="653"/>
        <v>10/21/2020 18:56:43.886</v>
      </c>
      <c r="B6031" t="str">
        <f t="shared" si="654"/>
        <v>18:56:51.836</v>
      </c>
      <c r="C6031" t="str">
        <f t="shared" si="655"/>
        <v>18:56:51.536</v>
      </c>
      <c r="D6031" t="s">
        <v>2516</v>
      </c>
      <c r="E6031">
        <v>30.665824000000001</v>
      </c>
      <c r="F6031" t="s">
        <v>2517</v>
      </c>
      <c r="G6031">
        <v>-89.750555000000006</v>
      </c>
      <c r="H6031">
        <v>1700</v>
      </c>
      <c r="I6031">
        <v>96</v>
      </c>
      <c r="J6031">
        <v>-128</v>
      </c>
      <c r="K6031">
        <v>-128</v>
      </c>
      <c r="L6031">
        <v>1200</v>
      </c>
      <c r="M6031" t="str">
        <f t="shared" si="652"/>
        <v xml:space="preserve">N35DC   </v>
      </c>
      <c r="N6031">
        <v>1</v>
      </c>
      <c r="O6031">
        <v>1725</v>
      </c>
    </row>
    <row r="6032" spans="1:15" x14ac:dyDescent="0.25">
      <c r="A6032" t="str">
        <f>"10/21/2020 18:56:46.500"</f>
        <v>10/21/2020 18:56:46.500</v>
      </c>
      <c r="B6032" t="str">
        <f>"18:56:54.430"</f>
        <v>18:56:54.430</v>
      </c>
      <c r="C6032" t="str">
        <f>"18:56:54.230"</f>
        <v>18:56:54.230</v>
      </c>
      <c r="D6032" t="s">
        <v>2518</v>
      </c>
      <c r="E6032">
        <v>30.664258</v>
      </c>
      <c r="F6032" t="s">
        <v>2519</v>
      </c>
      <c r="G6032">
        <v>-89.749309999999994</v>
      </c>
      <c r="H6032">
        <v>1700</v>
      </c>
      <c r="I6032">
        <v>92</v>
      </c>
      <c r="J6032">
        <v>-131</v>
      </c>
      <c r="K6032">
        <v>128</v>
      </c>
      <c r="L6032">
        <v>1200</v>
      </c>
      <c r="M6032" t="str">
        <f t="shared" si="652"/>
        <v xml:space="preserve">N35DC   </v>
      </c>
      <c r="N6032">
        <v>1</v>
      </c>
      <c r="O6032">
        <v>1725</v>
      </c>
    </row>
    <row r="6033" spans="1:15" x14ac:dyDescent="0.25">
      <c r="A6033" t="str">
        <f>"10/21/2020 18:56:46.934"</f>
        <v>10/21/2020 18:56:46.934</v>
      </c>
      <c r="B6033" t="str">
        <f>"18:56:54.883"</f>
        <v>18:56:54.883</v>
      </c>
      <c r="C6033" t="str">
        <f>"18:56:54.583"</f>
        <v>18:56:54.583</v>
      </c>
      <c r="D6033" t="s">
        <v>2520</v>
      </c>
      <c r="E6033">
        <v>30.663979000000001</v>
      </c>
      <c r="F6033" t="s">
        <v>2521</v>
      </c>
      <c r="G6033">
        <v>-89.749094999999997</v>
      </c>
      <c r="H6033">
        <v>1700</v>
      </c>
      <c r="I6033">
        <v>91</v>
      </c>
      <c r="J6033">
        <v>-132</v>
      </c>
      <c r="K6033">
        <v>128</v>
      </c>
      <c r="L6033">
        <v>1200</v>
      </c>
      <c r="M6033" t="str">
        <f t="shared" si="652"/>
        <v xml:space="preserve">N35DC   </v>
      </c>
      <c r="N6033">
        <v>1</v>
      </c>
      <c r="O6033">
        <v>1725</v>
      </c>
    </row>
    <row r="6034" spans="1:15" x14ac:dyDescent="0.25">
      <c r="A6034" t="str">
        <f>"10/21/2020 18:56:46.934"</f>
        <v>10/21/2020 18:56:46.934</v>
      </c>
      <c r="B6034" t="str">
        <f>"18:56:54.883"</f>
        <v>18:56:54.883</v>
      </c>
      <c r="C6034" t="str">
        <f>"18:56:54.583"</f>
        <v>18:56:54.583</v>
      </c>
      <c r="D6034" t="s">
        <v>2520</v>
      </c>
      <c r="E6034">
        <v>30.663979000000001</v>
      </c>
      <c r="F6034" t="s">
        <v>2521</v>
      </c>
      <c r="G6034">
        <v>-89.749094999999997</v>
      </c>
      <c r="H6034">
        <v>1700</v>
      </c>
      <c r="I6034">
        <v>91</v>
      </c>
      <c r="J6034">
        <v>-132</v>
      </c>
      <c r="K6034">
        <v>128</v>
      </c>
      <c r="L6034">
        <v>1200</v>
      </c>
      <c r="M6034" t="str">
        <f t="shared" si="652"/>
        <v xml:space="preserve">N35DC   </v>
      </c>
      <c r="N6034">
        <v>1</v>
      </c>
      <c r="O6034">
        <v>1725</v>
      </c>
    </row>
    <row r="6035" spans="1:15" x14ac:dyDescent="0.25">
      <c r="A6035" t="str">
        <f>"10/21/2020 18:56:46.934"</f>
        <v>10/21/2020 18:56:46.934</v>
      </c>
      <c r="B6035" t="str">
        <f>"18:56:54.883"</f>
        <v>18:56:54.883</v>
      </c>
      <c r="C6035" t="str">
        <f>"18:56:54.583"</f>
        <v>18:56:54.583</v>
      </c>
      <c r="D6035" t="s">
        <v>2520</v>
      </c>
      <c r="E6035">
        <v>30.663979000000001</v>
      </c>
      <c r="F6035" t="s">
        <v>2521</v>
      </c>
      <c r="G6035">
        <v>-89.749094999999997</v>
      </c>
      <c r="H6035">
        <v>1700</v>
      </c>
      <c r="I6035">
        <v>91</v>
      </c>
      <c r="J6035">
        <v>-132</v>
      </c>
      <c r="K6035">
        <v>128</v>
      </c>
      <c r="L6035">
        <v>1200</v>
      </c>
      <c r="M6035" t="str">
        <f t="shared" si="652"/>
        <v xml:space="preserve">N35DC   </v>
      </c>
      <c r="N6035">
        <v>1</v>
      </c>
      <c r="O6035">
        <v>1725</v>
      </c>
    </row>
    <row r="6036" spans="1:15" x14ac:dyDescent="0.25">
      <c r="A6036" t="str">
        <f>"10/21/2020 18:56:46.934"</f>
        <v>10/21/2020 18:56:46.934</v>
      </c>
      <c r="B6036" t="str">
        <f>"18:56:54.883"</f>
        <v>18:56:54.883</v>
      </c>
      <c r="C6036" t="str">
        <f>"18:56:54.583"</f>
        <v>18:56:54.583</v>
      </c>
      <c r="D6036" t="s">
        <v>2520</v>
      </c>
      <c r="E6036">
        <v>30.663979000000001</v>
      </c>
      <c r="F6036" t="s">
        <v>2521</v>
      </c>
      <c r="G6036">
        <v>-89.749094999999997</v>
      </c>
      <c r="H6036">
        <v>1700</v>
      </c>
      <c r="I6036">
        <v>91</v>
      </c>
      <c r="J6036">
        <v>-132</v>
      </c>
      <c r="K6036">
        <v>128</v>
      </c>
      <c r="L6036">
        <v>1200</v>
      </c>
      <c r="M6036" t="str">
        <f t="shared" si="652"/>
        <v xml:space="preserve">N35DC   </v>
      </c>
      <c r="N6036">
        <v>1</v>
      </c>
      <c r="O6036">
        <v>1725</v>
      </c>
    </row>
    <row r="6037" spans="1:15" x14ac:dyDescent="0.25">
      <c r="A6037" t="str">
        <f>"10/21/2020 18:56:46.934"</f>
        <v>10/21/2020 18:56:46.934</v>
      </c>
      <c r="B6037" t="str">
        <f>"18:56:54.883"</f>
        <v>18:56:54.883</v>
      </c>
      <c r="C6037" t="str">
        <f>"18:56:54.583"</f>
        <v>18:56:54.583</v>
      </c>
      <c r="D6037" t="s">
        <v>2520</v>
      </c>
      <c r="E6037">
        <v>30.663979000000001</v>
      </c>
      <c r="F6037" t="s">
        <v>2521</v>
      </c>
      <c r="G6037">
        <v>-89.749094999999997</v>
      </c>
      <c r="H6037">
        <v>1700</v>
      </c>
      <c r="I6037">
        <v>91</v>
      </c>
      <c r="J6037">
        <v>-132</v>
      </c>
      <c r="K6037">
        <v>128</v>
      </c>
      <c r="L6037">
        <v>1200</v>
      </c>
      <c r="M6037" t="str">
        <f t="shared" si="652"/>
        <v xml:space="preserve">N35DC   </v>
      </c>
      <c r="N6037">
        <v>1</v>
      </c>
      <c r="O6037">
        <v>1725</v>
      </c>
    </row>
    <row r="6038" spans="1:15" x14ac:dyDescent="0.25">
      <c r="A6038" t="str">
        <f t="shared" ref="A6038:A6043" si="656">"10/21/2020 18:56:47.879"</f>
        <v>10/21/2020 18:56:47.879</v>
      </c>
      <c r="B6038" t="str">
        <f t="shared" ref="B6038:B6043" si="657">"18:56:55.844"</f>
        <v>18:56:55.844</v>
      </c>
      <c r="C6038" t="str">
        <f t="shared" ref="C6038:C6043" si="658">"18:56:55.644"</f>
        <v>18:56:55.644</v>
      </c>
      <c r="D6038" t="s">
        <v>2522</v>
      </c>
      <c r="E6038">
        <v>30.663399999999999</v>
      </c>
      <c r="F6038" t="s">
        <v>2523</v>
      </c>
      <c r="G6038">
        <v>-89.748580000000004</v>
      </c>
      <c r="H6038">
        <v>1700</v>
      </c>
      <c r="I6038">
        <v>90</v>
      </c>
      <c r="J6038">
        <v>-132</v>
      </c>
      <c r="K6038">
        <v>192</v>
      </c>
      <c r="L6038">
        <v>1200</v>
      </c>
      <c r="M6038" t="str">
        <f t="shared" si="652"/>
        <v xml:space="preserve">N35DC   </v>
      </c>
      <c r="N6038">
        <v>1</v>
      </c>
      <c r="O6038">
        <v>1725</v>
      </c>
    </row>
    <row r="6039" spans="1:15" x14ac:dyDescent="0.25">
      <c r="A6039" t="str">
        <f t="shared" si="656"/>
        <v>10/21/2020 18:56:47.879</v>
      </c>
      <c r="B6039" t="str">
        <f t="shared" si="657"/>
        <v>18:56:55.844</v>
      </c>
      <c r="C6039" t="str">
        <f t="shared" si="658"/>
        <v>18:56:55.644</v>
      </c>
      <c r="D6039" t="s">
        <v>2522</v>
      </c>
      <c r="E6039">
        <v>30.663399999999999</v>
      </c>
      <c r="F6039" t="s">
        <v>2523</v>
      </c>
      <c r="G6039">
        <v>-89.748580000000004</v>
      </c>
      <c r="H6039">
        <v>1700</v>
      </c>
      <c r="I6039">
        <v>90</v>
      </c>
      <c r="J6039">
        <v>-132</v>
      </c>
      <c r="K6039">
        <v>192</v>
      </c>
      <c r="L6039">
        <v>1200</v>
      </c>
      <c r="M6039" t="str">
        <f t="shared" si="652"/>
        <v xml:space="preserve">N35DC   </v>
      </c>
      <c r="N6039">
        <v>1</v>
      </c>
      <c r="O6039">
        <v>1725</v>
      </c>
    </row>
    <row r="6040" spans="1:15" x14ac:dyDescent="0.25">
      <c r="A6040" t="str">
        <f t="shared" si="656"/>
        <v>10/21/2020 18:56:47.879</v>
      </c>
      <c r="B6040" t="str">
        <f t="shared" si="657"/>
        <v>18:56:55.844</v>
      </c>
      <c r="C6040" t="str">
        <f t="shared" si="658"/>
        <v>18:56:55.644</v>
      </c>
      <c r="D6040" t="s">
        <v>2522</v>
      </c>
      <c r="E6040">
        <v>30.663399999999999</v>
      </c>
      <c r="F6040" t="s">
        <v>2523</v>
      </c>
      <c r="G6040">
        <v>-89.748580000000004</v>
      </c>
      <c r="H6040">
        <v>1700</v>
      </c>
      <c r="I6040">
        <v>90</v>
      </c>
      <c r="J6040">
        <v>-132</v>
      </c>
      <c r="K6040">
        <v>192</v>
      </c>
      <c r="L6040">
        <v>1200</v>
      </c>
      <c r="M6040" t="str">
        <f t="shared" si="652"/>
        <v xml:space="preserve">N35DC   </v>
      </c>
      <c r="N6040">
        <v>1</v>
      </c>
      <c r="O6040">
        <v>1725</v>
      </c>
    </row>
    <row r="6041" spans="1:15" x14ac:dyDescent="0.25">
      <c r="A6041" t="str">
        <f t="shared" si="656"/>
        <v>10/21/2020 18:56:47.879</v>
      </c>
      <c r="B6041" t="str">
        <f t="shared" si="657"/>
        <v>18:56:55.844</v>
      </c>
      <c r="C6041" t="str">
        <f t="shared" si="658"/>
        <v>18:56:55.644</v>
      </c>
      <c r="D6041" t="s">
        <v>2522</v>
      </c>
      <c r="E6041">
        <v>30.663399999999999</v>
      </c>
      <c r="F6041" t="s">
        <v>2523</v>
      </c>
      <c r="G6041">
        <v>-89.748580000000004</v>
      </c>
      <c r="H6041">
        <v>1700</v>
      </c>
      <c r="I6041">
        <v>90</v>
      </c>
      <c r="J6041">
        <v>-132</v>
      </c>
      <c r="K6041">
        <v>192</v>
      </c>
      <c r="L6041">
        <v>1200</v>
      </c>
      <c r="M6041" t="str">
        <f t="shared" si="652"/>
        <v xml:space="preserve">N35DC   </v>
      </c>
      <c r="N6041">
        <v>1</v>
      </c>
      <c r="O6041">
        <v>1725</v>
      </c>
    </row>
    <row r="6042" spans="1:15" x14ac:dyDescent="0.25">
      <c r="A6042" t="str">
        <f t="shared" si="656"/>
        <v>10/21/2020 18:56:47.879</v>
      </c>
      <c r="B6042" t="str">
        <f t="shared" si="657"/>
        <v>18:56:55.844</v>
      </c>
      <c r="C6042" t="str">
        <f t="shared" si="658"/>
        <v>18:56:55.644</v>
      </c>
      <c r="D6042" t="s">
        <v>2522</v>
      </c>
      <c r="E6042">
        <v>30.663399999999999</v>
      </c>
      <c r="F6042" t="s">
        <v>2523</v>
      </c>
      <c r="G6042">
        <v>-89.748580000000004</v>
      </c>
      <c r="H6042">
        <v>1700</v>
      </c>
      <c r="I6042">
        <v>90</v>
      </c>
      <c r="J6042">
        <v>-132</v>
      </c>
      <c r="K6042">
        <v>192</v>
      </c>
      <c r="L6042">
        <v>1200</v>
      </c>
      <c r="M6042" t="str">
        <f t="shared" si="652"/>
        <v xml:space="preserve">N35DC   </v>
      </c>
      <c r="N6042">
        <v>1</v>
      </c>
      <c r="O6042">
        <v>1725</v>
      </c>
    </row>
    <row r="6043" spans="1:15" x14ac:dyDescent="0.25">
      <c r="A6043" t="str">
        <f t="shared" si="656"/>
        <v>10/21/2020 18:56:47.879</v>
      </c>
      <c r="B6043" t="str">
        <f t="shared" si="657"/>
        <v>18:56:55.844</v>
      </c>
      <c r="C6043" t="str">
        <f t="shared" si="658"/>
        <v>18:56:55.644</v>
      </c>
      <c r="D6043" t="s">
        <v>2522</v>
      </c>
      <c r="E6043">
        <v>30.663399999999999</v>
      </c>
      <c r="F6043" t="s">
        <v>2523</v>
      </c>
      <c r="G6043">
        <v>-89.748580000000004</v>
      </c>
      <c r="H6043">
        <v>1700</v>
      </c>
      <c r="I6043">
        <v>90</v>
      </c>
      <c r="J6043">
        <v>-132</v>
      </c>
      <c r="K6043">
        <v>192</v>
      </c>
      <c r="L6043">
        <v>1200</v>
      </c>
      <c r="M6043" t="str">
        <f t="shared" si="652"/>
        <v xml:space="preserve">N35DC   </v>
      </c>
      <c r="N6043">
        <v>1</v>
      </c>
      <c r="O6043">
        <v>1725</v>
      </c>
    </row>
    <row r="6044" spans="1:15" x14ac:dyDescent="0.25">
      <c r="A6044" t="str">
        <f>"10/21/2020 18:56:50.993"</f>
        <v>10/21/2020 18:56:50.993</v>
      </c>
      <c r="B6044" t="str">
        <f>"18:56:58.945"</f>
        <v>18:56:58.945</v>
      </c>
      <c r="C6044" t="str">
        <f>"18:56:58.445"</f>
        <v>18:56:58.445</v>
      </c>
      <c r="D6044" t="s">
        <v>2524</v>
      </c>
      <c r="E6044">
        <v>30.661469</v>
      </c>
      <c r="F6044" t="s">
        <v>2525</v>
      </c>
      <c r="G6044">
        <v>-89.747142999999994</v>
      </c>
      <c r="H6044">
        <v>1700</v>
      </c>
      <c r="I6044">
        <v>89</v>
      </c>
      <c r="J6044">
        <v>-131</v>
      </c>
      <c r="K6044">
        <v>128</v>
      </c>
      <c r="L6044">
        <v>1200</v>
      </c>
      <c r="M6044" t="str">
        <f t="shared" si="652"/>
        <v xml:space="preserve">N35DC   </v>
      </c>
      <c r="N6044">
        <v>1</v>
      </c>
      <c r="O6044">
        <v>1750</v>
      </c>
    </row>
    <row r="6045" spans="1:15" x14ac:dyDescent="0.25">
      <c r="A6045" t="str">
        <f>"10/21/2020 18:56:50.993"</f>
        <v>10/21/2020 18:56:50.993</v>
      </c>
      <c r="B6045" t="str">
        <f>"18:56:58.945"</f>
        <v>18:56:58.945</v>
      </c>
      <c r="C6045" t="str">
        <f>"18:56:58.445"</f>
        <v>18:56:58.445</v>
      </c>
      <c r="D6045" t="s">
        <v>2524</v>
      </c>
      <c r="E6045">
        <v>30.661469</v>
      </c>
      <c r="F6045" t="s">
        <v>2525</v>
      </c>
      <c r="G6045">
        <v>-89.747142999999994</v>
      </c>
      <c r="H6045">
        <v>1700</v>
      </c>
      <c r="I6045">
        <v>89</v>
      </c>
      <c r="J6045">
        <v>-131</v>
      </c>
      <c r="K6045">
        <v>128</v>
      </c>
      <c r="L6045">
        <v>1200</v>
      </c>
      <c r="M6045" t="str">
        <f t="shared" si="652"/>
        <v xml:space="preserve">N35DC   </v>
      </c>
      <c r="N6045">
        <v>1</v>
      </c>
      <c r="O6045">
        <v>1750</v>
      </c>
    </row>
    <row r="6046" spans="1:15" x14ac:dyDescent="0.25">
      <c r="A6046" t="str">
        <f>"10/21/2020 18:56:50.993"</f>
        <v>10/21/2020 18:56:50.993</v>
      </c>
      <c r="B6046" t="str">
        <f>"18:56:58.945"</f>
        <v>18:56:58.945</v>
      </c>
      <c r="C6046" t="str">
        <f>"18:56:58.445"</f>
        <v>18:56:58.445</v>
      </c>
      <c r="D6046" t="s">
        <v>2524</v>
      </c>
      <c r="E6046">
        <v>30.661469</v>
      </c>
      <c r="F6046" t="s">
        <v>2525</v>
      </c>
      <c r="G6046">
        <v>-89.747142999999994</v>
      </c>
      <c r="H6046">
        <v>1700</v>
      </c>
      <c r="I6046">
        <v>89</v>
      </c>
      <c r="J6046">
        <v>-131</v>
      </c>
      <c r="K6046">
        <v>128</v>
      </c>
      <c r="L6046">
        <v>1200</v>
      </c>
      <c r="M6046" t="str">
        <f t="shared" si="652"/>
        <v xml:space="preserve">N35DC   </v>
      </c>
      <c r="N6046">
        <v>1</v>
      </c>
      <c r="O6046">
        <v>1750</v>
      </c>
    </row>
    <row r="6047" spans="1:15" x14ac:dyDescent="0.25">
      <c r="A6047" t="str">
        <f>"10/21/2020 18:56:50.993"</f>
        <v>10/21/2020 18:56:50.993</v>
      </c>
      <c r="B6047" t="str">
        <f>"18:56:58.945"</f>
        <v>18:56:58.945</v>
      </c>
      <c r="C6047" t="str">
        <f>"18:56:58.445"</f>
        <v>18:56:58.445</v>
      </c>
      <c r="D6047" t="s">
        <v>2524</v>
      </c>
      <c r="E6047">
        <v>30.661469</v>
      </c>
      <c r="F6047" t="s">
        <v>2525</v>
      </c>
      <c r="G6047">
        <v>-89.747142999999994</v>
      </c>
      <c r="H6047">
        <v>1700</v>
      </c>
      <c r="I6047">
        <v>89</v>
      </c>
      <c r="J6047">
        <v>-131</v>
      </c>
      <c r="K6047">
        <v>128</v>
      </c>
      <c r="L6047">
        <v>1200</v>
      </c>
      <c r="M6047" t="str">
        <f t="shared" si="652"/>
        <v xml:space="preserve">N35DC   </v>
      </c>
      <c r="N6047">
        <v>1</v>
      </c>
      <c r="O6047">
        <v>1750</v>
      </c>
    </row>
    <row r="6048" spans="1:15" x14ac:dyDescent="0.25">
      <c r="A6048" t="str">
        <f>"10/21/2020 18:56:50.993"</f>
        <v>10/21/2020 18:56:50.993</v>
      </c>
      <c r="B6048" t="str">
        <f>"18:56:58.945"</f>
        <v>18:56:58.945</v>
      </c>
      <c r="C6048" t="str">
        <f>"18:56:58.445"</f>
        <v>18:56:58.445</v>
      </c>
      <c r="D6048" t="s">
        <v>2524</v>
      </c>
      <c r="E6048">
        <v>30.661469</v>
      </c>
      <c r="F6048" t="s">
        <v>2525</v>
      </c>
      <c r="G6048">
        <v>-89.747142999999994</v>
      </c>
      <c r="H6048">
        <v>1700</v>
      </c>
      <c r="I6048">
        <v>89</v>
      </c>
      <c r="J6048">
        <v>-131</v>
      </c>
      <c r="K6048">
        <v>128</v>
      </c>
      <c r="L6048">
        <v>1200</v>
      </c>
      <c r="M6048" t="str">
        <f t="shared" si="652"/>
        <v xml:space="preserve">N35DC   </v>
      </c>
      <c r="N6048">
        <v>1</v>
      </c>
      <c r="O6048">
        <v>1750</v>
      </c>
    </row>
    <row r="6049" spans="1:15" x14ac:dyDescent="0.25">
      <c r="A6049" t="str">
        <f>"10/21/2020 18:56:51.578"</f>
        <v>10/21/2020 18:56:51.578</v>
      </c>
      <c r="B6049" t="str">
        <f>"18:56:59.469"</f>
        <v>18:56:59.469</v>
      </c>
      <c r="C6049" t="str">
        <f>"18:56:59.069"</f>
        <v>18:56:59.069</v>
      </c>
      <c r="D6049" t="s">
        <v>2526</v>
      </c>
      <c r="E6049">
        <v>30.661168</v>
      </c>
      <c r="F6049" t="s">
        <v>2527</v>
      </c>
      <c r="G6049">
        <v>-89.746885000000006</v>
      </c>
      <c r="H6049">
        <v>1700</v>
      </c>
      <c r="I6049">
        <v>89</v>
      </c>
      <c r="J6049">
        <v>-130</v>
      </c>
      <c r="K6049">
        <v>192</v>
      </c>
      <c r="L6049">
        <v>1200</v>
      </c>
      <c r="M6049" t="str">
        <f t="shared" si="652"/>
        <v xml:space="preserve">N35DC   </v>
      </c>
      <c r="N6049">
        <v>1</v>
      </c>
      <c r="O6049">
        <v>1750</v>
      </c>
    </row>
    <row r="6050" spans="1:15" x14ac:dyDescent="0.25">
      <c r="A6050" t="str">
        <f>"10/21/2020 18:56:53.845"</f>
        <v>10/21/2020 18:56:53.845</v>
      </c>
      <c r="B6050" t="str">
        <f>"18:57:01.813"</f>
        <v>18:57:01.813</v>
      </c>
      <c r="C6050" t="str">
        <f>"18:57:01.712"</f>
        <v>18:57:01.712</v>
      </c>
      <c r="D6050" t="s">
        <v>2528</v>
      </c>
      <c r="E6050">
        <v>30.659773000000001</v>
      </c>
      <c r="F6050" t="s">
        <v>2529</v>
      </c>
      <c r="G6050">
        <v>-89.745727000000002</v>
      </c>
      <c r="H6050">
        <v>1700</v>
      </c>
      <c r="I6050">
        <v>90</v>
      </c>
      <c r="J6050">
        <v>-129</v>
      </c>
      <c r="K6050">
        <v>-64</v>
      </c>
      <c r="L6050">
        <v>1200</v>
      </c>
      <c r="M6050" t="str">
        <f t="shared" si="652"/>
        <v xml:space="preserve">N35DC   </v>
      </c>
      <c r="N6050">
        <v>1</v>
      </c>
      <c r="O6050">
        <v>1750</v>
      </c>
    </row>
    <row r="6051" spans="1:15" x14ac:dyDescent="0.25">
      <c r="A6051" t="str">
        <f>"10/21/2020 18:56:53.845"</f>
        <v>10/21/2020 18:56:53.845</v>
      </c>
      <c r="B6051" t="str">
        <f>"18:57:01.813"</f>
        <v>18:57:01.813</v>
      </c>
      <c r="C6051" t="str">
        <f>"18:57:01.712"</f>
        <v>18:57:01.712</v>
      </c>
      <c r="D6051" t="s">
        <v>2528</v>
      </c>
      <c r="E6051">
        <v>30.659773000000001</v>
      </c>
      <c r="F6051" t="s">
        <v>2529</v>
      </c>
      <c r="G6051">
        <v>-89.745727000000002</v>
      </c>
      <c r="H6051">
        <v>1700</v>
      </c>
      <c r="I6051">
        <v>90</v>
      </c>
      <c r="J6051">
        <v>-129</v>
      </c>
      <c r="K6051">
        <v>-64</v>
      </c>
      <c r="L6051">
        <v>1200</v>
      </c>
      <c r="M6051" t="str">
        <f t="shared" si="652"/>
        <v xml:space="preserve">N35DC   </v>
      </c>
      <c r="N6051">
        <v>1</v>
      </c>
      <c r="O6051">
        <v>1750</v>
      </c>
    </row>
    <row r="6052" spans="1:15" x14ac:dyDescent="0.25">
      <c r="A6052" t="str">
        <f>"10/21/2020 18:56:53.845"</f>
        <v>10/21/2020 18:56:53.845</v>
      </c>
      <c r="B6052" t="str">
        <f>"18:57:01.813"</f>
        <v>18:57:01.813</v>
      </c>
      <c r="C6052" t="str">
        <f>"18:57:01.712"</f>
        <v>18:57:01.712</v>
      </c>
      <c r="D6052" t="s">
        <v>2528</v>
      </c>
      <c r="E6052">
        <v>30.659773000000001</v>
      </c>
      <c r="F6052" t="s">
        <v>2529</v>
      </c>
      <c r="G6052">
        <v>-89.745727000000002</v>
      </c>
      <c r="H6052">
        <v>1700</v>
      </c>
      <c r="I6052">
        <v>90</v>
      </c>
      <c r="J6052">
        <v>-129</v>
      </c>
      <c r="K6052">
        <v>-64</v>
      </c>
      <c r="L6052">
        <v>1200</v>
      </c>
      <c r="M6052" t="str">
        <f t="shared" si="652"/>
        <v xml:space="preserve">N35DC   </v>
      </c>
      <c r="N6052">
        <v>1</v>
      </c>
      <c r="O6052">
        <v>1750</v>
      </c>
    </row>
    <row r="6053" spans="1:15" x14ac:dyDescent="0.25">
      <c r="A6053" t="str">
        <f>"10/21/2020 18:56:53.845"</f>
        <v>10/21/2020 18:56:53.845</v>
      </c>
      <c r="B6053" t="str">
        <f>"18:57:01.813"</f>
        <v>18:57:01.813</v>
      </c>
      <c r="C6053" t="str">
        <f>"18:57:01.712"</f>
        <v>18:57:01.712</v>
      </c>
      <c r="D6053" t="s">
        <v>2528</v>
      </c>
      <c r="E6053">
        <v>30.659773000000001</v>
      </c>
      <c r="F6053" t="s">
        <v>2529</v>
      </c>
      <c r="G6053">
        <v>-89.745727000000002</v>
      </c>
      <c r="H6053">
        <v>1700</v>
      </c>
      <c r="I6053">
        <v>90</v>
      </c>
      <c r="J6053">
        <v>-129</v>
      </c>
      <c r="K6053">
        <v>-64</v>
      </c>
      <c r="L6053">
        <v>1200</v>
      </c>
      <c r="M6053" t="str">
        <f t="shared" si="652"/>
        <v xml:space="preserve">N35DC   </v>
      </c>
      <c r="N6053">
        <v>1</v>
      </c>
      <c r="O6053">
        <v>1750</v>
      </c>
    </row>
    <row r="6054" spans="1:15" x14ac:dyDescent="0.25">
      <c r="A6054" t="str">
        <f>"10/21/2020 18:56:53.845"</f>
        <v>10/21/2020 18:56:53.845</v>
      </c>
      <c r="B6054" t="str">
        <f>"18:57:01.813"</f>
        <v>18:57:01.813</v>
      </c>
      <c r="C6054" t="str">
        <f>"18:57:01.712"</f>
        <v>18:57:01.712</v>
      </c>
      <c r="D6054" t="s">
        <v>2528</v>
      </c>
      <c r="E6054">
        <v>30.659773000000001</v>
      </c>
      <c r="F6054" t="s">
        <v>2529</v>
      </c>
      <c r="G6054">
        <v>-89.745727000000002</v>
      </c>
      <c r="H6054">
        <v>1700</v>
      </c>
      <c r="I6054">
        <v>90</v>
      </c>
      <c r="J6054">
        <v>-129</v>
      </c>
      <c r="K6054">
        <v>-64</v>
      </c>
      <c r="L6054">
        <v>1200</v>
      </c>
      <c r="M6054" t="str">
        <f t="shared" si="652"/>
        <v xml:space="preserve">N35DC   </v>
      </c>
      <c r="N6054">
        <v>1</v>
      </c>
      <c r="O6054">
        <v>1750</v>
      </c>
    </row>
    <row r="6055" spans="1:15" x14ac:dyDescent="0.25">
      <c r="A6055" t="str">
        <f>"10/21/2020 18:56:54.355"</f>
        <v>10/21/2020 18:56:54.355</v>
      </c>
      <c r="B6055" t="str">
        <f>"18:57:02.258"</f>
        <v>18:57:02.258</v>
      </c>
      <c r="C6055" t="str">
        <f>"18:57:02.158"</f>
        <v>18:57:02.158</v>
      </c>
      <c r="D6055" t="s">
        <v>2530</v>
      </c>
      <c r="E6055">
        <v>30.659493999999999</v>
      </c>
      <c r="F6055" t="s">
        <v>2531</v>
      </c>
      <c r="G6055">
        <v>-89.745554999999996</v>
      </c>
      <c r="H6055">
        <v>1700</v>
      </c>
      <c r="I6055">
        <v>90</v>
      </c>
      <c r="J6055">
        <v>-129</v>
      </c>
      <c r="K6055">
        <v>-64</v>
      </c>
      <c r="L6055">
        <v>1200</v>
      </c>
      <c r="M6055" t="str">
        <f t="shared" si="652"/>
        <v xml:space="preserve">N35DC   </v>
      </c>
      <c r="N6055">
        <v>1</v>
      </c>
      <c r="O6055">
        <v>1750</v>
      </c>
    </row>
    <row r="6056" spans="1:15" x14ac:dyDescent="0.25">
      <c r="A6056" t="str">
        <f>"10/21/2020 18:56:54.855"</f>
        <v>10/21/2020 18:56:54.855</v>
      </c>
      <c r="B6056" t="str">
        <f>"18:57:02.781"</f>
        <v>18:57:02.781</v>
      </c>
      <c r="C6056" t="str">
        <f>"18:57:02.681"</f>
        <v>18:57:02.681</v>
      </c>
      <c r="D6056" t="s">
        <v>2532</v>
      </c>
      <c r="E6056">
        <v>30.659172999999999</v>
      </c>
      <c r="F6056" t="s">
        <v>2533</v>
      </c>
      <c r="G6056">
        <v>-89.745318999999995</v>
      </c>
      <c r="H6056">
        <v>1700</v>
      </c>
      <c r="I6056">
        <v>90</v>
      </c>
      <c r="J6056">
        <v>-128</v>
      </c>
      <c r="K6056">
        <v>-128</v>
      </c>
      <c r="L6056">
        <v>1200</v>
      </c>
      <c r="M6056" t="str">
        <f t="shared" si="652"/>
        <v xml:space="preserve">N35DC   </v>
      </c>
      <c r="N6056">
        <v>1</v>
      </c>
      <c r="O6056">
        <v>1750</v>
      </c>
    </row>
    <row r="6057" spans="1:15" x14ac:dyDescent="0.25">
      <c r="A6057" t="str">
        <f>"10/21/2020 18:56:54.855"</f>
        <v>10/21/2020 18:56:54.855</v>
      </c>
      <c r="B6057" t="str">
        <f>"18:57:02.781"</f>
        <v>18:57:02.781</v>
      </c>
      <c r="C6057" t="str">
        <f>"18:57:02.681"</f>
        <v>18:57:02.681</v>
      </c>
      <c r="D6057" t="s">
        <v>2532</v>
      </c>
      <c r="E6057">
        <v>30.659172999999999</v>
      </c>
      <c r="F6057" t="s">
        <v>2533</v>
      </c>
      <c r="G6057">
        <v>-89.745318999999995</v>
      </c>
      <c r="H6057">
        <v>1700</v>
      </c>
      <c r="I6057">
        <v>90</v>
      </c>
      <c r="J6057">
        <v>-128</v>
      </c>
      <c r="K6057">
        <v>-128</v>
      </c>
      <c r="L6057">
        <v>1200</v>
      </c>
      <c r="M6057" t="str">
        <f t="shared" si="652"/>
        <v xml:space="preserve">N35DC   </v>
      </c>
      <c r="N6057">
        <v>1</v>
      </c>
      <c r="O6057">
        <v>1750</v>
      </c>
    </row>
    <row r="6058" spans="1:15" x14ac:dyDescent="0.25">
      <c r="A6058" t="str">
        <f>"10/21/2020 18:56:54.855"</f>
        <v>10/21/2020 18:56:54.855</v>
      </c>
      <c r="B6058" t="str">
        <f>"18:57:02.781"</f>
        <v>18:57:02.781</v>
      </c>
      <c r="C6058" t="str">
        <f>"18:57:02.681"</f>
        <v>18:57:02.681</v>
      </c>
      <c r="D6058" t="s">
        <v>2532</v>
      </c>
      <c r="E6058">
        <v>30.659172999999999</v>
      </c>
      <c r="F6058" t="s">
        <v>2533</v>
      </c>
      <c r="G6058">
        <v>-89.745318999999995</v>
      </c>
      <c r="H6058">
        <v>1700</v>
      </c>
      <c r="I6058">
        <v>90</v>
      </c>
      <c r="J6058">
        <v>-128</v>
      </c>
      <c r="K6058">
        <v>-128</v>
      </c>
      <c r="L6058">
        <v>1200</v>
      </c>
      <c r="M6058" t="str">
        <f t="shared" si="652"/>
        <v xml:space="preserve">N35DC   </v>
      </c>
      <c r="N6058">
        <v>1</v>
      </c>
      <c r="O6058">
        <v>1750</v>
      </c>
    </row>
    <row r="6059" spans="1:15" x14ac:dyDescent="0.25">
      <c r="A6059" t="str">
        <f>"10/21/2020 18:56:54.855"</f>
        <v>10/21/2020 18:56:54.855</v>
      </c>
      <c r="B6059" t="str">
        <f>"18:57:02.781"</f>
        <v>18:57:02.781</v>
      </c>
      <c r="C6059" t="str">
        <f>"18:57:02.681"</f>
        <v>18:57:02.681</v>
      </c>
      <c r="D6059" t="s">
        <v>2532</v>
      </c>
      <c r="E6059">
        <v>30.659172999999999</v>
      </c>
      <c r="F6059" t="s">
        <v>2533</v>
      </c>
      <c r="G6059">
        <v>-89.745318999999995</v>
      </c>
      <c r="H6059">
        <v>1700</v>
      </c>
      <c r="I6059">
        <v>90</v>
      </c>
      <c r="J6059">
        <v>-128</v>
      </c>
      <c r="K6059">
        <v>-128</v>
      </c>
      <c r="L6059">
        <v>1200</v>
      </c>
      <c r="M6059" t="str">
        <f t="shared" si="652"/>
        <v xml:space="preserve">N35DC   </v>
      </c>
      <c r="N6059">
        <v>1</v>
      </c>
      <c r="O6059">
        <v>1750</v>
      </c>
    </row>
    <row r="6060" spans="1:15" x14ac:dyDescent="0.25">
      <c r="A6060" t="str">
        <f>"10/21/2020 18:56:54.855"</f>
        <v>10/21/2020 18:56:54.855</v>
      </c>
      <c r="B6060" t="str">
        <f>"18:57:02.781"</f>
        <v>18:57:02.781</v>
      </c>
      <c r="C6060" t="str">
        <f>"18:57:02.681"</f>
        <v>18:57:02.681</v>
      </c>
      <c r="D6060" t="s">
        <v>2532</v>
      </c>
      <c r="E6060">
        <v>30.659172999999999</v>
      </c>
      <c r="F6060" t="s">
        <v>2533</v>
      </c>
      <c r="G6060">
        <v>-89.745318999999995</v>
      </c>
      <c r="H6060">
        <v>1700</v>
      </c>
      <c r="I6060">
        <v>90</v>
      </c>
      <c r="J6060">
        <v>-128</v>
      </c>
      <c r="K6060">
        <v>-128</v>
      </c>
      <c r="L6060">
        <v>1200</v>
      </c>
      <c r="M6060" t="str">
        <f t="shared" si="652"/>
        <v xml:space="preserve">N35DC   </v>
      </c>
      <c r="N6060">
        <v>1</v>
      </c>
      <c r="O6060">
        <v>1750</v>
      </c>
    </row>
    <row r="6061" spans="1:15" x14ac:dyDescent="0.25">
      <c r="A6061" t="str">
        <f t="shared" ref="A6061:A6066" si="659">"10/21/2020 18:56:57.986"</f>
        <v>10/21/2020 18:56:57.986</v>
      </c>
      <c r="B6061" t="str">
        <f t="shared" ref="B6061:B6066" si="660">"18:57:05.953"</f>
        <v>18:57:05.953</v>
      </c>
      <c r="C6061" t="str">
        <f t="shared" ref="C6061:C6066" si="661">"18:57:05.653"</f>
        <v>18:57:05.653</v>
      </c>
      <c r="D6061" t="s">
        <v>2534</v>
      </c>
      <c r="E6061">
        <v>30.657349</v>
      </c>
      <c r="F6061" t="s">
        <v>2535</v>
      </c>
      <c r="G6061">
        <v>-89.743688000000006</v>
      </c>
      <c r="H6061">
        <v>1700</v>
      </c>
      <c r="I6061">
        <v>93</v>
      </c>
      <c r="J6061">
        <v>-127</v>
      </c>
      <c r="K6061">
        <v>-64</v>
      </c>
      <c r="L6061">
        <v>1200</v>
      </c>
      <c r="M6061" t="str">
        <f t="shared" si="652"/>
        <v xml:space="preserve">N35DC   </v>
      </c>
      <c r="N6061">
        <v>1</v>
      </c>
      <c r="O6061">
        <v>1750</v>
      </c>
    </row>
    <row r="6062" spans="1:15" x14ac:dyDescent="0.25">
      <c r="A6062" t="str">
        <f t="shared" si="659"/>
        <v>10/21/2020 18:56:57.986</v>
      </c>
      <c r="B6062" t="str">
        <f t="shared" si="660"/>
        <v>18:57:05.953</v>
      </c>
      <c r="C6062" t="str">
        <f t="shared" si="661"/>
        <v>18:57:05.653</v>
      </c>
      <c r="D6062" t="s">
        <v>2534</v>
      </c>
      <c r="E6062">
        <v>30.657349</v>
      </c>
      <c r="F6062" t="s">
        <v>2535</v>
      </c>
      <c r="G6062">
        <v>-89.743688000000006</v>
      </c>
      <c r="H6062">
        <v>1700</v>
      </c>
      <c r="I6062">
        <v>93</v>
      </c>
      <c r="J6062">
        <v>-127</v>
      </c>
      <c r="K6062">
        <v>-64</v>
      </c>
      <c r="L6062">
        <v>1200</v>
      </c>
      <c r="M6062" t="str">
        <f t="shared" si="652"/>
        <v xml:space="preserve">N35DC   </v>
      </c>
      <c r="N6062">
        <v>1</v>
      </c>
      <c r="O6062">
        <v>1750</v>
      </c>
    </row>
    <row r="6063" spans="1:15" x14ac:dyDescent="0.25">
      <c r="A6063" t="str">
        <f t="shared" si="659"/>
        <v>10/21/2020 18:56:57.986</v>
      </c>
      <c r="B6063" t="str">
        <f t="shared" si="660"/>
        <v>18:57:05.953</v>
      </c>
      <c r="C6063" t="str">
        <f t="shared" si="661"/>
        <v>18:57:05.653</v>
      </c>
      <c r="D6063" t="s">
        <v>2534</v>
      </c>
      <c r="E6063">
        <v>30.657349</v>
      </c>
      <c r="F6063" t="s">
        <v>2535</v>
      </c>
      <c r="G6063">
        <v>-89.743688000000006</v>
      </c>
      <c r="H6063">
        <v>1700</v>
      </c>
      <c r="I6063">
        <v>93</v>
      </c>
      <c r="J6063">
        <v>-127</v>
      </c>
      <c r="K6063">
        <v>-64</v>
      </c>
      <c r="L6063">
        <v>1200</v>
      </c>
      <c r="M6063" t="str">
        <f t="shared" si="652"/>
        <v xml:space="preserve">N35DC   </v>
      </c>
      <c r="N6063">
        <v>1</v>
      </c>
      <c r="O6063">
        <v>1750</v>
      </c>
    </row>
    <row r="6064" spans="1:15" x14ac:dyDescent="0.25">
      <c r="A6064" t="str">
        <f t="shared" si="659"/>
        <v>10/21/2020 18:56:57.986</v>
      </c>
      <c r="B6064" t="str">
        <f t="shared" si="660"/>
        <v>18:57:05.953</v>
      </c>
      <c r="C6064" t="str">
        <f t="shared" si="661"/>
        <v>18:57:05.653</v>
      </c>
      <c r="D6064" t="s">
        <v>2534</v>
      </c>
      <c r="E6064">
        <v>30.657349</v>
      </c>
      <c r="F6064" t="s">
        <v>2535</v>
      </c>
      <c r="G6064">
        <v>-89.743688000000006</v>
      </c>
      <c r="H6064">
        <v>1700</v>
      </c>
      <c r="I6064">
        <v>93</v>
      </c>
      <c r="J6064">
        <v>-127</v>
      </c>
      <c r="K6064">
        <v>-64</v>
      </c>
      <c r="L6064">
        <v>1200</v>
      </c>
      <c r="M6064" t="str">
        <f t="shared" si="652"/>
        <v xml:space="preserve">N35DC   </v>
      </c>
      <c r="N6064">
        <v>1</v>
      </c>
      <c r="O6064">
        <v>1750</v>
      </c>
    </row>
    <row r="6065" spans="1:15" x14ac:dyDescent="0.25">
      <c r="A6065" t="str">
        <f t="shared" si="659"/>
        <v>10/21/2020 18:56:57.986</v>
      </c>
      <c r="B6065" t="str">
        <f t="shared" si="660"/>
        <v>18:57:05.953</v>
      </c>
      <c r="C6065" t="str">
        <f t="shared" si="661"/>
        <v>18:57:05.653</v>
      </c>
      <c r="D6065" t="s">
        <v>2534</v>
      </c>
      <c r="E6065">
        <v>30.657349</v>
      </c>
      <c r="F6065" t="s">
        <v>2535</v>
      </c>
      <c r="G6065">
        <v>-89.743688000000006</v>
      </c>
      <c r="H6065">
        <v>1700</v>
      </c>
      <c r="I6065">
        <v>93</v>
      </c>
      <c r="J6065">
        <v>-127</v>
      </c>
      <c r="K6065">
        <v>-64</v>
      </c>
      <c r="L6065">
        <v>1200</v>
      </c>
      <c r="M6065" t="str">
        <f t="shared" si="652"/>
        <v xml:space="preserve">N35DC   </v>
      </c>
      <c r="N6065">
        <v>1</v>
      </c>
      <c r="O6065">
        <v>1750</v>
      </c>
    </row>
    <row r="6066" spans="1:15" x14ac:dyDescent="0.25">
      <c r="A6066" t="str">
        <f t="shared" si="659"/>
        <v>10/21/2020 18:56:57.986</v>
      </c>
      <c r="B6066" t="str">
        <f t="shared" si="660"/>
        <v>18:57:05.953</v>
      </c>
      <c r="C6066" t="str">
        <f t="shared" si="661"/>
        <v>18:57:05.653</v>
      </c>
      <c r="D6066" t="s">
        <v>2534</v>
      </c>
      <c r="E6066">
        <v>30.657349</v>
      </c>
      <c r="F6066" t="s">
        <v>2535</v>
      </c>
      <c r="G6066">
        <v>-89.743688000000006</v>
      </c>
      <c r="H6066">
        <v>1700</v>
      </c>
      <c r="I6066">
        <v>93</v>
      </c>
      <c r="J6066">
        <v>-127</v>
      </c>
      <c r="K6066">
        <v>-64</v>
      </c>
      <c r="L6066">
        <v>1200</v>
      </c>
      <c r="M6066" t="str">
        <f t="shared" si="652"/>
        <v xml:space="preserve">N35DC   </v>
      </c>
      <c r="N6066">
        <v>1</v>
      </c>
      <c r="O6066">
        <v>1750</v>
      </c>
    </row>
    <row r="6067" spans="1:15" x14ac:dyDescent="0.25">
      <c r="A6067" t="str">
        <f>"10/21/2020 18:57:00.486"</f>
        <v>10/21/2020 18:57:00.486</v>
      </c>
      <c r="B6067" t="str">
        <f>"18:57:08.406"</f>
        <v>18:57:08.406</v>
      </c>
      <c r="C6067" t="str">
        <f>"18:57:08.006"</f>
        <v>18:57:08.006</v>
      </c>
      <c r="D6067" t="s">
        <v>2536</v>
      </c>
      <c r="E6067">
        <v>30.655932</v>
      </c>
      <c r="F6067" t="s">
        <v>2537</v>
      </c>
      <c r="G6067">
        <v>-89.742464999999996</v>
      </c>
      <c r="H6067">
        <v>1700</v>
      </c>
      <c r="I6067">
        <v>95</v>
      </c>
      <c r="J6067">
        <v>-125</v>
      </c>
      <c r="K6067">
        <v>128</v>
      </c>
      <c r="L6067">
        <v>1200</v>
      </c>
      <c r="M6067" t="str">
        <f t="shared" si="652"/>
        <v xml:space="preserve">N35DC   </v>
      </c>
      <c r="N6067">
        <v>1</v>
      </c>
      <c r="O6067">
        <v>1750</v>
      </c>
    </row>
    <row r="6068" spans="1:15" x14ac:dyDescent="0.25">
      <c r="A6068" t="str">
        <f>"10/21/2020 18:57:00.865"</f>
        <v>10/21/2020 18:57:00.865</v>
      </c>
      <c r="B6068" t="str">
        <f>"18:57:08.813"</f>
        <v>18:57:08.813</v>
      </c>
      <c r="C6068" t="str">
        <f>"18:57:08.512"</f>
        <v>18:57:08.512</v>
      </c>
      <c r="D6068" t="s">
        <v>2538</v>
      </c>
      <c r="E6068">
        <v>30.655653000000001</v>
      </c>
      <c r="F6068" t="s">
        <v>2539</v>
      </c>
      <c r="G6068">
        <v>-89.742249999999999</v>
      </c>
      <c r="H6068">
        <v>1700</v>
      </c>
      <c r="I6068">
        <v>96</v>
      </c>
      <c r="J6068">
        <v>-124</v>
      </c>
      <c r="K6068">
        <v>128</v>
      </c>
      <c r="L6068">
        <v>1200</v>
      </c>
      <c r="M6068" t="str">
        <f t="shared" si="652"/>
        <v xml:space="preserve">N35DC   </v>
      </c>
      <c r="N6068">
        <v>1</v>
      </c>
      <c r="O6068">
        <v>1750</v>
      </c>
    </row>
    <row r="6069" spans="1:15" x14ac:dyDescent="0.25">
      <c r="A6069" t="str">
        <f>"10/21/2020 18:57:00.865"</f>
        <v>10/21/2020 18:57:00.865</v>
      </c>
      <c r="B6069" t="str">
        <f>"18:57:08.813"</f>
        <v>18:57:08.813</v>
      </c>
      <c r="C6069" t="str">
        <f>"18:57:08.512"</f>
        <v>18:57:08.512</v>
      </c>
      <c r="D6069" t="s">
        <v>2538</v>
      </c>
      <c r="E6069">
        <v>30.655653000000001</v>
      </c>
      <c r="F6069" t="s">
        <v>2539</v>
      </c>
      <c r="G6069">
        <v>-89.742249999999999</v>
      </c>
      <c r="H6069">
        <v>1700</v>
      </c>
      <c r="I6069">
        <v>96</v>
      </c>
      <c r="J6069">
        <v>-124</v>
      </c>
      <c r="K6069">
        <v>128</v>
      </c>
      <c r="L6069">
        <v>1200</v>
      </c>
      <c r="M6069" t="str">
        <f t="shared" si="652"/>
        <v xml:space="preserve">N35DC   </v>
      </c>
      <c r="N6069">
        <v>1</v>
      </c>
      <c r="O6069">
        <v>1750</v>
      </c>
    </row>
    <row r="6070" spans="1:15" x14ac:dyDescent="0.25">
      <c r="A6070" t="str">
        <f>"10/21/2020 18:57:00.865"</f>
        <v>10/21/2020 18:57:00.865</v>
      </c>
      <c r="B6070" t="str">
        <f>"18:57:08.813"</f>
        <v>18:57:08.813</v>
      </c>
      <c r="C6070" t="str">
        <f>"18:57:08.512"</f>
        <v>18:57:08.512</v>
      </c>
      <c r="D6070" t="s">
        <v>2538</v>
      </c>
      <c r="E6070">
        <v>30.655653000000001</v>
      </c>
      <c r="F6070" t="s">
        <v>2539</v>
      </c>
      <c r="G6070">
        <v>-89.742249999999999</v>
      </c>
      <c r="H6070">
        <v>1700</v>
      </c>
      <c r="I6070">
        <v>96</v>
      </c>
      <c r="J6070">
        <v>-124</v>
      </c>
      <c r="K6070">
        <v>128</v>
      </c>
      <c r="L6070">
        <v>1200</v>
      </c>
      <c r="M6070" t="str">
        <f t="shared" si="652"/>
        <v xml:space="preserve">N35DC   </v>
      </c>
      <c r="N6070">
        <v>1</v>
      </c>
      <c r="O6070">
        <v>1750</v>
      </c>
    </row>
    <row r="6071" spans="1:15" x14ac:dyDescent="0.25">
      <c r="A6071" t="str">
        <f>"10/21/2020 18:57:00.865"</f>
        <v>10/21/2020 18:57:00.865</v>
      </c>
      <c r="B6071" t="str">
        <f>"18:57:08.813"</f>
        <v>18:57:08.813</v>
      </c>
      <c r="C6071" t="str">
        <f>"18:57:08.512"</f>
        <v>18:57:08.512</v>
      </c>
      <c r="D6071" t="s">
        <v>2538</v>
      </c>
      <c r="E6071">
        <v>30.655653000000001</v>
      </c>
      <c r="F6071" t="s">
        <v>2539</v>
      </c>
      <c r="G6071">
        <v>-89.742249999999999</v>
      </c>
      <c r="H6071">
        <v>1700</v>
      </c>
      <c r="I6071">
        <v>96</v>
      </c>
      <c r="J6071">
        <v>-124</v>
      </c>
      <c r="K6071">
        <v>128</v>
      </c>
      <c r="L6071">
        <v>1200</v>
      </c>
      <c r="M6071" t="str">
        <f t="shared" si="652"/>
        <v xml:space="preserve">N35DC   </v>
      </c>
      <c r="N6071">
        <v>1</v>
      </c>
      <c r="O6071">
        <v>1750</v>
      </c>
    </row>
    <row r="6072" spans="1:15" x14ac:dyDescent="0.25">
      <c r="A6072" t="str">
        <f>"10/21/2020 18:57:00.865"</f>
        <v>10/21/2020 18:57:00.865</v>
      </c>
      <c r="B6072" t="str">
        <f>"18:57:08.813"</f>
        <v>18:57:08.813</v>
      </c>
      <c r="C6072" t="str">
        <f>"18:57:08.512"</f>
        <v>18:57:08.512</v>
      </c>
      <c r="D6072" t="s">
        <v>2538</v>
      </c>
      <c r="E6072">
        <v>30.655653000000001</v>
      </c>
      <c r="F6072" t="s">
        <v>2539</v>
      </c>
      <c r="G6072">
        <v>-89.742249999999999</v>
      </c>
      <c r="H6072">
        <v>1700</v>
      </c>
      <c r="I6072">
        <v>96</v>
      </c>
      <c r="J6072">
        <v>-124</v>
      </c>
      <c r="K6072">
        <v>128</v>
      </c>
      <c r="L6072">
        <v>1200</v>
      </c>
      <c r="M6072" t="str">
        <f t="shared" si="652"/>
        <v xml:space="preserve">N35DC   </v>
      </c>
      <c r="N6072">
        <v>1</v>
      </c>
      <c r="O6072">
        <v>1750</v>
      </c>
    </row>
    <row r="6073" spans="1:15" x14ac:dyDescent="0.25">
      <c r="A6073" t="str">
        <f t="shared" ref="A6073:A6078" si="662">"10/21/2020 18:57:01.938"</f>
        <v>10/21/2020 18:57:01.938</v>
      </c>
      <c r="B6073" t="str">
        <f t="shared" ref="B6073:B6078" si="663">"18:57:09.891"</f>
        <v>18:57:09.891</v>
      </c>
      <c r="C6073" t="str">
        <f t="shared" ref="C6073:C6078" si="664">"18:57:09.491"</f>
        <v>18:57:09.491</v>
      </c>
      <c r="D6073" t="s">
        <v>2540</v>
      </c>
      <c r="E6073">
        <v>30.655073999999999</v>
      </c>
      <c r="F6073" t="s">
        <v>2541</v>
      </c>
      <c r="G6073">
        <v>-89.741714000000002</v>
      </c>
      <c r="H6073">
        <v>1700</v>
      </c>
      <c r="I6073">
        <v>97</v>
      </c>
      <c r="J6073">
        <v>-124</v>
      </c>
      <c r="K6073">
        <v>0</v>
      </c>
      <c r="L6073">
        <v>1200</v>
      </c>
      <c r="M6073" t="str">
        <f t="shared" si="652"/>
        <v xml:space="preserve">N35DC   </v>
      </c>
      <c r="N6073">
        <v>1</v>
      </c>
      <c r="O6073">
        <v>1750</v>
      </c>
    </row>
    <row r="6074" spans="1:15" x14ac:dyDescent="0.25">
      <c r="A6074" t="str">
        <f t="shared" si="662"/>
        <v>10/21/2020 18:57:01.938</v>
      </c>
      <c r="B6074" t="str">
        <f t="shared" si="663"/>
        <v>18:57:09.891</v>
      </c>
      <c r="C6074" t="str">
        <f t="shared" si="664"/>
        <v>18:57:09.491</v>
      </c>
      <c r="D6074" t="s">
        <v>2540</v>
      </c>
      <c r="E6074">
        <v>30.655073999999999</v>
      </c>
      <c r="F6074" t="s">
        <v>2541</v>
      </c>
      <c r="G6074">
        <v>-89.741714000000002</v>
      </c>
      <c r="H6074">
        <v>1700</v>
      </c>
      <c r="I6074">
        <v>97</v>
      </c>
      <c r="J6074">
        <v>-124</v>
      </c>
      <c r="K6074">
        <v>0</v>
      </c>
      <c r="L6074">
        <v>1200</v>
      </c>
      <c r="M6074" t="str">
        <f t="shared" si="652"/>
        <v xml:space="preserve">N35DC   </v>
      </c>
      <c r="N6074">
        <v>1</v>
      </c>
      <c r="O6074">
        <v>1750</v>
      </c>
    </row>
    <row r="6075" spans="1:15" x14ac:dyDescent="0.25">
      <c r="A6075" t="str">
        <f t="shared" si="662"/>
        <v>10/21/2020 18:57:01.938</v>
      </c>
      <c r="B6075" t="str">
        <f t="shared" si="663"/>
        <v>18:57:09.891</v>
      </c>
      <c r="C6075" t="str">
        <f t="shared" si="664"/>
        <v>18:57:09.491</v>
      </c>
      <c r="D6075" t="s">
        <v>2540</v>
      </c>
      <c r="E6075">
        <v>30.655073999999999</v>
      </c>
      <c r="F6075" t="s">
        <v>2541</v>
      </c>
      <c r="G6075">
        <v>-89.741714000000002</v>
      </c>
      <c r="H6075">
        <v>1700</v>
      </c>
      <c r="I6075">
        <v>97</v>
      </c>
      <c r="J6075">
        <v>-124</v>
      </c>
      <c r="K6075">
        <v>0</v>
      </c>
      <c r="L6075">
        <v>1200</v>
      </c>
      <c r="M6075" t="str">
        <f t="shared" si="652"/>
        <v xml:space="preserve">N35DC   </v>
      </c>
      <c r="N6075">
        <v>1</v>
      </c>
      <c r="O6075">
        <v>1750</v>
      </c>
    </row>
    <row r="6076" spans="1:15" x14ac:dyDescent="0.25">
      <c r="A6076" t="str">
        <f t="shared" si="662"/>
        <v>10/21/2020 18:57:01.938</v>
      </c>
      <c r="B6076" t="str">
        <f t="shared" si="663"/>
        <v>18:57:09.891</v>
      </c>
      <c r="C6076" t="str">
        <f t="shared" si="664"/>
        <v>18:57:09.491</v>
      </c>
      <c r="D6076" t="s">
        <v>2540</v>
      </c>
      <c r="E6076">
        <v>30.655073999999999</v>
      </c>
      <c r="F6076" t="s">
        <v>2541</v>
      </c>
      <c r="G6076">
        <v>-89.741714000000002</v>
      </c>
      <c r="H6076">
        <v>1700</v>
      </c>
      <c r="I6076">
        <v>97</v>
      </c>
      <c r="J6076">
        <v>-124</v>
      </c>
      <c r="K6076">
        <v>0</v>
      </c>
      <c r="L6076">
        <v>1200</v>
      </c>
      <c r="M6076" t="str">
        <f t="shared" si="652"/>
        <v xml:space="preserve">N35DC   </v>
      </c>
      <c r="N6076">
        <v>1</v>
      </c>
      <c r="O6076">
        <v>1750</v>
      </c>
    </row>
    <row r="6077" spans="1:15" x14ac:dyDescent="0.25">
      <c r="A6077" t="str">
        <f t="shared" si="662"/>
        <v>10/21/2020 18:57:01.938</v>
      </c>
      <c r="B6077" t="str">
        <f t="shared" si="663"/>
        <v>18:57:09.891</v>
      </c>
      <c r="C6077" t="str">
        <f t="shared" si="664"/>
        <v>18:57:09.491</v>
      </c>
      <c r="D6077" t="s">
        <v>2540</v>
      </c>
      <c r="E6077">
        <v>30.655073999999999</v>
      </c>
      <c r="F6077" t="s">
        <v>2541</v>
      </c>
      <c r="G6077">
        <v>-89.741714000000002</v>
      </c>
      <c r="H6077">
        <v>1700</v>
      </c>
      <c r="I6077">
        <v>97</v>
      </c>
      <c r="J6077">
        <v>-124</v>
      </c>
      <c r="K6077">
        <v>0</v>
      </c>
      <c r="L6077">
        <v>1200</v>
      </c>
      <c r="M6077" t="str">
        <f t="shared" si="652"/>
        <v xml:space="preserve">N35DC   </v>
      </c>
      <c r="N6077">
        <v>1</v>
      </c>
      <c r="O6077">
        <v>1750</v>
      </c>
    </row>
    <row r="6078" spans="1:15" x14ac:dyDescent="0.25">
      <c r="A6078" t="str">
        <f t="shared" si="662"/>
        <v>10/21/2020 18:57:01.938</v>
      </c>
      <c r="B6078" t="str">
        <f t="shared" si="663"/>
        <v>18:57:09.891</v>
      </c>
      <c r="C6078" t="str">
        <f t="shared" si="664"/>
        <v>18:57:09.491</v>
      </c>
      <c r="D6078" t="s">
        <v>2540</v>
      </c>
      <c r="E6078">
        <v>30.655073999999999</v>
      </c>
      <c r="F6078" t="s">
        <v>2541</v>
      </c>
      <c r="G6078">
        <v>-89.741714000000002</v>
      </c>
      <c r="H6078">
        <v>1700</v>
      </c>
      <c r="I6078">
        <v>97</v>
      </c>
      <c r="J6078">
        <v>-124</v>
      </c>
      <c r="K6078">
        <v>0</v>
      </c>
      <c r="L6078">
        <v>1200</v>
      </c>
      <c r="M6078" t="str">
        <f t="shared" si="652"/>
        <v xml:space="preserve">N35DC   </v>
      </c>
      <c r="N6078">
        <v>1</v>
      </c>
      <c r="O6078">
        <v>1750</v>
      </c>
    </row>
    <row r="6079" spans="1:15" x14ac:dyDescent="0.25">
      <c r="A6079" t="str">
        <f>"10/21/2020 18:57:04.558"</f>
        <v>10/21/2020 18:57:04.558</v>
      </c>
      <c r="B6079" t="str">
        <f>"18:57:12.461"</f>
        <v>18:57:12.461</v>
      </c>
      <c r="C6079" t="str">
        <f>"18:57:12.061"</f>
        <v>18:57:12.061</v>
      </c>
      <c r="D6079" t="s">
        <v>2542</v>
      </c>
      <c r="E6079">
        <v>30.653551</v>
      </c>
      <c r="F6079" t="s">
        <v>2543</v>
      </c>
      <c r="G6079">
        <v>-89.740362000000005</v>
      </c>
      <c r="H6079">
        <v>1700</v>
      </c>
      <c r="I6079">
        <v>99</v>
      </c>
      <c r="J6079">
        <v>-124</v>
      </c>
      <c r="K6079">
        <v>128</v>
      </c>
      <c r="L6079">
        <v>1200</v>
      </c>
      <c r="M6079" t="str">
        <f t="shared" si="652"/>
        <v xml:space="preserve">N35DC   </v>
      </c>
      <c r="N6079">
        <v>1</v>
      </c>
      <c r="O6079">
        <v>1750</v>
      </c>
    </row>
    <row r="6080" spans="1:15" x14ac:dyDescent="0.25">
      <c r="A6080" t="str">
        <f>"10/21/2020 18:57:05.075"</f>
        <v>10/21/2020 18:57:05.075</v>
      </c>
      <c r="B6080" t="str">
        <f>"18:57:13.047"</f>
        <v>18:57:13.047</v>
      </c>
      <c r="C6080" t="str">
        <f>"18:57:12.647"</f>
        <v>18:57:12.647</v>
      </c>
      <c r="D6080" t="s">
        <v>2544</v>
      </c>
      <c r="E6080">
        <v>30.65325</v>
      </c>
      <c r="F6080" t="s">
        <v>2545</v>
      </c>
      <c r="G6080">
        <v>-89.740061999999995</v>
      </c>
      <c r="H6080">
        <v>1700</v>
      </c>
      <c r="I6080">
        <v>98</v>
      </c>
      <c r="J6080">
        <v>-125</v>
      </c>
      <c r="K6080">
        <v>-64</v>
      </c>
      <c r="L6080">
        <v>1200</v>
      </c>
      <c r="M6080" t="str">
        <f t="shared" si="652"/>
        <v xml:space="preserve">N35DC   </v>
      </c>
      <c r="N6080">
        <v>1</v>
      </c>
      <c r="O6080">
        <v>1750</v>
      </c>
    </row>
    <row r="6081" spans="1:15" x14ac:dyDescent="0.25">
      <c r="A6081" t="str">
        <f>"10/21/2020 18:57:05.075"</f>
        <v>10/21/2020 18:57:05.075</v>
      </c>
      <c r="B6081" t="str">
        <f>"18:57:13.047"</f>
        <v>18:57:13.047</v>
      </c>
      <c r="C6081" t="str">
        <f>"18:57:12.647"</f>
        <v>18:57:12.647</v>
      </c>
      <c r="D6081" t="s">
        <v>2544</v>
      </c>
      <c r="E6081">
        <v>30.65325</v>
      </c>
      <c r="F6081" t="s">
        <v>2545</v>
      </c>
      <c r="G6081">
        <v>-89.740061999999995</v>
      </c>
      <c r="H6081">
        <v>1700</v>
      </c>
      <c r="I6081">
        <v>98</v>
      </c>
      <c r="J6081">
        <v>-125</v>
      </c>
      <c r="K6081">
        <v>-64</v>
      </c>
      <c r="L6081">
        <v>1200</v>
      </c>
      <c r="M6081" t="str">
        <f t="shared" si="652"/>
        <v xml:space="preserve">N35DC   </v>
      </c>
      <c r="N6081">
        <v>1</v>
      </c>
      <c r="O6081">
        <v>1750</v>
      </c>
    </row>
    <row r="6082" spans="1:15" x14ac:dyDescent="0.25">
      <c r="A6082" t="str">
        <f>"10/21/2020 18:57:05.075"</f>
        <v>10/21/2020 18:57:05.075</v>
      </c>
      <c r="B6082" t="str">
        <f>"18:57:13.047"</f>
        <v>18:57:13.047</v>
      </c>
      <c r="C6082" t="str">
        <f>"18:57:12.647"</f>
        <v>18:57:12.647</v>
      </c>
      <c r="D6082" t="s">
        <v>2544</v>
      </c>
      <c r="E6082">
        <v>30.65325</v>
      </c>
      <c r="F6082" t="s">
        <v>2545</v>
      </c>
      <c r="G6082">
        <v>-89.740061999999995</v>
      </c>
      <c r="H6082">
        <v>1700</v>
      </c>
      <c r="I6082">
        <v>98</v>
      </c>
      <c r="J6082">
        <v>-125</v>
      </c>
      <c r="K6082">
        <v>-64</v>
      </c>
      <c r="L6082">
        <v>1200</v>
      </c>
      <c r="M6082" t="str">
        <f t="shared" si="652"/>
        <v xml:space="preserve">N35DC   </v>
      </c>
      <c r="N6082">
        <v>1</v>
      </c>
      <c r="O6082">
        <v>1750</v>
      </c>
    </row>
    <row r="6083" spans="1:15" x14ac:dyDescent="0.25">
      <c r="A6083" t="str">
        <f>"10/21/2020 18:57:05.075"</f>
        <v>10/21/2020 18:57:05.075</v>
      </c>
      <c r="B6083" t="str">
        <f>"18:57:13.047"</f>
        <v>18:57:13.047</v>
      </c>
      <c r="C6083" t="str">
        <f>"18:57:12.647"</f>
        <v>18:57:12.647</v>
      </c>
      <c r="D6083" t="s">
        <v>2544</v>
      </c>
      <c r="E6083">
        <v>30.65325</v>
      </c>
      <c r="F6083" t="s">
        <v>2545</v>
      </c>
      <c r="G6083">
        <v>-89.740061999999995</v>
      </c>
      <c r="H6083">
        <v>1700</v>
      </c>
      <c r="I6083">
        <v>98</v>
      </c>
      <c r="J6083">
        <v>-125</v>
      </c>
      <c r="K6083">
        <v>-64</v>
      </c>
      <c r="L6083">
        <v>1200</v>
      </c>
      <c r="M6083" t="str">
        <f t="shared" si="652"/>
        <v xml:space="preserve">N35DC   </v>
      </c>
      <c r="N6083">
        <v>1</v>
      </c>
      <c r="O6083">
        <v>1750</v>
      </c>
    </row>
    <row r="6084" spans="1:15" x14ac:dyDescent="0.25">
      <c r="A6084" t="str">
        <f>"10/21/2020 18:57:05.075"</f>
        <v>10/21/2020 18:57:05.075</v>
      </c>
      <c r="B6084" t="str">
        <f>"18:57:13.047"</f>
        <v>18:57:13.047</v>
      </c>
      <c r="C6084" t="str">
        <f>"18:57:12.647"</f>
        <v>18:57:12.647</v>
      </c>
      <c r="D6084" t="s">
        <v>2544</v>
      </c>
      <c r="E6084">
        <v>30.65325</v>
      </c>
      <c r="F6084" t="s">
        <v>2545</v>
      </c>
      <c r="G6084">
        <v>-89.740061999999995</v>
      </c>
      <c r="H6084">
        <v>1700</v>
      </c>
      <c r="I6084">
        <v>98</v>
      </c>
      <c r="J6084">
        <v>-125</v>
      </c>
      <c r="K6084">
        <v>-64</v>
      </c>
      <c r="L6084">
        <v>1200</v>
      </c>
      <c r="M6084" t="str">
        <f t="shared" si="652"/>
        <v xml:space="preserve">N35DC   </v>
      </c>
      <c r="N6084">
        <v>1</v>
      </c>
      <c r="O6084">
        <v>1750</v>
      </c>
    </row>
    <row r="6085" spans="1:15" x14ac:dyDescent="0.25">
      <c r="A6085" t="str">
        <f t="shared" ref="A6085:A6090" si="665">"10/21/2020 18:57:06.124"</f>
        <v>10/21/2020 18:57:06.124</v>
      </c>
      <c r="B6085" t="str">
        <f t="shared" ref="B6085:B6090" si="666">"18:57:14.063"</f>
        <v>18:57:14.063</v>
      </c>
      <c r="C6085" t="str">
        <f t="shared" ref="C6085:C6090" si="667">"18:57:13.663"</f>
        <v>18:57:13.663</v>
      </c>
      <c r="D6085" t="s">
        <v>2546</v>
      </c>
      <c r="E6085">
        <v>30.652628</v>
      </c>
      <c r="F6085" t="s">
        <v>2547</v>
      </c>
      <c r="G6085">
        <v>-89.739503999999997</v>
      </c>
      <c r="H6085">
        <v>1700</v>
      </c>
      <c r="I6085">
        <v>98</v>
      </c>
      <c r="J6085">
        <v>-126</v>
      </c>
      <c r="K6085">
        <v>-192</v>
      </c>
      <c r="L6085">
        <v>1200</v>
      </c>
      <c r="M6085" t="str">
        <f t="shared" si="652"/>
        <v xml:space="preserve">N35DC   </v>
      </c>
      <c r="N6085">
        <v>1</v>
      </c>
      <c r="O6085">
        <v>1750</v>
      </c>
    </row>
    <row r="6086" spans="1:15" x14ac:dyDescent="0.25">
      <c r="A6086" t="str">
        <f t="shared" si="665"/>
        <v>10/21/2020 18:57:06.124</v>
      </c>
      <c r="B6086" t="str">
        <f t="shared" si="666"/>
        <v>18:57:14.063</v>
      </c>
      <c r="C6086" t="str">
        <f t="shared" si="667"/>
        <v>18:57:13.663</v>
      </c>
      <c r="D6086" t="s">
        <v>2546</v>
      </c>
      <c r="E6086">
        <v>30.652628</v>
      </c>
      <c r="F6086" t="s">
        <v>2547</v>
      </c>
      <c r="G6086">
        <v>-89.739503999999997</v>
      </c>
      <c r="H6086">
        <v>1700</v>
      </c>
      <c r="I6086">
        <v>98</v>
      </c>
      <c r="J6086">
        <v>-126</v>
      </c>
      <c r="K6086">
        <v>-192</v>
      </c>
      <c r="L6086">
        <v>1200</v>
      </c>
      <c r="M6086" t="str">
        <f t="shared" si="652"/>
        <v xml:space="preserve">N35DC   </v>
      </c>
      <c r="N6086">
        <v>1</v>
      </c>
      <c r="O6086">
        <v>1750</v>
      </c>
    </row>
    <row r="6087" spans="1:15" x14ac:dyDescent="0.25">
      <c r="A6087" t="str">
        <f t="shared" si="665"/>
        <v>10/21/2020 18:57:06.124</v>
      </c>
      <c r="B6087" t="str">
        <f t="shared" si="666"/>
        <v>18:57:14.063</v>
      </c>
      <c r="C6087" t="str">
        <f t="shared" si="667"/>
        <v>18:57:13.663</v>
      </c>
      <c r="D6087" t="s">
        <v>2546</v>
      </c>
      <c r="E6087">
        <v>30.652628</v>
      </c>
      <c r="F6087" t="s">
        <v>2547</v>
      </c>
      <c r="G6087">
        <v>-89.739503999999997</v>
      </c>
      <c r="H6087">
        <v>1700</v>
      </c>
      <c r="I6087">
        <v>98</v>
      </c>
      <c r="J6087">
        <v>-126</v>
      </c>
      <c r="K6087">
        <v>-192</v>
      </c>
      <c r="L6087">
        <v>1200</v>
      </c>
      <c r="M6087" t="str">
        <f t="shared" ref="M6087:M6150" si="668">"N35DC   "</f>
        <v xml:space="preserve">N35DC   </v>
      </c>
      <c r="N6087">
        <v>1</v>
      </c>
      <c r="O6087">
        <v>1750</v>
      </c>
    </row>
    <row r="6088" spans="1:15" x14ac:dyDescent="0.25">
      <c r="A6088" t="str">
        <f t="shared" si="665"/>
        <v>10/21/2020 18:57:06.124</v>
      </c>
      <c r="B6088" t="str">
        <f t="shared" si="666"/>
        <v>18:57:14.063</v>
      </c>
      <c r="C6088" t="str">
        <f t="shared" si="667"/>
        <v>18:57:13.663</v>
      </c>
      <c r="D6088" t="s">
        <v>2546</v>
      </c>
      <c r="E6088">
        <v>30.652628</v>
      </c>
      <c r="F6088" t="s">
        <v>2547</v>
      </c>
      <c r="G6088">
        <v>-89.739503999999997</v>
      </c>
      <c r="H6088">
        <v>1700</v>
      </c>
      <c r="I6088">
        <v>98</v>
      </c>
      <c r="J6088">
        <v>-126</v>
      </c>
      <c r="K6088">
        <v>-192</v>
      </c>
      <c r="L6088">
        <v>1200</v>
      </c>
      <c r="M6088" t="str">
        <f t="shared" si="668"/>
        <v xml:space="preserve">N35DC   </v>
      </c>
      <c r="N6088">
        <v>1</v>
      </c>
      <c r="O6088">
        <v>1750</v>
      </c>
    </row>
    <row r="6089" spans="1:15" x14ac:dyDescent="0.25">
      <c r="A6089" t="str">
        <f t="shared" si="665"/>
        <v>10/21/2020 18:57:06.124</v>
      </c>
      <c r="B6089" t="str">
        <f t="shared" si="666"/>
        <v>18:57:14.063</v>
      </c>
      <c r="C6089" t="str">
        <f t="shared" si="667"/>
        <v>18:57:13.663</v>
      </c>
      <c r="D6089" t="s">
        <v>2546</v>
      </c>
      <c r="E6089">
        <v>30.652628</v>
      </c>
      <c r="F6089" t="s">
        <v>2547</v>
      </c>
      <c r="G6089">
        <v>-89.739503999999997</v>
      </c>
      <c r="H6089">
        <v>1700</v>
      </c>
      <c r="I6089">
        <v>98</v>
      </c>
      <c r="J6089">
        <v>-126</v>
      </c>
      <c r="K6089">
        <v>-192</v>
      </c>
      <c r="L6089">
        <v>1200</v>
      </c>
      <c r="M6089" t="str">
        <f t="shared" si="668"/>
        <v xml:space="preserve">N35DC   </v>
      </c>
      <c r="N6089">
        <v>1</v>
      </c>
      <c r="O6089">
        <v>1750</v>
      </c>
    </row>
    <row r="6090" spans="1:15" x14ac:dyDescent="0.25">
      <c r="A6090" t="str">
        <f t="shared" si="665"/>
        <v>10/21/2020 18:57:06.124</v>
      </c>
      <c r="B6090" t="str">
        <f t="shared" si="666"/>
        <v>18:57:14.063</v>
      </c>
      <c r="C6090" t="str">
        <f t="shared" si="667"/>
        <v>18:57:13.663</v>
      </c>
      <c r="D6090" t="s">
        <v>2546</v>
      </c>
      <c r="E6090">
        <v>30.652628</v>
      </c>
      <c r="F6090" t="s">
        <v>2547</v>
      </c>
      <c r="G6090">
        <v>-89.739503999999997</v>
      </c>
      <c r="H6090">
        <v>1700</v>
      </c>
      <c r="I6090">
        <v>98</v>
      </c>
      <c r="J6090">
        <v>-126</v>
      </c>
      <c r="K6090">
        <v>-192</v>
      </c>
      <c r="L6090">
        <v>1200</v>
      </c>
      <c r="M6090" t="str">
        <f t="shared" si="668"/>
        <v xml:space="preserve">N35DC   </v>
      </c>
      <c r="N6090">
        <v>1</v>
      </c>
      <c r="O6090">
        <v>1750</v>
      </c>
    </row>
    <row r="6091" spans="1:15" x14ac:dyDescent="0.25">
      <c r="A6091" t="str">
        <f t="shared" ref="A6091:A6096" si="669">"10/21/2020 18:57:08.936"</f>
        <v>10/21/2020 18:57:08.936</v>
      </c>
      <c r="B6091" t="str">
        <f t="shared" ref="B6091:B6096" si="670">"18:57:16.883"</f>
        <v>18:57:16.883</v>
      </c>
      <c r="C6091" t="str">
        <f t="shared" ref="C6091:C6096" si="671">"18:57:16.783"</f>
        <v>18:57:16.783</v>
      </c>
      <c r="D6091" t="s">
        <v>2548</v>
      </c>
      <c r="E6091">
        <v>30.650932999999998</v>
      </c>
      <c r="F6091" t="s">
        <v>2549</v>
      </c>
      <c r="G6091">
        <v>-89.738045</v>
      </c>
      <c r="H6091">
        <v>1700</v>
      </c>
      <c r="I6091">
        <v>97</v>
      </c>
      <c r="J6091">
        <v>-129</v>
      </c>
      <c r="K6091">
        <v>-64</v>
      </c>
      <c r="L6091">
        <v>1200</v>
      </c>
      <c r="M6091" t="str">
        <f t="shared" si="668"/>
        <v xml:space="preserve">N35DC   </v>
      </c>
      <c r="N6091">
        <v>1</v>
      </c>
      <c r="O6091">
        <v>1750</v>
      </c>
    </row>
    <row r="6092" spans="1:15" x14ac:dyDescent="0.25">
      <c r="A6092" t="str">
        <f t="shared" si="669"/>
        <v>10/21/2020 18:57:08.936</v>
      </c>
      <c r="B6092" t="str">
        <f t="shared" si="670"/>
        <v>18:57:16.883</v>
      </c>
      <c r="C6092" t="str">
        <f t="shared" si="671"/>
        <v>18:57:16.783</v>
      </c>
      <c r="D6092" t="s">
        <v>2548</v>
      </c>
      <c r="E6092">
        <v>30.650932999999998</v>
      </c>
      <c r="F6092" t="s">
        <v>2549</v>
      </c>
      <c r="G6092">
        <v>-89.738045</v>
      </c>
      <c r="H6092">
        <v>1700</v>
      </c>
      <c r="I6092">
        <v>97</v>
      </c>
      <c r="J6092">
        <v>-129</v>
      </c>
      <c r="K6092">
        <v>-64</v>
      </c>
      <c r="L6092">
        <v>1200</v>
      </c>
      <c r="M6092" t="str">
        <f t="shared" si="668"/>
        <v xml:space="preserve">N35DC   </v>
      </c>
      <c r="N6092">
        <v>1</v>
      </c>
      <c r="O6092">
        <v>1750</v>
      </c>
    </row>
    <row r="6093" spans="1:15" x14ac:dyDescent="0.25">
      <c r="A6093" t="str">
        <f t="shared" si="669"/>
        <v>10/21/2020 18:57:08.936</v>
      </c>
      <c r="B6093" t="str">
        <f t="shared" si="670"/>
        <v>18:57:16.883</v>
      </c>
      <c r="C6093" t="str">
        <f t="shared" si="671"/>
        <v>18:57:16.783</v>
      </c>
      <c r="D6093" t="s">
        <v>2548</v>
      </c>
      <c r="E6093">
        <v>30.650932999999998</v>
      </c>
      <c r="F6093" t="s">
        <v>2549</v>
      </c>
      <c r="G6093">
        <v>-89.738045</v>
      </c>
      <c r="H6093">
        <v>1700</v>
      </c>
      <c r="I6093">
        <v>97</v>
      </c>
      <c r="J6093">
        <v>-129</v>
      </c>
      <c r="K6093">
        <v>-64</v>
      </c>
      <c r="L6093">
        <v>1200</v>
      </c>
      <c r="M6093" t="str">
        <f t="shared" si="668"/>
        <v xml:space="preserve">N35DC   </v>
      </c>
      <c r="N6093">
        <v>1</v>
      </c>
      <c r="O6093">
        <v>1750</v>
      </c>
    </row>
    <row r="6094" spans="1:15" x14ac:dyDescent="0.25">
      <c r="A6094" t="str">
        <f t="shared" si="669"/>
        <v>10/21/2020 18:57:08.936</v>
      </c>
      <c r="B6094" t="str">
        <f t="shared" si="670"/>
        <v>18:57:16.883</v>
      </c>
      <c r="C6094" t="str">
        <f t="shared" si="671"/>
        <v>18:57:16.783</v>
      </c>
      <c r="D6094" t="s">
        <v>2548</v>
      </c>
      <c r="E6094">
        <v>30.650932999999998</v>
      </c>
      <c r="F6094" t="s">
        <v>2549</v>
      </c>
      <c r="G6094">
        <v>-89.738045</v>
      </c>
      <c r="H6094">
        <v>1700</v>
      </c>
      <c r="I6094">
        <v>97</v>
      </c>
      <c r="J6094">
        <v>-129</v>
      </c>
      <c r="K6094">
        <v>-64</v>
      </c>
      <c r="L6094">
        <v>1200</v>
      </c>
      <c r="M6094" t="str">
        <f t="shared" si="668"/>
        <v xml:space="preserve">N35DC   </v>
      </c>
      <c r="N6094">
        <v>1</v>
      </c>
      <c r="O6094">
        <v>1750</v>
      </c>
    </row>
    <row r="6095" spans="1:15" x14ac:dyDescent="0.25">
      <c r="A6095" t="str">
        <f t="shared" si="669"/>
        <v>10/21/2020 18:57:08.936</v>
      </c>
      <c r="B6095" t="str">
        <f t="shared" si="670"/>
        <v>18:57:16.883</v>
      </c>
      <c r="C6095" t="str">
        <f t="shared" si="671"/>
        <v>18:57:16.783</v>
      </c>
      <c r="D6095" t="s">
        <v>2548</v>
      </c>
      <c r="E6095">
        <v>30.650932999999998</v>
      </c>
      <c r="F6095" t="s">
        <v>2549</v>
      </c>
      <c r="G6095">
        <v>-89.738045</v>
      </c>
      <c r="H6095">
        <v>1700</v>
      </c>
      <c r="I6095">
        <v>97</v>
      </c>
      <c r="J6095">
        <v>-129</v>
      </c>
      <c r="K6095">
        <v>-64</v>
      </c>
      <c r="L6095">
        <v>1200</v>
      </c>
      <c r="M6095" t="str">
        <f t="shared" si="668"/>
        <v xml:space="preserve">N35DC   </v>
      </c>
      <c r="N6095">
        <v>1</v>
      </c>
      <c r="O6095">
        <v>1750</v>
      </c>
    </row>
    <row r="6096" spans="1:15" x14ac:dyDescent="0.25">
      <c r="A6096" t="str">
        <f t="shared" si="669"/>
        <v>10/21/2020 18:57:08.936</v>
      </c>
      <c r="B6096" t="str">
        <f t="shared" si="670"/>
        <v>18:57:16.883</v>
      </c>
      <c r="C6096" t="str">
        <f t="shared" si="671"/>
        <v>18:57:16.783</v>
      </c>
      <c r="D6096" t="s">
        <v>2548</v>
      </c>
      <c r="E6096">
        <v>30.650932999999998</v>
      </c>
      <c r="F6096" t="s">
        <v>2549</v>
      </c>
      <c r="G6096">
        <v>-89.738045</v>
      </c>
      <c r="H6096">
        <v>1700</v>
      </c>
      <c r="I6096">
        <v>97</v>
      </c>
      <c r="J6096">
        <v>-129</v>
      </c>
      <c r="K6096">
        <v>-64</v>
      </c>
      <c r="L6096">
        <v>1200</v>
      </c>
      <c r="M6096" t="str">
        <f t="shared" si="668"/>
        <v xml:space="preserve">N35DC   </v>
      </c>
      <c r="N6096">
        <v>1</v>
      </c>
      <c r="O6096">
        <v>1750</v>
      </c>
    </row>
    <row r="6097" spans="1:15" x14ac:dyDescent="0.25">
      <c r="A6097" t="str">
        <f t="shared" ref="A6097:A6102" si="672">"10/21/2020 18:57:10.037"</f>
        <v>10/21/2020 18:57:10.037</v>
      </c>
      <c r="B6097" t="str">
        <f t="shared" ref="B6097:B6102" si="673">"18:57:17.992"</f>
        <v>18:57:17.992</v>
      </c>
      <c r="C6097" t="str">
        <f t="shared" ref="C6097:C6102" si="674">"18:57:17.792"</f>
        <v>18:57:17.792</v>
      </c>
      <c r="D6097" t="s">
        <v>2550</v>
      </c>
      <c r="E6097">
        <v>30.650289000000001</v>
      </c>
      <c r="F6097" t="s">
        <v>2551</v>
      </c>
      <c r="G6097">
        <v>-89.737465</v>
      </c>
      <c r="H6097">
        <v>1700</v>
      </c>
      <c r="I6097">
        <v>97</v>
      </c>
      <c r="J6097">
        <v>-129</v>
      </c>
      <c r="K6097">
        <v>64</v>
      </c>
      <c r="L6097">
        <v>1200</v>
      </c>
      <c r="M6097" t="str">
        <f t="shared" si="668"/>
        <v xml:space="preserve">N35DC   </v>
      </c>
      <c r="N6097">
        <v>1</v>
      </c>
      <c r="O6097">
        <v>1750</v>
      </c>
    </row>
    <row r="6098" spans="1:15" x14ac:dyDescent="0.25">
      <c r="A6098" t="str">
        <f t="shared" si="672"/>
        <v>10/21/2020 18:57:10.037</v>
      </c>
      <c r="B6098" t="str">
        <f t="shared" si="673"/>
        <v>18:57:17.992</v>
      </c>
      <c r="C6098" t="str">
        <f t="shared" si="674"/>
        <v>18:57:17.792</v>
      </c>
      <c r="D6098" t="s">
        <v>2550</v>
      </c>
      <c r="E6098">
        <v>30.650289000000001</v>
      </c>
      <c r="F6098" t="s">
        <v>2551</v>
      </c>
      <c r="G6098">
        <v>-89.737465</v>
      </c>
      <c r="H6098">
        <v>1700</v>
      </c>
      <c r="I6098">
        <v>97</v>
      </c>
      <c r="J6098">
        <v>-129</v>
      </c>
      <c r="K6098">
        <v>64</v>
      </c>
      <c r="L6098">
        <v>1200</v>
      </c>
      <c r="M6098" t="str">
        <f t="shared" si="668"/>
        <v xml:space="preserve">N35DC   </v>
      </c>
      <c r="N6098">
        <v>1</v>
      </c>
      <c r="O6098">
        <v>1750</v>
      </c>
    </row>
    <row r="6099" spans="1:15" x14ac:dyDescent="0.25">
      <c r="A6099" t="str">
        <f t="shared" si="672"/>
        <v>10/21/2020 18:57:10.037</v>
      </c>
      <c r="B6099" t="str">
        <f t="shared" si="673"/>
        <v>18:57:17.992</v>
      </c>
      <c r="C6099" t="str">
        <f t="shared" si="674"/>
        <v>18:57:17.792</v>
      </c>
      <c r="D6099" t="s">
        <v>2550</v>
      </c>
      <c r="E6099">
        <v>30.650289000000001</v>
      </c>
      <c r="F6099" t="s">
        <v>2551</v>
      </c>
      <c r="G6099">
        <v>-89.737465</v>
      </c>
      <c r="H6099">
        <v>1700</v>
      </c>
      <c r="I6099">
        <v>97</v>
      </c>
      <c r="J6099">
        <v>-129</v>
      </c>
      <c r="K6099">
        <v>64</v>
      </c>
      <c r="L6099">
        <v>1200</v>
      </c>
      <c r="M6099" t="str">
        <f t="shared" si="668"/>
        <v xml:space="preserve">N35DC   </v>
      </c>
      <c r="N6099">
        <v>1</v>
      </c>
      <c r="O6099">
        <v>1750</v>
      </c>
    </row>
    <row r="6100" spans="1:15" x14ac:dyDescent="0.25">
      <c r="A6100" t="str">
        <f t="shared" si="672"/>
        <v>10/21/2020 18:57:10.037</v>
      </c>
      <c r="B6100" t="str">
        <f t="shared" si="673"/>
        <v>18:57:17.992</v>
      </c>
      <c r="C6100" t="str">
        <f t="shared" si="674"/>
        <v>18:57:17.792</v>
      </c>
      <c r="D6100" t="s">
        <v>2550</v>
      </c>
      <c r="E6100">
        <v>30.650289000000001</v>
      </c>
      <c r="F6100" t="s">
        <v>2551</v>
      </c>
      <c r="G6100">
        <v>-89.737465</v>
      </c>
      <c r="H6100">
        <v>1700</v>
      </c>
      <c r="I6100">
        <v>97</v>
      </c>
      <c r="J6100">
        <v>-129</v>
      </c>
      <c r="K6100">
        <v>64</v>
      </c>
      <c r="L6100">
        <v>1200</v>
      </c>
      <c r="M6100" t="str">
        <f t="shared" si="668"/>
        <v xml:space="preserve">N35DC   </v>
      </c>
      <c r="N6100">
        <v>1</v>
      </c>
      <c r="O6100">
        <v>1750</v>
      </c>
    </row>
    <row r="6101" spans="1:15" x14ac:dyDescent="0.25">
      <c r="A6101" t="str">
        <f t="shared" si="672"/>
        <v>10/21/2020 18:57:10.037</v>
      </c>
      <c r="B6101" t="str">
        <f t="shared" si="673"/>
        <v>18:57:17.992</v>
      </c>
      <c r="C6101" t="str">
        <f t="shared" si="674"/>
        <v>18:57:17.792</v>
      </c>
      <c r="D6101" t="s">
        <v>2550</v>
      </c>
      <c r="E6101">
        <v>30.650289000000001</v>
      </c>
      <c r="F6101" t="s">
        <v>2551</v>
      </c>
      <c r="G6101">
        <v>-89.737465</v>
      </c>
      <c r="H6101">
        <v>1700</v>
      </c>
      <c r="I6101">
        <v>97</v>
      </c>
      <c r="J6101">
        <v>-129</v>
      </c>
      <c r="K6101">
        <v>64</v>
      </c>
      <c r="L6101">
        <v>1200</v>
      </c>
      <c r="M6101" t="str">
        <f t="shared" si="668"/>
        <v xml:space="preserve">N35DC   </v>
      </c>
      <c r="N6101">
        <v>1</v>
      </c>
      <c r="O6101">
        <v>1750</v>
      </c>
    </row>
    <row r="6102" spans="1:15" x14ac:dyDescent="0.25">
      <c r="A6102" t="str">
        <f t="shared" si="672"/>
        <v>10/21/2020 18:57:10.037</v>
      </c>
      <c r="B6102" t="str">
        <f t="shared" si="673"/>
        <v>18:57:17.992</v>
      </c>
      <c r="C6102" t="str">
        <f t="shared" si="674"/>
        <v>18:57:17.792</v>
      </c>
      <c r="D6102" t="s">
        <v>2550</v>
      </c>
      <c r="E6102">
        <v>30.650289000000001</v>
      </c>
      <c r="F6102" t="s">
        <v>2551</v>
      </c>
      <c r="G6102">
        <v>-89.737465</v>
      </c>
      <c r="H6102">
        <v>1700</v>
      </c>
      <c r="I6102">
        <v>97</v>
      </c>
      <c r="J6102">
        <v>-129</v>
      </c>
      <c r="K6102">
        <v>64</v>
      </c>
      <c r="L6102">
        <v>1200</v>
      </c>
      <c r="M6102" t="str">
        <f t="shared" si="668"/>
        <v xml:space="preserve">N35DC   </v>
      </c>
      <c r="N6102">
        <v>1</v>
      </c>
      <c r="O6102">
        <v>1750</v>
      </c>
    </row>
    <row r="6103" spans="1:15" x14ac:dyDescent="0.25">
      <c r="A6103" t="str">
        <f>"10/21/2020 18:57:12.109"</f>
        <v>10/21/2020 18:57:12.109</v>
      </c>
      <c r="B6103" t="str">
        <f>"18:57:20.031"</f>
        <v>18:57:20.031</v>
      </c>
      <c r="C6103" t="str">
        <f>"18:57:19.731"</f>
        <v>18:57:19.731</v>
      </c>
      <c r="D6103" t="s">
        <v>2552</v>
      </c>
      <c r="E6103">
        <v>30.649066000000001</v>
      </c>
      <c r="F6103" t="s">
        <v>2553</v>
      </c>
      <c r="G6103">
        <v>-89.736391999999995</v>
      </c>
      <c r="H6103">
        <v>1700</v>
      </c>
      <c r="I6103">
        <v>98</v>
      </c>
      <c r="J6103">
        <v>-130</v>
      </c>
      <c r="K6103">
        <v>0</v>
      </c>
      <c r="L6103">
        <v>1200</v>
      </c>
      <c r="M6103" t="str">
        <f t="shared" si="668"/>
        <v xml:space="preserve">N35DC   </v>
      </c>
      <c r="N6103">
        <v>1</v>
      </c>
      <c r="O6103">
        <v>1750</v>
      </c>
    </row>
    <row r="6104" spans="1:15" x14ac:dyDescent="0.25">
      <c r="A6104" t="str">
        <f>"10/21/2020 18:57:12.109"</f>
        <v>10/21/2020 18:57:12.109</v>
      </c>
      <c r="B6104" t="str">
        <f>"18:57:20.031"</f>
        <v>18:57:20.031</v>
      </c>
      <c r="C6104" t="str">
        <f>"18:57:19.731"</f>
        <v>18:57:19.731</v>
      </c>
      <c r="D6104" t="s">
        <v>2552</v>
      </c>
      <c r="E6104">
        <v>30.649066000000001</v>
      </c>
      <c r="F6104" t="s">
        <v>2553</v>
      </c>
      <c r="G6104">
        <v>-89.736391999999995</v>
      </c>
      <c r="H6104">
        <v>1700</v>
      </c>
      <c r="I6104">
        <v>98</v>
      </c>
      <c r="J6104">
        <v>-130</v>
      </c>
      <c r="K6104">
        <v>0</v>
      </c>
      <c r="L6104">
        <v>1200</v>
      </c>
      <c r="M6104" t="str">
        <f t="shared" si="668"/>
        <v xml:space="preserve">N35DC   </v>
      </c>
      <c r="N6104">
        <v>1</v>
      </c>
      <c r="O6104">
        <v>1750</v>
      </c>
    </row>
    <row r="6105" spans="1:15" x14ac:dyDescent="0.25">
      <c r="A6105" t="str">
        <f>"10/21/2020 18:57:12.109"</f>
        <v>10/21/2020 18:57:12.109</v>
      </c>
      <c r="B6105" t="str">
        <f>"18:57:20.031"</f>
        <v>18:57:20.031</v>
      </c>
      <c r="C6105" t="str">
        <f>"18:57:19.731"</f>
        <v>18:57:19.731</v>
      </c>
      <c r="D6105" t="s">
        <v>2552</v>
      </c>
      <c r="E6105">
        <v>30.649066000000001</v>
      </c>
      <c r="F6105" t="s">
        <v>2553</v>
      </c>
      <c r="G6105">
        <v>-89.736391999999995</v>
      </c>
      <c r="H6105">
        <v>1700</v>
      </c>
      <c r="I6105">
        <v>98</v>
      </c>
      <c r="J6105">
        <v>-130</v>
      </c>
      <c r="K6105">
        <v>0</v>
      </c>
      <c r="L6105">
        <v>1200</v>
      </c>
      <c r="M6105" t="str">
        <f t="shared" si="668"/>
        <v xml:space="preserve">N35DC   </v>
      </c>
      <c r="N6105">
        <v>1</v>
      </c>
      <c r="O6105">
        <v>1750</v>
      </c>
    </row>
    <row r="6106" spans="1:15" x14ac:dyDescent="0.25">
      <c r="A6106" t="str">
        <f>"10/21/2020 18:57:12.109"</f>
        <v>10/21/2020 18:57:12.109</v>
      </c>
      <c r="B6106" t="str">
        <f>"18:57:20.031"</f>
        <v>18:57:20.031</v>
      </c>
      <c r="C6106" t="str">
        <f>"18:57:19.731"</f>
        <v>18:57:19.731</v>
      </c>
      <c r="D6106" t="s">
        <v>2552</v>
      </c>
      <c r="E6106">
        <v>30.649066000000001</v>
      </c>
      <c r="F6106" t="s">
        <v>2553</v>
      </c>
      <c r="G6106">
        <v>-89.736391999999995</v>
      </c>
      <c r="H6106">
        <v>1700</v>
      </c>
      <c r="I6106">
        <v>98</v>
      </c>
      <c r="J6106">
        <v>-130</v>
      </c>
      <c r="K6106">
        <v>0</v>
      </c>
      <c r="L6106">
        <v>1200</v>
      </c>
      <c r="M6106" t="str">
        <f t="shared" si="668"/>
        <v xml:space="preserve">N35DC   </v>
      </c>
      <c r="N6106">
        <v>1</v>
      </c>
      <c r="O6106">
        <v>1750</v>
      </c>
    </row>
    <row r="6107" spans="1:15" x14ac:dyDescent="0.25">
      <c r="A6107" t="str">
        <f>"10/21/2020 18:57:12.109"</f>
        <v>10/21/2020 18:57:12.109</v>
      </c>
      <c r="B6107" t="str">
        <f>"18:57:20.031"</f>
        <v>18:57:20.031</v>
      </c>
      <c r="C6107" t="str">
        <f>"18:57:19.731"</f>
        <v>18:57:19.731</v>
      </c>
      <c r="D6107" t="s">
        <v>2552</v>
      </c>
      <c r="E6107">
        <v>30.649066000000001</v>
      </c>
      <c r="F6107" t="s">
        <v>2553</v>
      </c>
      <c r="G6107">
        <v>-89.736391999999995</v>
      </c>
      <c r="H6107">
        <v>1700</v>
      </c>
      <c r="I6107">
        <v>98</v>
      </c>
      <c r="J6107">
        <v>-130</v>
      </c>
      <c r="K6107">
        <v>0</v>
      </c>
      <c r="L6107">
        <v>1200</v>
      </c>
      <c r="M6107" t="str">
        <f t="shared" si="668"/>
        <v xml:space="preserve">N35DC   </v>
      </c>
      <c r="N6107">
        <v>1</v>
      </c>
      <c r="O6107">
        <v>1750</v>
      </c>
    </row>
    <row r="6108" spans="1:15" x14ac:dyDescent="0.25">
      <c r="A6108" t="str">
        <f>"10/21/2020 18:57:12.656"</f>
        <v>10/21/2020 18:57:12.656</v>
      </c>
      <c r="B6108" t="str">
        <f>"18:57:20.570"</f>
        <v>18:57:20.570</v>
      </c>
      <c r="C6108" t="str">
        <f>"18:57:20.270"</f>
        <v>18:57:20.270</v>
      </c>
      <c r="D6108" t="s">
        <v>2554</v>
      </c>
      <c r="E6108">
        <v>30.648744000000001</v>
      </c>
      <c r="F6108" t="s">
        <v>2555</v>
      </c>
      <c r="G6108">
        <v>-89.736048999999994</v>
      </c>
      <c r="H6108">
        <v>1700</v>
      </c>
      <c r="I6108">
        <v>99</v>
      </c>
      <c r="J6108">
        <v>-130</v>
      </c>
      <c r="K6108">
        <v>-192</v>
      </c>
      <c r="L6108">
        <v>1200</v>
      </c>
      <c r="M6108" t="str">
        <f t="shared" si="668"/>
        <v xml:space="preserve">N35DC   </v>
      </c>
      <c r="N6108">
        <v>1</v>
      </c>
      <c r="O6108">
        <v>1725</v>
      </c>
    </row>
    <row r="6109" spans="1:15" x14ac:dyDescent="0.25">
      <c r="A6109" t="str">
        <f>"10/21/2020 18:57:13.061"</f>
        <v>10/21/2020 18:57:13.061</v>
      </c>
      <c r="B6109" t="str">
        <f>"18:57:21.023"</f>
        <v>18:57:21.023</v>
      </c>
      <c r="C6109" t="str">
        <f>"18:57:20.723"</f>
        <v>18:57:20.723</v>
      </c>
      <c r="D6109" t="s">
        <v>2556</v>
      </c>
      <c r="E6109">
        <v>30.648465000000002</v>
      </c>
      <c r="F6109" t="s">
        <v>2557</v>
      </c>
      <c r="G6109">
        <v>-89.735899000000003</v>
      </c>
      <c r="H6109">
        <v>1700</v>
      </c>
      <c r="I6109">
        <v>98</v>
      </c>
      <c r="J6109">
        <v>-130</v>
      </c>
      <c r="K6109">
        <v>-192</v>
      </c>
      <c r="L6109">
        <v>1200</v>
      </c>
      <c r="M6109" t="str">
        <f t="shared" si="668"/>
        <v xml:space="preserve">N35DC   </v>
      </c>
      <c r="N6109">
        <v>1</v>
      </c>
      <c r="O6109">
        <v>1725</v>
      </c>
    </row>
    <row r="6110" spans="1:15" x14ac:dyDescent="0.25">
      <c r="A6110" t="str">
        <f>"10/21/2020 18:57:13.061"</f>
        <v>10/21/2020 18:57:13.061</v>
      </c>
      <c r="B6110" t="str">
        <f>"18:57:21.023"</f>
        <v>18:57:21.023</v>
      </c>
      <c r="C6110" t="str">
        <f>"18:57:20.723"</f>
        <v>18:57:20.723</v>
      </c>
      <c r="D6110" t="s">
        <v>2556</v>
      </c>
      <c r="E6110">
        <v>30.648465000000002</v>
      </c>
      <c r="F6110" t="s">
        <v>2557</v>
      </c>
      <c r="G6110">
        <v>-89.735899000000003</v>
      </c>
      <c r="H6110">
        <v>1700</v>
      </c>
      <c r="I6110">
        <v>98</v>
      </c>
      <c r="J6110">
        <v>-130</v>
      </c>
      <c r="K6110">
        <v>-192</v>
      </c>
      <c r="L6110">
        <v>1200</v>
      </c>
      <c r="M6110" t="str">
        <f t="shared" si="668"/>
        <v xml:space="preserve">N35DC   </v>
      </c>
      <c r="N6110">
        <v>1</v>
      </c>
      <c r="O6110">
        <v>1725</v>
      </c>
    </row>
    <row r="6111" spans="1:15" x14ac:dyDescent="0.25">
      <c r="A6111" t="str">
        <f>"10/21/2020 18:57:13.061"</f>
        <v>10/21/2020 18:57:13.061</v>
      </c>
      <c r="B6111" t="str">
        <f>"18:57:21.023"</f>
        <v>18:57:21.023</v>
      </c>
      <c r="C6111" t="str">
        <f>"18:57:20.723"</f>
        <v>18:57:20.723</v>
      </c>
      <c r="D6111" t="s">
        <v>2556</v>
      </c>
      <c r="E6111">
        <v>30.648465000000002</v>
      </c>
      <c r="F6111" t="s">
        <v>2557</v>
      </c>
      <c r="G6111">
        <v>-89.735899000000003</v>
      </c>
      <c r="H6111">
        <v>1700</v>
      </c>
      <c r="I6111">
        <v>98</v>
      </c>
      <c r="J6111">
        <v>-130</v>
      </c>
      <c r="K6111">
        <v>-192</v>
      </c>
      <c r="L6111">
        <v>1200</v>
      </c>
      <c r="M6111" t="str">
        <f t="shared" si="668"/>
        <v xml:space="preserve">N35DC   </v>
      </c>
      <c r="N6111">
        <v>1</v>
      </c>
      <c r="O6111">
        <v>1725</v>
      </c>
    </row>
    <row r="6112" spans="1:15" x14ac:dyDescent="0.25">
      <c r="A6112" t="str">
        <f>"10/21/2020 18:57:13.061"</f>
        <v>10/21/2020 18:57:13.061</v>
      </c>
      <c r="B6112" t="str">
        <f>"18:57:21.023"</f>
        <v>18:57:21.023</v>
      </c>
      <c r="C6112" t="str">
        <f>"18:57:20.723"</f>
        <v>18:57:20.723</v>
      </c>
      <c r="D6112" t="s">
        <v>2556</v>
      </c>
      <c r="E6112">
        <v>30.648465000000002</v>
      </c>
      <c r="F6112" t="s">
        <v>2557</v>
      </c>
      <c r="G6112">
        <v>-89.735899000000003</v>
      </c>
      <c r="H6112">
        <v>1700</v>
      </c>
      <c r="I6112">
        <v>98</v>
      </c>
      <c r="J6112">
        <v>-130</v>
      </c>
      <c r="K6112">
        <v>-192</v>
      </c>
      <c r="L6112">
        <v>1200</v>
      </c>
      <c r="M6112" t="str">
        <f t="shared" si="668"/>
        <v xml:space="preserve">N35DC   </v>
      </c>
      <c r="N6112">
        <v>1</v>
      </c>
      <c r="O6112">
        <v>1725</v>
      </c>
    </row>
    <row r="6113" spans="1:15" x14ac:dyDescent="0.25">
      <c r="A6113" t="str">
        <f>"10/21/2020 18:57:13.061"</f>
        <v>10/21/2020 18:57:13.061</v>
      </c>
      <c r="B6113" t="str">
        <f>"18:57:21.023"</f>
        <v>18:57:21.023</v>
      </c>
      <c r="C6113" t="str">
        <f>"18:57:20.723"</f>
        <v>18:57:20.723</v>
      </c>
      <c r="D6113" t="s">
        <v>2556</v>
      </c>
      <c r="E6113">
        <v>30.648465000000002</v>
      </c>
      <c r="F6113" t="s">
        <v>2557</v>
      </c>
      <c r="G6113">
        <v>-89.735899000000003</v>
      </c>
      <c r="H6113">
        <v>1700</v>
      </c>
      <c r="I6113">
        <v>98</v>
      </c>
      <c r="J6113">
        <v>-130</v>
      </c>
      <c r="K6113">
        <v>-192</v>
      </c>
      <c r="L6113">
        <v>1200</v>
      </c>
      <c r="M6113" t="str">
        <f t="shared" si="668"/>
        <v xml:space="preserve">N35DC   </v>
      </c>
      <c r="N6113">
        <v>1</v>
      </c>
      <c r="O6113">
        <v>1725</v>
      </c>
    </row>
    <row r="6114" spans="1:15" x14ac:dyDescent="0.25">
      <c r="A6114" t="str">
        <f>"10/21/2020 18:57:16.082"</f>
        <v>10/21/2020 18:57:16.082</v>
      </c>
      <c r="B6114" t="str">
        <f>"18:57:24.039"</f>
        <v>18:57:24.039</v>
      </c>
      <c r="C6114" t="str">
        <f>"18:57:23.539"</f>
        <v>18:57:23.539</v>
      </c>
      <c r="D6114" t="s">
        <v>2558</v>
      </c>
      <c r="E6114">
        <v>30.646640999999999</v>
      </c>
      <c r="F6114" t="s">
        <v>2559</v>
      </c>
      <c r="G6114">
        <v>-89.734290000000001</v>
      </c>
      <c r="H6114">
        <v>1700</v>
      </c>
      <c r="I6114">
        <v>97</v>
      </c>
      <c r="J6114">
        <v>-130</v>
      </c>
      <c r="K6114">
        <v>192</v>
      </c>
      <c r="L6114">
        <v>1200</v>
      </c>
      <c r="M6114" t="str">
        <f t="shared" si="668"/>
        <v xml:space="preserve">N35DC   </v>
      </c>
      <c r="N6114">
        <v>1</v>
      </c>
      <c r="O6114">
        <v>1725</v>
      </c>
    </row>
    <row r="6115" spans="1:15" x14ac:dyDescent="0.25">
      <c r="A6115" t="str">
        <f>"10/21/2020 18:57:16.082"</f>
        <v>10/21/2020 18:57:16.082</v>
      </c>
      <c r="B6115" t="str">
        <f>"18:57:24.039"</f>
        <v>18:57:24.039</v>
      </c>
      <c r="C6115" t="str">
        <f>"18:57:23.539"</f>
        <v>18:57:23.539</v>
      </c>
      <c r="D6115" t="s">
        <v>2558</v>
      </c>
      <c r="E6115">
        <v>30.646640999999999</v>
      </c>
      <c r="F6115" t="s">
        <v>2559</v>
      </c>
      <c r="G6115">
        <v>-89.734290000000001</v>
      </c>
      <c r="H6115">
        <v>1700</v>
      </c>
      <c r="I6115">
        <v>97</v>
      </c>
      <c r="J6115">
        <v>-130</v>
      </c>
      <c r="K6115">
        <v>192</v>
      </c>
      <c r="L6115">
        <v>1200</v>
      </c>
      <c r="M6115" t="str">
        <f t="shared" si="668"/>
        <v xml:space="preserve">N35DC   </v>
      </c>
      <c r="N6115">
        <v>1</v>
      </c>
      <c r="O6115">
        <v>1725</v>
      </c>
    </row>
    <row r="6116" spans="1:15" x14ac:dyDescent="0.25">
      <c r="A6116" t="str">
        <f>"10/21/2020 18:57:16.082"</f>
        <v>10/21/2020 18:57:16.082</v>
      </c>
      <c r="B6116" t="str">
        <f>"18:57:24.039"</f>
        <v>18:57:24.039</v>
      </c>
      <c r="C6116" t="str">
        <f>"18:57:23.539"</f>
        <v>18:57:23.539</v>
      </c>
      <c r="D6116" t="s">
        <v>2558</v>
      </c>
      <c r="E6116">
        <v>30.646640999999999</v>
      </c>
      <c r="F6116" t="s">
        <v>2559</v>
      </c>
      <c r="G6116">
        <v>-89.734290000000001</v>
      </c>
      <c r="H6116">
        <v>1700</v>
      </c>
      <c r="I6116">
        <v>97</v>
      </c>
      <c r="J6116">
        <v>-130</v>
      </c>
      <c r="K6116">
        <v>192</v>
      </c>
      <c r="L6116">
        <v>1200</v>
      </c>
      <c r="M6116" t="str">
        <f t="shared" si="668"/>
        <v xml:space="preserve">N35DC   </v>
      </c>
      <c r="N6116">
        <v>1</v>
      </c>
      <c r="O6116">
        <v>1725</v>
      </c>
    </row>
    <row r="6117" spans="1:15" x14ac:dyDescent="0.25">
      <c r="A6117" t="str">
        <f>"10/21/2020 18:57:16.082"</f>
        <v>10/21/2020 18:57:16.082</v>
      </c>
      <c r="B6117" t="str">
        <f>"18:57:24.039"</f>
        <v>18:57:24.039</v>
      </c>
      <c r="C6117" t="str">
        <f>"18:57:23.539"</f>
        <v>18:57:23.539</v>
      </c>
      <c r="D6117" t="s">
        <v>2558</v>
      </c>
      <c r="E6117">
        <v>30.646640999999999</v>
      </c>
      <c r="F6117" t="s">
        <v>2559</v>
      </c>
      <c r="G6117">
        <v>-89.734290000000001</v>
      </c>
      <c r="H6117">
        <v>1700</v>
      </c>
      <c r="I6117">
        <v>97</v>
      </c>
      <c r="J6117">
        <v>-130</v>
      </c>
      <c r="K6117">
        <v>192</v>
      </c>
      <c r="L6117">
        <v>1200</v>
      </c>
      <c r="M6117" t="str">
        <f t="shared" si="668"/>
        <v xml:space="preserve">N35DC   </v>
      </c>
      <c r="N6117">
        <v>1</v>
      </c>
      <c r="O6117">
        <v>1725</v>
      </c>
    </row>
    <row r="6118" spans="1:15" x14ac:dyDescent="0.25">
      <c r="A6118" t="str">
        <f>"10/21/2020 18:57:16.082"</f>
        <v>10/21/2020 18:57:16.082</v>
      </c>
      <c r="B6118" t="str">
        <f>"18:57:24.039"</f>
        <v>18:57:24.039</v>
      </c>
      <c r="C6118" t="str">
        <f>"18:57:23.539"</f>
        <v>18:57:23.539</v>
      </c>
      <c r="D6118" t="s">
        <v>2558</v>
      </c>
      <c r="E6118">
        <v>30.646640999999999</v>
      </c>
      <c r="F6118" t="s">
        <v>2559</v>
      </c>
      <c r="G6118">
        <v>-89.734290000000001</v>
      </c>
      <c r="H6118">
        <v>1700</v>
      </c>
      <c r="I6118">
        <v>97</v>
      </c>
      <c r="J6118">
        <v>-130</v>
      </c>
      <c r="K6118">
        <v>192</v>
      </c>
      <c r="L6118">
        <v>1200</v>
      </c>
      <c r="M6118" t="str">
        <f t="shared" si="668"/>
        <v xml:space="preserve">N35DC   </v>
      </c>
      <c r="N6118">
        <v>1</v>
      </c>
      <c r="O6118">
        <v>1725</v>
      </c>
    </row>
    <row r="6119" spans="1:15" x14ac:dyDescent="0.25">
      <c r="A6119" t="str">
        <f>"10/21/2020 18:57:16.728"</f>
        <v>10/21/2020 18:57:16.728</v>
      </c>
      <c r="B6119" t="str">
        <f>"18:57:24.625"</f>
        <v>18:57:24.625</v>
      </c>
      <c r="C6119" t="str">
        <f>"18:57:24.125"</f>
        <v>18:57:24.125</v>
      </c>
      <c r="D6119" t="s">
        <v>2560</v>
      </c>
      <c r="E6119">
        <v>30.646276</v>
      </c>
      <c r="F6119" t="s">
        <v>2561</v>
      </c>
      <c r="G6119">
        <v>-89.733968000000004</v>
      </c>
      <c r="H6119">
        <v>1700</v>
      </c>
      <c r="I6119">
        <v>97</v>
      </c>
      <c r="J6119">
        <v>-131</v>
      </c>
      <c r="K6119">
        <v>128</v>
      </c>
      <c r="L6119">
        <v>1200</v>
      </c>
      <c r="M6119" t="str">
        <f t="shared" si="668"/>
        <v xml:space="preserve">N35DC   </v>
      </c>
      <c r="N6119">
        <v>1</v>
      </c>
      <c r="O6119">
        <v>1725</v>
      </c>
    </row>
    <row r="6120" spans="1:15" x14ac:dyDescent="0.25">
      <c r="A6120" t="str">
        <f>"10/21/2020 18:57:19.263"</f>
        <v>10/21/2020 18:57:19.263</v>
      </c>
      <c r="B6120" t="str">
        <f>"18:57:27.203"</f>
        <v>18:57:27.203</v>
      </c>
      <c r="C6120" t="str">
        <f>"18:57:26.803"</f>
        <v>18:57:26.803</v>
      </c>
      <c r="D6120" t="s">
        <v>902</v>
      </c>
      <c r="E6120">
        <v>30.64471</v>
      </c>
      <c r="F6120" t="s">
        <v>2562</v>
      </c>
      <c r="G6120">
        <v>-89.732658999999998</v>
      </c>
      <c r="H6120">
        <v>1700</v>
      </c>
      <c r="I6120">
        <v>96</v>
      </c>
      <c r="J6120">
        <v>-130</v>
      </c>
      <c r="K6120">
        <v>64</v>
      </c>
      <c r="L6120">
        <v>1200</v>
      </c>
      <c r="M6120" t="str">
        <f t="shared" si="668"/>
        <v xml:space="preserve">N35DC   </v>
      </c>
      <c r="N6120">
        <v>1</v>
      </c>
      <c r="O6120">
        <v>1750</v>
      </c>
    </row>
    <row r="6121" spans="1:15" x14ac:dyDescent="0.25">
      <c r="A6121" t="str">
        <f>"10/21/2020 18:57:19.263"</f>
        <v>10/21/2020 18:57:19.263</v>
      </c>
      <c r="B6121" t="str">
        <f>"18:57:27.203"</f>
        <v>18:57:27.203</v>
      </c>
      <c r="C6121" t="str">
        <f>"18:57:26.803"</f>
        <v>18:57:26.803</v>
      </c>
      <c r="D6121" t="s">
        <v>902</v>
      </c>
      <c r="E6121">
        <v>30.64471</v>
      </c>
      <c r="F6121" t="s">
        <v>2562</v>
      </c>
      <c r="G6121">
        <v>-89.732658999999998</v>
      </c>
      <c r="H6121">
        <v>1700</v>
      </c>
      <c r="I6121">
        <v>96</v>
      </c>
      <c r="J6121">
        <v>-130</v>
      </c>
      <c r="K6121">
        <v>64</v>
      </c>
      <c r="L6121">
        <v>1200</v>
      </c>
      <c r="M6121" t="str">
        <f t="shared" si="668"/>
        <v xml:space="preserve">N35DC   </v>
      </c>
      <c r="N6121">
        <v>1</v>
      </c>
      <c r="O6121">
        <v>1750</v>
      </c>
    </row>
    <row r="6122" spans="1:15" x14ac:dyDescent="0.25">
      <c r="A6122" t="str">
        <f>"10/21/2020 18:57:19.263"</f>
        <v>10/21/2020 18:57:19.263</v>
      </c>
      <c r="B6122" t="str">
        <f>"18:57:27.203"</f>
        <v>18:57:27.203</v>
      </c>
      <c r="C6122" t="str">
        <f>"18:57:26.803"</f>
        <v>18:57:26.803</v>
      </c>
      <c r="D6122" t="s">
        <v>902</v>
      </c>
      <c r="E6122">
        <v>30.64471</v>
      </c>
      <c r="F6122" t="s">
        <v>2562</v>
      </c>
      <c r="G6122">
        <v>-89.732658999999998</v>
      </c>
      <c r="H6122">
        <v>1700</v>
      </c>
      <c r="I6122">
        <v>96</v>
      </c>
      <c r="J6122">
        <v>-130</v>
      </c>
      <c r="K6122">
        <v>64</v>
      </c>
      <c r="L6122">
        <v>1200</v>
      </c>
      <c r="M6122" t="str">
        <f t="shared" si="668"/>
        <v xml:space="preserve">N35DC   </v>
      </c>
      <c r="N6122">
        <v>1</v>
      </c>
      <c r="O6122">
        <v>1750</v>
      </c>
    </row>
    <row r="6123" spans="1:15" x14ac:dyDescent="0.25">
      <c r="A6123" t="str">
        <f>"10/21/2020 18:57:19.263"</f>
        <v>10/21/2020 18:57:19.263</v>
      </c>
      <c r="B6123" t="str">
        <f>"18:57:27.203"</f>
        <v>18:57:27.203</v>
      </c>
      <c r="C6123" t="str">
        <f>"18:57:26.803"</f>
        <v>18:57:26.803</v>
      </c>
      <c r="D6123" t="s">
        <v>902</v>
      </c>
      <c r="E6123">
        <v>30.64471</v>
      </c>
      <c r="F6123" t="s">
        <v>2562</v>
      </c>
      <c r="G6123">
        <v>-89.732658999999998</v>
      </c>
      <c r="H6123">
        <v>1700</v>
      </c>
      <c r="I6123">
        <v>96</v>
      </c>
      <c r="J6123">
        <v>-130</v>
      </c>
      <c r="K6123">
        <v>64</v>
      </c>
      <c r="L6123">
        <v>1200</v>
      </c>
      <c r="M6123" t="str">
        <f t="shared" si="668"/>
        <v xml:space="preserve">N35DC   </v>
      </c>
      <c r="N6123">
        <v>1</v>
      </c>
      <c r="O6123">
        <v>1750</v>
      </c>
    </row>
    <row r="6124" spans="1:15" x14ac:dyDescent="0.25">
      <c r="A6124" t="str">
        <f>"10/21/2020 18:57:19.263"</f>
        <v>10/21/2020 18:57:19.263</v>
      </c>
      <c r="B6124" t="str">
        <f>"18:57:27.203"</f>
        <v>18:57:27.203</v>
      </c>
      <c r="C6124" t="str">
        <f>"18:57:26.803"</f>
        <v>18:57:26.803</v>
      </c>
      <c r="D6124" t="s">
        <v>902</v>
      </c>
      <c r="E6124">
        <v>30.64471</v>
      </c>
      <c r="F6124" t="s">
        <v>2562</v>
      </c>
      <c r="G6124">
        <v>-89.732658999999998</v>
      </c>
      <c r="H6124">
        <v>1700</v>
      </c>
      <c r="I6124">
        <v>96</v>
      </c>
      <c r="J6124">
        <v>-130</v>
      </c>
      <c r="K6124">
        <v>64</v>
      </c>
      <c r="L6124">
        <v>1200</v>
      </c>
      <c r="M6124" t="str">
        <f t="shared" si="668"/>
        <v xml:space="preserve">N35DC   </v>
      </c>
      <c r="N6124">
        <v>1</v>
      </c>
      <c r="O6124">
        <v>1750</v>
      </c>
    </row>
    <row r="6125" spans="1:15" x14ac:dyDescent="0.25">
      <c r="A6125" t="str">
        <f t="shared" ref="A6125:A6130" si="675">"10/21/2020 18:57:21.135"</f>
        <v>10/21/2020 18:57:21.135</v>
      </c>
      <c r="B6125" t="str">
        <f t="shared" ref="B6125:B6130" si="676">"18:57:29.078"</f>
        <v>18:57:29.078</v>
      </c>
      <c r="C6125" t="str">
        <f t="shared" ref="C6125:C6130" si="677">"18:57:28.778"</f>
        <v>18:57:28.778</v>
      </c>
      <c r="D6125" t="s">
        <v>2563</v>
      </c>
      <c r="E6125">
        <v>30.643573</v>
      </c>
      <c r="F6125" t="s">
        <v>2564</v>
      </c>
      <c r="G6125">
        <v>-89.731650000000002</v>
      </c>
      <c r="H6125">
        <v>1700</v>
      </c>
      <c r="I6125">
        <v>95</v>
      </c>
      <c r="J6125">
        <v>-131</v>
      </c>
      <c r="K6125">
        <v>0</v>
      </c>
      <c r="L6125">
        <v>1200</v>
      </c>
      <c r="M6125" t="str">
        <f t="shared" si="668"/>
        <v xml:space="preserve">N35DC   </v>
      </c>
      <c r="N6125">
        <v>1</v>
      </c>
      <c r="O6125">
        <v>1750</v>
      </c>
    </row>
    <row r="6126" spans="1:15" x14ac:dyDescent="0.25">
      <c r="A6126" t="str">
        <f t="shared" si="675"/>
        <v>10/21/2020 18:57:21.135</v>
      </c>
      <c r="B6126" t="str">
        <f t="shared" si="676"/>
        <v>18:57:29.078</v>
      </c>
      <c r="C6126" t="str">
        <f t="shared" si="677"/>
        <v>18:57:28.778</v>
      </c>
      <c r="D6126" t="s">
        <v>2563</v>
      </c>
      <c r="E6126">
        <v>30.643573</v>
      </c>
      <c r="F6126" t="s">
        <v>2564</v>
      </c>
      <c r="G6126">
        <v>-89.731650000000002</v>
      </c>
      <c r="H6126">
        <v>1700</v>
      </c>
      <c r="I6126">
        <v>95</v>
      </c>
      <c r="J6126">
        <v>-131</v>
      </c>
      <c r="K6126">
        <v>0</v>
      </c>
      <c r="L6126">
        <v>1200</v>
      </c>
      <c r="M6126" t="str">
        <f t="shared" si="668"/>
        <v xml:space="preserve">N35DC   </v>
      </c>
      <c r="N6126">
        <v>1</v>
      </c>
      <c r="O6126">
        <v>1750</v>
      </c>
    </row>
    <row r="6127" spans="1:15" x14ac:dyDescent="0.25">
      <c r="A6127" t="str">
        <f t="shared" si="675"/>
        <v>10/21/2020 18:57:21.135</v>
      </c>
      <c r="B6127" t="str">
        <f t="shared" si="676"/>
        <v>18:57:29.078</v>
      </c>
      <c r="C6127" t="str">
        <f t="shared" si="677"/>
        <v>18:57:28.778</v>
      </c>
      <c r="D6127" t="s">
        <v>2563</v>
      </c>
      <c r="E6127">
        <v>30.643573</v>
      </c>
      <c r="F6127" t="s">
        <v>2564</v>
      </c>
      <c r="G6127">
        <v>-89.731650000000002</v>
      </c>
      <c r="H6127">
        <v>1700</v>
      </c>
      <c r="I6127">
        <v>95</v>
      </c>
      <c r="J6127">
        <v>-131</v>
      </c>
      <c r="K6127">
        <v>0</v>
      </c>
      <c r="L6127">
        <v>1200</v>
      </c>
      <c r="M6127" t="str">
        <f t="shared" si="668"/>
        <v xml:space="preserve">N35DC   </v>
      </c>
      <c r="N6127">
        <v>1</v>
      </c>
      <c r="O6127">
        <v>1750</v>
      </c>
    </row>
    <row r="6128" spans="1:15" x14ac:dyDescent="0.25">
      <c r="A6128" t="str">
        <f t="shared" si="675"/>
        <v>10/21/2020 18:57:21.135</v>
      </c>
      <c r="B6128" t="str">
        <f t="shared" si="676"/>
        <v>18:57:29.078</v>
      </c>
      <c r="C6128" t="str">
        <f t="shared" si="677"/>
        <v>18:57:28.778</v>
      </c>
      <c r="D6128" t="s">
        <v>2563</v>
      </c>
      <c r="E6128">
        <v>30.643573</v>
      </c>
      <c r="F6128" t="s">
        <v>2564</v>
      </c>
      <c r="G6128">
        <v>-89.731650000000002</v>
      </c>
      <c r="H6128">
        <v>1700</v>
      </c>
      <c r="I6128">
        <v>95</v>
      </c>
      <c r="J6128">
        <v>-131</v>
      </c>
      <c r="K6128">
        <v>0</v>
      </c>
      <c r="L6128">
        <v>1200</v>
      </c>
      <c r="M6128" t="str">
        <f t="shared" si="668"/>
        <v xml:space="preserve">N35DC   </v>
      </c>
      <c r="N6128">
        <v>1</v>
      </c>
      <c r="O6128">
        <v>1750</v>
      </c>
    </row>
    <row r="6129" spans="1:15" x14ac:dyDescent="0.25">
      <c r="A6129" t="str">
        <f t="shared" si="675"/>
        <v>10/21/2020 18:57:21.135</v>
      </c>
      <c r="B6129" t="str">
        <f t="shared" si="676"/>
        <v>18:57:29.078</v>
      </c>
      <c r="C6129" t="str">
        <f t="shared" si="677"/>
        <v>18:57:28.778</v>
      </c>
      <c r="D6129" t="s">
        <v>2563</v>
      </c>
      <c r="E6129">
        <v>30.643573</v>
      </c>
      <c r="F6129" t="s">
        <v>2564</v>
      </c>
      <c r="G6129">
        <v>-89.731650000000002</v>
      </c>
      <c r="H6129">
        <v>1700</v>
      </c>
      <c r="I6129">
        <v>95</v>
      </c>
      <c r="J6129">
        <v>-131</v>
      </c>
      <c r="K6129">
        <v>0</v>
      </c>
      <c r="L6129">
        <v>1200</v>
      </c>
      <c r="M6129" t="str">
        <f t="shared" si="668"/>
        <v xml:space="preserve">N35DC   </v>
      </c>
      <c r="N6129">
        <v>1</v>
      </c>
      <c r="O6129">
        <v>1750</v>
      </c>
    </row>
    <row r="6130" spans="1:15" x14ac:dyDescent="0.25">
      <c r="A6130" t="str">
        <f t="shared" si="675"/>
        <v>10/21/2020 18:57:21.135</v>
      </c>
      <c r="B6130" t="str">
        <f t="shared" si="676"/>
        <v>18:57:29.078</v>
      </c>
      <c r="C6130" t="str">
        <f t="shared" si="677"/>
        <v>18:57:28.778</v>
      </c>
      <c r="D6130" t="s">
        <v>2563</v>
      </c>
      <c r="E6130">
        <v>30.643573</v>
      </c>
      <c r="F6130" t="s">
        <v>2564</v>
      </c>
      <c r="G6130">
        <v>-89.731650000000002</v>
      </c>
      <c r="H6130">
        <v>1700</v>
      </c>
      <c r="I6130">
        <v>95</v>
      </c>
      <c r="J6130">
        <v>-131</v>
      </c>
      <c r="K6130">
        <v>0</v>
      </c>
      <c r="L6130">
        <v>1200</v>
      </c>
      <c r="M6130" t="str">
        <f t="shared" si="668"/>
        <v xml:space="preserve">N35DC   </v>
      </c>
      <c r="N6130">
        <v>1</v>
      </c>
      <c r="O6130">
        <v>1750</v>
      </c>
    </row>
    <row r="6131" spans="1:15" x14ac:dyDescent="0.25">
      <c r="A6131" t="str">
        <f>"10/21/2020 18:57:22.094"</f>
        <v>10/21/2020 18:57:22.094</v>
      </c>
      <c r="B6131" t="str">
        <f>"18:57:29.992"</f>
        <v>18:57:29.992</v>
      </c>
      <c r="C6131" t="str">
        <f>"18:57:29.692"</f>
        <v>18:57:29.692</v>
      </c>
      <c r="D6131" t="s">
        <v>2565</v>
      </c>
      <c r="E6131">
        <v>30.643014999999998</v>
      </c>
      <c r="F6131" t="s">
        <v>2566</v>
      </c>
      <c r="G6131">
        <v>-89.731221000000005</v>
      </c>
      <c r="H6131">
        <v>1700</v>
      </c>
      <c r="I6131">
        <v>93</v>
      </c>
      <c r="J6131">
        <v>-132</v>
      </c>
      <c r="K6131">
        <v>0</v>
      </c>
      <c r="L6131">
        <v>1200</v>
      </c>
      <c r="M6131" t="str">
        <f t="shared" si="668"/>
        <v xml:space="preserve">N35DC   </v>
      </c>
      <c r="N6131">
        <v>1</v>
      </c>
      <c r="O6131">
        <v>1750</v>
      </c>
    </row>
    <row r="6132" spans="1:15" x14ac:dyDescent="0.25">
      <c r="A6132" t="str">
        <f>"10/21/2020 18:57:22.094"</f>
        <v>10/21/2020 18:57:22.094</v>
      </c>
      <c r="B6132" t="str">
        <f>"18:57:29.992"</f>
        <v>18:57:29.992</v>
      </c>
      <c r="C6132" t="str">
        <f>"18:57:29.692"</f>
        <v>18:57:29.692</v>
      </c>
      <c r="D6132" t="s">
        <v>2565</v>
      </c>
      <c r="E6132">
        <v>30.643014999999998</v>
      </c>
      <c r="F6132" t="s">
        <v>2566</v>
      </c>
      <c r="G6132">
        <v>-89.731221000000005</v>
      </c>
      <c r="H6132">
        <v>1700</v>
      </c>
      <c r="I6132">
        <v>93</v>
      </c>
      <c r="J6132">
        <v>-132</v>
      </c>
      <c r="K6132">
        <v>0</v>
      </c>
      <c r="L6132">
        <v>1200</v>
      </c>
      <c r="M6132" t="str">
        <f t="shared" si="668"/>
        <v xml:space="preserve">N35DC   </v>
      </c>
      <c r="N6132">
        <v>1</v>
      </c>
      <c r="O6132">
        <v>1750</v>
      </c>
    </row>
    <row r="6133" spans="1:15" x14ac:dyDescent="0.25">
      <c r="A6133" t="str">
        <f>"10/21/2020 18:57:22.094"</f>
        <v>10/21/2020 18:57:22.094</v>
      </c>
      <c r="B6133" t="str">
        <f>"18:57:29.992"</f>
        <v>18:57:29.992</v>
      </c>
      <c r="C6133" t="str">
        <f>"18:57:29.692"</f>
        <v>18:57:29.692</v>
      </c>
      <c r="D6133" t="s">
        <v>2565</v>
      </c>
      <c r="E6133">
        <v>30.643014999999998</v>
      </c>
      <c r="F6133" t="s">
        <v>2566</v>
      </c>
      <c r="G6133">
        <v>-89.731221000000005</v>
      </c>
      <c r="H6133">
        <v>1700</v>
      </c>
      <c r="I6133">
        <v>93</v>
      </c>
      <c r="J6133">
        <v>-132</v>
      </c>
      <c r="K6133">
        <v>0</v>
      </c>
      <c r="L6133">
        <v>1200</v>
      </c>
      <c r="M6133" t="str">
        <f t="shared" si="668"/>
        <v xml:space="preserve">N35DC   </v>
      </c>
      <c r="N6133">
        <v>1</v>
      </c>
      <c r="O6133">
        <v>1750</v>
      </c>
    </row>
    <row r="6134" spans="1:15" x14ac:dyDescent="0.25">
      <c r="A6134" t="str">
        <f>"10/21/2020 18:57:22.094"</f>
        <v>10/21/2020 18:57:22.094</v>
      </c>
      <c r="B6134" t="str">
        <f>"18:57:29.992"</f>
        <v>18:57:29.992</v>
      </c>
      <c r="C6134" t="str">
        <f>"18:57:29.692"</f>
        <v>18:57:29.692</v>
      </c>
      <c r="D6134" t="s">
        <v>2565</v>
      </c>
      <c r="E6134">
        <v>30.643014999999998</v>
      </c>
      <c r="F6134" t="s">
        <v>2566</v>
      </c>
      <c r="G6134">
        <v>-89.731221000000005</v>
      </c>
      <c r="H6134">
        <v>1700</v>
      </c>
      <c r="I6134">
        <v>93</v>
      </c>
      <c r="J6134">
        <v>-132</v>
      </c>
      <c r="K6134">
        <v>0</v>
      </c>
      <c r="L6134">
        <v>1200</v>
      </c>
      <c r="M6134" t="str">
        <f t="shared" si="668"/>
        <v xml:space="preserve">N35DC   </v>
      </c>
      <c r="N6134">
        <v>1</v>
      </c>
      <c r="O6134">
        <v>1750</v>
      </c>
    </row>
    <row r="6135" spans="1:15" x14ac:dyDescent="0.25">
      <c r="A6135" t="str">
        <f>"10/21/2020 18:57:22.094"</f>
        <v>10/21/2020 18:57:22.094</v>
      </c>
      <c r="B6135" t="str">
        <f>"18:57:29.992"</f>
        <v>18:57:29.992</v>
      </c>
      <c r="C6135" t="str">
        <f>"18:57:29.692"</f>
        <v>18:57:29.692</v>
      </c>
      <c r="D6135" t="s">
        <v>2565</v>
      </c>
      <c r="E6135">
        <v>30.643014999999998</v>
      </c>
      <c r="F6135" t="s">
        <v>2566</v>
      </c>
      <c r="G6135">
        <v>-89.731221000000005</v>
      </c>
      <c r="H6135">
        <v>1700</v>
      </c>
      <c r="I6135">
        <v>93</v>
      </c>
      <c r="J6135">
        <v>-132</v>
      </c>
      <c r="K6135">
        <v>0</v>
      </c>
      <c r="L6135">
        <v>1200</v>
      </c>
      <c r="M6135" t="str">
        <f t="shared" si="668"/>
        <v xml:space="preserve">N35DC   </v>
      </c>
      <c r="N6135">
        <v>1</v>
      </c>
      <c r="O6135">
        <v>1750</v>
      </c>
    </row>
    <row r="6136" spans="1:15" x14ac:dyDescent="0.25">
      <c r="A6136" t="str">
        <f>"10/21/2020 18:57:22.568"</f>
        <v>10/21/2020 18:57:22.568</v>
      </c>
      <c r="B6136" t="str">
        <f>"18:57:30.469"</f>
        <v>18:57:30.469</v>
      </c>
      <c r="C6136" t="str">
        <f>"18:57:30.169"</f>
        <v>18:57:30.169</v>
      </c>
      <c r="D6136" t="s">
        <v>895</v>
      </c>
      <c r="E6136">
        <v>30.642693000000001</v>
      </c>
      <c r="F6136" t="s">
        <v>2567</v>
      </c>
      <c r="G6136">
        <v>-89.731007000000005</v>
      </c>
      <c r="H6136">
        <v>1700</v>
      </c>
      <c r="I6136">
        <v>92</v>
      </c>
      <c r="J6136">
        <v>-133</v>
      </c>
      <c r="K6136">
        <v>0</v>
      </c>
      <c r="L6136">
        <v>1200</v>
      </c>
      <c r="M6136" t="str">
        <f t="shared" si="668"/>
        <v xml:space="preserve">N35DC   </v>
      </c>
      <c r="N6136">
        <v>1</v>
      </c>
      <c r="O6136">
        <v>1750</v>
      </c>
    </row>
    <row r="6137" spans="1:15" x14ac:dyDescent="0.25">
      <c r="A6137" t="str">
        <f>"10/21/2020 18:57:23.055"</f>
        <v>10/21/2020 18:57:23.055</v>
      </c>
      <c r="B6137" t="str">
        <f>"18:57:31.000"</f>
        <v>18:57:31.000</v>
      </c>
      <c r="C6137" t="str">
        <f>"18:57:30.800"</f>
        <v>18:57:30.800</v>
      </c>
      <c r="D6137" t="s">
        <v>2568</v>
      </c>
      <c r="E6137">
        <v>30.642413999999999</v>
      </c>
      <c r="F6137" t="s">
        <v>2569</v>
      </c>
      <c r="G6137">
        <v>-89.730727999999999</v>
      </c>
      <c r="H6137">
        <v>1700</v>
      </c>
      <c r="I6137">
        <v>90</v>
      </c>
      <c r="J6137">
        <v>-134</v>
      </c>
      <c r="K6137">
        <v>64</v>
      </c>
      <c r="L6137">
        <v>1200</v>
      </c>
      <c r="M6137" t="str">
        <f t="shared" si="668"/>
        <v xml:space="preserve">N35DC   </v>
      </c>
      <c r="N6137">
        <v>1</v>
      </c>
      <c r="O6137">
        <v>1750</v>
      </c>
    </row>
    <row r="6138" spans="1:15" x14ac:dyDescent="0.25">
      <c r="A6138" t="str">
        <f>"10/21/2020 18:57:23.055"</f>
        <v>10/21/2020 18:57:23.055</v>
      </c>
      <c r="B6138" t="str">
        <f>"18:57:31.000"</f>
        <v>18:57:31.000</v>
      </c>
      <c r="C6138" t="str">
        <f>"18:57:30.800"</f>
        <v>18:57:30.800</v>
      </c>
      <c r="D6138" t="s">
        <v>2568</v>
      </c>
      <c r="E6138">
        <v>30.642413999999999</v>
      </c>
      <c r="F6138" t="s">
        <v>2569</v>
      </c>
      <c r="G6138">
        <v>-89.730727999999999</v>
      </c>
      <c r="H6138">
        <v>1700</v>
      </c>
      <c r="I6138">
        <v>90</v>
      </c>
      <c r="J6138">
        <v>-134</v>
      </c>
      <c r="K6138">
        <v>64</v>
      </c>
      <c r="L6138">
        <v>1200</v>
      </c>
      <c r="M6138" t="str">
        <f t="shared" si="668"/>
        <v xml:space="preserve">N35DC   </v>
      </c>
      <c r="N6138">
        <v>1</v>
      </c>
      <c r="O6138">
        <v>1750</v>
      </c>
    </row>
    <row r="6139" spans="1:15" x14ac:dyDescent="0.25">
      <c r="A6139" t="str">
        <f>"10/21/2020 18:57:23.055"</f>
        <v>10/21/2020 18:57:23.055</v>
      </c>
      <c r="B6139" t="str">
        <f>"18:57:31.000"</f>
        <v>18:57:31.000</v>
      </c>
      <c r="C6139" t="str">
        <f>"18:57:30.800"</f>
        <v>18:57:30.800</v>
      </c>
      <c r="D6139" t="s">
        <v>2568</v>
      </c>
      <c r="E6139">
        <v>30.642413999999999</v>
      </c>
      <c r="F6139" t="s">
        <v>2569</v>
      </c>
      <c r="G6139">
        <v>-89.730727999999999</v>
      </c>
      <c r="H6139">
        <v>1700</v>
      </c>
      <c r="I6139">
        <v>90</v>
      </c>
      <c r="J6139">
        <v>-134</v>
      </c>
      <c r="K6139">
        <v>64</v>
      </c>
      <c r="L6139">
        <v>1200</v>
      </c>
      <c r="M6139" t="str">
        <f t="shared" si="668"/>
        <v xml:space="preserve">N35DC   </v>
      </c>
      <c r="N6139">
        <v>1</v>
      </c>
      <c r="O6139">
        <v>1750</v>
      </c>
    </row>
    <row r="6140" spans="1:15" x14ac:dyDescent="0.25">
      <c r="A6140" t="str">
        <f>"10/21/2020 18:57:23.055"</f>
        <v>10/21/2020 18:57:23.055</v>
      </c>
      <c r="B6140" t="str">
        <f>"18:57:31.000"</f>
        <v>18:57:31.000</v>
      </c>
      <c r="C6140" t="str">
        <f>"18:57:30.800"</f>
        <v>18:57:30.800</v>
      </c>
      <c r="D6140" t="s">
        <v>2568</v>
      </c>
      <c r="E6140">
        <v>30.642413999999999</v>
      </c>
      <c r="F6140" t="s">
        <v>2569</v>
      </c>
      <c r="G6140">
        <v>-89.730727999999999</v>
      </c>
      <c r="H6140">
        <v>1700</v>
      </c>
      <c r="I6140">
        <v>90</v>
      </c>
      <c r="J6140">
        <v>-134</v>
      </c>
      <c r="K6140">
        <v>64</v>
      </c>
      <c r="L6140">
        <v>1200</v>
      </c>
      <c r="M6140" t="str">
        <f t="shared" si="668"/>
        <v xml:space="preserve">N35DC   </v>
      </c>
      <c r="N6140">
        <v>1</v>
      </c>
      <c r="O6140">
        <v>1750</v>
      </c>
    </row>
    <row r="6141" spans="1:15" x14ac:dyDescent="0.25">
      <c r="A6141" t="str">
        <f>"10/21/2020 18:57:23.055"</f>
        <v>10/21/2020 18:57:23.055</v>
      </c>
      <c r="B6141" t="str">
        <f>"18:57:31.000"</f>
        <v>18:57:31.000</v>
      </c>
      <c r="C6141" t="str">
        <f>"18:57:30.800"</f>
        <v>18:57:30.800</v>
      </c>
      <c r="D6141" t="s">
        <v>2568</v>
      </c>
      <c r="E6141">
        <v>30.642413999999999</v>
      </c>
      <c r="F6141" t="s">
        <v>2569</v>
      </c>
      <c r="G6141">
        <v>-89.730727999999999</v>
      </c>
      <c r="H6141">
        <v>1700</v>
      </c>
      <c r="I6141">
        <v>90</v>
      </c>
      <c r="J6141">
        <v>-134</v>
      </c>
      <c r="K6141">
        <v>64</v>
      </c>
      <c r="L6141">
        <v>1200</v>
      </c>
      <c r="M6141" t="str">
        <f t="shared" si="668"/>
        <v xml:space="preserve">N35DC   </v>
      </c>
      <c r="N6141">
        <v>1</v>
      </c>
      <c r="O6141">
        <v>1750</v>
      </c>
    </row>
    <row r="6142" spans="1:15" x14ac:dyDescent="0.25">
      <c r="A6142" t="str">
        <f>"10/21/2020 18:57:28.080"</f>
        <v>10/21/2020 18:57:28.080</v>
      </c>
      <c r="B6142" t="str">
        <f>"18:57:36.039"</f>
        <v>18:57:36.039</v>
      </c>
      <c r="C6142" t="str">
        <f>"18:57:35.639"</f>
        <v>18:57:35.639</v>
      </c>
      <c r="D6142" t="s">
        <v>2570</v>
      </c>
      <c r="E6142">
        <v>30.639044999999999</v>
      </c>
      <c r="F6142" t="s">
        <v>2571</v>
      </c>
      <c r="G6142">
        <v>-89.728624999999994</v>
      </c>
      <c r="H6142">
        <v>1700</v>
      </c>
      <c r="I6142">
        <v>69</v>
      </c>
      <c r="J6142">
        <v>-149</v>
      </c>
      <c r="K6142">
        <v>-320</v>
      </c>
      <c r="L6142">
        <v>1200</v>
      </c>
      <c r="M6142" t="str">
        <f t="shared" si="668"/>
        <v xml:space="preserve">N35DC   </v>
      </c>
      <c r="N6142">
        <v>1</v>
      </c>
      <c r="O6142">
        <v>1725</v>
      </c>
    </row>
    <row r="6143" spans="1:15" x14ac:dyDescent="0.25">
      <c r="A6143" t="str">
        <f>"10/21/2020 18:57:28.080"</f>
        <v>10/21/2020 18:57:28.080</v>
      </c>
      <c r="B6143" t="str">
        <f>"18:57:36.039"</f>
        <v>18:57:36.039</v>
      </c>
      <c r="C6143" t="str">
        <f>"18:57:35.639"</f>
        <v>18:57:35.639</v>
      </c>
      <c r="D6143" t="s">
        <v>2570</v>
      </c>
      <c r="E6143">
        <v>30.639044999999999</v>
      </c>
      <c r="F6143" t="s">
        <v>2571</v>
      </c>
      <c r="G6143">
        <v>-89.728624999999994</v>
      </c>
      <c r="H6143">
        <v>1700</v>
      </c>
      <c r="I6143">
        <v>69</v>
      </c>
      <c r="J6143">
        <v>-149</v>
      </c>
      <c r="K6143">
        <v>-320</v>
      </c>
      <c r="L6143">
        <v>1200</v>
      </c>
      <c r="M6143" t="str">
        <f t="shared" si="668"/>
        <v xml:space="preserve">N35DC   </v>
      </c>
      <c r="N6143">
        <v>1</v>
      </c>
      <c r="O6143">
        <v>1725</v>
      </c>
    </row>
    <row r="6144" spans="1:15" x14ac:dyDescent="0.25">
      <c r="A6144" t="str">
        <f>"10/21/2020 18:57:28.080"</f>
        <v>10/21/2020 18:57:28.080</v>
      </c>
      <c r="B6144" t="str">
        <f>"18:57:36.039"</f>
        <v>18:57:36.039</v>
      </c>
      <c r="C6144" t="str">
        <f>"18:57:35.639"</f>
        <v>18:57:35.639</v>
      </c>
      <c r="D6144" t="s">
        <v>2570</v>
      </c>
      <c r="E6144">
        <v>30.639044999999999</v>
      </c>
      <c r="F6144" t="s">
        <v>2571</v>
      </c>
      <c r="G6144">
        <v>-89.728624999999994</v>
      </c>
      <c r="H6144">
        <v>1700</v>
      </c>
      <c r="I6144">
        <v>69</v>
      </c>
      <c r="J6144">
        <v>-149</v>
      </c>
      <c r="K6144">
        <v>-320</v>
      </c>
      <c r="L6144">
        <v>1200</v>
      </c>
      <c r="M6144" t="str">
        <f t="shared" si="668"/>
        <v xml:space="preserve">N35DC   </v>
      </c>
      <c r="N6144">
        <v>1</v>
      </c>
      <c r="O6144">
        <v>1725</v>
      </c>
    </row>
    <row r="6145" spans="1:15" x14ac:dyDescent="0.25">
      <c r="A6145" t="str">
        <f>"10/21/2020 18:57:28.080"</f>
        <v>10/21/2020 18:57:28.080</v>
      </c>
      <c r="B6145" t="str">
        <f>"18:57:36.039"</f>
        <v>18:57:36.039</v>
      </c>
      <c r="C6145" t="str">
        <f>"18:57:35.639"</f>
        <v>18:57:35.639</v>
      </c>
      <c r="D6145" t="s">
        <v>2570</v>
      </c>
      <c r="E6145">
        <v>30.639044999999999</v>
      </c>
      <c r="F6145" t="s">
        <v>2571</v>
      </c>
      <c r="G6145">
        <v>-89.728624999999994</v>
      </c>
      <c r="H6145">
        <v>1700</v>
      </c>
      <c r="I6145">
        <v>69</v>
      </c>
      <c r="J6145">
        <v>-149</v>
      </c>
      <c r="K6145">
        <v>-320</v>
      </c>
      <c r="L6145">
        <v>1200</v>
      </c>
      <c r="M6145" t="str">
        <f t="shared" si="668"/>
        <v xml:space="preserve">N35DC   </v>
      </c>
      <c r="N6145">
        <v>1</v>
      </c>
      <c r="O6145">
        <v>1725</v>
      </c>
    </row>
    <row r="6146" spans="1:15" x14ac:dyDescent="0.25">
      <c r="A6146" t="str">
        <f>"10/21/2020 18:57:28.080"</f>
        <v>10/21/2020 18:57:28.080</v>
      </c>
      <c r="B6146" t="str">
        <f>"18:57:36.039"</f>
        <v>18:57:36.039</v>
      </c>
      <c r="C6146" t="str">
        <f>"18:57:35.639"</f>
        <v>18:57:35.639</v>
      </c>
      <c r="D6146" t="s">
        <v>2570</v>
      </c>
      <c r="E6146">
        <v>30.639044999999999</v>
      </c>
      <c r="F6146" t="s">
        <v>2571</v>
      </c>
      <c r="G6146">
        <v>-89.728624999999994</v>
      </c>
      <c r="H6146">
        <v>1700</v>
      </c>
      <c r="I6146">
        <v>69</v>
      </c>
      <c r="J6146">
        <v>-149</v>
      </c>
      <c r="K6146">
        <v>-320</v>
      </c>
      <c r="L6146">
        <v>1200</v>
      </c>
      <c r="M6146" t="str">
        <f t="shared" si="668"/>
        <v xml:space="preserve">N35DC   </v>
      </c>
      <c r="N6146">
        <v>1</v>
      </c>
      <c r="O6146">
        <v>1725</v>
      </c>
    </row>
    <row r="6147" spans="1:15" x14ac:dyDescent="0.25">
      <c r="A6147" t="str">
        <f>"10/21/2020 18:57:28.701"</f>
        <v>10/21/2020 18:57:28.701</v>
      </c>
      <c r="B6147" t="str">
        <f>"18:57:36.609"</f>
        <v>18:57:36.609</v>
      </c>
      <c r="C6147" t="str">
        <f>"18:57:36.209"</f>
        <v>18:57:36.209</v>
      </c>
      <c r="D6147" t="s">
        <v>2572</v>
      </c>
      <c r="E6147">
        <v>30.638638</v>
      </c>
      <c r="F6147" t="s">
        <v>2573</v>
      </c>
      <c r="G6147">
        <v>-89.728475000000003</v>
      </c>
      <c r="H6147">
        <v>1700</v>
      </c>
      <c r="I6147">
        <v>67</v>
      </c>
      <c r="J6147">
        <v>-151</v>
      </c>
      <c r="K6147">
        <v>-320</v>
      </c>
      <c r="L6147">
        <v>1200</v>
      </c>
      <c r="M6147" t="str">
        <f t="shared" si="668"/>
        <v xml:space="preserve">N35DC   </v>
      </c>
      <c r="N6147">
        <v>1</v>
      </c>
      <c r="O6147">
        <v>1725</v>
      </c>
    </row>
    <row r="6148" spans="1:15" x14ac:dyDescent="0.25">
      <c r="A6148" t="str">
        <f t="shared" ref="A6148:A6153" si="678">"10/21/2020 18:57:31.111"</f>
        <v>10/21/2020 18:57:31.111</v>
      </c>
      <c r="B6148" t="str">
        <f t="shared" ref="B6148:B6153" si="679">"18:57:39.055"</f>
        <v>18:57:39.055</v>
      </c>
      <c r="C6148" t="str">
        <f t="shared" ref="C6148:C6153" si="680">"18:57:38.555"</f>
        <v>18:57:38.555</v>
      </c>
      <c r="D6148" t="s">
        <v>2574</v>
      </c>
      <c r="E6148">
        <v>30.636856999999999</v>
      </c>
      <c r="F6148" t="s">
        <v>2575</v>
      </c>
      <c r="G6148">
        <v>-89.727767</v>
      </c>
      <c r="H6148">
        <v>1600</v>
      </c>
      <c r="I6148">
        <v>50</v>
      </c>
      <c r="J6148">
        <v>-158</v>
      </c>
      <c r="K6148">
        <v>-256</v>
      </c>
      <c r="L6148">
        <v>1200</v>
      </c>
      <c r="M6148" t="str">
        <f t="shared" si="668"/>
        <v xml:space="preserve">N35DC   </v>
      </c>
      <c r="N6148">
        <v>1</v>
      </c>
      <c r="O6148">
        <v>1825</v>
      </c>
    </row>
    <row r="6149" spans="1:15" x14ac:dyDescent="0.25">
      <c r="A6149" t="str">
        <f t="shared" si="678"/>
        <v>10/21/2020 18:57:31.111</v>
      </c>
      <c r="B6149" t="str">
        <f t="shared" si="679"/>
        <v>18:57:39.055</v>
      </c>
      <c r="C6149" t="str">
        <f t="shared" si="680"/>
        <v>18:57:38.555</v>
      </c>
      <c r="D6149" t="s">
        <v>2574</v>
      </c>
      <c r="E6149">
        <v>30.636856999999999</v>
      </c>
      <c r="F6149" t="s">
        <v>2575</v>
      </c>
      <c r="G6149">
        <v>-89.727767</v>
      </c>
      <c r="H6149">
        <v>1600</v>
      </c>
      <c r="I6149">
        <v>50</v>
      </c>
      <c r="J6149">
        <v>-158</v>
      </c>
      <c r="K6149">
        <v>-256</v>
      </c>
      <c r="L6149">
        <v>1200</v>
      </c>
      <c r="M6149" t="str">
        <f t="shared" si="668"/>
        <v xml:space="preserve">N35DC   </v>
      </c>
      <c r="N6149">
        <v>1</v>
      </c>
      <c r="O6149">
        <v>1825</v>
      </c>
    </row>
    <row r="6150" spans="1:15" x14ac:dyDescent="0.25">
      <c r="A6150" t="str">
        <f t="shared" si="678"/>
        <v>10/21/2020 18:57:31.111</v>
      </c>
      <c r="B6150" t="str">
        <f t="shared" si="679"/>
        <v>18:57:39.055</v>
      </c>
      <c r="C6150" t="str">
        <f t="shared" si="680"/>
        <v>18:57:38.555</v>
      </c>
      <c r="D6150" t="s">
        <v>2574</v>
      </c>
      <c r="E6150">
        <v>30.636856999999999</v>
      </c>
      <c r="F6150" t="s">
        <v>2575</v>
      </c>
      <c r="G6150">
        <v>-89.727767</v>
      </c>
      <c r="H6150">
        <v>1600</v>
      </c>
      <c r="I6150">
        <v>50</v>
      </c>
      <c r="J6150">
        <v>-158</v>
      </c>
      <c r="K6150">
        <v>-256</v>
      </c>
      <c r="L6150">
        <v>1200</v>
      </c>
      <c r="M6150" t="str">
        <f t="shared" si="668"/>
        <v xml:space="preserve">N35DC   </v>
      </c>
      <c r="N6150">
        <v>1</v>
      </c>
      <c r="O6150">
        <v>1825</v>
      </c>
    </row>
    <row r="6151" spans="1:15" x14ac:dyDescent="0.25">
      <c r="A6151" t="str">
        <f t="shared" si="678"/>
        <v>10/21/2020 18:57:31.111</v>
      </c>
      <c r="B6151" t="str">
        <f t="shared" si="679"/>
        <v>18:57:39.055</v>
      </c>
      <c r="C6151" t="str">
        <f t="shared" si="680"/>
        <v>18:57:38.555</v>
      </c>
      <c r="D6151" t="s">
        <v>2574</v>
      </c>
      <c r="E6151">
        <v>30.636856999999999</v>
      </c>
      <c r="F6151" t="s">
        <v>2575</v>
      </c>
      <c r="G6151">
        <v>-89.727767</v>
      </c>
      <c r="H6151">
        <v>1600</v>
      </c>
      <c r="I6151">
        <v>50</v>
      </c>
      <c r="J6151">
        <v>-158</v>
      </c>
      <c r="K6151">
        <v>-256</v>
      </c>
      <c r="L6151">
        <v>1200</v>
      </c>
      <c r="M6151" t="str">
        <f t="shared" ref="M6151:M6214" si="681">"N35DC   "</f>
        <v xml:space="preserve">N35DC   </v>
      </c>
      <c r="N6151">
        <v>1</v>
      </c>
      <c r="O6151">
        <v>1825</v>
      </c>
    </row>
    <row r="6152" spans="1:15" x14ac:dyDescent="0.25">
      <c r="A6152" t="str">
        <f t="shared" si="678"/>
        <v>10/21/2020 18:57:31.111</v>
      </c>
      <c r="B6152" t="str">
        <f t="shared" si="679"/>
        <v>18:57:39.055</v>
      </c>
      <c r="C6152" t="str">
        <f t="shared" si="680"/>
        <v>18:57:38.555</v>
      </c>
      <c r="D6152" t="s">
        <v>2574</v>
      </c>
      <c r="E6152">
        <v>30.636856999999999</v>
      </c>
      <c r="F6152" t="s">
        <v>2575</v>
      </c>
      <c r="G6152">
        <v>-89.727767</v>
      </c>
      <c r="H6152">
        <v>1600</v>
      </c>
      <c r="I6152">
        <v>50</v>
      </c>
      <c r="J6152">
        <v>-158</v>
      </c>
      <c r="K6152">
        <v>-256</v>
      </c>
      <c r="L6152">
        <v>1200</v>
      </c>
      <c r="M6152" t="str">
        <f t="shared" si="681"/>
        <v xml:space="preserve">N35DC   </v>
      </c>
      <c r="N6152">
        <v>1</v>
      </c>
      <c r="O6152">
        <v>1825</v>
      </c>
    </row>
    <row r="6153" spans="1:15" x14ac:dyDescent="0.25">
      <c r="A6153" t="str">
        <f t="shared" si="678"/>
        <v>10/21/2020 18:57:31.111</v>
      </c>
      <c r="B6153" t="str">
        <f t="shared" si="679"/>
        <v>18:57:39.055</v>
      </c>
      <c r="C6153" t="str">
        <f t="shared" si="680"/>
        <v>18:57:38.555</v>
      </c>
      <c r="D6153" t="s">
        <v>2574</v>
      </c>
      <c r="E6153">
        <v>30.636856999999999</v>
      </c>
      <c r="F6153" t="s">
        <v>2575</v>
      </c>
      <c r="G6153">
        <v>-89.727767</v>
      </c>
      <c r="H6153">
        <v>1600</v>
      </c>
      <c r="I6153">
        <v>50</v>
      </c>
      <c r="J6153">
        <v>-158</v>
      </c>
      <c r="K6153">
        <v>-256</v>
      </c>
      <c r="L6153">
        <v>1200</v>
      </c>
      <c r="M6153" t="str">
        <f t="shared" si="681"/>
        <v xml:space="preserve">N35DC   </v>
      </c>
      <c r="N6153">
        <v>1</v>
      </c>
      <c r="O6153">
        <v>1825</v>
      </c>
    </row>
    <row r="6154" spans="1:15" x14ac:dyDescent="0.25">
      <c r="A6154" t="str">
        <f t="shared" ref="A6154:A6159" si="682">"10/21/2020 18:57:33.234"</f>
        <v>10/21/2020 18:57:33.234</v>
      </c>
      <c r="B6154" t="str">
        <f t="shared" ref="B6154:B6159" si="683">"18:57:41.180"</f>
        <v>18:57:41.180</v>
      </c>
      <c r="C6154" t="str">
        <f t="shared" ref="C6154:C6159" si="684">"18:57:40.780"</f>
        <v>18:57:40.780</v>
      </c>
      <c r="D6154" t="s">
        <v>2576</v>
      </c>
      <c r="E6154">
        <v>30.635247</v>
      </c>
      <c r="F6154" t="s">
        <v>2577</v>
      </c>
      <c r="G6154">
        <v>-89.727337000000006</v>
      </c>
      <c r="H6154">
        <v>1600</v>
      </c>
      <c r="I6154">
        <v>35</v>
      </c>
      <c r="J6154">
        <v>-164</v>
      </c>
      <c r="K6154">
        <v>-256</v>
      </c>
      <c r="L6154">
        <v>1200</v>
      </c>
      <c r="M6154" t="str">
        <f t="shared" si="681"/>
        <v xml:space="preserve">N35DC   </v>
      </c>
      <c r="N6154">
        <v>1</v>
      </c>
      <c r="O6154">
        <v>1700</v>
      </c>
    </row>
    <row r="6155" spans="1:15" x14ac:dyDescent="0.25">
      <c r="A6155" t="str">
        <f t="shared" si="682"/>
        <v>10/21/2020 18:57:33.234</v>
      </c>
      <c r="B6155" t="str">
        <f t="shared" si="683"/>
        <v>18:57:41.180</v>
      </c>
      <c r="C6155" t="str">
        <f t="shared" si="684"/>
        <v>18:57:40.780</v>
      </c>
      <c r="D6155" t="s">
        <v>2576</v>
      </c>
      <c r="E6155">
        <v>30.635247</v>
      </c>
      <c r="F6155" t="s">
        <v>2577</v>
      </c>
      <c r="G6155">
        <v>-89.727337000000006</v>
      </c>
      <c r="H6155">
        <v>1600</v>
      </c>
      <c r="I6155">
        <v>35</v>
      </c>
      <c r="J6155">
        <v>-164</v>
      </c>
      <c r="K6155">
        <v>-256</v>
      </c>
      <c r="L6155">
        <v>1200</v>
      </c>
      <c r="M6155" t="str">
        <f t="shared" si="681"/>
        <v xml:space="preserve">N35DC   </v>
      </c>
      <c r="N6155">
        <v>1</v>
      </c>
      <c r="O6155">
        <v>1700</v>
      </c>
    </row>
    <row r="6156" spans="1:15" x14ac:dyDescent="0.25">
      <c r="A6156" t="str">
        <f t="shared" si="682"/>
        <v>10/21/2020 18:57:33.234</v>
      </c>
      <c r="B6156" t="str">
        <f t="shared" si="683"/>
        <v>18:57:41.180</v>
      </c>
      <c r="C6156" t="str">
        <f t="shared" si="684"/>
        <v>18:57:40.780</v>
      </c>
      <c r="D6156" t="s">
        <v>2576</v>
      </c>
      <c r="E6156">
        <v>30.635247</v>
      </c>
      <c r="F6156" t="s">
        <v>2577</v>
      </c>
      <c r="G6156">
        <v>-89.727337000000006</v>
      </c>
      <c r="H6156">
        <v>1600</v>
      </c>
      <c r="I6156">
        <v>35</v>
      </c>
      <c r="J6156">
        <v>-164</v>
      </c>
      <c r="K6156">
        <v>-256</v>
      </c>
      <c r="L6156">
        <v>1200</v>
      </c>
      <c r="M6156" t="str">
        <f t="shared" si="681"/>
        <v xml:space="preserve">N35DC   </v>
      </c>
      <c r="N6156">
        <v>1</v>
      </c>
      <c r="O6156">
        <v>1700</v>
      </c>
    </row>
    <row r="6157" spans="1:15" x14ac:dyDescent="0.25">
      <c r="A6157" t="str">
        <f t="shared" si="682"/>
        <v>10/21/2020 18:57:33.234</v>
      </c>
      <c r="B6157" t="str">
        <f t="shared" si="683"/>
        <v>18:57:41.180</v>
      </c>
      <c r="C6157" t="str">
        <f t="shared" si="684"/>
        <v>18:57:40.780</v>
      </c>
      <c r="D6157" t="s">
        <v>2576</v>
      </c>
      <c r="E6157">
        <v>30.635247</v>
      </c>
      <c r="F6157" t="s">
        <v>2577</v>
      </c>
      <c r="G6157">
        <v>-89.727337000000006</v>
      </c>
      <c r="H6157">
        <v>1600</v>
      </c>
      <c r="I6157">
        <v>35</v>
      </c>
      <c r="J6157">
        <v>-164</v>
      </c>
      <c r="K6157">
        <v>-256</v>
      </c>
      <c r="L6157">
        <v>1200</v>
      </c>
      <c r="M6157" t="str">
        <f t="shared" si="681"/>
        <v xml:space="preserve">N35DC   </v>
      </c>
      <c r="N6157">
        <v>1</v>
      </c>
      <c r="O6157">
        <v>1700</v>
      </c>
    </row>
    <row r="6158" spans="1:15" x14ac:dyDescent="0.25">
      <c r="A6158" t="str">
        <f t="shared" si="682"/>
        <v>10/21/2020 18:57:33.234</v>
      </c>
      <c r="B6158" t="str">
        <f t="shared" si="683"/>
        <v>18:57:41.180</v>
      </c>
      <c r="C6158" t="str">
        <f t="shared" si="684"/>
        <v>18:57:40.780</v>
      </c>
      <c r="D6158" t="s">
        <v>2576</v>
      </c>
      <c r="E6158">
        <v>30.635247</v>
      </c>
      <c r="F6158" t="s">
        <v>2577</v>
      </c>
      <c r="G6158">
        <v>-89.727337000000006</v>
      </c>
      <c r="H6158">
        <v>1600</v>
      </c>
      <c r="I6158">
        <v>35</v>
      </c>
      <c r="J6158">
        <v>-164</v>
      </c>
      <c r="K6158">
        <v>-256</v>
      </c>
      <c r="L6158">
        <v>1200</v>
      </c>
      <c r="M6158" t="str">
        <f t="shared" si="681"/>
        <v xml:space="preserve">N35DC   </v>
      </c>
      <c r="N6158">
        <v>1</v>
      </c>
      <c r="O6158">
        <v>1700</v>
      </c>
    </row>
    <row r="6159" spans="1:15" x14ac:dyDescent="0.25">
      <c r="A6159" t="str">
        <f t="shared" si="682"/>
        <v>10/21/2020 18:57:33.234</v>
      </c>
      <c r="B6159" t="str">
        <f t="shared" si="683"/>
        <v>18:57:41.180</v>
      </c>
      <c r="C6159" t="str">
        <f t="shared" si="684"/>
        <v>18:57:40.780</v>
      </c>
      <c r="D6159" t="s">
        <v>2576</v>
      </c>
      <c r="E6159">
        <v>30.635247</v>
      </c>
      <c r="F6159" t="s">
        <v>2577</v>
      </c>
      <c r="G6159">
        <v>-89.727337000000006</v>
      </c>
      <c r="H6159">
        <v>1600</v>
      </c>
      <c r="I6159">
        <v>35</v>
      </c>
      <c r="J6159">
        <v>-164</v>
      </c>
      <c r="K6159">
        <v>-256</v>
      </c>
      <c r="L6159">
        <v>1200</v>
      </c>
      <c r="M6159" t="str">
        <f t="shared" si="681"/>
        <v xml:space="preserve">N35DC   </v>
      </c>
      <c r="N6159">
        <v>1</v>
      </c>
      <c r="O6159">
        <v>1700</v>
      </c>
    </row>
    <row r="6160" spans="1:15" x14ac:dyDescent="0.25">
      <c r="A6160" t="str">
        <f>"10/21/2020 18:57:34.170"</f>
        <v>10/21/2020 18:57:34.170</v>
      </c>
      <c r="B6160" t="str">
        <f>"18:57:42.094"</f>
        <v>18:57:42.094</v>
      </c>
      <c r="C6160" t="str">
        <f>"18:57:41.794"</f>
        <v>18:57:41.794</v>
      </c>
      <c r="D6160" t="s">
        <v>2578</v>
      </c>
      <c r="E6160">
        <v>30.634561000000001</v>
      </c>
      <c r="F6160" t="s">
        <v>2579</v>
      </c>
      <c r="G6160">
        <v>-89.727165999999997</v>
      </c>
      <c r="H6160">
        <v>1600</v>
      </c>
      <c r="I6160">
        <v>26</v>
      </c>
      <c r="J6160">
        <v>-166</v>
      </c>
      <c r="K6160">
        <v>-192</v>
      </c>
      <c r="L6160">
        <v>1200</v>
      </c>
      <c r="M6160" t="str">
        <f t="shared" si="681"/>
        <v xml:space="preserve">N35DC   </v>
      </c>
      <c r="N6160">
        <v>1</v>
      </c>
      <c r="O6160">
        <v>1700</v>
      </c>
    </row>
    <row r="6161" spans="1:15" x14ac:dyDescent="0.25">
      <c r="A6161" t="str">
        <f>"10/21/2020 18:57:34.170"</f>
        <v>10/21/2020 18:57:34.170</v>
      </c>
      <c r="B6161" t="str">
        <f>"18:57:42.094"</f>
        <v>18:57:42.094</v>
      </c>
      <c r="C6161" t="str">
        <f>"18:57:41.794"</f>
        <v>18:57:41.794</v>
      </c>
      <c r="D6161" t="s">
        <v>2578</v>
      </c>
      <c r="E6161">
        <v>30.634561000000001</v>
      </c>
      <c r="F6161" t="s">
        <v>2579</v>
      </c>
      <c r="G6161">
        <v>-89.727165999999997</v>
      </c>
      <c r="H6161">
        <v>1600</v>
      </c>
      <c r="I6161">
        <v>26</v>
      </c>
      <c r="J6161">
        <v>-166</v>
      </c>
      <c r="K6161">
        <v>-192</v>
      </c>
      <c r="L6161">
        <v>1200</v>
      </c>
      <c r="M6161" t="str">
        <f t="shared" si="681"/>
        <v xml:space="preserve">N35DC   </v>
      </c>
      <c r="N6161">
        <v>1</v>
      </c>
      <c r="O6161">
        <v>1700</v>
      </c>
    </row>
    <row r="6162" spans="1:15" x14ac:dyDescent="0.25">
      <c r="A6162" t="str">
        <f>"10/21/2020 18:57:34.170"</f>
        <v>10/21/2020 18:57:34.170</v>
      </c>
      <c r="B6162" t="str">
        <f>"18:57:42.094"</f>
        <v>18:57:42.094</v>
      </c>
      <c r="C6162" t="str">
        <f>"18:57:41.794"</f>
        <v>18:57:41.794</v>
      </c>
      <c r="D6162" t="s">
        <v>2578</v>
      </c>
      <c r="E6162">
        <v>30.634561000000001</v>
      </c>
      <c r="F6162" t="s">
        <v>2579</v>
      </c>
      <c r="G6162">
        <v>-89.727165999999997</v>
      </c>
      <c r="H6162">
        <v>1600</v>
      </c>
      <c r="I6162">
        <v>26</v>
      </c>
      <c r="J6162">
        <v>-166</v>
      </c>
      <c r="K6162">
        <v>-192</v>
      </c>
      <c r="L6162">
        <v>1200</v>
      </c>
      <c r="M6162" t="str">
        <f t="shared" si="681"/>
        <v xml:space="preserve">N35DC   </v>
      </c>
      <c r="N6162">
        <v>1</v>
      </c>
      <c r="O6162">
        <v>1700</v>
      </c>
    </row>
    <row r="6163" spans="1:15" x14ac:dyDescent="0.25">
      <c r="A6163" t="str">
        <f>"10/21/2020 18:57:34.170"</f>
        <v>10/21/2020 18:57:34.170</v>
      </c>
      <c r="B6163" t="str">
        <f>"18:57:42.094"</f>
        <v>18:57:42.094</v>
      </c>
      <c r="C6163" t="str">
        <f>"18:57:41.794"</f>
        <v>18:57:41.794</v>
      </c>
      <c r="D6163" t="s">
        <v>2578</v>
      </c>
      <c r="E6163">
        <v>30.634561000000001</v>
      </c>
      <c r="F6163" t="s">
        <v>2579</v>
      </c>
      <c r="G6163">
        <v>-89.727165999999997</v>
      </c>
      <c r="H6163">
        <v>1600</v>
      </c>
      <c r="I6163">
        <v>26</v>
      </c>
      <c r="J6163">
        <v>-166</v>
      </c>
      <c r="K6163">
        <v>-192</v>
      </c>
      <c r="L6163">
        <v>1200</v>
      </c>
      <c r="M6163" t="str">
        <f t="shared" si="681"/>
        <v xml:space="preserve">N35DC   </v>
      </c>
      <c r="N6163">
        <v>1</v>
      </c>
      <c r="O6163">
        <v>1700</v>
      </c>
    </row>
    <row r="6164" spans="1:15" x14ac:dyDescent="0.25">
      <c r="A6164" t="str">
        <f>"10/21/2020 18:57:34.170"</f>
        <v>10/21/2020 18:57:34.170</v>
      </c>
      <c r="B6164" t="str">
        <f>"18:57:42.094"</f>
        <v>18:57:42.094</v>
      </c>
      <c r="C6164" t="str">
        <f>"18:57:41.794"</f>
        <v>18:57:41.794</v>
      </c>
      <c r="D6164" t="s">
        <v>2578</v>
      </c>
      <c r="E6164">
        <v>30.634561000000001</v>
      </c>
      <c r="F6164" t="s">
        <v>2579</v>
      </c>
      <c r="G6164">
        <v>-89.727165999999997</v>
      </c>
      <c r="H6164">
        <v>1600</v>
      </c>
      <c r="I6164">
        <v>26</v>
      </c>
      <c r="J6164">
        <v>-166</v>
      </c>
      <c r="K6164">
        <v>-192</v>
      </c>
      <c r="L6164">
        <v>1200</v>
      </c>
      <c r="M6164" t="str">
        <f t="shared" si="681"/>
        <v xml:space="preserve">N35DC   </v>
      </c>
      <c r="N6164">
        <v>1</v>
      </c>
      <c r="O6164">
        <v>1700</v>
      </c>
    </row>
    <row r="6165" spans="1:15" x14ac:dyDescent="0.25">
      <c r="A6165" t="str">
        <f>"10/21/2020 18:57:34.735"</f>
        <v>10/21/2020 18:57:34.735</v>
      </c>
      <c r="B6165" t="str">
        <f>"18:57:42.648"</f>
        <v>18:57:42.648</v>
      </c>
      <c r="C6165" t="str">
        <f>"18:57:42.648"</f>
        <v>18:57:42.648</v>
      </c>
      <c r="D6165" t="s">
        <v>2580</v>
      </c>
      <c r="E6165">
        <v>30.63411</v>
      </c>
      <c r="F6165" t="s">
        <v>2581</v>
      </c>
      <c r="G6165">
        <v>-89.727143999999996</v>
      </c>
      <c r="H6165">
        <v>1600</v>
      </c>
      <c r="I6165">
        <v>20</v>
      </c>
      <c r="J6165">
        <v>-167</v>
      </c>
      <c r="K6165">
        <v>-192</v>
      </c>
      <c r="L6165">
        <v>1200</v>
      </c>
      <c r="M6165" t="str">
        <f t="shared" si="681"/>
        <v xml:space="preserve">N35DC   </v>
      </c>
      <c r="N6165">
        <v>1</v>
      </c>
      <c r="O6165">
        <v>1700</v>
      </c>
    </row>
    <row r="6166" spans="1:15" x14ac:dyDescent="0.25">
      <c r="A6166" t="str">
        <f>"10/21/2020 18:57:37.605"</f>
        <v>10/21/2020 18:57:37.605</v>
      </c>
      <c r="B6166" t="str">
        <f>"18:57:45.516"</f>
        <v>18:57:45.516</v>
      </c>
      <c r="C6166" t="str">
        <f>"18:57:44.816"</f>
        <v>18:57:44.816</v>
      </c>
      <c r="D6166" t="s">
        <v>2582</v>
      </c>
      <c r="E6166">
        <v>30.631878</v>
      </c>
      <c r="F6166" t="s">
        <v>2583</v>
      </c>
      <c r="G6166">
        <v>-89.727036999999996</v>
      </c>
      <c r="H6166">
        <v>1600</v>
      </c>
      <c r="I6166">
        <v>3</v>
      </c>
      <c r="J6166">
        <v>-169</v>
      </c>
      <c r="K6166">
        <v>-64</v>
      </c>
      <c r="L6166">
        <v>1200</v>
      </c>
      <c r="M6166" t="str">
        <f t="shared" si="681"/>
        <v xml:space="preserve">N35DC   </v>
      </c>
      <c r="N6166">
        <v>1</v>
      </c>
      <c r="O6166">
        <v>1700</v>
      </c>
    </row>
    <row r="6167" spans="1:15" x14ac:dyDescent="0.25">
      <c r="A6167" t="str">
        <f>"10/21/2020 18:57:38.167"</f>
        <v>10/21/2020 18:57:38.167</v>
      </c>
      <c r="B6167" t="str">
        <f>"18:57:46.102"</f>
        <v>18:57:46.102</v>
      </c>
      <c r="C6167" t="str">
        <f>"18:57:45.802"</f>
        <v>18:57:45.802</v>
      </c>
      <c r="D6167" t="s">
        <v>2584</v>
      </c>
      <c r="E6167">
        <v>30.631385000000002</v>
      </c>
      <c r="F6167" t="s">
        <v>2585</v>
      </c>
      <c r="G6167">
        <v>-89.727058</v>
      </c>
      <c r="H6167">
        <v>1600</v>
      </c>
      <c r="I6167">
        <v>-4</v>
      </c>
      <c r="J6167">
        <v>-169</v>
      </c>
      <c r="K6167">
        <v>0</v>
      </c>
      <c r="L6167">
        <v>1200</v>
      </c>
      <c r="M6167" t="str">
        <f t="shared" si="681"/>
        <v xml:space="preserve">N35DC   </v>
      </c>
      <c r="N6167">
        <v>1</v>
      </c>
      <c r="O6167">
        <v>1700</v>
      </c>
    </row>
    <row r="6168" spans="1:15" x14ac:dyDescent="0.25">
      <c r="A6168" t="str">
        <f>"10/21/2020 18:57:38.167"</f>
        <v>10/21/2020 18:57:38.167</v>
      </c>
      <c r="B6168" t="str">
        <f>"18:57:46.102"</f>
        <v>18:57:46.102</v>
      </c>
      <c r="C6168" t="str">
        <f>"18:57:45.802"</f>
        <v>18:57:45.802</v>
      </c>
      <c r="D6168" t="s">
        <v>2584</v>
      </c>
      <c r="E6168">
        <v>30.631385000000002</v>
      </c>
      <c r="F6168" t="s">
        <v>2585</v>
      </c>
      <c r="G6168">
        <v>-89.727058</v>
      </c>
      <c r="H6168">
        <v>1600</v>
      </c>
      <c r="I6168">
        <v>-4</v>
      </c>
      <c r="J6168">
        <v>-169</v>
      </c>
      <c r="K6168">
        <v>0</v>
      </c>
      <c r="L6168">
        <v>1200</v>
      </c>
      <c r="M6168" t="str">
        <f t="shared" si="681"/>
        <v xml:space="preserve">N35DC   </v>
      </c>
      <c r="N6168">
        <v>1</v>
      </c>
      <c r="O6168">
        <v>1700</v>
      </c>
    </row>
    <row r="6169" spans="1:15" x14ac:dyDescent="0.25">
      <c r="A6169" t="str">
        <f>"10/21/2020 18:57:38.167"</f>
        <v>10/21/2020 18:57:38.167</v>
      </c>
      <c r="B6169" t="str">
        <f>"18:57:46.102"</f>
        <v>18:57:46.102</v>
      </c>
      <c r="C6169" t="str">
        <f>"18:57:45.802"</f>
        <v>18:57:45.802</v>
      </c>
      <c r="D6169" t="s">
        <v>2584</v>
      </c>
      <c r="E6169">
        <v>30.631385000000002</v>
      </c>
      <c r="F6169" t="s">
        <v>2585</v>
      </c>
      <c r="G6169">
        <v>-89.727058</v>
      </c>
      <c r="H6169">
        <v>1600</v>
      </c>
      <c r="I6169">
        <v>-4</v>
      </c>
      <c r="J6169">
        <v>-169</v>
      </c>
      <c r="K6169">
        <v>0</v>
      </c>
      <c r="L6169">
        <v>1200</v>
      </c>
      <c r="M6169" t="str">
        <f t="shared" si="681"/>
        <v xml:space="preserve">N35DC   </v>
      </c>
      <c r="N6169">
        <v>1</v>
      </c>
      <c r="O6169">
        <v>1700</v>
      </c>
    </row>
    <row r="6170" spans="1:15" x14ac:dyDescent="0.25">
      <c r="A6170" t="str">
        <f>"10/21/2020 18:57:38.167"</f>
        <v>10/21/2020 18:57:38.167</v>
      </c>
      <c r="B6170" t="str">
        <f>"18:57:46.102"</f>
        <v>18:57:46.102</v>
      </c>
      <c r="C6170" t="str">
        <f>"18:57:45.802"</f>
        <v>18:57:45.802</v>
      </c>
      <c r="D6170" t="s">
        <v>2584</v>
      </c>
      <c r="E6170">
        <v>30.631385000000002</v>
      </c>
      <c r="F6170" t="s">
        <v>2585</v>
      </c>
      <c r="G6170">
        <v>-89.727058</v>
      </c>
      <c r="H6170">
        <v>1600</v>
      </c>
      <c r="I6170">
        <v>-4</v>
      </c>
      <c r="J6170">
        <v>-169</v>
      </c>
      <c r="K6170">
        <v>0</v>
      </c>
      <c r="L6170">
        <v>1200</v>
      </c>
      <c r="M6170" t="str">
        <f t="shared" si="681"/>
        <v xml:space="preserve">N35DC   </v>
      </c>
      <c r="N6170">
        <v>1</v>
      </c>
      <c r="O6170">
        <v>1700</v>
      </c>
    </row>
    <row r="6171" spans="1:15" x14ac:dyDescent="0.25">
      <c r="A6171" t="str">
        <f>"10/21/2020 18:57:38.167"</f>
        <v>10/21/2020 18:57:38.167</v>
      </c>
      <c r="B6171" t="str">
        <f>"18:57:46.102"</f>
        <v>18:57:46.102</v>
      </c>
      <c r="C6171" t="str">
        <f>"18:57:45.802"</f>
        <v>18:57:45.802</v>
      </c>
      <c r="D6171" t="s">
        <v>2584</v>
      </c>
      <c r="E6171">
        <v>30.631385000000002</v>
      </c>
      <c r="F6171" t="s">
        <v>2585</v>
      </c>
      <c r="G6171">
        <v>-89.727058</v>
      </c>
      <c r="H6171">
        <v>1600</v>
      </c>
      <c r="I6171">
        <v>-4</v>
      </c>
      <c r="J6171">
        <v>-169</v>
      </c>
      <c r="K6171">
        <v>0</v>
      </c>
      <c r="L6171">
        <v>1200</v>
      </c>
      <c r="M6171" t="str">
        <f t="shared" si="681"/>
        <v xml:space="preserve">N35DC   </v>
      </c>
      <c r="N6171">
        <v>1</v>
      </c>
      <c r="O6171">
        <v>1700</v>
      </c>
    </row>
    <row r="6172" spans="1:15" x14ac:dyDescent="0.25">
      <c r="A6172" t="str">
        <f>"10/21/2020 18:57:38.662"</f>
        <v>10/21/2020 18:57:38.662</v>
      </c>
      <c r="B6172" t="str">
        <f>"18:57:46.625"</f>
        <v>18:57:46.625</v>
      </c>
      <c r="C6172" t="str">
        <f>"18:57:46.325"</f>
        <v>18:57:46.325</v>
      </c>
      <c r="D6172" t="s">
        <v>2586</v>
      </c>
      <c r="E6172">
        <v>30.630998999999999</v>
      </c>
      <c r="F6172" t="s">
        <v>2587</v>
      </c>
      <c r="G6172">
        <v>-89.727101000000005</v>
      </c>
      <c r="H6172">
        <v>1600</v>
      </c>
      <c r="I6172">
        <v>-8</v>
      </c>
      <c r="J6172">
        <v>-169</v>
      </c>
      <c r="K6172">
        <v>64</v>
      </c>
      <c r="L6172">
        <v>1200</v>
      </c>
      <c r="M6172" t="str">
        <f t="shared" si="681"/>
        <v xml:space="preserve">N35DC   </v>
      </c>
      <c r="N6172">
        <v>1</v>
      </c>
      <c r="O6172">
        <v>1700</v>
      </c>
    </row>
    <row r="6173" spans="1:15" x14ac:dyDescent="0.25">
      <c r="A6173" t="str">
        <f>"10/21/2020 18:57:40.777"</f>
        <v>10/21/2020 18:57:40.777</v>
      </c>
      <c r="B6173" t="str">
        <f>"18:57:48.711"</f>
        <v>18:57:48.711</v>
      </c>
      <c r="C6173" t="str">
        <f>"18:57:48.411"</f>
        <v>18:57:48.411</v>
      </c>
      <c r="D6173" t="s">
        <v>2588</v>
      </c>
      <c r="E6173">
        <v>30.629367999999999</v>
      </c>
      <c r="F6173" t="s">
        <v>2589</v>
      </c>
      <c r="G6173">
        <v>-89.727316000000002</v>
      </c>
      <c r="H6173">
        <v>1600</v>
      </c>
      <c r="I6173">
        <v>-23</v>
      </c>
      <c r="J6173">
        <v>-168</v>
      </c>
      <c r="K6173">
        <v>128</v>
      </c>
      <c r="L6173">
        <v>1200</v>
      </c>
      <c r="M6173" t="str">
        <f t="shared" si="681"/>
        <v xml:space="preserve">N35DC   </v>
      </c>
      <c r="N6173">
        <v>1</v>
      </c>
      <c r="O6173">
        <v>1700</v>
      </c>
    </row>
    <row r="6174" spans="1:15" x14ac:dyDescent="0.25">
      <c r="A6174" t="str">
        <f>"10/21/2020 18:57:41.200"</f>
        <v>10/21/2020 18:57:41.200</v>
      </c>
      <c r="B6174" t="str">
        <f>"18:57:49.133"</f>
        <v>18:57:49.133</v>
      </c>
      <c r="C6174" t="str">
        <f>"18:57:48.833"</f>
        <v>18:57:48.833</v>
      </c>
      <c r="D6174" t="s">
        <v>2590</v>
      </c>
      <c r="E6174">
        <v>30.629045999999999</v>
      </c>
      <c r="F6174" t="s">
        <v>2591</v>
      </c>
      <c r="G6174">
        <v>-89.727423000000002</v>
      </c>
      <c r="H6174">
        <v>1600</v>
      </c>
      <c r="I6174">
        <v>-28</v>
      </c>
      <c r="J6174">
        <v>-167</v>
      </c>
      <c r="K6174">
        <v>192</v>
      </c>
      <c r="L6174">
        <v>1200</v>
      </c>
      <c r="M6174" t="str">
        <f t="shared" si="681"/>
        <v xml:space="preserve">N35DC   </v>
      </c>
      <c r="N6174">
        <v>1</v>
      </c>
      <c r="O6174">
        <v>1700</v>
      </c>
    </row>
    <row r="6175" spans="1:15" x14ac:dyDescent="0.25">
      <c r="A6175" t="str">
        <f>"10/21/2020 18:57:41.200"</f>
        <v>10/21/2020 18:57:41.200</v>
      </c>
      <c r="B6175" t="str">
        <f>"18:57:49.133"</f>
        <v>18:57:49.133</v>
      </c>
      <c r="C6175" t="str">
        <f>"18:57:48.833"</f>
        <v>18:57:48.833</v>
      </c>
      <c r="D6175" t="s">
        <v>2590</v>
      </c>
      <c r="E6175">
        <v>30.629045999999999</v>
      </c>
      <c r="F6175" t="s">
        <v>2591</v>
      </c>
      <c r="G6175">
        <v>-89.727423000000002</v>
      </c>
      <c r="H6175">
        <v>1600</v>
      </c>
      <c r="I6175">
        <v>-28</v>
      </c>
      <c r="J6175">
        <v>-167</v>
      </c>
      <c r="K6175">
        <v>192</v>
      </c>
      <c r="L6175">
        <v>1200</v>
      </c>
      <c r="M6175" t="str">
        <f t="shared" si="681"/>
        <v xml:space="preserve">N35DC   </v>
      </c>
      <c r="N6175">
        <v>1</v>
      </c>
      <c r="O6175">
        <v>1700</v>
      </c>
    </row>
    <row r="6176" spans="1:15" x14ac:dyDescent="0.25">
      <c r="A6176" t="str">
        <f>"10/21/2020 18:57:41.200"</f>
        <v>10/21/2020 18:57:41.200</v>
      </c>
      <c r="B6176" t="str">
        <f>"18:57:49.133"</f>
        <v>18:57:49.133</v>
      </c>
      <c r="C6176" t="str">
        <f>"18:57:48.833"</f>
        <v>18:57:48.833</v>
      </c>
      <c r="D6176" t="s">
        <v>2590</v>
      </c>
      <c r="E6176">
        <v>30.629045999999999</v>
      </c>
      <c r="F6176" t="s">
        <v>2591</v>
      </c>
      <c r="G6176">
        <v>-89.727423000000002</v>
      </c>
      <c r="H6176">
        <v>1600</v>
      </c>
      <c r="I6176">
        <v>-28</v>
      </c>
      <c r="J6176">
        <v>-167</v>
      </c>
      <c r="K6176">
        <v>192</v>
      </c>
      <c r="L6176">
        <v>1200</v>
      </c>
      <c r="M6176" t="str">
        <f t="shared" si="681"/>
        <v xml:space="preserve">N35DC   </v>
      </c>
      <c r="N6176">
        <v>1</v>
      </c>
      <c r="O6176">
        <v>1700</v>
      </c>
    </row>
    <row r="6177" spans="1:15" x14ac:dyDescent="0.25">
      <c r="A6177" t="str">
        <f>"10/21/2020 18:57:41.200"</f>
        <v>10/21/2020 18:57:41.200</v>
      </c>
      <c r="B6177" t="str">
        <f>"18:57:49.133"</f>
        <v>18:57:49.133</v>
      </c>
      <c r="C6177" t="str">
        <f>"18:57:48.833"</f>
        <v>18:57:48.833</v>
      </c>
      <c r="D6177" t="s">
        <v>2590</v>
      </c>
      <c r="E6177">
        <v>30.629045999999999</v>
      </c>
      <c r="F6177" t="s">
        <v>2591</v>
      </c>
      <c r="G6177">
        <v>-89.727423000000002</v>
      </c>
      <c r="H6177">
        <v>1600</v>
      </c>
      <c r="I6177">
        <v>-28</v>
      </c>
      <c r="J6177">
        <v>-167</v>
      </c>
      <c r="K6177">
        <v>192</v>
      </c>
      <c r="L6177">
        <v>1200</v>
      </c>
      <c r="M6177" t="str">
        <f t="shared" si="681"/>
        <v xml:space="preserve">N35DC   </v>
      </c>
      <c r="N6177">
        <v>1</v>
      </c>
      <c r="O6177">
        <v>1700</v>
      </c>
    </row>
    <row r="6178" spans="1:15" x14ac:dyDescent="0.25">
      <c r="A6178" t="str">
        <f>"10/21/2020 18:57:41.200"</f>
        <v>10/21/2020 18:57:41.200</v>
      </c>
      <c r="B6178" t="str">
        <f>"18:57:49.133"</f>
        <v>18:57:49.133</v>
      </c>
      <c r="C6178" t="str">
        <f>"18:57:48.833"</f>
        <v>18:57:48.833</v>
      </c>
      <c r="D6178" t="s">
        <v>2590</v>
      </c>
      <c r="E6178">
        <v>30.629045999999999</v>
      </c>
      <c r="F6178" t="s">
        <v>2591</v>
      </c>
      <c r="G6178">
        <v>-89.727423000000002</v>
      </c>
      <c r="H6178">
        <v>1600</v>
      </c>
      <c r="I6178">
        <v>-28</v>
      </c>
      <c r="J6178">
        <v>-167</v>
      </c>
      <c r="K6178">
        <v>192</v>
      </c>
      <c r="L6178">
        <v>1200</v>
      </c>
      <c r="M6178" t="str">
        <f t="shared" si="681"/>
        <v xml:space="preserve">N35DC   </v>
      </c>
      <c r="N6178">
        <v>1</v>
      </c>
      <c r="O6178">
        <v>1700</v>
      </c>
    </row>
    <row r="6179" spans="1:15" x14ac:dyDescent="0.25">
      <c r="A6179" t="str">
        <f t="shared" ref="A6179:A6184" si="685">"10/21/2020 18:57:42.029"</f>
        <v>10/21/2020 18:57:42.029</v>
      </c>
      <c r="B6179" t="str">
        <f t="shared" ref="B6179:B6184" si="686">"18:57:49.984"</f>
        <v>18:57:49.984</v>
      </c>
      <c r="C6179" t="str">
        <f t="shared" ref="C6179:C6184" si="687">"18:57:49.884"</f>
        <v>18:57:49.884</v>
      </c>
      <c r="D6179" t="s">
        <v>2592</v>
      </c>
      <c r="E6179">
        <v>30.628381000000001</v>
      </c>
      <c r="F6179" t="s">
        <v>2593</v>
      </c>
      <c r="G6179">
        <v>-89.727552000000003</v>
      </c>
      <c r="H6179">
        <v>1600</v>
      </c>
      <c r="I6179">
        <v>-35</v>
      </c>
      <c r="J6179">
        <v>-166</v>
      </c>
      <c r="K6179">
        <v>256</v>
      </c>
      <c r="L6179">
        <v>1200</v>
      </c>
      <c r="M6179" t="str">
        <f t="shared" si="681"/>
        <v xml:space="preserve">N35DC   </v>
      </c>
      <c r="N6179">
        <v>1</v>
      </c>
      <c r="O6179">
        <v>1700</v>
      </c>
    </row>
    <row r="6180" spans="1:15" x14ac:dyDescent="0.25">
      <c r="A6180" t="str">
        <f t="shared" si="685"/>
        <v>10/21/2020 18:57:42.029</v>
      </c>
      <c r="B6180" t="str">
        <f t="shared" si="686"/>
        <v>18:57:49.984</v>
      </c>
      <c r="C6180" t="str">
        <f t="shared" si="687"/>
        <v>18:57:49.884</v>
      </c>
      <c r="D6180" t="s">
        <v>2592</v>
      </c>
      <c r="E6180">
        <v>30.628381000000001</v>
      </c>
      <c r="F6180" t="s">
        <v>2593</v>
      </c>
      <c r="G6180">
        <v>-89.727552000000003</v>
      </c>
      <c r="H6180">
        <v>1600</v>
      </c>
      <c r="I6180">
        <v>-35</v>
      </c>
      <c r="J6180">
        <v>-166</v>
      </c>
      <c r="K6180">
        <v>256</v>
      </c>
      <c r="L6180">
        <v>1200</v>
      </c>
      <c r="M6180" t="str">
        <f t="shared" si="681"/>
        <v xml:space="preserve">N35DC   </v>
      </c>
      <c r="N6180">
        <v>1</v>
      </c>
      <c r="O6180">
        <v>1700</v>
      </c>
    </row>
    <row r="6181" spans="1:15" x14ac:dyDescent="0.25">
      <c r="A6181" t="str">
        <f t="shared" si="685"/>
        <v>10/21/2020 18:57:42.029</v>
      </c>
      <c r="B6181" t="str">
        <f t="shared" si="686"/>
        <v>18:57:49.984</v>
      </c>
      <c r="C6181" t="str">
        <f t="shared" si="687"/>
        <v>18:57:49.884</v>
      </c>
      <c r="D6181" t="s">
        <v>2592</v>
      </c>
      <c r="E6181">
        <v>30.628381000000001</v>
      </c>
      <c r="F6181" t="s">
        <v>2593</v>
      </c>
      <c r="G6181">
        <v>-89.727552000000003</v>
      </c>
      <c r="H6181">
        <v>1600</v>
      </c>
      <c r="I6181">
        <v>-35</v>
      </c>
      <c r="J6181">
        <v>-166</v>
      </c>
      <c r="K6181">
        <v>256</v>
      </c>
      <c r="L6181">
        <v>1200</v>
      </c>
      <c r="M6181" t="str">
        <f t="shared" si="681"/>
        <v xml:space="preserve">N35DC   </v>
      </c>
      <c r="N6181">
        <v>1</v>
      </c>
      <c r="O6181">
        <v>1700</v>
      </c>
    </row>
    <row r="6182" spans="1:15" x14ac:dyDescent="0.25">
      <c r="A6182" t="str">
        <f t="shared" si="685"/>
        <v>10/21/2020 18:57:42.029</v>
      </c>
      <c r="B6182" t="str">
        <f t="shared" si="686"/>
        <v>18:57:49.984</v>
      </c>
      <c r="C6182" t="str">
        <f t="shared" si="687"/>
        <v>18:57:49.884</v>
      </c>
      <c r="D6182" t="s">
        <v>2592</v>
      </c>
      <c r="E6182">
        <v>30.628381000000001</v>
      </c>
      <c r="F6182" t="s">
        <v>2593</v>
      </c>
      <c r="G6182">
        <v>-89.727552000000003</v>
      </c>
      <c r="H6182">
        <v>1600</v>
      </c>
      <c r="I6182">
        <v>-35</v>
      </c>
      <c r="J6182">
        <v>-166</v>
      </c>
      <c r="K6182">
        <v>256</v>
      </c>
      <c r="L6182">
        <v>1200</v>
      </c>
      <c r="M6182" t="str">
        <f t="shared" si="681"/>
        <v xml:space="preserve">N35DC   </v>
      </c>
      <c r="N6182">
        <v>1</v>
      </c>
      <c r="O6182">
        <v>1700</v>
      </c>
    </row>
    <row r="6183" spans="1:15" x14ac:dyDescent="0.25">
      <c r="A6183" t="str">
        <f t="shared" si="685"/>
        <v>10/21/2020 18:57:42.029</v>
      </c>
      <c r="B6183" t="str">
        <f t="shared" si="686"/>
        <v>18:57:49.984</v>
      </c>
      <c r="C6183" t="str">
        <f t="shared" si="687"/>
        <v>18:57:49.884</v>
      </c>
      <c r="D6183" t="s">
        <v>2592</v>
      </c>
      <c r="E6183">
        <v>30.628381000000001</v>
      </c>
      <c r="F6183" t="s">
        <v>2593</v>
      </c>
      <c r="G6183">
        <v>-89.727552000000003</v>
      </c>
      <c r="H6183">
        <v>1600</v>
      </c>
      <c r="I6183">
        <v>-35</v>
      </c>
      <c r="J6183">
        <v>-166</v>
      </c>
      <c r="K6183">
        <v>256</v>
      </c>
      <c r="L6183">
        <v>1200</v>
      </c>
      <c r="M6183" t="str">
        <f t="shared" si="681"/>
        <v xml:space="preserve">N35DC   </v>
      </c>
      <c r="N6183">
        <v>1</v>
      </c>
      <c r="O6183">
        <v>1700</v>
      </c>
    </row>
    <row r="6184" spans="1:15" x14ac:dyDescent="0.25">
      <c r="A6184" t="str">
        <f t="shared" si="685"/>
        <v>10/21/2020 18:57:42.029</v>
      </c>
      <c r="B6184" t="str">
        <f t="shared" si="686"/>
        <v>18:57:49.984</v>
      </c>
      <c r="C6184" t="str">
        <f t="shared" si="687"/>
        <v>18:57:49.884</v>
      </c>
      <c r="D6184" t="s">
        <v>2592</v>
      </c>
      <c r="E6184">
        <v>30.628381000000001</v>
      </c>
      <c r="F6184" t="s">
        <v>2593</v>
      </c>
      <c r="G6184">
        <v>-89.727552000000003</v>
      </c>
      <c r="H6184">
        <v>1600</v>
      </c>
      <c r="I6184">
        <v>-35</v>
      </c>
      <c r="J6184">
        <v>-166</v>
      </c>
      <c r="K6184">
        <v>256</v>
      </c>
      <c r="L6184">
        <v>1200</v>
      </c>
      <c r="M6184" t="str">
        <f t="shared" si="681"/>
        <v xml:space="preserve">N35DC   </v>
      </c>
      <c r="N6184">
        <v>1</v>
      </c>
      <c r="O6184">
        <v>1700</v>
      </c>
    </row>
    <row r="6185" spans="1:15" x14ac:dyDescent="0.25">
      <c r="A6185" t="str">
        <f t="shared" ref="A6185:A6190" si="688">"10/21/2020 18:57:43.164"</f>
        <v>10/21/2020 18:57:43.164</v>
      </c>
      <c r="B6185" t="str">
        <f t="shared" ref="B6185:B6190" si="689">"18:57:51.109"</f>
        <v>18:57:51.109</v>
      </c>
      <c r="C6185" t="str">
        <f t="shared" ref="C6185:C6190" si="690">"18:57:50.809"</f>
        <v>18:57:50.809</v>
      </c>
      <c r="D6185" t="s">
        <v>2594</v>
      </c>
      <c r="E6185">
        <v>30.627500999999999</v>
      </c>
      <c r="F6185" t="s">
        <v>2595</v>
      </c>
      <c r="G6185">
        <v>-89.727808999999993</v>
      </c>
      <c r="H6185">
        <v>1600</v>
      </c>
      <c r="I6185">
        <v>-41</v>
      </c>
      <c r="J6185">
        <v>-165</v>
      </c>
      <c r="K6185">
        <v>256</v>
      </c>
      <c r="L6185">
        <v>1200</v>
      </c>
      <c r="M6185" t="str">
        <f t="shared" si="681"/>
        <v xml:space="preserve">N35DC   </v>
      </c>
      <c r="N6185">
        <v>1</v>
      </c>
      <c r="O6185">
        <v>1700</v>
      </c>
    </row>
    <row r="6186" spans="1:15" x14ac:dyDescent="0.25">
      <c r="A6186" t="str">
        <f t="shared" si="688"/>
        <v>10/21/2020 18:57:43.164</v>
      </c>
      <c r="B6186" t="str">
        <f t="shared" si="689"/>
        <v>18:57:51.109</v>
      </c>
      <c r="C6186" t="str">
        <f t="shared" si="690"/>
        <v>18:57:50.809</v>
      </c>
      <c r="D6186" t="s">
        <v>2594</v>
      </c>
      <c r="E6186">
        <v>30.627500999999999</v>
      </c>
      <c r="F6186" t="s">
        <v>2595</v>
      </c>
      <c r="G6186">
        <v>-89.727808999999993</v>
      </c>
      <c r="H6186">
        <v>1600</v>
      </c>
      <c r="I6186">
        <v>-41</v>
      </c>
      <c r="J6186">
        <v>-165</v>
      </c>
      <c r="K6186">
        <v>256</v>
      </c>
      <c r="L6186">
        <v>1200</v>
      </c>
      <c r="M6186" t="str">
        <f t="shared" si="681"/>
        <v xml:space="preserve">N35DC   </v>
      </c>
      <c r="N6186">
        <v>1</v>
      </c>
      <c r="O6186">
        <v>1700</v>
      </c>
    </row>
    <row r="6187" spans="1:15" x14ac:dyDescent="0.25">
      <c r="A6187" t="str">
        <f t="shared" si="688"/>
        <v>10/21/2020 18:57:43.164</v>
      </c>
      <c r="B6187" t="str">
        <f t="shared" si="689"/>
        <v>18:57:51.109</v>
      </c>
      <c r="C6187" t="str">
        <f t="shared" si="690"/>
        <v>18:57:50.809</v>
      </c>
      <c r="D6187" t="s">
        <v>2594</v>
      </c>
      <c r="E6187">
        <v>30.627500999999999</v>
      </c>
      <c r="F6187" t="s">
        <v>2595</v>
      </c>
      <c r="G6187">
        <v>-89.727808999999993</v>
      </c>
      <c r="H6187">
        <v>1600</v>
      </c>
      <c r="I6187">
        <v>-41</v>
      </c>
      <c r="J6187">
        <v>-165</v>
      </c>
      <c r="K6187">
        <v>256</v>
      </c>
      <c r="L6187">
        <v>1200</v>
      </c>
      <c r="M6187" t="str">
        <f t="shared" si="681"/>
        <v xml:space="preserve">N35DC   </v>
      </c>
      <c r="N6187">
        <v>1</v>
      </c>
      <c r="O6187">
        <v>1700</v>
      </c>
    </row>
    <row r="6188" spans="1:15" x14ac:dyDescent="0.25">
      <c r="A6188" t="str">
        <f t="shared" si="688"/>
        <v>10/21/2020 18:57:43.164</v>
      </c>
      <c r="B6188" t="str">
        <f t="shared" si="689"/>
        <v>18:57:51.109</v>
      </c>
      <c r="C6188" t="str">
        <f t="shared" si="690"/>
        <v>18:57:50.809</v>
      </c>
      <c r="D6188" t="s">
        <v>2594</v>
      </c>
      <c r="E6188">
        <v>30.627500999999999</v>
      </c>
      <c r="F6188" t="s">
        <v>2595</v>
      </c>
      <c r="G6188">
        <v>-89.727808999999993</v>
      </c>
      <c r="H6188">
        <v>1600</v>
      </c>
      <c r="I6188">
        <v>-41</v>
      </c>
      <c r="J6188">
        <v>-165</v>
      </c>
      <c r="K6188">
        <v>256</v>
      </c>
      <c r="L6188">
        <v>1200</v>
      </c>
      <c r="M6188" t="str">
        <f t="shared" si="681"/>
        <v xml:space="preserve">N35DC   </v>
      </c>
      <c r="N6188">
        <v>1</v>
      </c>
      <c r="O6188">
        <v>1700</v>
      </c>
    </row>
    <row r="6189" spans="1:15" x14ac:dyDescent="0.25">
      <c r="A6189" t="str">
        <f t="shared" si="688"/>
        <v>10/21/2020 18:57:43.164</v>
      </c>
      <c r="B6189" t="str">
        <f t="shared" si="689"/>
        <v>18:57:51.109</v>
      </c>
      <c r="C6189" t="str">
        <f t="shared" si="690"/>
        <v>18:57:50.809</v>
      </c>
      <c r="D6189" t="s">
        <v>2594</v>
      </c>
      <c r="E6189">
        <v>30.627500999999999</v>
      </c>
      <c r="F6189" t="s">
        <v>2595</v>
      </c>
      <c r="G6189">
        <v>-89.727808999999993</v>
      </c>
      <c r="H6189">
        <v>1600</v>
      </c>
      <c r="I6189">
        <v>-41</v>
      </c>
      <c r="J6189">
        <v>-165</v>
      </c>
      <c r="K6189">
        <v>256</v>
      </c>
      <c r="L6189">
        <v>1200</v>
      </c>
      <c r="M6189" t="str">
        <f t="shared" si="681"/>
        <v xml:space="preserve">N35DC   </v>
      </c>
      <c r="N6189">
        <v>1</v>
      </c>
      <c r="O6189">
        <v>1700</v>
      </c>
    </row>
    <row r="6190" spans="1:15" x14ac:dyDescent="0.25">
      <c r="A6190" t="str">
        <f t="shared" si="688"/>
        <v>10/21/2020 18:57:43.164</v>
      </c>
      <c r="B6190" t="str">
        <f t="shared" si="689"/>
        <v>18:57:51.109</v>
      </c>
      <c r="C6190" t="str">
        <f t="shared" si="690"/>
        <v>18:57:50.809</v>
      </c>
      <c r="D6190" t="s">
        <v>2594</v>
      </c>
      <c r="E6190">
        <v>30.627500999999999</v>
      </c>
      <c r="F6190" t="s">
        <v>2595</v>
      </c>
      <c r="G6190">
        <v>-89.727808999999993</v>
      </c>
      <c r="H6190">
        <v>1600</v>
      </c>
      <c r="I6190">
        <v>-41</v>
      </c>
      <c r="J6190">
        <v>-165</v>
      </c>
      <c r="K6190">
        <v>256</v>
      </c>
      <c r="L6190">
        <v>1200</v>
      </c>
      <c r="M6190" t="str">
        <f t="shared" si="681"/>
        <v xml:space="preserve">N35DC   </v>
      </c>
      <c r="N6190">
        <v>1</v>
      </c>
      <c r="O6190">
        <v>1700</v>
      </c>
    </row>
    <row r="6191" spans="1:15" x14ac:dyDescent="0.25">
      <c r="A6191" t="str">
        <f t="shared" ref="A6191:A6196" si="691">"10/21/2020 18:57:46.153"</f>
        <v>10/21/2020 18:57:46.153</v>
      </c>
      <c r="B6191" t="str">
        <f t="shared" ref="B6191:B6196" si="692">"18:57:54.078"</f>
        <v>18:57:54.078</v>
      </c>
      <c r="C6191" t="str">
        <f t="shared" ref="C6191:C6196" si="693">"18:57:53.878"</f>
        <v>18:57:53.878</v>
      </c>
      <c r="D6191" t="s">
        <v>2596</v>
      </c>
      <c r="E6191">
        <v>30.625354999999999</v>
      </c>
      <c r="F6191" t="s">
        <v>2597</v>
      </c>
      <c r="G6191">
        <v>-89.728689000000003</v>
      </c>
      <c r="H6191">
        <v>1700</v>
      </c>
      <c r="I6191">
        <v>-63</v>
      </c>
      <c r="J6191">
        <v>-157</v>
      </c>
      <c r="K6191">
        <v>256</v>
      </c>
      <c r="L6191">
        <v>1200</v>
      </c>
      <c r="M6191" t="str">
        <f t="shared" si="681"/>
        <v xml:space="preserve">N35DC   </v>
      </c>
      <c r="N6191">
        <v>1</v>
      </c>
      <c r="O6191">
        <v>1725</v>
      </c>
    </row>
    <row r="6192" spans="1:15" x14ac:dyDescent="0.25">
      <c r="A6192" t="str">
        <f t="shared" si="691"/>
        <v>10/21/2020 18:57:46.153</v>
      </c>
      <c r="B6192" t="str">
        <f t="shared" si="692"/>
        <v>18:57:54.078</v>
      </c>
      <c r="C6192" t="str">
        <f t="shared" si="693"/>
        <v>18:57:53.878</v>
      </c>
      <c r="D6192" t="s">
        <v>2596</v>
      </c>
      <c r="E6192">
        <v>30.625354999999999</v>
      </c>
      <c r="F6192" t="s">
        <v>2597</v>
      </c>
      <c r="G6192">
        <v>-89.728689000000003</v>
      </c>
      <c r="H6192">
        <v>1700</v>
      </c>
      <c r="I6192">
        <v>-63</v>
      </c>
      <c r="J6192">
        <v>-157</v>
      </c>
      <c r="K6192">
        <v>256</v>
      </c>
      <c r="L6192">
        <v>1200</v>
      </c>
      <c r="M6192" t="str">
        <f t="shared" si="681"/>
        <v xml:space="preserve">N35DC   </v>
      </c>
      <c r="N6192">
        <v>1</v>
      </c>
      <c r="O6192">
        <v>1725</v>
      </c>
    </row>
    <row r="6193" spans="1:15" x14ac:dyDescent="0.25">
      <c r="A6193" t="str">
        <f t="shared" si="691"/>
        <v>10/21/2020 18:57:46.153</v>
      </c>
      <c r="B6193" t="str">
        <f t="shared" si="692"/>
        <v>18:57:54.078</v>
      </c>
      <c r="C6193" t="str">
        <f t="shared" si="693"/>
        <v>18:57:53.878</v>
      </c>
      <c r="D6193" t="s">
        <v>2596</v>
      </c>
      <c r="E6193">
        <v>30.625354999999999</v>
      </c>
      <c r="F6193" t="s">
        <v>2597</v>
      </c>
      <c r="G6193">
        <v>-89.728689000000003</v>
      </c>
      <c r="H6193">
        <v>1700</v>
      </c>
      <c r="I6193">
        <v>-63</v>
      </c>
      <c r="J6193">
        <v>-157</v>
      </c>
      <c r="K6193">
        <v>256</v>
      </c>
      <c r="L6193">
        <v>1200</v>
      </c>
      <c r="M6193" t="str">
        <f t="shared" si="681"/>
        <v xml:space="preserve">N35DC   </v>
      </c>
      <c r="N6193">
        <v>1</v>
      </c>
      <c r="O6193">
        <v>1725</v>
      </c>
    </row>
    <row r="6194" spans="1:15" x14ac:dyDescent="0.25">
      <c r="A6194" t="str">
        <f t="shared" si="691"/>
        <v>10/21/2020 18:57:46.153</v>
      </c>
      <c r="B6194" t="str">
        <f t="shared" si="692"/>
        <v>18:57:54.078</v>
      </c>
      <c r="C6194" t="str">
        <f t="shared" si="693"/>
        <v>18:57:53.878</v>
      </c>
      <c r="D6194" t="s">
        <v>2596</v>
      </c>
      <c r="E6194">
        <v>30.625354999999999</v>
      </c>
      <c r="F6194" t="s">
        <v>2597</v>
      </c>
      <c r="G6194">
        <v>-89.728689000000003</v>
      </c>
      <c r="H6194">
        <v>1700</v>
      </c>
      <c r="I6194">
        <v>-63</v>
      </c>
      <c r="J6194">
        <v>-157</v>
      </c>
      <c r="K6194">
        <v>256</v>
      </c>
      <c r="L6194">
        <v>1200</v>
      </c>
      <c r="M6194" t="str">
        <f t="shared" si="681"/>
        <v xml:space="preserve">N35DC   </v>
      </c>
      <c r="N6194">
        <v>1</v>
      </c>
      <c r="O6194">
        <v>1725</v>
      </c>
    </row>
    <row r="6195" spans="1:15" x14ac:dyDescent="0.25">
      <c r="A6195" t="str">
        <f t="shared" si="691"/>
        <v>10/21/2020 18:57:46.153</v>
      </c>
      <c r="B6195" t="str">
        <f t="shared" si="692"/>
        <v>18:57:54.078</v>
      </c>
      <c r="C6195" t="str">
        <f t="shared" si="693"/>
        <v>18:57:53.878</v>
      </c>
      <c r="D6195" t="s">
        <v>2596</v>
      </c>
      <c r="E6195">
        <v>30.625354999999999</v>
      </c>
      <c r="F6195" t="s">
        <v>2597</v>
      </c>
      <c r="G6195">
        <v>-89.728689000000003</v>
      </c>
      <c r="H6195">
        <v>1700</v>
      </c>
      <c r="I6195">
        <v>-63</v>
      </c>
      <c r="J6195">
        <v>-157</v>
      </c>
      <c r="K6195">
        <v>256</v>
      </c>
      <c r="L6195">
        <v>1200</v>
      </c>
      <c r="M6195" t="str">
        <f t="shared" si="681"/>
        <v xml:space="preserve">N35DC   </v>
      </c>
      <c r="N6195">
        <v>1</v>
      </c>
      <c r="O6195">
        <v>1725</v>
      </c>
    </row>
    <row r="6196" spans="1:15" x14ac:dyDescent="0.25">
      <c r="A6196" t="str">
        <f t="shared" si="691"/>
        <v>10/21/2020 18:57:46.153</v>
      </c>
      <c r="B6196" t="str">
        <f t="shared" si="692"/>
        <v>18:57:54.078</v>
      </c>
      <c r="C6196" t="str">
        <f t="shared" si="693"/>
        <v>18:57:53.878</v>
      </c>
      <c r="D6196" t="s">
        <v>2596</v>
      </c>
      <c r="E6196">
        <v>30.625354999999999</v>
      </c>
      <c r="F6196" t="s">
        <v>2597</v>
      </c>
      <c r="G6196">
        <v>-89.728689000000003</v>
      </c>
      <c r="H6196">
        <v>1700</v>
      </c>
      <c r="I6196">
        <v>-63</v>
      </c>
      <c r="J6196">
        <v>-157</v>
      </c>
      <c r="K6196">
        <v>256</v>
      </c>
      <c r="L6196">
        <v>1200</v>
      </c>
      <c r="M6196" t="str">
        <f t="shared" si="681"/>
        <v xml:space="preserve">N35DC   </v>
      </c>
      <c r="N6196">
        <v>1</v>
      </c>
      <c r="O6196">
        <v>1725</v>
      </c>
    </row>
    <row r="6197" spans="1:15" x14ac:dyDescent="0.25">
      <c r="A6197" t="str">
        <f>"10/21/2020 18:57:47.233"</f>
        <v>10/21/2020 18:57:47.233</v>
      </c>
      <c r="B6197" t="str">
        <f>"18:57:55.141"</f>
        <v>18:57:55.141</v>
      </c>
      <c r="C6197" t="str">
        <f>"18:57:54.841"</f>
        <v>18:57:54.841</v>
      </c>
      <c r="D6197" t="s">
        <v>2598</v>
      </c>
      <c r="E6197">
        <v>30.624583000000001</v>
      </c>
      <c r="F6197" t="s">
        <v>2599</v>
      </c>
      <c r="G6197">
        <v>-89.729074999999995</v>
      </c>
      <c r="H6197">
        <v>1700</v>
      </c>
      <c r="I6197">
        <v>-68</v>
      </c>
      <c r="J6197">
        <v>-155</v>
      </c>
      <c r="K6197">
        <v>256</v>
      </c>
      <c r="L6197">
        <v>1200</v>
      </c>
      <c r="M6197" t="str">
        <f t="shared" si="681"/>
        <v xml:space="preserve">N35DC   </v>
      </c>
      <c r="N6197">
        <v>1</v>
      </c>
      <c r="O6197">
        <v>1725</v>
      </c>
    </row>
    <row r="6198" spans="1:15" x14ac:dyDescent="0.25">
      <c r="A6198" t="str">
        <f>"10/21/2020 18:57:47.233"</f>
        <v>10/21/2020 18:57:47.233</v>
      </c>
      <c r="B6198" t="str">
        <f>"18:57:55.141"</f>
        <v>18:57:55.141</v>
      </c>
      <c r="C6198" t="str">
        <f>"18:57:54.841"</f>
        <v>18:57:54.841</v>
      </c>
      <c r="D6198" t="s">
        <v>2598</v>
      </c>
      <c r="E6198">
        <v>30.624583000000001</v>
      </c>
      <c r="F6198" t="s">
        <v>2599</v>
      </c>
      <c r="G6198">
        <v>-89.729074999999995</v>
      </c>
      <c r="H6198">
        <v>1700</v>
      </c>
      <c r="I6198">
        <v>-68</v>
      </c>
      <c r="J6198">
        <v>-155</v>
      </c>
      <c r="K6198">
        <v>256</v>
      </c>
      <c r="L6198">
        <v>1200</v>
      </c>
      <c r="M6198" t="str">
        <f t="shared" si="681"/>
        <v xml:space="preserve">N35DC   </v>
      </c>
      <c r="N6198">
        <v>1</v>
      </c>
      <c r="O6198">
        <v>1725</v>
      </c>
    </row>
    <row r="6199" spans="1:15" x14ac:dyDescent="0.25">
      <c r="A6199" t="str">
        <f>"10/21/2020 18:57:47.233"</f>
        <v>10/21/2020 18:57:47.233</v>
      </c>
      <c r="B6199" t="str">
        <f>"18:57:55.141"</f>
        <v>18:57:55.141</v>
      </c>
      <c r="C6199" t="str">
        <f>"18:57:54.841"</f>
        <v>18:57:54.841</v>
      </c>
      <c r="D6199" t="s">
        <v>2598</v>
      </c>
      <c r="E6199">
        <v>30.624583000000001</v>
      </c>
      <c r="F6199" t="s">
        <v>2599</v>
      </c>
      <c r="G6199">
        <v>-89.729074999999995</v>
      </c>
      <c r="H6199">
        <v>1700</v>
      </c>
      <c r="I6199">
        <v>-68</v>
      </c>
      <c r="J6199">
        <v>-155</v>
      </c>
      <c r="K6199">
        <v>256</v>
      </c>
      <c r="L6199">
        <v>1200</v>
      </c>
      <c r="M6199" t="str">
        <f t="shared" si="681"/>
        <v xml:space="preserve">N35DC   </v>
      </c>
      <c r="N6199">
        <v>1</v>
      </c>
      <c r="O6199">
        <v>1725</v>
      </c>
    </row>
    <row r="6200" spans="1:15" x14ac:dyDescent="0.25">
      <c r="A6200" t="str">
        <f>"10/21/2020 18:57:47.233"</f>
        <v>10/21/2020 18:57:47.233</v>
      </c>
      <c r="B6200" t="str">
        <f>"18:57:55.141"</f>
        <v>18:57:55.141</v>
      </c>
      <c r="C6200" t="str">
        <f>"18:57:54.841"</f>
        <v>18:57:54.841</v>
      </c>
      <c r="D6200" t="s">
        <v>2598</v>
      </c>
      <c r="E6200">
        <v>30.624583000000001</v>
      </c>
      <c r="F6200" t="s">
        <v>2599</v>
      </c>
      <c r="G6200">
        <v>-89.729074999999995</v>
      </c>
      <c r="H6200">
        <v>1700</v>
      </c>
      <c r="I6200">
        <v>-68</v>
      </c>
      <c r="J6200">
        <v>-155</v>
      </c>
      <c r="K6200">
        <v>256</v>
      </c>
      <c r="L6200">
        <v>1200</v>
      </c>
      <c r="M6200" t="str">
        <f t="shared" si="681"/>
        <v xml:space="preserve">N35DC   </v>
      </c>
      <c r="N6200">
        <v>1</v>
      </c>
      <c r="O6200">
        <v>1725</v>
      </c>
    </row>
    <row r="6201" spans="1:15" x14ac:dyDescent="0.25">
      <c r="A6201" t="str">
        <f>"10/21/2020 18:57:47.233"</f>
        <v>10/21/2020 18:57:47.233</v>
      </c>
      <c r="B6201" t="str">
        <f>"18:57:55.141"</f>
        <v>18:57:55.141</v>
      </c>
      <c r="C6201" t="str">
        <f>"18:57:54.841"</f>
        <v>18:57:54.841</v>
      </c>
      <c r="D6201" t="s">
        <v>2598</v>
      </c>
      <c r="E6201">
        <v>30.624583000000001</v>
      </c>
      <c r="F6201" t="s">
        <v>2599</v>
      </c>
      <c r="G6201">
        <v>-89.729074999999995</v>
      </c>
      <c r="H6201">
        <v>1700</v>
      </c>
      <c r="I6201">
        <v>-68</v>
      </c>
      <c r="J6201">
        <v>-155</v>
      </c>
      <c r="K6201">
        <v>256</v>
      </c>
      <c r="L6201">
        <v>1200</v>
      </c>
      <c r="M6201" t="str">
        <f t="shared" si="681"/>
        <v xml:space="preserve">N35DC   </v>
      </c>
      <c r="N6201">
        <v>1</v>
      </c>
      <c r="O6201">
        <v>1725</v>
      </c>
    </row>
    <row r="6202" spans="1:15" x14ac:dyDescent="0.25">
      <c r="A6202" t="str">
        <f t="shared" ref="A6202:A6207" si="694">"10/21/2020 18:57:49.204"</f>
        <v>10/21/2020 18:57:49.204</v>
      </c>
      <c r="B6202" t="str">
        <f t="shared" ref="B6202:B6207" si="695">"18:57:57.141"</f>
        <v>18:57:57.141</v>
      </c>
      <c r="C6202" t="str">
        <f t="shared" ref="C6202:C6207" si="696">"18:57:56.941"</f>
        <v>18:57:56.941</v>
      </c>
      <c r="D6202" t="s">
        <v>2600</v>
      </c>
      <c r="E6202">
        <v>30.623187999999999</v>
      </c>
      <c r="F6202" t="s">
        <v>2601</v>
      </c>
      <c r="G6202">
        <v>-89.729955000000004</v>
      </c>
      <c r="H6202">
        <v>1700</v>
      </c>
      <c r="I6202">
        <v>-82</v>
      </c>
      <c r="J6202">
        <v>-148</v>
      </c>
      <c r="K6202">
        <v>256</v>
      </c>
      <c r="L6202">
        <v>1200</v>
      </c>
      <c r="M6202" t="str">
        <f t="shared" si="681"/>
        <v xml:space="preserve">N35DC   </v>
      </c>
      <c r="N6202">
        <v>1</v>
      </c>
      <c r="O6202">
        <v>1725</v>
      </c>
    </row>
    <row r="6203" spans="1:15" x14ac:dyDescent="0.25">
      <c r="A6203" t="str">
        <f t="shared" si="694"/>
        <v>10/21/2020 18:57:49.204</v>
      </c>
      <c r="B6203" t="str">
        <f t="shared" si="695"/>
        <v>18:57:57.141</v>
      </c>
      <c r="C6203" t="str">
        <f t="shared" si="696"/>
        <v>18:57:56.941</v>
      </c>
      <c r="D6203" t="s">
        <v>2600</v>
      </c>
      <c r="E6203">
        <v>30.623187999999999</v>
      </c>
      <c r="F6203" t="s">
        <v>2601</v>
      </c>
      <c r="G6203">
        <v>-89.729955000000004</v>
      </c>
      <c r="H6203">
        <v>1700</v>
      </c>
      <c r="I6203">
        <v>-82</v>
      </c>
      <c r="J6203">
        <v>-148</v>
      </c>
      <c r="K6203">
        <v>256</v>
      </c>
      <c r="L6203">
        <v>1200</v>
      </c>
      <c r="M6203" t="str">
        <f t="shared" si="681"/>
        <v xml:space="preserve">N35DC   </v>
      </c>
      <c r="N6203">
        <v>1</v>
      </c>
      <c r="O6203">
        <v>1725</v>
      </c>
    </row>
    <row r="6204" spans="1:15" x14ac:dyDescent="0.25">
      <c r="A6204" t="str">
        <f t="shared" si="694"/>
        <v>10/21/2020 18:57:49.204</v>
      </c>
      <c r="B6204" t="str">
        <f t="shared" si="695"/>
        <v>18:57:57.141</v>
      </c>
      <c r="C6204" t="str">
        <f t="shared" si="696"/>
        <v>18:57:56.941</v>
      </c>
      <c r="D6204" t="s">
        <v>2600</v>
      </c>
      <c r="E6204">
        <v>30.623187999999999</v>
      </c>
      <c r="F6204" t="s">
        <v>2601</v>
      </c>
      <c r="G6204">
        <v>-89.729955000000004</v>
      </c>
      <c r="H6204">
        <v>1700</v>
      </c>
      <c r="I6204">
        <v>-82</v>
      </c>
      <c r="J6204">
        <v>-148</v>
      </c>
      <c r="K6204">
        <v>256</v>
      </c>
      <c r="L6204">
        <v>1200</v>
      </c>
      <c r="M6204" t="str">
        <f t="shared" si="681"/>
        <v xml:space="preserve">N35DC   </v>
      </c>
      <c r="N6204">
        <v>1</v>
      </c>
      <c r="O6204">
        <v>1725</v>
      </c>
    </row>
    <row r="6205" spans="1:15" x14ac:dyDescent="0.25">
      <c r="A6205" t="str">
        <f t="shared" si="694"/>
        <v>10/21/2020 18:57:49.204</v>
      </c>
      <c r="B6205" t="str">
        <f t="shared" si="695"/>
        <v>18:57:57.141</v>
      </c>
      <c r="C6205" t="str">
        <f t="shared" si="696"/>
        <v>18:57:56.941</v>
      </c>
      <c r="D6205" t="s">
        <v>2600</v>
      </c>
      <c r="E6205">
        <v>30.623187999999999</v>
      </c>
      <c r="F6205" t="s">
        <v>2601</v>
      </c>
      <c r="G6205">
        <v>-89.729955000000004</v>
      </c>
      <c r="H6205">
        <v>1700</v>
      </c>
      <c r="I6205">
        <v>-82</v>
      </c>
      <c r="J6205">
        <v>-148</v>
      </c>
      <c r="K6205">
        <v>256</v>
      </c>
      <c r="L6205">
        <v>1200</v>
      </c>
      <c r="M6205" t="str">
        <f t="shared" si="681"/>
        <v xml:space="preserve">N35DC   </v>
      </c>
      <c r="N6205">
        <v>1</v>
      </c>
      <c r="O6205">
        <v>1725</v>
      </c>
    </row>
    <row r="6206" spans="1:15" x14ac:dyDescent="0.25">
      <c r="A6206" t="str">
        <f t="shared" si="694"/>
        <v>10/21/2020 18:57:49.204</v>
      </c>
      <c r="B6206" t="str">
        <f t="shared" si="695"/>
        <v>18:57:57.141</v>
      </c>
      <c r="C6206" t="str">
        <f t="shared" si="696"/>
        <v>18:57:56.941</v>
      </c>
      <c r="D6206" t="s">
        <v>2600</v>
      </c>
      <c r="E6206">
        <v>30.623187999999999</v>
      </c>
      <c r="F6206" t="s">
        <v>2601</v>
      </c>
      <c r="G6206">
        <v>-89.729955000000004</v>
      </c>
      <c r="H6206">
        <v>1700</v>
      </c>
      <c r="I6206">
        <v>-82</v>
      </c>
      <c r="J6206">
        <v>-148</v>
      </c>
      <c r="K6206">
        <v>256</v>
      </c>
      <c r="L6206">
        <v>1200</v>
      </c>
      <c r="M6206" t="str">
        <f t="shared" si="681"/>
        <v xml:space="preserve">N35DC   </v>
      </c>
      <c r="N6206">
        <v>1</v>
      </c>
      <c r="O6206">
        <v>1725</v>
      </c>
    </row>
    <row r="6207" spans="1:15" x14ac:dyDescent="0.25">
      <c r="A6207" t="str">
        <f t="shared" si="694"/>
        <v>10/21/2020 18:57:49.204</v>
      </c>
      <c r="B6207" t="str">
        <f t="shared" si="695"/>
        <v>18:57:57.141</v>
      </c>
      <c r="C6207" t="str">
        <f t="shared" si="696"/>
        <v>18:57:56.941</v>
      </c>
      <c r="D6207" t="s">
        <v>2600</v>
      </c>
      <c r="E6207">
        <v>30.623187999999999</v>
      </c>
      <c r="F6207" t="s">
        <v>2601</v>
      </c>
      <c r="G6207">
        <v>-89.729955000000004</v>
      </c>
      <c r="H6207">
        <v>1700</v>
      </c>
      <c r="I6207">
        <v>-82</v>
      </c>
      <c r="J6207">
        <v>-148</v>
      </c>
      <c r="K6207">
        <v>256</v>
      </c>
      <c r="L6207">
        <v>1200</v>
      </c>
      <c r="M6207" t="str">
        <f t="shared" si="681"/>
        <v xml:space="preserve">N35DC   </v>
      </c>
      <c r="N6207">
        <v>1</v>
      </c>
      <c r="O6207">
        <v>1725</v>
      </c>
    </row>
    <row r="6208" spans="1:15" x14ac:dyDescent="0.25">
      <c r="A6208" t="str">
        <f t="shared" ref="A6208:A6213" si="697">"10/21/2020 18:57:50.244"</f>
        <v>10/21/2020 18:57:50.244</v>
      </c>
      <c r="B6208" t="str">
        <f t="shared" ref="B6208:B6213" si="698">"18:57:58.156"</f>
        <v>18:57:58.156</v>
      </c>
      <c r="C6208" t="str">
        <f>"18:57:57.456"</f>
        <v>18:57:57.456</v>
      </c>
      <c r="D6208" t="s">
        <v>2602</v>
      </c>
      <c r="E6208">
        <v>30.622479999999999</v>
      </c>
      <c r="F6208" t="s">
        <v>2603</v>
      </c>
      <c r="G6208">
        <v>-89.730448999999993</v>
      </c>
      <c r="H6208">
        <v>1700</v>
      </c>
      <c r="I6208">
        <v>-84</v>
      </c>
      <c r="J6208">
        <v>-147</v>
      </c>
      <c r="K6208">
        <v>256</v>
      </c>
      <c r="L6208">
        <v>1200</v>
      </c>
      <c r="M6208" t="str">
        <f t="shared" si="681"/>
        <v xml:space="preserve">N35DC   </v>
      </c>
      <c r="N6208">
        <v>1</v>
      </c>
      <c r="O6208">
        <v>1725</v>
      </c>
    </row>
    <row r="6209" spans="1:15" x14ac:dyDescent="0.25">
      <c r="A6209" t="str">
        <f t="shared" si="697"/>
        <v>10/21/2020 18:57:50.244</v>
      </c>
      <c r="B6209" t="str">
        <f t="shared" si="698"/>
        <v>18:57:58.156</v>
      </c>
      <c r="C6209" t="str">
        <f>"18:57:57.956"</f>
        <v>18:57:57.956</v>
      </c>
      <c r="D6209" t="s">
        <v>2602</v>
      </c>
      <c r="E6209">
        <v>30.622479999999999</v>
      </c>
      <c r="F6209" t="s">
        <v>2603</v>
      </c>
      <c r="G6209">
        <v>-89.730448999999993</v>
      </c>
      <c r="H6209">
        <v>1700</v>
      </c>
      <c r="I6209">
        <v>-87</v>
      </c>
      <c r="J6209">
        <v>-145</v>
      </c>
      <c r="K6209">
        <v>256</v>
      </c>
      <c r="L6209">
        <v>1200</v>
      </c>
      <c r="M6209" t="str">
        <f t="shared" si="681"/>
        <v xml:space="preserve">N35DC   </v>
      </c>
      <c r="N6209">
        <v>1</v>
      </c>
      <c r="O6209">
        <v>1725</v>
      </c>
    </row>
    <row r="6210" spans="1:15" x14ac:dyDescent="0.25">
      <c r="A6210" t="str">
        <f t="shared" si="697"/>
        <v>10/21/2020 18:57:50.244</v>
      </c>
      <c r="B6210" t="str">
        <f t="shared" si="698"/>
        <v>18:57:58.156</v>
      </c>
      <c r="C6210" t="str">
        <f>"18:57:57.956"</f>
        <v>18:57:57.956</v>
      </c>
      <c r="D6210" t="s">
        <v>2602</v>
      </c>
      <c r="E6210">
        <v>30.622479999999999</v>
      </c>
      <c r="F6210" t="s">
        <v>2603</v>
      </c>
      <c r="G6210">
        <v>-89.730448999999993</v>
      </c>
      <c r="H6210">
        <v>1700</v>
      </c>
      <c r="I6210">
        <v>-87</v>
      </c>
      <c r="J6210">
        <v>-145</v>
      </c>
      <c r="K6210">
        <v>256</v>
      </c>
      <c r="L6210">
        <v>1200</v>
      </c>
      <c r="M6210" t="str">
        <f t="shared" si="681"/>
        <v xml:space="preserve">N35DC   </v>
      </c>
      <c r="N6210">
        <v>1</v>
      </c>
      <c r="O6210">
        <v>1725</v>
      </c>
    </row>
    <row r="6211" spans="1:15" x14ac:dyDescent="0.25">
      <c r="A6211" t="str">
        <f t="shared" si="697"/>
        <v>10/21/2020 18:57:50.244</v>
      </c>
      <c r="B6211" t="str">
        <f t="shared" si="698"/>
        <v>18:57:58.156</v>
      </c>
      <c r="C6211" t="str">
        <f>"18:57:57.956"</f>
        <v>18:57:57.956</v>
      </c>
      <c r="D6211" t="s">
        <v>2602</v>
      </c>
      <c r="E6211">
        <v>30.622479999999999</v>
      </c>
      <c r="F6211" t="s">
        <v>2603</v>
      </c>
      <c r="G6211">
        <v>-89.730448999999993</v>
      </c>
      <c r="H6211">
        <v>1700</v>
      </c>
      <c r="I6211">
        <v>-87</v>
      </c>
      <c r="J6211">
        <v>-145</v>
      </c>
      <c r="K6211">
        <v>256</v>
      </c>
      <c r="L6211">
        <v>1200</v>
      </c>
      <c r="M6211" t="str">
        <f t="shared" si="681"/>
        <v xml:space="preserve">N35DC   </v>
      </c>
      <c r="N6211">
        <v>1</v>
      </c>
      <c r="O6211">
        <v>1725</v>
      </c>
    </row>
    <row r="6212" spans="1:15" x14ac:dyDescent="0.25">
      <c r="A6212" t="str">
        <f t="shared" si="697"/>
        <v>10/21/2020 18:57:50.244</v>
      </c>
      <c r="B6212" t="str">
        <f t="shared" si="698"/>
        <v>18:57:58.156</v>
      </c>
      <c r="C6212" t="str">
        <f>"18:57:57.956"</f>
        <v>18:57:57.956</v>
      </c>
      <c r="D6212" t="s">
        <v>2602</v>
      </c>
      <c r="E6212">
        <v>30.622479999999999</v>
      </c>
      <c r="F6212" t="s">
        <v>2603</v>
      </c>
      <c r="G6212">
        <v>-89.730448999999993</v>
      </c>
      <c r="H6212">
        <v>1700</v>
      </c>
      <c r="I6212">
        <v>-87</v>
      </c>
      <c r="J6212">
        <v>-145</v>
      </c>
      <c r="K6212">
        <v>256</v>
      </c>
      <c r="L6212">
        <v>1200</v>
      </c>
      <c r="M6212" t="str">
        <f t="shared" si="681"/>
        <v xml:space="preserve">N35DC   </v>
      </c>
      <c r="N6212">
        <v>1</v>
      </c>
      <c r="O6212">
        <v>1725</v>
      </c>
    </row>
    <row r="6213" spans="1:15" x14ac:dyDescent="0.25">
      <c r="A6213" t="str">
        <f t="shared" si="697"/>
        <v>10/21/2020 18:57:50.244</v>
      </c>
      <c r="B6213" t="str">
        <f t="shared" si="698"/>
        <v>18:57:58.156</v>
      </c>
      <c r="C6213" t="str">
        <f>"18:57:57.956"</f>
        <v>18:57:57.956</v>
      </c>
      <c r="D6213" t="s">
        <v>2602</v>
      </c>
      <c r="E6213">
        <v>30.622479999999999</v>
      </c>
      <c r="F6213" t="s">
        <v>2603</v>
      </c>
      <c r="G6213">
        <v>-89.730448999999993</v>
      </c>
      <c r="H6213">
        <v>1700</v>
      </c>
      <c r="I6213">
        <v>-87</v>
      </c>
      <c r="J6213">
        <v>-145</v>
      </c>
      <c r="K6213">
        <v>256</v>
      </c>
      <c r="L6213">
        <v>1200</v>
      </c>
      <c r="M6213" t="str">
        <f t="shared" si="681"/>
        <v xml:space="preserve">N35DC   </v>
      </c>
      <c r="N6213">
        <v>1</v>
      </c>
      <c r="O6213">
        <v>1725</v>
      </c>
    </row>
    <row r="6214" spans="1:15" x14ac:dyDescent="0.25">
      <c r="A6214" t="str">
        <f t="shared" ref="A6214:A6219" si="699">"10/21/2020 18:57:53.498"</f>
        <v>10/21/2020 18:57:53.498</v>
      </c>
      <c r="B6214" t="str">
        <f t="shared" ref="B6214:B6219" si="700">"18:58:01.445"</f>
        <v>18:58:01.445</v>
      </c>
      <c r="C6214" t="str">
        <f t="shared" ref="C6214:C6219" si="701">"18:58:00.945"</f>
        <v>18:58:00.945</v>
      </c>
      <c r="D6214" t="s">
        <v>2604</v>
      </c>
      <c r="E6214">
        <v>30.620441</v>
      </c>
      <c r="F6214" t="s">
        <v>2605</v>
      </c>
      <c r="G6214">
        <v>-89.732101</v>
      </c>
      <c r="H6214">
        <v>1700</v>
      </c>
      <c r="I6214">
        <v>-101</v>
      </c>
      <c r="J6214">
        <v>-134</v>
      </c>
      <c r="K6214">
        <v>320</v>
      </c>
      <c r="L6214">
        <v>1200</v>
      </c>
      <c r="M6214" t="str">
        <f t="shared" si="681"/>
        <v xml:space="preserve">N35DC   </v>
      </c>
      <c r="N6214">
        <v>1</v>
      </c>
      <c r="O6214">
        <v>1750</v>
      </c>
    </row>
    <row r="6215" spans="1:15" x14ac:dyDescent="0.25">
      <c r="A6215" t="str">
        <f t="shared" si="699"/>
        <v>10/21/2020 18:57:53.498</v>
      </c>
      <c r="B6215" t="str">
        <f t="shared" si="700"/>
        <v>18:58:01.445</v>
      </c>
      <c r="C6215" t="str">
        <f t="shared" si="701"/>
        <v>18:58:00.945</v>
      </c>
      <c r="D6215" t="s">
        <v>2604</v>
      </c>
      <c r="E6215">
        <v>30.620441</v>
      </c>
      <c r="F6215" t="s">
        <v>2605</v>
      </c>
      <c r="G6215">
        <v>-89.732101</v>
      </c>
      <c r="H6215">
        <v>1700</v>
      </c>
      <c r="I6215">
        <v>-101</v>
      </c>
      <c r="J6215">
        <v>-134</v>
      </c>
      <c r="K6215">
        <v>320</v>
      </c>
      <c r="L6215">
        <v>1200</v>
      </c>
      <c r="M6215" t="str">
        <f t="shared" ref="M6215:M6278" si="702">"N35DC   "</f>
        <v xml:space="preserve">N35DC   </v>
      </c>
      <c r="N6215">
        <v>1</v>
      </c>
      <c r="O6215">
        <v>1750</v>
      </c>
    </row>
    <row r="6216" spans="1:15" x14ac:dyDescent="0.25">
      <c r="A6216" t="str">
        <f t="shared" si="699"/>
        <v>10/21/2020 18:57:53.498</v>
      </c>
      <c r="B6216" t="str">
        <f t="shared" si="700"/>
        <v>18:58:01.445</v>
      </c>
      <c r="C6216" t="str">
        <f t="shared" si="701"/>
        <v>18:58:00.945</v>
      </c>
      <c r="D6216" t="s">
        <v>2604</v>
      </c>
      <c r="E6216">
        <v>30.620441</v>
      </c>
      <c r="F6216" t="s">
        <v>2605</v>
      </c>
      <c r="G6216">
        <v>-89.732101</v>
      </c>
      <c r="H6216">
        <v>1700</v>
      </c>
      <c r="I6216">
        <v>-101</v>
      </c>
      <c r="J6216">
        <v>-134</v>
      </c>
      <c r="K6216">
        <v>320</v>
      </c>
      <c r="L6216">
        <v>1200</v>
      </c>
      <c r="M6216" t="str">
        <f t="shared" si="702"/>
        <v xml:space="preserve">N35DC   </v>
      </c>
      <c r="N6216">
        <v>1</v>
      </c>
      <c r="O6216">
        <v>1750</v>
      </c>
    </row>
    <row r="6217" spans="1:15" x14ac:dyDescent="0.25">
      <c r="A6217" t="str">
        <f t="shared" si="699"/>
        <v>10/21/2020 18:57:53.498</v>
      </c>
      <c r="B6217" t="str">
        <f t="shared" si="700"/>
        <v>18:58:01.445</v>
      </c>
      <c r="C6217" t="str">
        <f t="shared" si="701"/>
        <v>18:58:00.945</v>
      </c>
      <c r="D6217" t="s">
        <v>2604</v>
      </c>
      <c r="E6217">
        <v>30.620441</v>
      </c>
      <c r="F6217" t="s">
        <v>2605</v>
      </c>
      <c r="G6217">
        <v>-89.732101</v>
      </c>
      <c r="H6217">
        <v>1700</v>
      </c>
      <c r="I6217">
        <v>-101</v>
      </c>
      <c r="J6217">
        <v>-134</v>
      </c>
      <c r="K6217">
        <v>320</v>
      </c>
      <c r="L6217">
        <v>1200</v>
      </c>
      <c r="M6217" t="str">
        <f t="shared" si="702"/>
        <v xml:space="preserve">N35DC   </v>
      </c>
      <c r="N6217">
        <v>1</v>
      </c>
      <c r="O6217">
        <v>1750</v>
      </c>
    </row>
    <row r="6218" spans="1:15" x14ac:dyDescent="0.25">
      <c r="A6218" t="str">
        <f t="shared" si="699"/>
        <v>10/21/2020 18:57:53.498</v>
      </c>
      <c r="B6218" t="str">
        <f t="shared" si="700"/>
        <v>18:58:01.445</v>
      </c>
      <c r="C6218" t="str">
        <f t="shared" si="701"/>
        <v>18:58:00.945</v>
      </c>
      <c r="D6218" t="s">
        <v>2604</v>
      </c>
      <c r="E6218">
        <v>30.620441</v>
      </c>
      <c r="F6218" t="s">
        <v>2605</v>
      </c>
      <c r="G6218">
        <v>-89.732101</v>
      </c>
      <c r="H6218">
        <v>1700</v>
      </c>
      <c r="I6218">
        <v>-101</v>
      </c>
      <c r="J6218">
        <v>-134</v>
      </c>
      <c r="K6218">
        <v>320</v>
      </c>
      <c r="L6218">
        <v>1200</v>
      </c>
      <c r="M6218" t="str">
        <f t="shared" si="702"/>
        <v xml:space="preserve">N35DC   </v>
      </c>
      <c r="N6218">
        <v>1</v>
      </c>
      <c r="O6218">
        <v>1750</v>
      </c>
    </row>
    <row r="6219" spans="1:15" x14ac:dyDescent="0.25">
      <c r="A6219" t="str">
        <f t="shared" si="699"/>
        <v>10/21/2020 18:57:53.498</v>
      </c>
      <c r="B6219" t="str">
        <f t="shared" si="700"/>
        <v>18:58:01.445</v>
      </c>
      <c r="C6219" t="str">
        <f t="shared" si="701"/>
        <v>18:58:00.945</v>
      </c>
      <c r="D6219" t="s">
        <v>2604</v>
      </c>
      <c r="E6219">
        <v>30.620441</v>
      </c>
      <c r="F6219" t="s">
        <v>2605</v>
      </c>
      <c r="G6219">
        <v>-89.732101</v>
      </c>
      <c r="H6219">
        <v>1700</v>
      </c>
      <c r="I6219">
        <v>-101</v>
      </c>
      <c r="J6219">
        <v>-134</v>
      </c>
      <c r="K6219">
        <v>320</v>
      </c>
      <c r="L6219">
        <v>1200</v>
      </c>
      <c r="M6219" t="str">
        <f t="shared" si="702"/>
        <v xml:space="preserve">N35DC   </v>
      </c>
      <c r="N6219">
        <v>1</v>
      </c>
      <c r="O6219">
        <v>1750</v>
      </c>
    </row>
    <row r="6220" spans="1:15" x14ac:dyDescent="0.25">
      <c r="A6220" t="str">
        <f>"10/21/2020 18:57:54.419"</f>
        <v>10/21/2020 18:57:54.419</v>
      </c>
      <c r="B6220" t="str">
        <f t="shared" ref="B6220:C6224" si="703">"18:58:02.375"</f>
        <v>18:58:02.375</v>
      </c>
      <c r="C6220" t="str">
        <f t="shared" si="703"/>
        <v>18:58:02.375</v>
      </c>
      <c r="D6220" t="s">
        <v>2606</v>
      </c>
      <c r="E6220">
        <v>30.619862000000001</v>
      </c>
      <c r="F6220" t="s">
        <v>2562</v>
      </c>
      <c r="G6220">
        <v>-89.732658999999998</v>
      </c>
      <c r="H6220">
        <v>1700</v>
      </c>
      <c r="I6220">
        <v>-106</v>
      </c>
      <c r="J6220">
        <v>-130</v>
      </c>
      <c r="K6220">
        <v>192</v>
      </c>
      <c r="L6220">
        <v>1200</v>
      </c>
      <c r="M6220" t="str">
        <f t="shared" si="702"/>
        <v xml:space="preserve">N35DC   </v>
      </c>
      <c r="N6220">
        <v>1</v>
      </c>
      <c r="O6220">
        <v>1750</v>
      </c>
    </row>
    <row r="6221" spans="1:15" x14ac:dyDescent="0.25">
      <c r="A6221" t="str">
        <f>"10/21/2020 18:57:54.419"</f>
        <v>10/21/2020 18:57:54.419</v>
      </c>
      <c r="B6221" t="str">
        <f t="shared" si="703"/>
        <v>18:58:02.375</v>
      </c>
      <c r="C6221" t="str">
        <f t="shared" si="703"/>
        <v>18:58:02.375</v>
      </c>
      <c r="D6221" t="s">
        <v>2606</v>
      </c>
      <c r="E6221">
        <v>30.619862000000001</v>
      </c>
      <c r="F6221" t="s">
        <v>2562</v>
      </c>
      <c r="G6221">
        <v>-89.732658999999998</v>
      </c>
      <c r="H6221">
        <v>1700</v>
      </c>
      <c r="I6221">
        <v>-106</v>
      </c>
      <c r="J6221">
        <v>-130</v>
      </c>
      <c r="K6221">
        <v>192</v>
      </c>
      <c r="L6221">
        <v>1200</v>
      </c>
      <c r="M6221" t="str">
        <f t="shared" si="702"/>
        <v xml:space="preserve">N35DC   </v>
      </c>
      <c r="N6221">
        <v>1</v>
      </c>
      <c r="O6221">
        <v>1750</v>
      </c>
    </row>
    <row r="6222" spans="1:15" x14ac:dyDescent="0.25">
      <c r="A6222" t="str">
        <f>"10/21/2020 18:57:54.419"</f>
        <v>10/21/2020 18:57:54.419</v>
      </c>
      <c r="B6222" t="str">
        <f t="shared" si="703"/>
        <v>18:58:02.375</v>
      </c>
      <c r="C6222" t="str">
        <f t="shared" si="703"/>
        <v>18:58:02.375</v>
      </c>
      <c r="D6222" t="s">
        <v>2606</v>
      </c>
      <c r="E6222">
        <v>30.619862000000001</v>
      </c>
      <c r="F6222" t="s">
        <v>2562</v>
      </c>
      <c r="G6222">
        <v>-89.732658999999998</v>
      </c>
      <c r="H6222">
        <v>1700</v>
      </c>
      <c r="I6222">
        <v>-106</v>
      </c>
      <c r="J6222">
        <v>-130</v>
      </c>
      <c r="K6222">
        <v>192</v>
      </c>
      <c r="L6222">
        <v>1200</v>
      </c>
      <c r="M6222" t="str">
        <f t="shared" si="702"/>
        <v xml:space="preserve">N35DC   </v>
      </c>
      <c r="N6222">
        <v>1</v>
      </c>
      <c r="O6222">
        <v>1750</v>
      </c>
    </row>
    <row r="6223" spans="1:15" x14ac:dyDescent="0.25">
      <c r="A6223" t="str">
        <f>"10/21/2020 18:57:54.419"</f>
        <v>10/21/2020 18:57:54.419</v>
      </c>
      <c r="B6223" t="str">
        <f t="shared" si="703"/>
        <v>18:58:02.375</v>
      </c>
      <c r="C6223" t="str">
        <f t="shared" si="703"/>
        <v>18:58:02.375</v>
      </c>
      <c r="D6223" t="s">
        <v>2606</v>
      </c>
      <c r="E6223">
        <v>30.619862000000001</v>
      </c>
      <c r="F6223" t="s">
        <v>2562</v>
      </c>
      <c r="G6223">
        <v>-89.732658999999998</v>
      </c>
      <c r="H6223">
        <v>1700</v>
      </c>
      <c r="I6223">
        <v>-106</v>
      </c>
      <c r="J6223">
        <v>-130</v>
      </c>
      <c r="K6223">
        <v>192</v>
      </c>
      <c r="L6223">
        <v>1200</v>
      </c>
      <c r="M6223" t="str">
        <f t="shared" si="702"/>
        <v xml:space="preserve">N35DC   </v>
      </c>
      <c r="N6223">
        <v>1</v>
      </c>
      <c r="O6223">
        <v>1750</v>
      </c>
    </row>
    <row r="6224" spans="1:15" x14ac:dyDescent="0.25">
      <c r="A6224" t="str">
        <f>"10/21/2020 18:57:54.419"</f>
        <v>10/21/2020 18:57:54.419</v>
      </c>
      <c r="B6224" t="str">
        <f t="shared" si="703"/>
        <v>18:58:02.375</v>
      </c>
      <c r="C6224" t="str">
        <f t="shared" si="703"/>
        <v>18:58:02.375</v>
      </c>
      <c r="D6224" t="s">
        <v>2606</v>
      </c>
      <c r="E6224">
        <v>30.619862000000001</v>
      </c>
      <c r="F6224" t="s">
        <v>2562</v>
      </c>
      <c r="G6224">
        <v>-89.732658999999998</v>
      </c>
      <c r="H6224">
        <v>1700</v>
      </c>
      <c r="I6224">
        <v>-106</v>
      </c>
      <c r="J6224">
        <v>-130</v>
      </c>
      <c r="K6224">
        <v>192</v>
      </c>
      <c r="L6224">
        <v>1200</v>
      </c>
      <c r="M6224" t="str">
        <f t="shared" si="702"/>
        <v xml:space="preserve">N35DC   </v>
      </c>
      <c r="N6224">
        <v>1</v>
      </c>
      <c r="O6224">
        <v>1750</v>
      </c>
    </row>
    <row r="6225" spans="1:15" x14ac:dyDescent="0.25">
      <c r="A6225" t="str">
        <f>"10/21/2020 18:57:57.210"</f>
        <v>10/21/2020 18:57:57.210</v>
      </c>
      <c r="B6225" t="str">
        <f>"18:58:05.148"</f>
        <v>18:58:05.148</v>
      </c>
      <c r="C6225" t="str">
        <f>"18:58:04.848"</f>
        <v>18:58:04.848</v>
      </c>
      <c r="D6225" t="s">
        <v>2607</v>
      </c>
      <c r="E6225">
        <v>30.618188</v>
      </c>
      <c r="F6225" t="s">
        <v>2559</v>
      </c>
      <c r="G6225">
        <v>-89.734290000000001</v>
      </c>
      <c r="H6225">
        <v>1700</v>
      </c>
      <c r="I6225">
        <v>-113</v>
      </c>
      <c r="J6225">
        <v>-123</v>
      </c>
      <c r="K6225">
        <v>256</v>
      </c>
      <c r="L6225">
        <v>1200</v>
      </c>
      <c r="M6225" t="str">
        <f t="shared" si="702"/>
        <v xml:space="preserve">N35DC   </v>
      </c>
      <c r="N6225">
        <v>1</v>
      </c>
      <c r="O6225">
        <v>1775</v>
      </c>
    </row>
    <row r="6226" spans="1:15" x14ac:dyDescent="0.25">
      <c r="A6226" t="str">
        <f>"10/21/2020 18:57:57.210"</f>
        <v>10/21/2020 18:57:57.210</v>
      </c>
      <c r="B6226" t="str">
        <f>"18:58:05.148"</f>
        <v>18:58:05.148</v>
      </c>
      <c r="C6226" t="str">
        <f>"18:58:04.848"</f>
        <v>18:58:04.848</v>
      </c>
      <c r="D6226" t="s">
        <v>2607</v>
      </c>
      <c r="E6226">
        <v>30.618188</v>
      </c>
      <c r="F6226" t="s">
        <v>2559</v>
      </c>
      <c r="G6226">
        <v>-89.734290000000001</v>
      </c>
      <c r="H6226">
        <v>1700</v>
      </c>
      <c r="I6226">
        <v>-113</v>
      </c>
      <c r="J6226">
        <v>-123</v>
      </c>
      <c r="K6226">
        <v>256</v>
      </c>
      <c r="L6226">
        <v>1200</v>
      </c>
      <c r="M6226" t="str">
        <f t="shared" si="702"/>
        <v xml:space="preserve">N35DC   </v>
      </c>
      <c r="N6226">
        <v>1</v>
      </c>
      <c r="O6226">
        <v>1775</v>
      </c>
    </row>
    <row r="6227" spans="1:15" x14ac:dyDescent="0.25">
      <c r="A6227" t="str">
        <f>"10/21/2020 18:57:57.210"</f>
        <v>10/21/2020 18:57:57.210</v>
      </c>
      <c r="B6227" t="str">
        <f>"18:58:05.148"</f>
        <v>18:58:05.148</v>
      </c>
      <c r="C6227" t="str">
        <f>"18:58:04.848"</f>
        <v>18:58:04.848</v>
      </c>
      <c r="D6227" t="s">
        <v>2607</v>
      </c>
      <c r="E6227">
        <v>30.618188</v>
      </c>
      <c r="F6227" t="s">
        <v>2559</v>
      </c>
      <c r="G6227">
        <v>-89.734290000000001</v>
      </c>
      <c r="H6227">
        <v>1700</v>
      </c>
      <c r="I6227">
        <v>-113</v>
      </c>
      <c r="J6227">
        <v>-123</v>
      </c>
      <c r="K6227">
        <v>256</v>
      </c>
      <c r="L6227">
        <v>1200</v>
      </c>
      <c r="M6227" t="str">
        <f t="shared" si="702"/>
        <v xml:space="preserve">N35DC   </v>
      </c>
      <c r="N6227">
        <v>1</v>
      </c>
      <c r="O6227">
        <v>1775</v>
      </c>
    </row>
    <row r="6228" spans="1:15" x14ac:dyDescent="0.25">
      <c r="A6228" t="str">
        <f>"10/21/2020 18:57:57.210"</f>
        <v>10/21/2020 18:57:57.210</v>
      </c>
      <c r="B6228" t="str">
        <f>"18:58:05.148"</f>
        <v>18:58:05.148</v>
      </c>
      <c r="C6228" t="str">
        <f>"18:58:04.848"</f>
        <v>18:58:04.848</v>
      </c>
      <c r="D6228" t="s">
        <v>2607</v>
      </c>
      <c r="E6228">
        <v>30.618188</v>
      </c>
      <c r="F6228" t="s">
        <v>2559</v>
      </c>
      <c r="G6228">
        <v>-89.734290000000001</v>
      </c>
      <c r="H6228">
        <v>1700</v>
      </c>
      <c r="I6228">
        <v>-113</v>
      </c>
      <c r="J6228">
        <v>-123</v>
      </c>
      <c r="K6228">
        <v>256</v>
      </c>
      <c r="L6228">
        <v>1200</v>
      </c>
      <c r="M6228" t="str">
        <f t="shared" si="702"/>
        <v xml:space="preserve">N35DC   </v>
      </c>
      <c r="N6228">
        <v>1</v>
      </c>
      <c r="O6228">
        <v>1775</v>
      </c>
    </row>
    <row r="6229" spans="1:15" x14ac:dyDescent="0.25">
      <c r="A6229" t="str">
        <f>"10/21/2020 18:57:57.210"</f>
        <v>10/21/2020 18:57:57.210</v>
      </c>
      <c r="B6229" t="str">
        <f>"18:58:05.148"</f>
        <v>18:58:05.148</v>
      </c>
      <c r="C6229" t="str">
        <f>"18:58:04.848"</f>
        <v>18:58:04.848</v>
      </c>
      <c r="D6229" t="s">
        <v>2607</v>
      </c>
      <c r="E6229">
        <v>30.618188</v>
      </c>
      <c r="F6229" t="s">
        <v>2559</v>
      </c>
      <c r="G6229">
        <v>-89.734290000000001</v>
      </c>
      <c r="H6229">
        <v>1700</v>
      </c>
      <c r="I6229">
        <v>-113</v>
      </c>
      <c r="J6229">
        <v>-123</v>
      </c>
      <c r="K6229">
        <v>256</v>
      </c>
      <c r="L6229">
        <v>1200</v>
      </c>
      <c r="M6229" t="str">
        <f t="shared" si="702"/>
        <v xml:space="preserve">N35DC   </v>
      </c>
      <c r="N6229">
        <v>1</v>
      </c>
      <c r="O6229">
        <v>1775</v>
      </c>
    </row>
    <row r="6230" spans="1:15" x14ac:dyDescent="0.25">
      <c r="A6230" t="str">
        <f>"10/21/2020 18:57:57.841"</f>
        <v>10/21/2020 18:57:57.841</v>
      </c>
      <c r="B6230" t="str">
        <f>"18:58:05.734"</f>
        <v>18:58:05.734</v>
      </c>
      <c r="C6230" t="str">
        <f>"18:58:05.734"</f>
        <v>18:58:05.734</v>
      </c>
      <c r="D6230" t="s">
        <v>2608</v>
      </c>
      <c r="E6230">
        <v>30.617888000000001</v>
      </c>
      <c r="F6230" t="s">
        <v>2609</v>
      </c>
      <c r="G6230">
        <v>-89.734654000000006</v>
      </c>
      <c r="H6230">
        <v>1700</v>
      </c>
      <c r="I6230">
        <v>-115</v>
      </c>
      <c r="J6230">
        <v>-121</v>
      </c>
      <c r="K6230">
        <v>320</v>
      </c>
      <c r="L6230">
        <v>1200</v>
      </c>
      <c r="M6230" t="str">
        <f t="shared" si="702"/>
        <v xml:space="preserve">N35DC   </v>
      </c>
      <c r="N6230">
        <v>1</v>
      </c>
      <c r="O6230">
        <v>1775</v>
      </c>
    </row>
    <row r="6231" spans="1:15" x14ac:dyDescent="0.25">
      <c r="A6231" t="str">
        <f>"10/21/2020 18:57:58.347"</f>
        <v>10/21/2020 18:57:58.347</v>
      </c>
      <c r="B6231" t="str">
        <f t="shared" ref="B6231:C6235" si="704">"18:58:06.305"</f>
        <v>18:58:06.305</v>
      </c>
      <c r="C6231" t="str">
        <f t="shared" si="704"/>
        <v>18:58:06.305</v>
      </c>
      <c r="D6231" t="s">
        <v>2610</v>
      </c>
      <c r="E6231">
        <v>30.617588000000001</v>
      </c>
      <c r="F6231" t="s">
        <v>2611</v>
      </c>
      <c r="G6231">
        <v>-89.735061999999999</v>
      </c>
      <c r="H6231">
        <v>1700</v>
      </c>
      <c r="I6231">
        <v>-116</v>
      </c>
      <c r="J6231">
        <v>-120</v>
      </c>
      <c r="K6231">
        <v>192</v>
      </c>
      <c r="L6231">
        <v>1200</v>
      </c>
      <c r="M6231" t="str">
        <f t="shared" si="702"/>
        <v xml:space="preserve">N35DC   </v>
      </c>
      <c r="N6231">
        <v>1</v>
      </c>
      <c r="O6231">
        <v>1775</v>
      </c>
    </row>
    <row r="6232" spans="1:15" x14ac:dyDescent="0.25">
      <c r="A6232" t="str">
        <f>"10/21/2020 18:57:58.347"</f>
        <v>10/21/2020 18:57:58.347</v>
      </c>
      <c r="B6232" t="str">
        <f t="shared" si="704"/>
        <v>18:58:06.305</v>
      </c>
      <c r="C6232" t="str">
        <f t="shared" si="704"/>
        <v>18:58:06.305</v>
      </c>
      <c r="D6232" t="s">
        <v>2610</v>
      </c>
      <c r="E6232">
        <v>30.617588000000001</v>
      </c>
      <c r="F6232" t="s">
        <v>2611</v>
      </c>
      <c r="G6232">
        <v>-89.735061999999999</v>
      </c>
      <c r="H6232">
        <v>1700</v>
      </c>
      <c r="I6232">
        <v>-116</v>
      </c>
      <c r="J6232">
        <v>-120</v>
      </c>
      <c r="K6232">
        <v>192</v>
      </c>
      <c r="L6232">
        <v>1200</v>
      </c>
      <c r="M6232" t="str">
        <f t="shared" si="702"/>
        <v xml:space="preserve">N35DC   </v>
      </c>
      <c r="N6232">
        <v>1</v>
      </c>
      <c r="O6232">
        <v>1775</v>
      </c>
    </row>
    <row r="6233" spans="1:15" x14ac:dyDescent="0.25">
      <c r="A6233" t="str">
        <f>"10/21/2020 18:57:58.347"</f>
        <v>10/21/2020 18:57:58.347</v>
      </c>
      <c r="B6233" t="str">
        <f t="shared" si="704"/>
        <v>18:58:06.305</v>
      </c>
      <c r="C6233" t="str">
        <f t="shared" si="704"/>
        <v>18:58:06.305</v>
      </c>
      <c r="D6233" t="s">
        <v>2610</v>
      </c>
      <c r="E6233">
        <v>30.617588000000001</v>
      </c>
      <c r="F6233" t="s">
        <v>2611</v>
      </c>
      <c r="G6233">
        <v>-89.735061999999999</v>
      </c>
      <c r="H6233">
        <v>1700</v>
      </c>
      <c r="I6233">
        <v>-116</v>
      </c>
      <c r="J6233">
        <v>-120</v>
      </c>
      <c r="K6233">
        <v>192</v>
      </c>
      <c r="L6233">
        <v>1200</v>
      </c>
      <c r="M6233" t="str">
        <f t="shared" si="702"/>
        <v xml:space="preserve">N35DC   </v>
      </c>
      <c r="N6233">
        <v>1</v>
      </c>
      <c r="O6233">
        <v>1775</v>
      </c>
    </row>
    <row r="6234" spans="1:15" x14ac:dyDescent="0.25">
      <c r="A6234" t="str">
        <f>"10/21/2020 18:57:58.347"</f>
        <v>10/21/2020 18:57:58.347</v>
      </c>
      <c r="B6234" t="str">
        <f t="shared" si="704"/>
        <v>18:58:06.305</v>
      </c>
      <c r="C6234" t="str">
        <f t="shared" si="704"/>
        <v>18:58:06.305</v>
      </c>
      <c r="D6234" t="s">
        <v>2610</v>
      </c>
      <c r="E6234">
        <v>30.617588000000001</v>
      </c>
      <c r="F6234" t="s">
        <v>2611</v>
      </c>
      <c r="G6234">
        <v>-89.735061999999999</v>
      </c>
      <c r="H6234">
        <v>1700</v>
      </c>
      <c r="I6234">
        <v>-116</v>
      </c>
      <c r="J6234">
        <v>-120</v>
      </c>
      <c r="K6234">
        <v>192</v>
      </c>
      <c r="L6234">
        <v>1200</v>
      </c>
      <c r="M6234" t="str">
        <f t="shared" si="702"/>
        <v xml:space="preserve">N35DC   </v>
      </c>
      <c r="N6234">
        <v>1</v>
      </c>
      <c r="O6234">
        <v>1775</v>
      </c>
    </row>
    <row r="6235" spans="1:15" x14ac:dyDescent="0.25">
      <c r="A6235" t="str">
        <f>"10/21/2020 18:57:58.347"</f>
        <v>10/21/2020 18:57:58.347</v>
      </c>
      <c r="B6235" t="str">
        <f t="shared" si="704"/>
        <v>18:58:06.305</v>
      </c>
      <c r="C6235" t="str">
        <f t="shared" si="704"/>
        <v>18:58:06.305</v>
      </c>
      <c r="D6235" t="s">
        <v>2610</v>
      </c>
      <c r="E6235">
        <v>30.617588000000001</v>
      </c>
      <c r="F6235" t="s">
        <v>2611</v>
      </c>
      <c r="G6235">
        <v>-89.735061999999999</v>
      </c>
      <c r="H6235">
        <v>1700</v>
      </c>
      <c r="I6235">
        <v>-116</v>
      </c>
      <c r="J6235">
        <v>-120</v>
      </c>
      <c r="K6235">
        <v>192</v>
      </c>
      <c r="L6235">
        <v>1200</v>
      </c>
      <c r="M6235" t="str">
        <f t="shared" si="702"/>
        <v xml:space="preserve">N35DC   </v>
      </c>
      <c r="N6235">
        <v>1</v>
      </c>
      <c r="O6235">
        <v>1775</v>
      </c>
    </row>
    <row r="6236" spans="1:15" x14ac:dyDescent="0.25">
      <c r="A6236" t="str">
        <f>"10/21/2020 18:58:00.859"</f>
        <v>10/21/2020 18:58:00.859</v>
      </c>
      <c r="B6236" t="str">
        <f>"18:58:08.750"</f>
        <v>18:58:08.750</v>
      </c>
      <c r="C6236" t="str">
        <f>"18:58:08.350"</f>
        <v>18:58:08.350</v>
      </c>
      <c r="D6236" t="s">
        <v>2612</v>
      </c>
      <c r="E6236">
        <v>30.616299999999999</v>
      </c>
      <c r="F6236" t="s">
        <v>2613</v>
      </c>
      <c r="G6236">
        <v>-89.736542999999998</v>
      </c>
      <c r="H6236">
        <v>1700</v>
      </c>
      <c r="I6236">
        <v>-120</v>
      </c>
      <c r="J6236">
        <v>-115</v>
      </c>
      <c r="K6236">
        <v>0</v>
      </c>
      <c r="L6236">
        <v>1200</v>
      </c>
      <c r="M6236" t="str">
        <f t="shared" si="702"/>
        <v xml:space="preserve">N35DC   </v>
      </c>
      <c r="N6236">
        <v>1</v>
      </c>
      <c r="O6236">
        <v>1775</v>
      </c>
    </row>
    <row r="6237" spans="1:15" x14ac:dyDescent="0.25">
      <c r="A6237" t="str">
        <f>"10/21/2020 18:58:01.326"</f>
        <v>10/21/2020 18:58:01.326</v>
      </c>
      <c r="B6237" t="str">
        <f>"18:58:09.273"</f>
        <v>18:58:09.273</v>
      </c>
      <c r="C6237" t="str">
        <f>"18:58:08.973"</f>
        <v>18:58:08.973</v>
      </c>
      <c r="D6237" t="s">
        <v>2614</v>
      </c>
      <c r="E6237">
        <v>30.615957000000002</v>
      </c>
      <c r="F6237" t="s">
        <v>2615</v>
      </c>
      <c r="G6237">
        <v>-89.736929000000003</v>
      </c>
      <c r="H6237">
        <v>1700</v>
      </c>
      <c r="I6237">
        <v>-121</v>
      </c>
      <c r="J6237">
        <v>-114</v>
      </c>
      <c r="K6237">
        <v>-64</v>
      </c>
      <c r="L6237">
        <v>1200</v>
      </c>
      <c r="M6237" t="str">
        <f t="shared" si="702"/>
        <v xml:space="preserve">N35DC   </v>
      </c>
      <c r="N6237">
        <v>1</v>
      </c>
      <c r="O6237">
        <v>1775</v>
      </c>
    </row>
    <row r="6238" spans="1:15" x14ac:dyDescent="0.25">
      <c r="A6238" t="str">
        <f>"10/21/2020 18:58:01.326"</f>
        <v>10/21/2020 18:58:01.326</v>
      </c>
      <c r="B6238" t="str">
        <f>"18:58:09.273"</f>
        <v>18:58:09.273</v>
      </c>
      <c r="C6238" t="str">
        <f>"18:58:08.973"</f>
        <v>18:58:08.973</v>
      </c>
      <c r="D6238" t="s">
        <v>2614</v>
      </c>
      <c r="E6238">
        <v>30.615957000000002</v>
      </c>
      <c r="F6238" t="s">
        <v>2615</v>
      </c>
      <c r="G6238">
        <v>-89.736929000000003</v>
      </c>
      <c r="H6238">
        <v>1700</v>
      </c>
      <c r="I6238">
        <v>-121</v>
      </c>
      <c r="J6238">
        <v>-114</v>
      </c>
      <c r="K6238">
        <v>-64</v>
      </c>
      <c r="L6238">
        <v>1200</v>
      </c>
      <c r="M6238" t="str">
        <f t="shared" si="702"/>
        <v xml:space="preserve">N35DC   </v>
      </c>
      <c r="N6238">
        <v>1</v>
      </c>
      <c r="O6238">
        <v>1775</v>
      </c>
    </row>
    <row r="6239" spans="1:15" x14ac:dyDescent="0.25">
      <c r="A6239" t="str">
        <f>"10/21/2020 18:58:01.326"</f>
        <v>10/21/2020 18:58:01.326</v>
      </c>
      <c r="B6239" t="str">
        <f>"18:58:09.273"</f>
        <v>18:58:09.273</v>
      </c>
      <c r="C6239" t="str">
        <f>"18:58:08.973"</f>
        <v>18:58:08.973</v>
      </c>
      <c r="D6239" t="s">
        <v>2614</v>
      </c>
      <c r="E6239">
        <v>30.615957000000002</v>
      </c>
      <c r="F6239" t="s">
        <v>2615</v>
      </c>
      <c r="G6239">
        <v>-89.736929000000003</v>
      </c>
      <c r="H6239">
        <v>1700</v>
      </c>
      <c r="I6239">
        <v>-121</v>
      </c>
      <c r="J6239">
        <v>-114</v>
      </c>
      <c r="K6239">
        <v>-64</v>
      </c>
      <c r="L6239">
        <v>1200</v>
      </c>
      <c r="M6239" t="str">
        <f t="shared" si="702"/>
        <v xml:space="preserve">N35DC   </v>
      </c>
      <c r="N6239">
        <v>1</v>
      </c>
      <c r="O6239">
        <v>1775</v>
      </c>
    </row>
    <row r="6240" spans="1:15" x14ac:dyDescent="0.25">
      <c r="A6240" t="str">
        <f>"10/21/2020 18:58:01.326"</f>
        <v>10/21/2020 18:58:01.326</v>
      </c>
      <c r="B6240" t="str">
        <f>"18:58:09.273"</f>
        <v>18:58:09.273</v>
      </c>
      <c r="C6240" t="str">
        <f>"18:58:08.973"</f>
        <v>18:58:08.973</v>
      </c>
      <c r="D6240" t="s">
        <v>2614</v>
      </c>
      <c r="E6240">
        <v>30.615957000000002</v>
      </c>
      <c r="F6240" t="s">
        <v>2615</v>
      </c>
      <c r="G6240">
        <v>-89.736929000000003</v>
      </c>
      <c r="H6240">
        <v>1700</v>
      </c>
      <c r="I6240">
        <v>-121</v>
      </c>
      <c r="J6240">
        <v>-114</v>
      </c>
      <c r="K6240">
        <v>-64</v>
      </c>
      <c r="L6240">
        <v>1200</v>
      </c>
      <c r="M6240" t="str">
        <f t="shared" si="702"/>
        <v xml:space="preserve">N35DC   </v>
      </c>
      <c r="N6240">
        <v>1</v>
      </c>
      <c r="O6240">
        <v>1775</v>
      </c>
    </row>
    <row r="6241" spans="1:15" x14ac:dyDescent="0.25">
      <c r="A6241" t="str">
        <f>"10/21/2020 18:58:01.326"</f>
        <v>10/21/2020 18:58:01.326</v>
      </c>
      <c r="B6241" t="str">
        <f>"18:58:09.273"</f>
        <v>18:58:09.273</v>
      </c>
      <c r="C6241" t="str">
        <f>"18:58:08.973"</f>
        <v>18:58:08.973</v>
      </c>
      <c r="D6241" t="s">
        <v>2614</v>
      </c>
      <c r="E6241">
        <v>30.615957000000002</v>
      </c>
      <c r="F6241" t="s">
        <v>2615</v>
      </c>
      <c r="G6241">
        <v>-89.736929000000003</v>
      </c>
      <c r="H6241">
        <v>1700</v>
      </c>
      <c r="I6241">
        <v>-121</v>
      </c>
      <c r="J6241">
        <v>-114</v>
      </c>
      <c r="K6241">
        <v>-64</v>
      </c>
      <c r="L6241">
        <v>1200</v>
      </c>
      <c r="M6241" t="str">
        <f t="shared" si="702"/>
        <v xml:space="preserve">N35DC   </v>
      </c>
      <c r="N6241">
        <v>1</v>
      </c>
      <c r="O6241">
        <v>1775</v>
      </c>
    </row>
    <row r="6242" spans="1:15" x14ac:dyDescent="0.25">
      <c r="A6242" t="str">
        <f t="shared" ref="A6242:A6247" si="705">"10/21/2020 18:58:02.285"</f>
        <v>10/21/2020 18:58:02.285</v>
      </c>
      <c r="B6242" t="str">
        <f t="shared" ref="B6242:B6247" si="706">"18:58:10.219"</f>
        <v>18:58:10.219</v>
      </c>
      <c r="C6242" t="str">
        <f t="shared" ref="C6242:C6247" si="707">"18:58:10.019"</f>
        <v>18:58:10.019</v>
      </c>
      <c r="D6242" t="s">
        <v>2616</v>
      </c>
      <c r="E6242">
        <v>30.615506</v>
      </c>
      <c r="F6242" t="s">
        <v>2617</v>
      </c>
      <c r="G6242">
        <v>-89.737530000000007</v>
      </c>
      <c r="H6242">
        <v>1700</v>
      </c>
      <c r="I6242">
        <v>-123</v>
      </c>
      <c r="J6242">
        <v>-112</v>
      </c>
      <c r="K6242">
        <v>-64</v>
      </c>
      <c r="L6242">
        <v>1200</v>
      </c>
      <c r="M6242" t="str">
        <f t="shared" si="702"/>
        <v xml:space="preserve">N35DC   </v>
      </c>
      <c r="N6242">
        <v>1</v>
      </c>
      <c r="O6242">
        <v>1775</v>
      </c>
    </row>
    <row r="6243" spans="1:15" x14ac:dyDescent="0.25">
      <c r="A6243" t="str">
        <f t="shared" si="705"/>
        <v>10/21/2020 18:58:02.285</v>
      </c>
      <c r="B6243" t="str">
        <f t="shared" si="706"/>
        <v>18:58:10.219</v>
      </c>
      <c r="C6243" t="str">
        <f t="shared" si="707"/>
        <v>18:58:10.019</v>
      </c>
      <c r="D6243" t="s">
        <v>2616</v>
      </c>
      <c r="E6243">
        <v>30.615506</v>
      </c>
      <c r="F6243" t="s">
        <v>2617</v>
      </c>
      <c r="G6243">
        <v>-89.737530000000007</v>
      </c>
      <c r="H6243">
        <v>1700</v>
      </c>
      <c r="I6243">
        <v>-123</v>
      </c>
      <c r="J6243">
        <v>-112</v>
      </c>
      <c r="K6243">
        <v>-64</v>
      </c>
      <c r="L6243">
        <v>1200</v>
      </c>
      <c r="M6243" t="str">
        <f t="shared" si="702"/>
        <v xml:space="preserve">N35DC   </v>
      </c>
      <c r="N6243">
        <v>1</v>
      </c>
      <c r="O6243">
        <v>1775</v>
      </c>
    </row>
    <row r="6244" spans="1:15" x14ac:dyDescent="0.25">
      <c r="A6244" t="str">
        <f t="shared" si="705"/>
        <v>10/21/2020 18:58:02.285</v>
      </c>
      <c r="B6244" t="str">
        <f t="shared" si="706"/>
        <v>18:58:10.219</v>
      </c>
      <c r="C6244" t="str">
        <f t="shared" si="707"/>
        <v>18:58:10.019</v>
      </c>
      <c r="D6244" t="s">
        <v>2616</v>
      </c>
      <c r="E6244">
        <v>30.615506</v>
      </c>
      <c r="F6244" t="s">
        <v>2617</v>
      </c>
      <c r="G6244">
        <v>-89.737530000000007</v>
      </c>
      <c r="H6244">
        <v>1700</v>
      </c>
      <c r="I6244">
        <v>-123</v>
      </c>
      <c r="J6244">
        <v>-112</v>
      </c>
      <c r="K6244">
        <v>-64</v>
      </c>
      <c r="L6244">
        <v>1200</v>
      </c>
      <c r="M6244" t="str">
        <f t="shared" si="702"/>
        <v xml:space="preserve">N35DC   </v>
      </c>
      <c r="N6244">
        <v>1</v>
      </c>
      <c r="O6244">
        <v>1775</v>
      </c>
    </row>
    <row r="6245" spans="1:15" x14ac:dyDescent="0.25">
      <c r="A6245" t="str">
        <f t="shared" si="705"/>
        <v>10/21/2020 18:58:02.285</v>
      </c>
      <c r="B6245" t="str">
        <f t="shared" si="706"/>
        <v>18:58:10.219</v>
      </c>
      <c r="C6245" t="str">
        <f t="shared" si="707"/>
        <v>18:58:10.019</v>
      </c>
      <c r="D6245" t="s">
        <v>2616</v>
      </c>
      <c r="E6245">
        <v>30.615506</v>
      </c>
      <c r="F6245" t="s">
        <v>2617</v>
      </c>
      <c r="G6245">
        <v>-89.737530000000007</v>
      </c>
      <c r="H6245">
        <v>1700</v>
      </c>
      <c r="I6245">
        <v>-123</v>
      </c>
      <c r="J6245">
        <v>-112</v>
      </c>
      <c r="K6245">
        <v>-64</v>
      </c>
      <c r="L6245">
        <v>1200</v>
      </c>
      <c r="M6245" t="str">
        <f t="shared" si="702"/>
        <v xml:space="preserve">N35DC   </v>
      </c>
      <c r="N6245">
        <v>1</v>
      </c>
      <c r="O6245">
        <v>1775</v>
      </c>
    </row>
    <row r="6246" spans="1:15" x14ac:dyDescent="0.25">
      <c r="A6246" t="str">
        <f t="shared" si="705"/>
        <v>10/21/2020 18:58:02.285</v>
      </c>
      <c r="B6246" t="str">
        <f t="shared" si="706"/>
        <v>18:58:10.219</v>
      </c>
      <c r="C6246" t="str">
        <f t="shared" si="707"/>
        <v>18:58:10.019</v>
      </c>
      <c r="D6246" t="s">
        <v>2616</v>
      </c>
      <c r="E6246">
        <v>30.615506</v>
      </c>
      <c r="F6246" t="s">
        <v>2617</v>
      </c>
      <c r="G6246">
        <v>-89.737530000000007</v>
      </c>
      <c r="H6246">
        <v>1700</v>
      </c>
      <c r="I6246">
        <v>-123</v>
      </c>
      <c r="J6246">
        <v>-112</v>
      </c>
      <c r="K6246">
        <v>-64</v>
      </c>
      <c r="L6246">
        <v>1200</v>
      </c>
      <c r="M6246" t="str">
        <f t="shared" si="702"/>
        <v xml:space="preserve">N35DC   </v>
      </c>
      <c r="N6246">
        <v>1</v>
      </c>
      <c r="O6246">
        <v>1775</v>
      </c>
    </row>
    <row r="6247" spans="1:15" x14ac:dyDescent="0.25">
      <c r="A6247" t="str">
        <f t="shared" si="705"/>
        <v>10/21/2020 18:58:02.285</v>
      </c>
      <c r="B6247" t="str">
        <f t="shared" si="706"/>
        <v>18:58:10.219</v>
      </c>
      <c r="C6247" t="str">
        <f t="shared" si="707"/>
        <v>18:58:10.019</v>
      </c>
      <c r="D6247" t="s">
        <v>2616</v>
      </c>
      <c r="E6247">
        <v>30.615506</v>
      </c>
      <c r="F6247" t="s">
        <v>2617</v>
      </c>
      <c r="G6247">
        <v>-89.737530000000007</v>
      </c>
      <c r="H6247">
        <v>1700</v>
      </c>
      <c r="I6247">
        <v>-123</v>
      </c>
      <c r="J6247">
        <v>-112</v>
      </c>
      <c r="K6247">
        <v>-64</v>
      </c>
      <c r="L6247">
        <v>1200</v>
      </c>
      <c r="M6247" t="str">
        <f t="shared" si="702"/>
        <v xml:space="preserve">N35DC   </v>
      </c>
      <c r="N6247">
        <v>1</v>
      </c>
      <c r="O6247">
        <v>1775</v>
      </c>
    </row>
    <row r="6248" spans="1:15" x14ac:dyDescent="0.25">
      <c r="A6248" t="str">
        <f>"10/21/2020 18:58:04.268"</f>
        <v>10/21/2020 18:58:04.268</v>
      </c>
      <c r="B6248" t="str">
        <f>"18:58:12.227"</f>
        <v>18:58:12.227</v>
      </c>
      <c r="C6248" t="str">
        <f>"18:58:11.827"</f>
        <v>18:58:11.827</v>
      </c>
      <c r="D6248" t="s">
        <v>2618</v>
      </c>
      <c r="E6248">
        <v>30.614476</v>
      </c>
      <c r="F6248" t="s">
        <v>2619</v>
      </c>
      <c r="G6248">
        <v>-89.738902999999993</v>
      </c>
      <c r="H6248">
        <v>1700</v>
      </c>
      <c r="I6248">
        <v>-126</v>
      </c>
      <c r="J6248">
        <v>-109</v>
      </c>
      <c r="K6248">
        <v>-128</v>
      </c>
      <c r="L6248">
        <v>1200</v>
      </c>
      <c r="M6248" t="str">
        <f t="shared" si="702"/>
        <v xml:space="preserve">N35DC   </v>
      </c>
      <c r="N6248">
        <v>1</v>
      </c>
      <c r="O6248">
        <v>1775</v>
      </c>
    </row>
    <row r="6249" spans="1:15" x14ac:dyDescent="0.25">
      <c r="A6249" t="str">
        <f>"10/21/2020 18:58:04.268"</f>
        <v>10/21/2020 18:58:04.268</v>
      </c>
      <c r="B6249" t="str">
        <f>"18:58:12.227"</f>
        <v>18:58:12.227</v>
      </c>
      <c r="C6249" t="str">
        <f>"18:58:11.827"</f>
        <v>18:58:11.827</v>
      </c>
      <c r="D6249" t="s">
        <v>2618</v>
      </c>
      <c r="E6249">
        <v>30.614476</v>
      </c>
      <c r="F6249" t="s">
        <v>2619</v>
      </c>
      <c r="G6249">
        <v>-89.738902999999993</v>
      </c>
      <c r="H6249">
        <v>1700</v>
      </c>
      <c r="I6249">
        <v>-126</v>
      </c>
      <c r="J6249">
        <v>-109</v>
      </c>
      <c r="K6249">
        <v>-128</v>
      </c>
      <c r="L6249">
        <v>1200</v>
      </c>
      <c r="M6249" t="str">
        <f t="shared" si="702"/>
        <v xml:space="preserve">N35DC   </v>
      </c>
      <c r="N6249">
        <v>1</v>
      </c>
      <c r="O6249">
        <v>1775</v>
      </c>
    </row>
    <row r="6250" spans="1:15" x14ac:dyDescent="0.25">
      <c r="A6250" t="str">
        <f>"10/21/2020 18:58:04.268"</f>
        <v>10/21/2020 18:58:04.268</v>
      </c>
      <c r="B6250" t="str">
        <f>"18:58:12.227"</f>
        <v>18:58:12.227</v>
      </c>
      <c r="C6250" t="str">
        <f>"18:58:11.827"</f>
        <v>18:58:11.827</v>
      </c>
      <c r="D6250" t="s">
        <v>2618</v>
      </c>
      <c r="E6250">
        <v>30.614476</v>
      </c>
      <c r="F6250" t="s">
        <v>2619</v>
      </c>
      <c r="G6250">
        <v>-89.738902999999993</v>
      </c>
      <c r="H6250">
        <v>1700</v>
      </c>
      <c r="I6250">
        <v>-126</v>
      </c>
      <c r="J6250">
        <v>-109</v>
      </c>
      <c r="K6250">
        <v>-128</v>
      </c>
      <c r="L6250">
        <v>1200</v>
      </c>
      <c r="M6250" t="str">
        <f t="shared" si="702"/>
        <v xml:space="preserve">N35DC   </v>
      </c>
      <c r="N6250">
        <v>1</v>
      </c>
      <c r="O6250">
        <v>1775</v>
      </c>
    </row>
    <row r="6251" spans="1:15" x14ac:dyDescent="0.25">
      <c r="A6251" t="str">
        <f>"10/21/2020 18:58:04.268"</f>
        <v>10/21/2020 18:58:04.268</v>
      </c>
      <c r="B6251" t="str">
        <f>"18:58:12.227"</f>
        <v>18:58:12.227</v>
      </c>
      <c r="C6251" t="str">
        <f>"18:58:11.827"</f>
        <v>18:58:11.827</v>
      </c>
      <c r="D6251" t="s">
        <v>2618</v>
      </c>
      <c r="E6251">
        <v>30.614476</v>
      </c>
      <c r="F6251" t="s">
        <v>2619</v>
      </c>
      <c r="G6251">
        <v>-89.738902999999993</v>
      </c>
      <c r="H6251">
        <v>1700</v>
      </c>
      <c r="I6251">
        <v>-126</v>
      </c>
      <c r="J6251">
        <v>-109</v>
      </c>
      <c r="K6251">
        <v>-128</v>
      </c>
      <c r="L6251">
        <v>1200</v>
      </c>
      <c r="M6251" t="str">
        <f t="shared" si="702"/>
        <v xml:space="preserve">N35DC   </v>
      </c>
      <c r="N6251">
        <v>1</v>
      </c>
      <c r="O6251">
        <v>1775</v>
      </c>
    </row>
    <row r="6252" spans="1:15" x14ac:dyDescent="0.25">
      <c r="A6252" t="str">
        <f>"10/21/2020 18:58:04.268"</f>
        <v>10/21/2020 18:58:04.268</v>
      </c>
      <c r="B6252" t="str">
        <f>"18:58:12.227"</f>
        <v>18:58:12.227</v>
      </c>
      <c r="C6252" t="str">
        <f>"18:58:11.827"</f>
        <v>18:58:11.827</v>
      </c>
      <c r="D6252" t="s">
        <v>2618</v>
      </c>
      <c r="E6252">
        <v>30.614476</v>
      </c>
      <c r="F6252" t="s">
        <v>2619</v>
      </c>
      <c r="G6252">
        <v>-89.738902999999993</v>
      </c>
      <c r="H6252">
        <v>1700</v>
      </c>
      <c r="I6252">
        <v>-126</v>
      </c>
      <c r="J6252">
        <v>-109</v>
      </c>
      <c r="K6252">
        <v>-128</v>
      </c>
      <c r="L6252">
        <v>1200</v>
      </c>
      <c r="M6252" t="str">
        <f t="shared" si="702"/>
        <v xml:space="preserve">N35DC   </v>
      </c>
      <c r="N6252">
        <v>1</v>
      </c>
      <c r="O6252">
        <v>1775</v>
      </c>
    </row>
    <row r="6253" spans="1:15" x14ac:dyDescent="0.25">
      <c r="A6253" t="str">
        <f>"10/21/2020 18:58:05.259"</f>
        <v>10/21/2020 18:58:05.259</v>
      </c>
      <c r="B6253" t="str">
        <f>"18:58:13.219"</f>
        <v>18:58:13.219</v>
      </c>
      <c r="C6253" t="str">
        <f>"18:58:12.919"</f>
        <v>18:58:12.919</v>
      </c>
      <c r="D6253" t="s">
        <v>2620</v>
      </c>
      <c r="E6253">
        <v>30.614004000000001</v>
      </c>
      <c r="F6253" t="s">
        <v>2621</v>
      </c>
      <c r="G6253">
        <v>-89.739610999999996</v>
      </c>
      <c r="H6253">
        <v>1700</v>
      </c>
      <c r="I6253">
        <v>-127</v>
      </c>
      <c r="J6253">
        <v>-107</v>
      </c>
      <c r="K6253">
        <v>0</v>
      </c>
      <c r="L6253">
        <v>1200</v>
      </c>
      <c r="M6253" t="str">
        <f t="shared" si="702"/>
        <v xml:space="preserve">N35DC   </v>
      </c>
      <c r="N6253">
        <v>1</v>
      </c>
      <c r="O6253">
        <v>1775</v>
      </c>
    </row>
    <row r="6254" spans="1:15" x14ac:dyDescent="0.25">
      <c r="A6254" t="str">
        <f>"10/21/2020 18:58:05.259"</f>
        <v>10/21/2020 18:58:05.259</v>
      </c>
      <c r="B6254" t="str">
        <f>"18:58:13.219"</f>
        <v>18:58:13.219</v>
      </c>
      <c r="C6254" t="str">
        <f>"18:58:12.919"</f>
        <v>18:58:12.919</v>
      </c>
      <c r="D6254" t="s">
        <v>2620</v>
      </c>
      <c r="E6254">
        <v>30.614004000000001</v>
      </c>
      <c r="F6254" t="s">
        <v>2621</v>
      </c>
      <c r="G6254">
        <v>-89.739610999999996</v>
      </c>
      <c r="H6254">
        <v>1700</v>
      </c>
      <c r="I6254">
        <v>-127</v>
      </c>
      <c r="J6254">
        <v>-107</v>
      </c>
      <c r="K6254">
        <v>0</v>
      </c>
      <c r="L6254">
        <v>1200</v>
      </c>
      <c r="M6254" t="str">
        <f t="shared" si="702"/>
        <v xml:space="preserve">N35DC   </v>
      </c>
      <c r="N6254">
        <v>1</v>
      </c>
      <c r="O6254">
        <v>1775</v>
      </c>
    </row>
    <row r="6255" spans="1:15" x14ac:dyDescent="0.25">
      <c r="A6255" t="str">
        <f>"10/21/2020 18:58:05.259"</f>
        <v>10/21/2020 18:58:05.259</v>
      </c>
      <c r="B6255" t="str">
        <f>"18:58:13.219"</f>
        <v>18:58:13.219</v>
      </c>
      <c r="C6255" t="str">
        <f>"18:58:12.919"</f>
        <v>18:58:12.919</v>
      </c>
      <c r="D6255" t="s">
        <v>2620</v>
      </c>
      <c r="E6255">
        <v>30.614004000000001</v>
      </c>
      <c r="F6255" t="s">
        <v>2621</v>
      </c>
      <c r="G6255">
        <v>-89.739610999999996</v>
      </c>
      <c r="H6255">
        <v>1700</v>
      </c>
      <c r="I6255">
        <v>-127</v>
      </c>
      <c r="J6255">
        <v>-107</v>
      </c>
      <c r="K6255">
        <v>0</v>
      </c>
      <c r="L6255">
        <v>1200</v>
      </c>
      <c r="M6255" t="str">
        <f t="shared" si="702"/>
        <v xml:space="preserve">N35DC   </v>
      </c>
      <c r="N6255">
        <v>1</v>
      </c>
      <c r="O6255">
        <v>1775</v>
      </c>
    </row>
    <row r="6256" spans="1:15" x14ac:dyDescent="0.25">
      <c r="A6256" t="str">
        <f>"10/21/2020 18:58:05.259"</f>
        <v>10/21/2020 18:58:05.259</v>
      </c>
      <c r="B6256" t="str">
        <f>"18:58:13.219"</f>
        <v>18:58:13.219</v>
      </c>
      <c r="C6256" t="str">
        <f>"18:58:12.919"</f>
        <v>18:58:12.919</v>
      </c>
      <c r="D6256" t="s">
        <v>2620</v>
      </c>
      <c r="E6256">
        <v>30.614004000000001</v>
      </c>
      <c r="F6256" t="s">
        <v>2621</v>
      </c>
      <c r="G6256">
        <v>-89.739610999999996</v>
      </c>
      <c r="H6256">
        <v>1700</v>
      </c>
      <c r="I6256">
        <v>-127</v>
      </c>
      <c r="J6256">
        <v>-107</v>
      </c>
      <c r="K6256">
        <v>0</v>
      </c>
      <c r="L6256">
        <v>1200</v>
      </c>
      <c r="M6256" t="str">
        <f t="shared" si="702"/>
        <v xml:space="preserve">N35DC   </v>
      </c>
      <c r="N6256">
        <v>1</v>
      </c>
      <c r="O6256">
        <v>1775</v>
      </c>
    </row>
    <row r="6257" spans="1:15" x14ac:dyDescent="0.25">
      <c r="A6257" t="str">
        <f>"10/21/2020 18:58:05.259"</f>
        <v>10/21/2020 18:58:05.259</v>
      </c>
      <c r="B6257" t="str">
        <f>"18:58:13.219"</f>
        <v>18:58:13.219</v>
      </c>
      <c r="C6257" t="str">
        <f>"18:58:12.919"</f>
        <v>18:58:12.919</v>
      </c>
      <c r="D6257" t="s">
        <v>2620</v>
      </c>
      <c r="E6257">
        <v>30.614004000000001</v>
      </c>
      <c r="F6257" t="s">
        <v>2621</v>
      </c>
      <c r="G6257">
        <v>-89.739610999999996</v>
      </c>
      <c r="H6257">
        <v>1700</v>
      </c>
      <c r="I6257">
        <v>-127</v>
      </c>
      <c r="J6257">
        <v>-107</v>
      </c>
      <c r="K6257">
        <v>0</v>
      </c>
      <c r="L6257">
        <v>1200</v>
      </c>
      <c r="M6257" t="str">
        <f t="shared" si="702"/>
        <v xml:space="preserve">N35DC   </v>
      </c>
      <c r="N6257">
        <v>1</v>
      </c>
      <c r="O6257">
        <v>1775</v>
      </c>
    </row>
    <row r="6258" spans="1:15" x14ac:dyDescent="0.25">
      <c r="A6258" t="str">
        <f>"10/21/2020 18:58:08.440"</f>
        <v>10/21/2020 18:58:08.440</v>
      </c>
      <c r="B6258" t="str">
        <f>"18:58:16.367"</f>
        <v>18:58:16.367</v>
      </c>
      <c r="C6258" t="str">
        <f>"18:58:15.967"</f>
        <v>18:58:15.967</v>
      </c>
      <c r="D6258" t="s">
        <v>2622</v>
      </c>
      <c r="E6258">
        <v>30.612438000000001</v>
      </c>
      <c r="F6258" t="s">
        <v>2623</v>
      </c>
      <c r="G6258">
        <v>-89.741757000000007</v>
      </c>
      <c r="H6258">
        <v>1700</v>
      </c>
      <c r="I6258">
        <v>-130</v>
      </c>
      <c r="J6258">
        <v>-104</v>
      </c>
      <c r="K6258">
        <v>-128</v>
      </c>
      <c r="L6258">
        <v>1200</v>
      </c>
      <c r="M6258" t="str">
        <f t="shared" si="702"/>
        <v xml:space="preserve">N35DC   </v>
      </c>
      <c r="N6258">
        <v>1</v>
      </c>
      <c r="O6258">
        <v>1775</v>
      </c>
    </row>
    <row r="6259" spans="1:15" x14ac:dyDescent="0.25">
      <c r="A6259" t="str">
        <f>"10/21/2020 18:58:08.440"</f>
        <v>10/21/2020 18:58:08.440</v>
      </c>
      <c r="B6259" t="str">
        <f>"18:58:16.367"</f>
        <v>18:58:16.367</v>
      </c>
      <c r="C6259" t="str">
        <f>"18:58:15.967"</f>
        <v>18:58:15.967</v>
      </c>
      <c r="D6259" t="s">
        <v>2622</v>
      </c>
      <c r="E6259">
        <v>30.612438000000001</v>
      </c>
      <c r="F6259" t="s">
        <v>2623</v>
      </c>
      <c r="G6259">
        <v>-89.741757000000007</v>
      </c>
      <c r="H6259">
        <v>1700</v>
      </c>
      <c r="I6259">
        <v>-130</v>
      </c>
      <c r="J6259">
        <v>-104</v>
      </c>
      <c r="K6259">
        <v>-128</v>
      </c>
      <c r="L6259">
        <v>1200</v>
      </c>
      <c r="M6259" t="str">
        <f t="shared" si="702"/>
        <v xml:space="preserve">N35DC   </v>
      </c>
      <c r="N6259">
        <v>1</v>
      </c>
      <c r="O6259">
        <v>1775</v>
      </c>
    </row>
    <row r="6260" spans="1:15" x14ac:dyDescent="0.25">
      <c r="A6260" t="str">
        <f>"10/21/2020 18:58:08.440"</f>
        <v>10/21/2020 18:58:08.440</v>
      </c>
      <c r="B6260" t="str">
        <f>"18:58:16.367"</f>
        <v>18:58:16.367</v>
      </c>
      <c r="C6260" t="str">
        <f>"18:58:15.967"</f>
        <v>18:58:15.967</v>
      </c>
      <c r="D6260" t="s">
        <v>2622</v>
      </c>
      <c r="E6260">
        <v>30.612438000000001</v>
      </c>
      <c r="F6260" t="s">
        <v>2623</v>
      </c>
      <c r="G6260">
        <v>-89.741757000000007</v>
      </c>
      <c r="H6260">
        <v>1700</v>
      </c>
      <c r="I6260">
        <v>-130</v>
      </c>
      <c r="J6260">
        <v>-104</v>
      </c>
      <c r="K6260">
        <v>-128</v>
      </c>
      <c r="L6260">
        <v>1200</v>
      </c>
      <c r="M6260" t="str">
        <f t="shared" si="702"/>
        <v xml:space="preserve">N35DC   </v>
      </c>
      <c r="N6260">
        <v>1</v>
      </c>
      <c r="O6260">
        <v>1775</v>
      </c>
    </row>
    <row r="6261" spans="1:15" x14ac:dyDescent="0.25">
      <c r="A6261" t="str">
        <f>"10/21/2020 18:58:08.440"</f>
        <v>10/21/2020 18:58:08.440</v>
      </c>
      <c r="B6261" t="str">
        <f>"18:58:16.367"</f>
        <v>18:58:16.367</v>
      </c>
      <c r="C6261" t="str">
        <f>"18:58:15.967"</f>
        <v>18:58:15.967</v>
      </c>
      <c r="D6261" t="s">
        <v>2622</v>
      </c>
      <c r="E6261">
        <v>30.612438000000001</v>
      </c>
      <c r="F6261" t="s">
        <v>2623</v>
      </c>
      <c r="G6261">
        <v>-89.741757000000007</v>
      </c>
      <c r="H6261">
        <v>1700</v>
      </c>
      <c r="I6261">
        <v>-130</v>
      </c>
      <c r="J6261">
        <v>-104</v>
      </c>
      <c r="K6261">
        <v>-128</v>
      </c>
      <c r="L6261">
        <v>1200</v>
      </c>
      <c r="M6261" t="str">
        <f t="shared" si="702"/>
        <v xml:space="preserve">N35DC   </v>
      </c>
      <c r="N6261">
        <v>1</v>
      </c>
      <c r="O6261">
        <v>1775</v>
      </c>
    </row>
    <row r="6262" spans="1:15" x14ac:dyDescent="0.25">
      <c r="A6262" t="str">
        <f>"10/21/2020 18:58:08.440"</f>
        <v>10/21/2020 18:58:08.440</v>
      </c>
      <c r="B6262" t="str">
        <f>"18:58:16.367"</f>
        <v>18:58:16.367</v>
      </c>
      <c r="C6262" t="str">
        <f>"18:58:15.967"</f>
        <v>18:58:15.967</v>
      </c>
      <c r="D6262" t="s">
        <v>2622</v>
      </c>
      <c r="E6262">
        <v>30.612438000000001</v>
      </c>
      <c r="F6262" t="s">
        <v>2623</v>
      </c>
      <c r="G6262">
        <v>-89.741757000000007</v>
      </c>
      <c r="H6262">
        <v>1700</v>
      </c>
      <c r="I6262">
        <v>-130</v>
      </c>
      <c r="J6262">
        <v>-104</v>
      </c>
      <c r="K6262">
        <v>-128</v>
      </c>
      <c r="L6262">
        <v>1200</v>
      </c>
      <c r="M6262" t="str">
        <f t="shared" si="702"/>
        <v xml:space="preserve">N35DC   </v>
      </c>
      <c r="N6262">
        <v>1</v>
      </c>
      <c r="O6262">
        <v>1775</v>
      </c>
    </row>
    <row r="6263" spans="1:15" x14ac:dyDescent="0.25">
      <c r="A6263" t="str">
        <f>"10/21/2020 18:58:09.299"</f>
        <v>10/21/2020 18:58:09.299</v>
      </c>
      <c r="B6263" t="str">
        <f>"18:58:17.250"</f>
        <v>18:58:17.250</v>
      </c>
      <c r="C6263" t="str">
        <f>"18:58:17.050"</f>
        <v>18:58:17.050</v>
      </c>
      <c r="D6263" t="s">
        <v>835</v>
      </c>
      <c r="E6263">
        <v>30.612030000000001</v>
      </c>
      <c r="F6263" t="s">
        <v>2624</v>
      </c>
      <c r="G6263">
        <v>-89.742357999999996</v>
      </c>
      <c r="H6263">
        <v>1700</v>
      </c>
      <c r="I6263">
        <v>-131</v>
      </c>
      <c r="J6263">
        <v>-104</v>
      </c>
      <c r="K6263">
        <v>-320</v>
      </c>
      <c r="L6263">
        <v>1200</v>
      </c>
      <c r="M6263" t="str">
        <f t="shared" si="702"/>
        <v xml:space="preserve">N35DC   </v>
      </c>
      <c r="N6263">
        <v>1</v>
      </c>
      <c r="O6263">
        <v>1750</v>
      </c>
    </row>
    <row r="6264" spans="1:15" x14ac:dyDescent="0.25">
      <c r="A6264" t="str">
        <f>"10/21/2020 18:58:09.299"</f>
        <v>10/21/2020 18:58:09.299</v>
      </c>
      <c r="B6264" t="str">
        <f>"18:58:17.250"</f>
        <v>18:58:17.250</v>
      </c>
      <c r="C6264" t="str">
        <f>"18:58:17.050"</f>
        <v>18:58:17.050</v>
      </c>
      <c r="D6264" t="s">
        <v>835</v>
      </c>
      <c r="E6264">
        <v>30.612030000000001</v>
      </c>
      <c r="F6264" t="s">
        <v>2624</v>
      </c>
      <c r="G6264">
        <v>-89.742357999999996</v>
      </c>
      <c r="H6264">
        <v>1700</v>
      </c>
      <c r="I6264">
        <v>-131</v>
      </c>
      <c r="J6264">
        <v>-104</v>
      </c>
      <c r="K6264">
        <v>-320</v>
      </c>
      <c r="L6264">
        <v>1200</v>
      </c>
      <c r="M6264" t="str">
        <f t="shared" si="702"/>
        <v xml:space="preserve">N35DC   </v>
      </c>
      <c r="N6264">
        <v>1</v>
      </c>
      <c r="O6264">
        <v>1750</v>
      </c>
    </row>
    <row r="6265" spans="1:15" x14ac:dyDescent="0.25">
      <c r="A6265" t="str">
        <f>"10/21/2020 18:58:09.299"</f>
        <v>10/21/2020 18:58:09.299</v>
      </c>
      <c r="B6265" t="str">
        <f>"18:58:17.250"</f>
        <v>18:58:17.250</v>
      </c>
      <c r="C6265" t="str">
        <f>"18:58:17.050"</f>
        <v>18:58:17.050</v>
      </c>
      <c r="D6265" t="s">
        <v>835</v>
      </c>
      <c r="E6265">
        <v>30.612030000000001</v>
      </c>
      <c r="F6265" t="s">
        <v>2624</v>
      </c>
      <c r="G6265">
        <v>-89.742357999999996</v>
      </c>
      <c r="H6265">
        <v>1700</v>
      </c>
      <c r="I6265">
        <v>-131</v>
      </c>
      <c r="J6265">
        <v>-104</v>
      </c>
      <c r="K6265">
        <v>-320</v>
      </c>
      <c r="L6265">
        <v>1200</v>
      </c>
      <c r="M6265" t="str">
        <f t="shared" si="702"/>
        <v xml:space="preserve">N35DC   </v>
      </c>
      <c r="N6265">
        <v>1</v>
      </c>
      <c r="O6265">
        <v>1750</v>
      </c>
    </row>
    <row r="6266" spans="1:15" x14ac:dyDescent="0.25">
      <c r="A6266" t="str">
        <f>"10/21/2020 18:58:09.299"</f>
        <v>10/21/2020 18:58:09.299</v>
      </c>
      <c r="B6266" t="str">
        <f>"18:58:17.250"</f>
        <v>18:58:17.250</v>
      </c>
      <c r="C6266" t="str">
        <f>"18:58:17.050"</f>
        <v>18:58:17.050</v>
      </c>
      <c r="D6266" t="s">
        <v>835</v>
      </c>
      <c r="E6266">
        <v>30.612030000000001</v>
      </c>
      <c r="F6266" t="s">
        <v>2624</v>
      </c>
      <c r="G6266">
        <v>-89.742357999999996</v>
      </c>
      <c r="H6266">
        <v>1700</v>
      </c>
      <c r="I6266">
        <v>-131</v>
      </c>
      <c r="J6266">
        <v>-104</v>
      </c>
      <c r="K6266">
        <v>-320</v>
      </c>
      <c r="L6266">
        <v>1200</v>
      </c>
      <c r="M6266" t="str">
        <f t="shared" si="702"/>
        <v xml:space="preserve">N35DC   </v>
      </c>
      <c r="N6266">
        <v>1</v>
      </c>
      <c r="O6266">
        <v>1750</v>
      </c>
    </row>
    <row r="6267" spans="1:15" x14ac:dyDescent="0.25">
      <c r="A6267" t="str">
        <f>"10/21/2020 18:58:09.299"</f>
        <v>10/21/2020 18:58:09.299</v>
      </c>
      <c r="B6267" t="str">
        <f>"18:58:17.250"</f>
        <v>18:58:17.250</v>
      </c>
      <c r="C6267" t="str">
        <f>"18:58:17.050"</f>
        <v>18:58:17.050</v>
      </c>
      <c r="D6267" t="s">
        <v>835</v>
      </c>
      <c r="E6267">
        <v>30.612030000000001</v>
      </c>
      <c r="F6267" t="s">
        <v>2624</v>
      </c>
      <c r="G6267">
        <v>-89.742357999999996</v>
      </c>
      <c r="H6267">
        <v>1700</v>
      </c>
      <c r="I6267">
        <v>-131</v>
      </c>
      <c r="J6267">
        <v>-104</v>
      </c>
      <c r="K6267">
        <v>-320</v>
      </c>
      <c r="L6267">
        <v>1200</v>
      </c>
      <c r="M6267" t="str">
        <f t="shared" si="702"/>
        <v xml:space="preserve">N35DC   </v>
      </c>
      <c r="N6267">
        <v>1</v>
      </c>
      <c r="O6267">
        <v>1750</v>
      </c>
    </row>
    <row r="6268" spans="1:15" x14ac:dyDescent="0.25">
      <c r="A6268" t="str">
        <f>"10/21/2020 18:58:12.428"</f>
        <v>10/21/2020 18:58:12.428</v>
      </c>
      <c r="B6268" t="str">
        <f>"18:58:20.391"</f>
        <v>18:58:20.391</v>
      </c>
      <c r="C6268" t="str">
        <f>"18:58:19.991"</f>
        <v>18:58:19.991</v>
      </c>
      <c r="D6268" t="s">
        <v>2625</v>
      </c>
      <c r="E6268">
        <v>30.610527999999999</v>
      </c>
      <c r="F6268" t="s">
        <v>2626</v>
      </c>
      <c r="G6268">
        <v>-89.744631999999996</v>
      </c>
      <c r="H6268">
        <v>1700</v>
      </c>
      <c r="I6268">
        <v>-132</v>
      </c>
      <c r="J6268">
        <v>-104</v>
      </c>
      <c r="K6268">
        <v>64</v>
      </c>
      <c r="L6268">
        <v>1200</v>
      </c>
      <c r="M6268" t="str">
        <f t="shared" si="702"/>
        <v xml:space="preserve">N35DC   </v>
      </c>
      <c r="N6268">
        <v>1</v>
      </c>
      <c r="O6268">
        <v>1750</v>
      </c>
    </row>
    <row r="6269" spans="1:15" x14ac:dyDescent="0.25">
      <c r="A6269" t="str">
        <f>"10/21/2020 18:58:12.428"</f>
        <v>10/21/2020 18:58:12.428</v>
      </c>
      <c r="B6269" t="str">
        <f>"18:58:20.391"</f>
        <v>18:58:20.391</v>
      </c>
      <c r="C6269" t="str">
        <f>"18:58:19.991"</f>
        <v>18:58:19.991</v>
      </c>
      <c r="D6269" t="s">
        <v>2625</v>
      </c>
      <c r="E6269">
        <v>30.610527999999999</v>
      </c>
      <c r="F6269" t="s">
        <v>2626</v>
      </c>
      <c r="G6269">
        <v>-89.744631999999996</v>
      </c>
      <c r="H6269">
        <v>1700</v>
      </c>
      <c r="I6269">
        <v>-132</v>
      </c>
      <c r="J6269">
        <v>-104</v>
      </c>
      <c r="K6269">
        <v>64</v>
      </c>
      <c r="L6269">
        <v>1200</v>
      </c>
      <c r="M6269" t="str">
        <f t="shared" si="702"/>
        <v xml:space="preserve">N35DC   </v>
      </c>
      <c r="N6269">
        <v>1</v>
      </c>
      <c r="O6269">
        <v>1750</v>
      </c>
    </row>
    <row r="6270" spans="1:15" x14ac:dyDescent="0.25">
      <c r="A6270" t="str">
        <f>"10/21/2020 18:58:12.428"</f>
        <v>10/21/2020 18:58:12.428</v>
      </c>
      <c r="B6270" t="str">
        <f>"18:58:20.391"</f>
        <v>18:58:20.391</v>
      </c>
      <c r="C6270" t="str">
        <f>"18:58:19.991"</f>
        <v>18:58:19.991</v>
      </c>
      <c r="D6270" t="s">
        <v>2625</v>
      </c>
      <c r="E6270">
        <v>30.610527999999999</v>
      </c>
      <c r="F6270" t="s">
        <v>2626</v>
      </c>
      <c r="G6270">
        <v>-89.744631999999996</v>
      </c>
      <c r="H6270">
        <v>1700</v>
      </c>
      <c r="I6270">
        <v>-132</v>
      </c>
      <c r="J6270">
        <v>-104</v>
      </c>
      <c r="K6270">
        <v>64</v>
      </c>
      <c r="L6270">
        <v>1200</v>
      </c>
      <c r="M6270" t="str">
        <f t="shared" si="702"/>
        <v xml:space="preserve">N35DC   </v>
      </c>
      <c r="N6270">
        <v>1</v>
      </c>
      <c r="O6270">
        <v>1750</v>
      </c>
    </row>
    <row r="6271" spans="1:15" x14ac:dyDescent="0.25">
      <c r="A6271" t="str">
        <f>"10/21/2020 18:58:12.428"</f>
        <v>10/21/2020 18:58:12.428</v>
      </c>
      <c r="B6271" t="str">
        <f>"18:58:20.391"</f>
        <v>18:58:20.391</v>
      </c>
      <c r="C6271" t="str">
        <f>"18:58:19.991"</f>
        <v>18:58:19.991</v>
      </c>
      <c r="D6271" t="s">
        <v>2625</v>
      </c>
      <c r="E6271">
        <v>30.610527999999999</v>
      </c>
      <c r="F6271" t="s">
        <v>2626</v>
      </c>
      <c r="G6271">
        <v>-89.744631999999996</v>
      </c>
      <c r="H6271">
        <v>1700</v>
      </c>
      <c r="I6271">
        <v>-132</v>
      </c>
      <c r="J6271">
        <v>-104</v>
      </c>
      <c r="K6271">
        <v>64</v>
      </c>
      <c r="L6271">
        <v>1200</v>
      </c>
      <c r="M6271" t="str">
        <f t="shared" si="702"/>
        <v xml:space="preserve">N35DC   </v>
      </c>
      <c r="N6271">
        <v>1</v>
      </c>
      <c r="O6271">
        <v>1750</v>
      </c>
    </row>
    <row r="6272" spans="1:15" x14ac:dyDescent="0.25">
      <c r="A6272" t="str">
        <f>"10/21/2020 18:58:12.428"</f>
        <v>10/21/2020 18:58:12.428</v>
      </c>
      <c r="B6272" t="str">
        <f>"18:58:20.391"</f>
        <v>18:58:20.391</v>
      </c>
      <c r="C6272" t="str">
        <f>"18:58:19.991"</f>
        <v>18:58:19.991</v>
      </c>
      <c r="D6272" t="s">
        <v>2625</v>
      </c>
      <c r="E6272">
        <v>30.610527999999999</v>
      </c>
      <c r="F6272" t="s">
        <v>2626</v>
      </c>
      <c r="G6272">
        <v>-89.744631999999996</v>
      </c>
      <c r="H6272">
        <v>1700</v>
      </c>
      <c r="I6272">
        <v>-132</v>
      </c>
      <c r="J6272">
        <v>-104</v>
      </c>
      <c r="K6272">
        <v>64</v>
      </c>
      <c r="L6272">
        <v>1200</v>
      </c>
      <c r="M6272" t="str">
        <f t="shared" si="702"/>
        <v xml:space="preserve">N35DC   </v>
      </c>
      <c r="N6272">
        <v>1</v>
      </c>
      <c r="O6272">
        <v>1750</v>
      </c>
    </row>
    <row r="6273" spans="1:15" x14ac:dyDescent="0.25">
      <c r="A6273" t="str">
        <f>"10/21/2020 18:58:13.357"</f>
        <v>10/21/2020 18:58:13.357</v>
      </c>
      <c r="B6273" t="str">
        <f>"18:58:21.320"</f>
        <v>18:58:21.320</v>
      </c>
      <c r="C6273" t="str">
        <f>"18:58:21.020"</f>
        <v>18:58:21.020</v>
      </c>
      <c r="D6273" t="s">
        <v>2627</v>
      </c>
      <c r="E6273">
        <v>30.610056</v>
      </c>
      <c r="F6273" t="s">
        <v>2628</v>
      </c>
      <c r="G6273">
        <v>-89.745211999999995</v>
      </c>
      <c r="H6273">
        <v>1700</v>
      </c>
      <c r="I6273">
        <v>-131</v>
      </c>
      <c r="J6273">
        <v>-105</v>
      </c>
      <c r="K6273">
        <v>0</v>
      </c>
      <c r="L6273">
        <v>1200</v>
      </c>
      <c r="M6273" t="str">
        <f t="shared" si="702"/>
        <v xml:space="preserve">N35DC   </v>
      </c>
      <c r="N6273">
        <v>1</v>
      </c>
      <c r="O6273">
        <v>1750</v>
      </c>
    </row>
    <row r="6274" spans="1:15" x14ac:dyDescent="0.25">
      <c r="A6274" t="str">
        <f>"10/21/2020 18:58:13.357"</f>
        <v>10/21/2020 18:58:13.357</v>
      </c>
      <c r="B6274" t="str">
        <f>"18:58:21.320"</f>
        <v>18:58:21.320</v>
      </c>
      <c r="C6274" t="str">
        <f>"18:58:21.020"</f>
        <v>18:58:21.020</v>
      </c>
      <c r="D6274" t="s">
        <v>2627</v>
      </c>
      <c r="E6274">
        <v>30.610056</v>
      </c>
      <c r="F6274" t="s">
        <v>2628</v>
      </c>
      <c r="G6274">
        <v>-89.745211999999995</v>
      </c>
      <c r="H6274">
        <v>1700</v>
      </c>
      <c r="I6274">
        <v>-131</v>
      </c>
      <c r="J6274">
        <v>-105</v>
      </c>
      <c r="K6274">
        <v>0</v>
      </c>
      <c r="L6274">
        <v>1200</v>
      </c>
      <c r="M6274" t="str">
        <f t="shared" si="702"/>
        <v xml:space="preserve">N35DC   </v>
      </c>
      <c r="N6274">
        <v>1</v>
      </c>
      <c r="O6274">
        <v>1750</v>
      </c>
    </row>
    <row r="6275" spans="1:15" x14ac:dyDescent="0.25">
      <c r="A6275" t="str">
        <f>"10/21/2020 18:58:13.357"</f>
        <v>10/21/2020 18:58:13.357</v>
      </c>
      <c r="B6275" t="str">
        <f>"18:58:21.320"</f>
        <v>18:58:21.320</v>
      </c>
      <c r="C6275" t="str">
        <f>"18:58:21.020"</f>
        <v>18:58:21.020</v>
      </c>
      <c r="D6275" t="s">
        <v>2627</v>
      </c>
      <c r="E6275">
        <v>30.610056</v>
      </c>
      <c r="F6275" t="s">
        <v>2628</v>
      </c>
      <c r="G6275">
        <v>-89.745211999999995</v>
      </c>
      <c r="H6275">
        <v>1700</v>
      </c>
      <c r="I6275">
        <v>-131</v>
      </c>
      <c r="J6275">
        <v>-105</v>
      </c>
      <c r="K6275">
        <v>0</v>
      </c>
      <c r="L6275">
        <v>1200</v>
      </c>
      <c r="M6275" t="str">
        <f t="shared" si="702"/>
        <v xml:space="preserve">N35DC   </v>
      </c>
      <c r="N6275">
        <v>1</v>
      </c>
      <c r="O6275">
        <v>1750</v>
      </c>
    </row>
    <row r="6276" spans="1:15" x14ac:dyDescent="0.25">
      <c r="A6276" t="str">
        <f>"10/21/2020 18:58:13.357"</f>
        <v>10/21/2020 18:58:13.357</v>
      </c>
      <c r="B6276" t="str">
        <f>"18:58:21.320"</f>
        <v>18:58:21.320</v>
      </c>
      <c r="C6276" t="str">
        <f>"18:58:21.020"</f>
        <v>18:58:21.020</v>
      </c>
      <c r="D6276" t="s">
        <v>2627</v>
      </c>
      <c r="E6276">
        <v>30.610056</v>
      </c>
      <c r="F6276" t="s">
        <v>2628</v>
      </c>
      <c r="G6276">
        <v>-89.745211999999995</v>
      </c>
      <c r="H6276">
        <v>1700</v>
      </c>
      <c r="I6276">
        <v>-131</v>
      </c>
      <c r="J6276">
        <v>-105</v>
      </c>
      <c r="K6276">
        <v>0</v>
      </c>
      <c r="L6276">
        <v>1200</v>
      </c>
      <c r="M6276" t="str">
        <f t="shared" si="702"/>
        <v xml:space="preserve">N35DC   </v>
      </c>
      <c r="N6276">
        <v>1</v>
      </c>
      <c r="O6276">
        <v>1750</v>
      </c>
    </row>
    <row r="6277" spans="1:15" x14ac:dyDescent="0.25">
      <c r="A6277" t="str">
        <f>"10/21/2020 18:58:13.357"</f>
        <v>10/21/2020 18:58:13.357</v>
      </c>
      <c r="B6277" t="str">
        <f>"18:58:21.320"</f>
        <v>18:58:21.320</v>
      </c>
      <c r="C6277" t="str">
        <f>"18:58:21.020"</f>
        <v>18:58:21.020</v>
      </c>
      <c r="D6277" t="s">
        <v>2627</v>
      </c>
      <c r="E6277">
        <v>30.610056</v>
      </c>
      <c r="F6277" t="s">
        <v>2628</v>
      </c>
      <c r="G6277">
        <v>-89.745211999999995</v>
      </c>
      <c r="H6277">
        <v>1700</v>
      </c>
      <c r="I6277">
        <v>-131</v>
      </c>
      <c r="J6277">
        <v>-105</v>
      </c>
      <c r="K6277">
        <v>0</v>
      </c>
      <c r="L6277">
        <v>1200</v>
      </c>
      <c r="M6277" t="str">
        <f t="shared" si="702"/>
        <v xml:space="preserve">N35DC   </v>
      </c>
      <c r="N6277">
        <v>1</v>
      </c>
      <c r="O6277">
        <v>1750</v>
      </c>
    </row>
    <row r="6278" spans="1:15" x14ac:dyDescent="0.25">
      <c r="A6278" t="str">
        <f>"10/21/2020 18:58:15.445"</f>
        <v>10/21/2020 18:58:15.445</v>
      </c>
      <c r="B6278" t="str">
        <f>"18:58:23.398"</f>
        <v>18:58:23.398</v>
      </c>
      <c r="C6278" t="str">
        <f>"18:58:22.998"</f>
        <v>18:58:22.998</v>
      </c>
      <c r="D6278" t="s">
        <v>2629</v>
      </c>
      <c r="E6278">
        <v>30.609069000000002</v>
      </c>
      <c r="F6278" t="s">
        <v>2630</v>
      </c>
      <c r="G6278">
        <v>-89.746713999999997</v>
      </c>
      <c r="H6278">
        <v>1700</v>
      </c>
      <c r="I6278">
        <v>-132</v>
      </c>
      <c r="J6278">
        <v>-104</v>
      </c>
      <c r="K6278">
        <v>-64</v>
      </c>
      <c r="L6278">
        <v>1200</v>
      </c>
      <c r="M6278" t="str">
        <f t="shared" si="702"/>
        <v xml:space="preserve">N35DC   </v>
      </c>
      <c r="N6278">
        <v>1</v>
      </c>
      <c r="O6278">
        <v>1750</v>
      </c>
    </row>
    <row r="6279" spans="1:15" x14ac:dyDescent="0.25">
      <c r="A6279" t="str">
        <f>"10/21/2020 18:58:15.445"</f>
        <v>10/21/2020 18:58:15.445</v>
      </c>
      <c r="B6279" t="str">
        <f>"18:58:23.398"</f>
        <v>18:58:23.398</v>
      </c>
      <c r="C6279" t="str">
        <f>"18:58:22.998"</f>
        <v>18:58:22.998</v>
      </c>
      <c r="D6279" t="s">
        <v>2629</v>
      </c>
      <c r="E6279">
        <v>30.609069000000002</v>
      </c>
      <c r="F6279" t="s">
        <v>2630</v>
      </c>
      <c r="G6279">
        <v>-89.746713999999997</v>
      </c>
      <c r="H6279">
        <v>1700</v>
      </c>
      <c r="I6279">
        <v>-132</v>
      </c>
      <c r="J6279">
        <v>-104</v>
      </c>
      <c r="K6279">
        <v>-64</v>
      </c>
      <c r="L6279">
        <v>1200</v>
      </c>
      <c r="M6279" t="str">
        <f t="shared" ref="M6279:M6342" si="708">"N35DC   "</f>
        <v xml:space="preserve">N35DC   </v>
      </c>
      <c r="N6279">
        <v>1</v>
      </c>
      <c r="O6279">
        <v>1750</v>
      </c>
    </row>
    <row r="6280" spans="1:15" x14ac:dyDescent="0.25">
      <c r="A6280" t="str">
        <f>"10/21/2020 18:58:15.445"</f>
        <v>10/21/2020 18:58:15.445</v>
      </c>
      <c r="B6280" t="str">
        <f>"18:58:23.398"</f>
        <v>18:58:23.398</v>
      </c>
      <c r="C6280" t="str">
        <f>"18:58:22.998"</f>
        <v>18:58:22.998</v>
      </c>
      <c r="D6280" t="s">
        <v>2629</v>
      </c>
      <c r="E6280">
        <v>30.609069000000002</v>
      </c>
      <c r="F6280" t="s">
        <v>2630</v>
      </c>
      <c r="G6280">
        <v>-89.746713999999997</v>
      </c>
      <c r="H6280">
        <v>1700</v>
      </c>
      <c r="I6280">
        <v>-132</v>
      </c>
      <c r="J6280">
        <v>-104</v>
      </c>
      <c r="K6280">
        <v>-64</v>
      </c>
      <c r="L6280">
        <v>1200</v>
      </c>
      <c r="M6280" t="str">
        <f t="shared" si="708"/>
        <v xml:space="preserve">N35DC   </v>
      </c>
      <c r="N6280">
        <v>1</v>
      </c>
      <c r="O6280">
        <v>1750</v>
      </c>
    </row>
    <row r="6281" spans="1:15" x14ac:dyDescent="0.25">
      <c r="A6281" t="str">
        <f>"10/21/2020 18:58:15.445"</f>
        <v>10/21/2020 18:58:15.445</v>
      </c>
      <c r="B6281" t="str">
        <f>"18:58:23.398"</f>
        <v>18:58:23.398</v>
      </c>
      <c r="C6281" t="str">
        <f>"18:58:22.998"</f>
        <v>18:58:22.998</v>
      </c>
      <c r="D6281" t="s">
        <v>2629</v>
      </c>
      <c r="E6281">
        <v>30.609069000000002</v>
      </c>
      <c r="F6281" t="s">
        <v>2630</v>
      </c>
      <c r="G6281">
        <v>-89.746713999999997</v>
      </c>
      <c r="H6281">
        <v>1700</v>
      </c>
      <c r="I6281">
        <v>-132</v>
      </c>
      <c r="J6281">
        <v>-104</v>
      </c>
      <c r="K6281">
        <v>-64</v>
      </c>
      <c r="L6281">
        <v>1200</v>
      </c>
      <c r="M6281" t="str">
        <f t="shared" si="708"/>
        <v xml:space="preserve">N35DC   </v>
      </c>
      <c r="N6281">
        <v>1</v>
      </c>
      <c r="O6281">
        <v>1750</v>
      </c>
    </row>
    <row r="6282" spans="1:15" x14ac:dyDescent="0.25">
      <c r="A6282" t="str">
        <f>"10/21/2020 18:58:15.445"</f>
        <v>10/21/2020 18:58:15.445</v>
      </c>
      <c r="B6282" t="str">
        <f>"18:58:23.398"</f>
        <v>18:58:23.398</v>
      </c>
      <c r="C6282" t="str">
        <f>"18:58:22.998"</f>
        <v>18:58:22.998</v>
      </c>
      <c r="D6282" t="s">
        <v>2629</v>
      </c>
      <c r="E6282">
        <v>30.609069000000002</v>
      </c>
      <c r="F6282" t="s">
        <v>2630</v>
      </c>
      <c r="G6282">
        <v>-89.746713999999997</v>
      </c>
      <c r="H6282">
        <v>1700</v>
      </c>
      <c r="I6282">
        <v>-132</v>
      </c>
      <c r="J6282">
        <v>-104</v>
      </c>
      <c r="K6282">
        <v>-64</v>
      </c>
      <c r="L6282">
        <v>1200</v>
      </c>
      <c r="M6282" t="str">
        <f t="shared" si="708"/>
        <v xml:space="preserve">N35DC   </v>
      </c>
      <c r="N6282">
        <v>1</v>
      </c>
      <c r="O6282">
        <v>1750</v>
      </c>
    </row>
    <row r="6283" spans="1:15" x14ac:dyDescent="0.25">
      <c r="A6283" t="str">
        <f>"10/21/2020 18:58:16.338"</f>
        <v>10/21/2020 18:58:16.338</v>
      </c>
      <c r="B6283" t="str">
        <f>"18:58:24.289"</f>
        <v>18:58:24.289</v>
      </c>
      <c r="C6283" t="str">
        <f>"18:58:24.089"</f>
        <v>18:58:24.089</v>
      </c>
      <c r="D6283" t="s">
        <v>2631</v>
      </c>
      <c r="E6283">
        <v>30.608661000000001</v>
      </c>
      <c r="F6283" t="s">
        <v>2632</v>
      </c>
      <c r="G6283">
        <v>-89.747314000000003</v>
      </c>
      <c r="H6283">
        <v>1700</v>
      </c>
      <c r="I6283">
        <v>-132</v>
      </c>
      <c r="J6283">
        <v>-104</v>
      </c>
      <c r="K6283">
        <v>128</v>
      </c>
      <c r="L6283">
        <v>1200</v>
      </c>
      <c r="M6283" t="str">
        <f t="shared" si="708"/>
        <v xml:space="preserve">N35DC   </v>
      </c>
      <c r="N6283">
        <v>1</v>
      </c>
      <c r="O6283">
        <v>1750</v>
      </c>
    </row>
    <row r="6284" spans="1:15" x14ac:dyDescent="0.25">
      <c r="A6284" t="str">
        <f>"10/21/2020 18:58:16.338"</f>
        <v>10/21/2020 18:58:16.338</v>
      </c>
      <c r="B6284" t="str">
        <f>"18:58:24.289"</f>
        <v>18:58:24.289</v>
      </c>
      <c r="C6284" t="str">
        <f>"18:58:24.089"</f>
        <v>18:58:24.089</v>
      </c>
      <c r="D6284" t="s">
        <v>2631</v>
      </c>
      <c r="E6284">
        <v>30.608661000000001</v>
      </c>
      <c r="F6284" t="s">
        <v>2632</v>
      </c>
      <c r="G6284">
        <v>-89.747314000000003</v>
      </c>
      <c r="H6284">
        <v>1700</v>
      </c>
      <c r="I6284">
        <v>-132</v>
      </c>
      <c r="J6284">
        <v>-104</v>
      </c>
      <c r="K6284">
        <v>128</v>
      </c>
      <c r="L6284">
        <v>1200</v>
      </c>
      <c r="M6284" t="str">
        <f t="shared" si="708"/>
        <v xml:space="preserve">N35DC   </v>
      </c>
      <c r="N6284">
        <v>1</v>
      </c>
      <c r="O6284">
        <v>1750</v>
      </c>
    </row>
    <row r="6285" spans="1:15" x14ac:dyDescent="0.25">
      <c r="A6285" t="str">
        <f>"10/21/2020 18:58:16.338"</f>
        <v>10/21/2020 18:58:16.338</v>
      </c>
      <c r="B6285" t="str">
        <f>"18:58:24.289"</f>
        <v>18:58:24.289</v>
      </c>
      <c r="C6285" t="str">
        <f>"18:58:24.089"</f>
        <v>18:58:24.089</v>
      </c>
      <c r="D6285" t="s">
        <v>2631</v>
      </c>
      <c r="E6285">
        <v>30.608661000000001</v>
      </c>
      <c r="F6285" t="s">
        <v>2632</v>
      </c>
      <c r="G6285">
        <v>-89.747314000000003</v>
      </c>
      <c r="H6285">
        <v>1700</v>
      </c>
      <c r="I6285">
        <v>-132</v>
      </c>
      <c r="J6285">
        <v>-104</v>
      </c>
      <c r="K6285">
        <v>128</v>
      </c>
      <c r="L6285">
        <v>1200</v>
      </c>
      <c r="M6285" t="str">
        <f t="shared" si="708"/>
        <v xml:space="preserve">N35DC   </v>
      </c>
      <c r="N6285">
        <v>1</v>
      </c>
      <c r="O6285">
        <v>1750</v>
      </c>
    </row>
    <row r="6286" spans="1:15" x14ac:dyDescent="0.25">
      <c r="A6286" t="str">
        <f>"10/21/2020 18:58:16.338"</f>
        <v>10/21/2020 18:58:16.338</v>
      </c>
      <c r="B6286" t="str">
        <f>"18:58:24.289"</f>
        <v>18:58:24.289</v>
      </c>
      <c r="C6286" t="str">
        <f>"18:58:24.089"</f>
        <v>18:58:24.089</v>
      </c>
      <c r="D6286" t="s">
        <v>2631</v>
      </c>
      <c r="E6286">
        <v>30.608661000000001</v>
      </c>
      <c r="F6286" t="s">
        <v>2632</v>
      </c>
      <c r="G6286">
        <v>-89.747314000000003</v>
      </c>
      <c r="H6286">
        <v>1700</v>
      </c>
      <c r="I6286">
        <v>-132</v>
      </c>
      <c r="J6286">
        <v>-104</v>
      </c>
      <c r="K6286">
        <v>128</v>
      </c>
      <c r="L6286">
        <v>1200</v>
      </c>
      <c r="M6286" t="str">
        <f t="shared" si="708"/>
        <v xml:space="preserve">N35DC   </v>
      </c>
      <c r="N6286">
        <v>1</v>
      </c>
      <c r="O6286">
        <v>1750</v>
      </c>
    </row>
    <row r="6287" spans="1:15" x14ac:dyDescent="0.25">
      <c r="A6287" t="str">
        <f>"10/21/2020 18:58:16.338"</f>
        <v>10/21/2020 18:58:16.338</v>
      </c>
      <c r="B6287" t="str">
        <f>"18:58:24.289"</f>
        <v>18:58:24.289</v>
      </c>
      <c r="C6287" t="str">
        <f>"18:58:24.089"</f>
        <v>18:58:24.089</v>
      </c>
      <c r="D6287" t="s">
        <v>2631</v>
      </c>
      <c r="E6287">
        <v>30.608661000000001</v>
      </c>
      <c r="F6287" t="s">
        <v>2632</v>
      </c>
      <c r="G6287">
        <v>-89.747314000000003</v>
      </c>
      <c r="H6287">
        <v>1700</v>
      </c>
      <c r="I6287">
        <v>-132</v>
      </c>
      <c r="J6287">
        <v>-104</v>
      </c>
      <c r="K6287">
        <v>128</v>
      </c>
      <c r="L6287">
        <v>1200</v>
      </c>
      <c r="M6287" t="str">
        <f t="shared" si="708"/>
        <v xml:space="preserve">N35DC   </v>
      </c>
      <c r="N6287">
        <v>1</v>
      </c>
      <c r="O6287">
        <v>1750</v>
      </c>
    </row>
    <row r="6288" spans="1:15" x14ac:dyDescent="0.25">
      <c r="A6288" t="str">
        <f>"10/21/2020 18:58:19.342"</f>
        <v>10/21/2020 18:58:19.342</v>
      </c>
      <c r="B6288" t="str">
        <f>"18:58:27.305"</f>
        <v>18:58:27.305</v>
      </c>
      <c r="C6288" t="str">
        <f>"18:58:26.905"</f>
        <v>18:58:26.905</v>
      </c>
      <c r="D6288" t="s">
        <v>2633</v>
      </c>
      <c r="E6288">
        <v>30.607181000000001</v>
      </c>
      <c r="F6288" t="s">
        <v>2634</v>
      </c>
      <c r="G6288">
        <v>-89.749525000000006</v>
      </c>
      <c r="H6288">
        <v>1700</v>
      </c>
      <c r="I6288">
        <v>-133</v>
      </c>
      <c r="J6288">
        <v>-104</v>
      </c>
      <c r="K6288">
        <v>128</v>
      </c>
      <c r="L6288">
        <v>1200</v>
      </c>
      <c r="M6288" t="str">
        <f t="shared" si="708"/>
        <v xml:space="preserve">N35DC   </v>
      </c>
      <c r="N6288">
        <v>1</v>
      </c>
      <c r="O6288">
        <v>1750</v>
      </c>
    </row>
    <row r="6289" spans="1:15" x14ac:dyDescent="0.25">
      <c r="A6289" t="str">
        <f>"10/21/2020 18:58:19.342"</f>
        <v>10/21/2020 18:58:19.342</v>
      </c>
      <c r="B6289" t="str">
        <f>"18:58:27.305"</f>
        <v>18:58:27.305</v>
      </c>
      <c r="C6289" t="str">
        <f>"18:58:26.905"</f>
        <v>18:58:26.905</v>
      </c>
      <c r="D6289" t="s">
        <v>2633</v>
      </c>
      <c r="E6289">
        <v>30.607181000000001</v>
      </c>
      <c r="F6289" t="s">
        <v>2634</v>
      </c>
      <c r="G6289">
        <v>-89.749525000000006</v>
      </c>
      <c r="H6289">
        <v>1700</v>
      </c>
      <c r="I6289">
        <v>-133</v>
      </c>
      <c r="J6289">
        <v>-104</v>
      </c>
      <c r="K6289">
        <v>128</v>
      </c>
      <c r="L6289">
        <v>1200</v>
      </c>
      <c r="M6289" t="str">
        <f t="shared" si="708"/>
        <v xml:space="preserve">N35DC   </v>
      </c>
      <c r="N6289">
        <v>1</v>
      </c>
      <c r="O6289">
        <v>1750</v>
      </c>
    </row>
    <row r="6290" spans="1:15" x14ac:dyDescent="0.25">
      <c r="A6290" t="str">
        <f>"10/21/2020 18:58:19.342"</f>
        <v>10/21/2020 18:58:19.342</v>
      </c>
      <c r="B6290" t="str">
        <f>"18:58:27.305"</f>
        <v>18:58:27.305</v>
      </c>
      <c r="C6290" t="str">
        <f>"18:58:26.905"</f>
        <v>18:58:26.905</v>
      </c>
      <c r="D6290" t="s">
        <v>2633</v>
      </c>
      <c r="E6290">
        <v>30.607181000000001</v>
      </c>
      <c r="F6290" t="s">
        <v>2634</v>
      </c>
      <c r="G6290">
        <v>-89.749525000000006</v>
      </c>
      <c r="H6290">
        <v>1700</v>
      </c>
      <c r="I6290">
        <v>-133</v>
      </c>
      <c r="J6290">
        <v>-104</v>
      </c>
      <c r="K6290">
        <v>128</v>
      </c>
      <c r="L6290">
        <v>1200</v>
      </c>
      <c r="M6290" t="str">
        <f t="shared" si="708"/>
        <v xml:space="preserve">N35DC   </v>
      </c>
      <c r="N6290">
        <v>1</v>
      </c>
      <c r="O6290">
        <v>1750</v>
      </c>
    </row>
    <row r="6291" spans="1:15" x14ac:dyDescent="0.25">
      <c r="A6291" t="str">
        <f>"10/21/2020 18:58:19.342"</f>
        <v>10/21/2020 18:58:19.342</v>
      </c>
      <c r="B6291" t="str">
        <f>"18:58:27.305"</f>
        <v>18:58:27.305</v>
      </c>
      <c r="C6291" t="str">
        <f>"18:58:26.905"</f>
        <v>18:58:26.905</v>
      </c>
      <c r="D6291" t="s">
        <v>2633</v>
      </c>
      <c r="E6291">
        <v>30.607181000000001</v>
      </c>
      <c r="F6291" t="s">
        <v>2634</v>
      </c>
      <c r="G6291">
        <v>-89.749525000000006</v>
      </c>
      <c r="H6291">
        <v>1700</v>
      </c>
      <c r="I6291">
        <v>-133</v>
      </c>
      <c r="J6291">
        <v>-104</v>
      </c>
      <c r="K6291">
        <v>128</v>
      </c>
      <c r="L6291">
        <v>1200</v>
      </c>
      <c r="M6291" t="str">
        <f t="shared" si="708"/>
        <v xml:space="preserve">N35DC   </v>
      </c>
      <c r="N6291">
        <v>1</v>
      </c>
      <c r="O6291">
        <v>1750</v>
      </c>
    </row>
    <row r="6292" spans="1:15" x14ac:dyDescent="0.25">
      <c r="A6292" t="str">
        <f>"10/21/2020 18:58:19.342"</f>
        <v>10/21/2020 18:58:19.342</v>
      </c>
      <c r="B6292" t="str">
        <f>"18:58:27.305"</f>
        <v>18:58:27.305</v>
      </c>
      <c r="C6292" t="str">
        <f>"18:58:26.905"</f>
        <v>18:58:26.905</v>
      </c>
      <c r="D6292" t="s">
        <v>2633</v>
      </c>
      <c r="E6292">
        <v>30.607181000000001</v>
      </c>
      <c r="F6292" t="s">
        <v>2634</v>
      </c>
      <c r="G6292">
        <v>-89.749525000000006</v>
      </c>
      <c r="H6292">
        <v>1700</v>
      </c>
      <c r="I6292">
        <v>-133</v>
      </c>
      <c r="J6292">
        <v>-104</v>
      </c>
      <c r="K6292">
        <v>128</v>
      </c>
      <c r="L6292">
        <v>1200</v>
      </c>
      <c r="M6292" t="str">
        <f t="shared" si="708"/>
        <v xml:space="preserve">N35DC   </v>
      </c>
      <c r="N6292">
        <v>1</v>
      </c>
      <c r="O6292">
        <v>1750</v>
      </c>
    </row>
    <row r="6293" spans="1:15" x14ac:dyDescent="0.25">
      <c r="A6293" t="str">
        <f>"10/21/2020 18:58:20.349"</f>
        <v>10/21/2020 18:58:20.349</v>
      </c>
      <c r="B6293" t="str">
        <f>"18:58:28.305"</f>
        <v>18:58:28.305</v>
      </c>
      <c r="C6293" t="str">
        <f>"18:58:28.005"</f>
        <v>18:58:28.005</v>
      </c>
      <c r="D6293" t="s">
        <v>2635</v>
      </c>
      <c r="E6293">
        <v>30.606708999999999</v>
      </c>
      <c r="F6293" t="s">
        <v>2636</v>
      </c>
      <c r="G6293">
        <v>-89.750232999999994</v>
      </c>
      <c r="H6293">
        <v>1700</v>
      </c>
      <c r="I6293">
        <v>-133</v>
      </c>
      <c r="J6293">
        <v>-103</v>
      </c>
      <c r="K6293">
        <v>192</v>
      </c>
      <c r="L6293">
        <v>1200</v>
      </c>
      <c r="M6293" t="str">
        <f t="shared" si="708"/>
        <v xml:space="preserve">N35DC   </v>
      </c>
      <c r="N6293">
        <v>1</v>
      </c>
      <c r="O6293">
        <v>1775</v>
      </c>
    </row>
    <row r="6294" spans="1:15" x14ac:dyDescent="0.25">
      <c r="A6294" t="str">
        <f>"10/21/2020 18:58:20.349"</f>
        <v>10/21/2020 18:58:20.349</v>
      </c>
      <c r="B6294" t="str">
        <f>"18:58:28.305"</f>
        <v>18:58:28.305</v>
      </c>
      <c r="C6294" t="str">
        <f>"18:58:28.005"</f>
        <v>18:58:28.005</v>
      </c>
      <c r="D6294" t="s">
        <v>2635</v>
      </c>
      <c r="E6294">
        <v>30.606708999999999</v>
      </c>
      <c r="F6294" t="s">
        <v>2636</v>
      </c>
      <c r="G6294">
        <v>-89.750232999999994</v>
      </c>
      <c r="H6294">
        <v>1700</v>
      </c>
      <c r="I6294">
        <v>-133</v>
      </c>
      <c r="J6294">
        <v>-103</v>
      </c>
      <c r="K6294">
        <v>192</v>
      </c>
      <c r="L6294">
        <v>1200</v>
      </c>
      <c r="M6294" t="str">
        <f t="shared" si="708"/>
        <v xml:space="preserve">N35DC   </v>
      </c>
      <c r="N6294">
        <v>1</v>
      </c>
      <c r="O6294">
        <v>1775</v>
      </c>
    </row>
    <row r="6295" spans="1:15" x14ac:dyDescent="0.25">
      <c r="A6295" t="str">
        <f>"10/21/2020 18:58:20.349"</f>
        <v>10/21/2020 18:58:20.349</v>
      </c>
      <c r="B6295" t="str">
        <f>"18:58:28.305"</f>
        <v>18:58:28.305</v>
      </c>
      <c r="C6295" t="str">
        <f>"18:58:28.005"</f>
        <v>18:58:28.005</v>
      </c>
      <c r="D6295" t="s">
        <v>2635</v>
      </c>
      <c r="E6295">
        <v>30.606708999999999</v>
      </c>
      <c r="F6295" t="s">
        <v>2636</v>
      </c>
      <c r="G6295">
        <v>-89.750232999999994</v>
      </c>
      <c r="H6295">
        <v>1700</v>
      </c>
      <c r="I6295">
        <v>-133</v>
      </c>
      <c r="J6295">
        <v>-103</v>
      </c>
      <c r="K6295">
        <v>192</v>
      </c>
      <c r="L6295">
        <v>1200</v>
      </c>
      <c r="M6295" t="str">
        <f t="shared" si="708"/>
        <v xml:space="preserve">N35DC   </v>
      </c>
      <c r="N6295">
        <v>1</v>
      </c>
      <c r="O6295">
        <v>1775</v>
      </c>
    </row>
    <row r="6296" spans="1:15" x14ac:dyDescent="0.25">
      <c r="A6296" t="str">
        <f>"10/21/2020 18:58:20.349"</f>
        <v>10/21/2020 18:58:20.349</v>
      </c>
      <c r="B6296" t="str">
        <f>"18:58:28.305"</f>
        <v>18:58:28.305</v>
      </c>
      <c r="C6296" t="str">
        <f>"18:58:28.005"</f>
        <v>18:58:28.005</v>
      </c>
      <c r="D6296" t="s">
        <v>2635</v>
      </c>
      <c r="E6296">
        <v>30.606708999999999</v>
      </c>
      <c r="F6296" t="s">
        <v>2636</v>
      </c>
      <c r="G6296">
        <v>-89.750232999999994</v>
      </c>
      <c r="H6296">
        <v>1700</v>
      </c>
      <c r="I6296">
        <v>-133</v>
      </c>
      <c r="J6296">
        <v>-103</v>
      </c>
      <c r="K6296">
        <v>192</v>
      </c>
      <c r="L6296">
        <v>1200</v>
      </c>
      <c r="M6296" t="str">
        <f t="shared" si="708"/>
        <v xml:space="preserve">N35DC   </v>
      </c>
      <c r="N6296">
        <v>1</v>
      </c>
      <c r="O6296">
        <v>1775</v>
      </c>
    </row>
    <row r="6297" spans="1:15" x14ac:dyDescent="0.25">
      <c r="A6297" t="str">
        <f>"10/21/2020 18:58:20.349"</f>
        <v>10/21/2020 18:58:20.349</v>
      </c>
      <c r="B6297" t="str">
        <f>"18:58:28.305"</f>
        <v>18:58:28.305</v>
      </c>
      <c r="C6297" t="str">
        <f>"18:58:28.005"</f>
        <v>18:58:28.005</v>
      </c>
      <c r="D6297" t="s">
        <v>2635</v>
      </c>
      <c r="E6297">
        <v>30.606708999999999</v>
      </c>
      <c r="F6297" t="s">
        <v>2636</v>
      </c>
      <c r="G6297">
        <v>-89.750232999999994</v>
      </c>
      <c r="H6297">
        <v>1700</v>
      </c>
      <c r="I6297">
        <v>-133</v>
      </c>
      <c r="J6297">
        <v>-103</v>
      </c>
      <c r="K6297">
        <v>192</v>
      </c>
      <c r="L6297">
        <v>1200</v>
      </c>
      <c r="M6297" t="str">
        <f t="shared" si="708"/>
        <v xml:space="preserve">N35DC   </v>
      </c>
      <c r="N6297">
        <v>1</v>
      </c>
      <c r="O6297">
        <v>1775</v>
      </c>
    </row>
    <row r="6298" spans="1:15" x14ac:dyDescent="0.25">
      <c r="A6298" t="str">
        <f>"10/21/2020 18:58:23.412"</f>
        <v>10/21/2020 18:58:23.412</v>
      </c>
      <c r="B6298" t="str">
        <f>"18:58:31.352"</f>
        <v>18:58:31.352</v>
      </c>
      <c r="C6298" t="str">
        <f>"18:58:31.052"</f>
        <v>18:58:31.052</v>
      </c>
      <c r="D6298" t="s">
        <v>2637</v>
      </c>
      <c r="E6298">
        <v>30.605249000000001</v>
      </c>
      <c r="F6298" t="s">
        <v>2638</v>
      </c>
      <c r="G6298">
        <v>-89.752377999999993</v>
      </c>
      <c r="H6298">
        <v>1700</v>
      </c>
      <c r="I6298">
        <v>-133</v>
      </c>
      <c r="J6298">
        <v>-103</v>
      </c>
      <c r="K6298">
        <v>-64</v>
      </c>
      <c r="L6298">
        <v>1200</v>
      </c>
      <c r="M6298" t="str">
        <f t="shared" si="708"/>
        <v xml:space="preserve">N35DC   </v>
      </c>
      <c r="N6298">
        <v>1</v>
      </c>
      <c r="O6298">
        <v>1775</v>
      </c>
    </row>
    <row r="6299" spans="1:15" x14ac:dyDescent="0.25">
      <c r="A6299" t="str">
        <f>"10/21/2020 18:58:23.412"</f>
        <v>10/21/2020 18:58:23.412</v>
      </c>
      <c r="B6299" t="str">
        <f>"18:58:31.352"</f>
        <v>18:58:31.352</v>
      </c>
      <c r="C6299" t="str">
        <f>"18:58:31.052"</f>
        <v>18:58:31.052</v>
      </c>
      <c r="D6299" t="s">
        <v>2637</v>
      </c>
      <c r="E6299">
        <v>30.605249000000001</v>
      </c>
      <c r="F6299" t="s">
        <v>2638</v>
      </c>
      <c r="G6299">
        <v>-89.752377999999993</v>
      </c>
      <c r="H6299">
        <v>1700</v>
      </c>
      <c r="I6299">
        <v>-133</v>
      </c>
      <c r="J6299">
        <v>-103</v>
      </c>
      <c r="K6299">
        <v>-64</v>
      </c>
      <c r="L6299">
        <v>1200</v>
      </c>
      <c r="M6299" t="str">
        <f t="shared" si="708"/>
        <v xml:space="preserve">N35DC   </v>
      </c>
      <c r="N6299">
        <v>1</v>
      </c>
      <c r="O6299">
        <v>1775</v>
      </c>
    </row>
    <row r="6300" spans="1:15" x14ac:dyDescent="0.25">
      <c r="A6300" t="str">
        <f>"10/21/2020 18:58:23.412"</f>
        <v>10/21/2020 18:58:23.412</v>
      </c>
      <c r="B6300" t="str">
        <f>"18:58:31.352"</f>
        <v>18:58:31.352</v>
      </c>
      <c r="C6300" t="str">
        <f>"18:58:31.052"</f>
        <v>18:58:31.052</v>
      </c>
      <c r="D6300" t="s">
        <v>2637</v>
      </c>
      <c r="E6300">
        <v>30.605249000000001</v>
      </c>
      <c r="F6300" t="s">
        <v>2638</v>
      </c>
      <c r="G6300">
        <v>-89.752377999999993</v>
      </c>
      <c r="H6300">
        <v>1700</v>
      </c>
      <c r="I6300">
        <v>-133</v>
      </c>
      <c r="J6300">
        <v>-103</v>
      </c>
      <c r="K6300">
        <v>-64</v>
      </c>
      <c r="L6300">
        <v>1200</v>
      </c>
      <c r="M6300" t="str">
        <f t="shared" si="708"/>
        <v xml:space="preserve">N35DC   </v>
      </c>
      <c r="N6300">
        <v>1</v>
      </c>
      <c r="O6300">
        <v>1775</v>
      </c>
    </row>
    <row r="6301" spans="1:15" x14ac:dyDescent="0.25">
      <c r="A6301" t="str">
        <f>"10/21/2020 18:58:23.412"</f>
        <v>10/21/2020 18:58:23.412</v>
      </c>
      <c r="B6301" t="str">
        <f>"18:58:31.352"</f>
        <v>18:58:31.352</v>
      </c>
      <c r="C6301" t="str">
        <f>"18:58:31.052"</f>
        <v>18:58:31.052</v>
      </c>
      <c r="D6301" t="s">
        <v>2637</v>
      </c>
      <c r="E6301">
        <v>30.605249000000001</v>
      </c>
      <c r="F6301" t="s">
        <v>2638</v>
      </c>
      <c r="G6301">
        <v>-89.752377999999993</v>
      </c>
      <c r="H6301">
        <v>1700</v>
      </c>
      <c r="I6301">
        <v>-133</v>
      </c>
      <c r="J6301">
        <v>-103</v>
      </c>
      <c r="K6301">
        <v>-64</v>
      </c>
      <c r="L6301">
        <v>1200</v>
      </c>
      <c r="M6301" t="str">
        <f t="shared" si="708"/>
        <v xml:space="preserve">N35DC   </v>
      </c>
      <c r="N6301">
        <v>1</v>
      </c>
      <c r="O6301">
        <v>1775</v>
      </c>
    </row>
    <row r="6302" spans="1:15" x14ac:dyDescent="0.25">
      <c r="A6302" t="str">
        <f>"10/21/2020 18:58:23.412"</f>
        <v>10/21/2020 18:58:23.412</v>
      </c>
      <c r="B6302" t="str">
        <f>"18:58:31.352"</f>
        <v>18:58:31.352</v>
      </c>
      <c r="C6302" t="str">
        <f>"18:58:31.052"</f>
        <v>18:58:31.052</v>
      </c>
      <c r="D6302" t="s">
        <v>2637</v>
      </c>
      <c r="E6302">
        <v>30.605249000000001</v>
      </c>
      <c r="F6302" t="s">
        <v>2638</v>
      </c>
      <c r="G6302">
        <v>-89.752377999999993</v>
      </c>
      <c r="H6302">
        <v>1700</v>
      </c>
      <c r="I6302">
        <v>-133</v>
      </c>
      <c r="J6302">
        <v>-103</v>
      </c>
      <c r="K6302">
        <v>-64</v>
      </c>
      <c r="L6302">
        <v>1200</v>
      </c>
      <c r="M6302" t="str">
        <f t="shared" si="708"/>
        <v xml:space="preserve">N35DC   </v>
      </c>
      <c r="N6302">
        <v>1</v>
      </c>
      <c r="O6302">
        <v>1775</v>
      </c>
    </row>
    <row r="6303" spans="1:15" x14ac:dyDescent="0.25">
      <c r="A6303" t="str">
        <f>"10/21/2020 18:58:24.423"</f>
        <v>10/21/2020 18:58:24.423</v>
      </c>
      <c r="B6303" t="str">
        <f>"18:58:32.367"</f>
        <v>18:58:32.367</v>
      </c>
      <c r="C6303" t="str">
        <f>"18:58:31.967"</f>
        <v>18:58:31.967</v>
      </c>
      <c r="D6303" t="s">
        <v>2639</v>
      </c>
      <c r="E6303">
        <v>30.604799</v>
      </c>
      <c r="F6303" t="s">
        <v>2640</v>
      </c>
      <c r="G6303">
        <v>-89.753086999999994</v>
      </c>
      <c r="H6303">
        <v>1700</v>
      </c>
      <c r="I6303">
        <v>-133</v>
      </c>
      <c r="J6303">
        <v>-103</v>
      </c>
      <c r="K6303">
        <v>-192</v>
      </c>
      <c r="L6303">
        <v>1200</v>
      </c>
      <c r="M6303" t="str">
        <f t="shared" si="708"/>
        <v xml:space="preserve">N35DC   </v>
      </c>
      <c r="N6303">
        <v>1</v>
      </c>
      <c r="O6303">
        <v>1775</v>
      </c>
    </row>
    <row r="6304" spans="1:15" x14ac:dyDescent="0.25">
      <c r="A6304" t="str">
        <f>"10/21/2020 18:58:24.423"</f>
        <v>10/21/2020 18:58:24.423</v>
      </c>
      <c r="B6304" t="str">
        <f>"18:58:32.367"</f>
        <v>18:58:32.367</v>
      </c>
      <c r="C6304" t="str">
        <f>"18:58:31.967"</f>
        <v>18:58:31.967</v>
      </c>
      <c r="D6304" t="s">
        <v>2639</v>
      </c>
      <c r="E6304">
        <v>30.604799</v>
      </c>
      <c r="F6304" t="s">
        <v>2640</v>
      </c>
      <c r="G6304">
        <v>-89.753086999999994</v>
      </c>
      <c r="H6304">
        <v>1700</v>
      </c>
      <c r="I6304">
        <v>-133</v>
      </c>
      <c r="J6304">
        <v>-103</v>
      </c>
      <c r="K6304">
        <v>-192</v>
      </c>
      <c r="L6304">
        <v>1200</v>
      </c>
      <c r="M6304" t="str">
        <f t="shared" si="708"/>
        <v xml:space="preserve">N35DC   </v>
      </c>
      <c r="N6304">
        <v>1</v>
      </c>
      <c r="O6304">
        <v>1775</v>
      </c>
    </row>
    <row r="6305" spans="1:15" x14ac:dyDescent="0.25">
      <c r="A6305" t="str">
        <f>"10/21/2020 18:58:24.423"</f>
        <v>10/21/2020 18:58:24.423</v>
      </c>
      <c r="B6305" t="str">
        <f>"18:58:32.367"</f>
        <v>18:58:32.367</v>
      </c>
      <c r="C6305" t="str">
        <f>"18:58:31.967"</f>
        <v>18:58:31.967</v>
      </c>
      <c r="D6305" t="s">
        <v>2639</v>
      </c>
      <c r="E6305">
        <v>30.604799</v>
      </c>
      <c r="F6305" t="s">
        <v>2640</v>
      </c>
      <c r="G6305">
        <v>-89.753086999999994</v>
      </c>
      <c r="H6305">
        <v>1700</v>
      </c>
      <c r="I6305">
        <v>-133</v>
      </c>
      <c r="J6305">
        <v>-103</v>
      </c>
      <c r="K6305">
        <v>-192</v>
      </c>
      <c r="L6305">
        <v>1200</v>
      </c>
      <c r="M6305" t="str">
        <f t="shared" si="708"/>
        <v xml:space="preserve">N35DC   </v>
      </c>
      <c r="N6305">
        <v>1</v>
      </c>
      <c r="O6305">
        <v>1775</v>
      </c>
    </row>
    <row r="6306" spans="1:15" x14ac:dyDescent="0.25">
      <c r="A6306" t="str">
        <f>"10/21/2020 18:58:24.423"</f>
        <v>10/21/2020 18:58:24.423</v>
      </c>
      <c r="B6306" t="str">
        <f>"18:58:32.367"</f>
        <v>18:58:32.367</v>
      </c>
      <c r="C6306" t="str">
        <f>"18:58:31.967"</f>
        <v>18:58:31.967</v>
      </c>
      <c r="D6306" t="s">
        <v>2639</v>
      </c>
      <c r="E6306">
        <v>30.604799</v>
      </c>
      <c r="F6306" t="s">
        <v>2640</v>
      </c>
      <c r="G6306">
        <v>-89.753086999999994</v>
      </c>
      <c r="H6306">
        <v>1700</v>
      </c>
      <c r="I6306">
        <v>-133</v>
      </c>
      <c r="J6306">
        <v>-103</v>
      </c>
      <c r="K6306">
        <v>-192</v>
      </c>
      <c r="L6306">
        <v>1200</v>
      </c>
      <c r="M6306" t="str">
        <f t="shared" si="708"/>
        <v xml:space="preserve">N35DC   </v>
      </c>
      <c r="N6306">
        <v>1</v>
      </c>
      <c r="O6306">
        <v>1775</v>
      </c>
    </row>
    <row r="6307" spans="1:15" x14ac:dyDescent="0.25">
      <c r="A6307" t="str">
        <f>"10/21/2020 18:58:24.423"</f>
        <v>10/21/2020 18:58:24.423</v>
      </c>
      <c r="B6307" t="str">
        <f>"18:58:32.367"</f>
        <v>18:58:32.367</v>
      </c>
      <c r="C6307" t="str">
        <f>"18:58:31.967"</f>
        <v>18:58:31.967</v>
      </c>
      <c r="D6307" t="s">
        <v>2639</v>
      </c>
      <c r="E6307">
        <v>30.604799</v>
      </c>
      <c r="F6307" t="s">
        <v>2640</v>
      </c>
      <c r="G6307">
        <v>-89.753086999999994</v>
      </c>
      <c r="H6307">
        <v>1700</v>
      </c>
      <c r="I6307">
        <v>-133</v>
      </c>
      <c r="J6307">
        <v>-103</v>
      </c>
      <c r="K6307">
        <v>-192</v>
      </c>
      <c r="L6307">
        <v>1200</v>
      </c>
      <c r="M6307" t="str">
        <f t="shared" si="708"/>
        <v xml:space="preserve">N35DC   </v>
      </c>
      <c r="N6307">
        <v>1</v>
      </c>
      <c r="O6307">
        <v>1775</v>
      </c>
    </row>
    <row r="6308" spans="1:15" x14ac:dyDescent="0.25">
      <c r="A6308" t="str">
        <f>"10/21/2020 18:58:27.605"</f>
        <v>10/21/2020 18:58:27.605</v>
      </c>
      <c r="B6308" t="str">
        <f t="shared" ref="B6308:C6312" si="709">"18:58:35.523"</f>
        <v>18:58:35.523</v>
      </c>
      <c r="C6308" t="str">
        <f t="shared" si="709"/>
        <v>18:58:35.523</v>
      </c>
      <c r="D6308" t="s">
        <v>2641</v>
      </c>
      <c r="E6308">
        <v>30.603254</v>
      </c>
      <c r="F6308" t="s">
        <v>2642</v>
      </c>
      <c r="G6308">
        <v>-89.755382999999995</v>
      </c>
      <c r="H6308">
        <v>1700</v>
      </c>
      <c r="I6308">
        <v>-134</v>
      </c>
      <c r="J6308">
        <v>-105</v>
      </c>
      <c r="K6308">
        <v>-192</v>
      </c>
      <c r="L6308">
        <v>1200</v>
      </c>
      <c r="M6308" t="str">
        <f t="shared" si="708"/>
        <v xml:space="preserve">N35DC   </v>
      </c>
      <c r="N6308">
        <v>1</v>
      </c>
      <c r="O6308">
        <v>1750</v>
      </c>
    </row>
    <row r="6309" spans="1:15" x14ac:dyDescent="0.25">
      <c r="A6309" t="str">
        <f>"10/21/2020 18:58:27.605"</f>
        <v>10/21/2020 18:58:27.605</v>
      </c>
      <c r="B6309" t="str">
        <f t="shared" si="709"/>
        <v>18:58:35.523</v>
      </c>
      <c r="C6309" t="str">
        <f t="shared" si="709"/>
        <v>18:58:35.523</v>
      </c>
      <c r="D6309" t="s">
        <v>2641</v>
      </c>
      <c r="E6309">
        <v>30.603254</v>
      </c>
      <c r="F6309" t="s">
        <v>2642</v>
      </c>
      <c r="G6309">
        <v>-89.755382999999995</v>
      </c>
      <c r="H6309">
        <v>1700</v>
      </c>
      <c r="I6309">
        <v>-134</v>
      </c>
      <c r="J6309">
        <v>-105</v>
      </c>
      <c r="K6309">
        <v>-192</v>
      </c>
      <c r="L6309">
        <v>1200</v>
      </c>
      <c r="M6309" t="str">
        <f t="shared" si="708"/>
        <v xml:space="preserve">N35DC   </v>
      </c>
      <c r="N6309">
        <v>1</v>
      </c>
      <c r="O6309">
        <v>1750</v>
      </c>
    </row>
    <row r="6310" spans="1:15" x14ac:dyDescent="0.25">
      <c r="A6310" t="str">
        <f>"10/21/2020 18:58:27.605"</f>
        <v>10/21/2020 18:58:27.605</v>
      </c>
      <c r="B6310" t="str">
        <f t="shared" si="709"/>
        <v>18:58:35.523</v>
      </c>
      <c r="C6310" t="str">
        <f t="shared" si="709"/>
        <v>18:58:35.523</v>
      </c>
      <c r="D6310" t="s">
        <v>2641</v>
      </c>
      <c r="E6310">
        <v>30.603254</v>
      </c>
      <c r="F6310" t="s">
        <v>2642</v>
      </c>
      <c r="G6310">
        <v>-89.755382999999995</v>
      </c>
      <c r="H6310">
        <v>1700</v>
      </c>
      <c r="I6310">
        <v>-134</v>
      </c>
      <c r="J6310">
        <v>-105</v>
      </c>
      <c r="K6310">
        <v>-192</v>
      </c>
      <c r="L6310">
        <v>1200</v>
      </c>
      <c r="M6310" t="str">
        <f t="shared" si="708"/>
        <v xml:space="preserve">N35DC   </v>
      </c>
      <c r="N6310">
        <v>1</v>
      </c>
      <c r="O6310">
        <v>1750</v>
      </c>
    </row>
    <row r="6311" spans="1:15" x14ac:dyDescent="0.25">
      <c r="A6311" t="str">
        <f>"10/21/2020 18:58:27.605"</f>
        <v>10/21/2020 18:58:27.605</v>
      </c>
      <c r="B6311" t="str">
        <f t="shared" si="709"/>
        <v>18:58:35.523</v>
      </c>
      <c r="C6311" t="str">
        <f t="shared" si="709"/>
        <v>18:58:35.523</v>
      </c>
      <c r="D6311" t="s">
        <v>2641</v>
      </c>
      <c r="E6311">
        <v>30.603254</v>
      </c>
      <c r="F6311" t="s">
        <v>2642</v>
      </c>
      <c r="G6311">
        <v>-89.755382999999995</v>
      </c>
      <c r="H6311">
        <v>1700</v>
      </c>
      <c r="I6311">
        <v>-134</v>
      </c>
      <c r="J6311">
        <v>-105</v>
      </c>
      <c r="K6311">
        <v>-192</v>
      </c>
      <c r="L6311">
        <v>1200</v>
      </c>
      <c r="M6311" t="str">
        <f t="shared" si="708"/>
        <v xml:space="preserve">N35DC   </v>
      </c>
      <c r="N6311">
        <v>1</v>
      </c>
      <c r="O6311">
        <v>1750</v>
      </c>
    </row>
    <row r="6312" spans="1:15" x14ac:dyDescent="0.25">
      <c r="A6312" t="str">
        <f>"10/21/2020 18:58:27.605"</f>
        <v>10/21/2020 18:58:27.605</v>
      </c>
      <c r="B6312" t="str">
        <f t="shared" si="709"/>
        <v>18:58:35.523</v>
      </c>
      <c r="C6312" t="str">
        <f t="shared" si="709"/>
        <v>18:58:35.523</v>
      </c>
      <c r="D6312" t="s">
        <v>2641</v>
      </c>
      <c r="E6312">
        <v>30.603254</v>
      </c>
      <c r="F6312" t="s">
        <v>2642</v>
      </c>
      <c r="G6312">
        <v>-89.755382999999995</v>
      </c>
      <c r="H6312">
        <v>1700</v>
      </c>
      <c r="I6312">
        <v>-134</v>
      </c>
      <c r="J6312">
        <v>-105</v>
      </c>
      <c r="K6312">
        <v>-192</v>
      </c>
      <c r="L6312">
        <v>1200</v>
      </c>
      <c r="M6312" t="str">
        <f t="shared" si="708"/>
        <v xml:space="preserve">N35DC   </v>
      </c>
      <c r="N6312">
        <v>1</v>
      </c>
      <c r="O6312">
        <v>1750</v>
      </c>
    </row>
    <row r="6313" spans="1:15" x14ac:dyDescent="0.25">
      <c r="A6313" t="str">
        <f>"10/21/2020 18:58:28.564"</f>
        <v>10/21/2020 18:58:28.564</v>
      </c>
      <c r="B6313" t="str">
        <f t="shared" ref="B6313:C6316" si="710">"18:58:36.508"</f>
        <v>18:58:36.508</v>
      </c>
      <c r="C6313" t="str">
        <f t="shared" si="710"/>
        <v>18:58:36.508</v>
      </c>
      <c r="D6313" t="s">
        <v>2643</v>
      </c>
      <c r="E6313">
        <v>30.602782000000001</v>
      </c>
      <c r="F6313" t="s">
        <v>2644</v>
      </c>
      <c r="G6313">
        <v>-89.756090999999998</v>
      </c>
      <c r="H6313">
        <v>1700</v>
      </c>
      <c r="I6313">
        <v>-134</v>
      </c>
      <c r="J6313">
        <v>-105</v>
      </c>
      <c r="K6313">
        <v>-256</v>
      </c>
      <c r="L6313">
        <v>1200</v>
      </c>
      <c r="M6313" t="str">
        <f t="shared" si="708"/>
        <v xml:space="preserve">N35DC   </v>
      </c>
      <c r="N6313">
        <v>1</v>
      </c>
      <c r="O6313">
        <v>1750</v>
      </c>
    </row>
    <row r="6314" spans="1:15" x14ac:dyDescent="0.25">
      <c r="A6314" t="str">
        <f>"10/21/2020 18:58:28.564"</f>
        <v>10/21/2020 18:58:28.564</v>
      </c>
      <c r="B6314" t="str">
        <f t="shared" si="710"/>
        <v>18:58:36.508</v>
      </c>
      <c r="C6314" t="str">
        <f t="shared" si="710"/>
        <v>18:58:36.508</v>
      </c>
      <c r="D6314" t="s">
        <v>2643</v>
      </c>
      <c r="E6314">
        <v>30.602782000000001</v>
      </c>
      <c r="F6314" t="s">
        <v>2644</v>
      </c>
      <c r="G6314">
        <v>-89.756090999999998</v>
      </c>
      <c r="H6314">
        <v>1700</v>
      </c>
      <c r="I6314">
        <v>-134</v>
      </c>
      <c r="J6314">
        <v>-105</v>
      </c>
      <c r="K6314">
        <v>-256</v>
      </c>
      <c r="L6314">
        <v>1200</v>
      </c>
      <c r="M6314" t="str">
        <f t="shared" si="708"/>
        <v xml:space="preserve">N35DC   </v>
      </c>
      <c r="N6314">
        <v>1</v>
      </c>
      <c r="O6314">
        <v>1750</v>
      </c>
    </row>
    <row r="6315" spans="1:15" x14ac:dyDescent="0.25">
      <c r="A6315" t="str">
        <f>"10/21/2020 18:58:28.564"</f>
        <v>10/21/2020 18:58:28.564</v>
      </c>
      <c r="B6315" t="str">
        <f t="shared" si="710"/>
        <v>18:58:36.508</v>
      </c>
      <c r="C6315" t="str">
        <f t="shared" si="710"/>
        <v>18:58:36.508</v>
      </c>
      <c r="D6315" t="s">
        <v>2643</v>
      </c>
      <c r="E6315">
        <v>30.602782000000001</v>
      </c>
      <c r="F6315" t="s">
        <v>2644</v>
      </c>
      <c r="G6315">
        <v>-89.756090999999998</v>
      </c>
      <c r="H6315">
        <v>1700</v>
      </c>
      <c r="I6315">
        <v>-134</v>
      </c>
      <c r="J6315">
        <v>-105</v>
      </c>
      <c r="K6315">
        <v>-256</v>
      </c>
      <c r="L6315">
        <v>1200</v>
      </c>
      <c r="M6315" t="str">
        <f t="shared" si="708"/>
        <v xml:space="preserve">N35DC   </v>
      </c>
      <c r="N6315">
        <v>1</v>
      </c>
      <c r="O6315">
        <v>1750</v>
      </c>
    </row>
    <row r="6316" spans="1:15" x14ac:dyDescent="0.25">
      <c r="A6316" t="str">
        <f>"10/21/2020 18:58:28.564"</f>
        <v>10/21/2020 18:58:28.564</v>
      </c>
      <c r="B6316" t="str">
        <f t="shared" si="710"/>
        <v>18:58:36.508</v>
      </c>
      <c r="C6316" t="str">
        <f t="shared" si="710"/>
        <v>18:58:36.508</v>
      </c>
      <c r="D6316" t="s">
        <v>2643</v>
      </c>
      <c r="E6316">
        <v>30.602782000000001</v>
      </c>
      <c r="F6316" t="s">
        <v>2644</v>
      </c>
      <c r="G6316">
        <v>-89.756090999999998</v>
      </c>
      <c r="H6316">
        <v>1700</v>
      </c>
      <c r="I6316">
        <v>-134</v>
      </c>
      <c r="J6316">
        <v>-105</v>
      </c>
      <c r="K6316">
        <v>-256</v>
      </c>
      <c r="L6316">
        <v>1200</v>
      </c>
      <c r="M6316" t="str">
        <f t="shared" si="708"/>
        <v xml:space="preserve">N35DC   </v>
      </c>
      <c r="N6316">
        <v>1</v>
      </c>
      <c r="O6316">
        <v>1750</v>
      </c>
    </row>
    <row r="6317" spans="1:15" x14ac:dyDescent="0.25">
      <c r="A6317" t="str">
        <f>"10/21/2020 18:58:28.564"</f>
        <v>10/21/2020 18:58:28.564</v>
      </c>
      <c r="B6317" t="str">
        <f>"18:58:36.508"</f>
        <v>18:58:36.508</v>
      </c>
      <c r="C6317" t="str">
        <f>"18:58:36.108"</f>
        <v>18:58:36.108</v>
      </c>
      <c r="D6317" t="s">
        <v>2643</v>
      </c>
      <c r="E6317">
        <v>30.602782000000001</v>
      </c>
      <c r="F6317" t="s">
        <v>2644</v>
      </c>
      <c r="G6317">
        <v>-89.756090999999998</v>
      </c>
      <c r="H6317">
        <v>1700</v>
      </c>
      <c r="I6317">
        <v>-134</v>
      </c>
      <c r="J6317">
        <v>-105</v>
      </c>
      <c r="K6317">
        <v>-192</v>
      </c>
      <c r="L6317">
        <v>1200</v>
      </c>
      <c r="M6317" t="str">
        <f t="shared" si="708"/>
        <v xml:space="preserve">N35DC   </v>
      </c>
      <c r="N6317">
        <v>1</v>
      </c>
      <c r="O6317">
        <v>1750</v>
      </c>
    </row>
    <row r="6318" spans="1:15" x14ac:dyDescent="0.25">
      <c r="A6318" t="str">
        <f>"10/21/2020 18:58:29.591"</f>
        <v>10/21/2020 18:58:29.591</v>
      </c>
      <c r="B6318" t="str">
        <f>"18:58:37.547"</f>
        <v>18:58:37.547</v>
      </c>
      <c r="C6318" t="str">
        <f>"18:58:37.047"</f>
        <v>18:58:37.047</v>
      </c>
      <c r="D6318" t="s">
        <v>2645</v>
      </c>
      <c r="E6318">
        <v>30.602267000000001</v>
      </c>
      <c r="F6318" t="s">
        <v>2500</v>
      </c>
      <c r="G6318">
        <v>-89.756820000000005</v>
      </c>
      <c r="H6318">
        <v>1700</v>
      </c>
      <c r="I6318">
        <v>-134</v>
      </c>
      <c r="J6318">
        <v>-105</v>
      </c>
      <c r="K6318">
        <v>-256</v>
      </c>
      <c r="L6318">
        <v>1200</v>
      </c>
      <c r="M6318" t="str">
        <f t="shared" si="708"/>
        <v xml:space="preserve">N35DC   </v>
      </c>
      <c r="N6318">
        <v>1</v>
      </c>
      <c r="O6318">
        <v>1750</v>
      </c>
    </row>
    <row r="6319" spans="1:15" x14ac:dyDescent="0.25">
      <c r="A6319" t="str">
        <f>"10/21/2020 18:58:29.591"</f>
        <v>10/21/2020 18:58:29.591</v>
      </c>
      <c r="B6319" t="str">
        <f>"18:58:37.547"</f>
        <v>18:58:37.547</v>
      </c>
      <c r="C6319" t="str">
        <f>"18:58:37.047"</f>
        <v>18:58:37.047</v>
      </c>
      <c r="D6319" t="s">
        <v>2645</v>
      </c>
      <c r="E6319">
        <v>30.602267000000001</v>
      </c>
      <c r="F6319" t="s">
        <v>2500</v>
      </c>
      <c r="G6319">
        <v>-89.756820000000005</v>
      </c>
      <c r="H6319">
        <v>1700</v>
      </c>
      <c r="I6319">
        <v>-134</v>
      </c>
      <c r="J6319">
        <v>-105</v>
      </c>
      <c r="K6319">
        <v>-256</v>
      </c>
      <c r="L6319">
        <v>1200</v>
      </c>
      <c r="M6319" t="str">
        <f t="shared" si="708"/>
        <v xml:space="preserve">N35DC   </v>
      </c>
      <c r="N6319">
        <v>1</v>
      </c>
      <c r="O6319">
        <v>1750</v>
      </c>
    </row>
    <row r="6320" spans="1:15" x14ac:dyDescent="0.25">
      <c r="A6320" t="str">
        <f>"10/21/2020 18:58:29.591"</f>
        <v>10/21/2020 18:58:29.591</v>
      </c>
      <c r="B6320" t="str">
        <f>"18:58:37.547"</f>
        <v>18:58:37.547</v>
      </c>
      <c r="C6320" t="str">
        <f>"18:58:37.047"</f>
        <v>18:58:37.047</v>
      </c>
      <c r="D6320" t="s">
        <v>2645</v>
      </c>
      <c r="E6320">
        <v>30.602267000000001</v>
      </c>
      <c r="F6320" t="s">
        <v>2500</v>
      </c>
      <c r="G6320">
        <v>-89.756820000000005</v>
      </c>
      <c r="H6320">
        <v>1700</v>
      </c>
      <c r="I6320">
        <v>-134</v>
      </c>
      <c r="J6320">
        <v>-105</v>
      </c>
      <c r="K6320">
        <v>-256</v>
      </c>
      <c r="L6320">
        <v>1200</v>
      </c>
      <c r="M6320" t="str">
        <f t="shared" si="708"/>
        <v xml:space="preserve">N35DC   </v>
      </c>
      <c r="N6320">
        <v>1</v>
      </c>
      <c r="O6320">
        <v>1750</v>
      </c>
    </row>
    <row r="6321" spans="1:15" x14ac:dyDescent="0.25">
      <c r="A6321" t="str">
        <f>"10/21/2020 18:58:29.591"</f>
        <v>10/21/2020 18:58:29.591</v>
      </c>
      <c r="B6321" t="str">
        <f>"18:58:37.547"</f>
        <v>18:58:37.547</v>
      </c>
      <c r="C6321" t="str">
        <f>"18:58:37.047"</f>
        <v>18:58:37.047</v>
      </c>
      <c r="D6321" t="s">
        <v>2645</v>
      </c>
      <c r="E6321">
        <v>30.602267000000001</v>
      </c>
      <c r="F6321" t="s">
        <v>2500</v>
      </c>
      <c r="G6321">
        <v>-89.756820000000005</v>
      </c>
      <c r="H6321">
        <v>1700</v>
      </c>
      <c r="I6321">
        <v>-134</v>
      </c>
      <c r="J6321">
        <v>-105</v>
      </c>
      <c r="K6321">
        <v>-256</v>
      </c>
      <c r="L6321">
        <v>1200</v>
      </c>
      <c r="M6321" t="str">
        <f t="shared" si="708"/>
        <v xml:space="preserve">N35DC   </v>
      </c>
      <c r="N6321">
        <v>1</v>
      </c>
      <c r="O6321">
        <v>1750</v>
      </c>
    </row>
    <row r="6322" spans="1:15" x14ac:dyDescent="0.25">
      <c r="A6322" t="str">
        <f>"10/21/2020 18:58:29.591"</f>
        <v>10/21/2020 18:58:29.591</v>
      </c>
      <c r="B6322" t="str">
        <f>"18:58:37.547"</f>
        <v>18:58:37.547</v>
      </c>
      <c r="C6322" t="str">
        <f>"18:58:37.047"</f>
        <v>18:58:37.047</v>
      </c>
      <c r="D6322" t="s">
        <v>2645</v>
      </c>
      <c r="E6322">
        <v>30.602267000000001</v>
      </c>
      <c r="F6322" t="s">
        <v>2500</v>
      </c>
      <c r="G6322">
        <v>-89.756820000000005</v>
      </c>
      <c r="H6322">
        <v>1700</v>
      </c>
      <c r="I6322">
        <v>-134</v>
      </c>
      <c r="J6322">
        <v>-105</v>
      </c>
      <c r="K6322">
        <v>-256</v>
      </c>
      <c r="L6322">
        <v>1200</v>
      </c>
      <c r="M6322" t="str">
        <f t="shared" si="708"/>
        <v xml:space="preserve">N35DC   </v>
      </c>
      <c r="N6322">
        <v>1</v>
      </c>
      <c r="O6322">
        <v>1750</v>
      </c>
    </row>
    <row r="6323" spans="1:15" x14ac:dyDescent="0.25">
      <c r="A6323" t="str">
        <f>"10/21/2020 18:58:32.485"</f>
        <v>10/21/2020 18:58:32.485</v>
      </c>
      <c r="B6323" t="str">
        <f>"18:58:40.438"</f>
        <v>18:58:40.438</v>
      </c>
      <c r="C6323" t="str">
        <f>"18:58:40.038"</f>
        <v>18:58:40.038</v>
      </c>
      <c r="D6323" t="s">
        <v>2646</v>
      </c>
      <c r="E6323">
        <v>30.600808000000001</v>
      </c>
      <c r="F6323" t="s">
        <v>2647</v>
      </c>
      <c r="G6323">
        <v>-89.758902000000006</v>
      </c>
      <c r="H6323">
        <v>1700</v>
      </c>
      <c r="I6323">
        <v>-133</v>
      </c>
      <c r="J6323">
        <v>-107</v>
      </c>
      <c r="K6323">
        <v>-64</v>
      </c>
      <c r="L6323">
        <v>1200</v>
      </c>
      <c r="M6323" t="str">
        <f t="shared" si="708"/>
        <v xml:space="preserve">N35DC   </v>
      </c>
      <c r="N6323">
        <v>1</v>
      </c>
      <c r="O6323">
        <v>1750</v>
      </c>
    </row>
    <row r="6324" spans="1:15" x14ac:dyDescent="0.25">
      <c r="A6324" t="str">
        <f>"10/21/2020 18:58:32.485"</f>
        <v>10/21/2020 18:58:32.485</v>
      </c>
      <c r="B6324" t="str">
        <f>"18:58:40.438"</f>
        <v>18:58:40.438</v>
      </c>
      <c r="C6324" t="str">
        <f>"18:58:40.038"</f>
        <v>18:58:40.038</v>
      </c>
      <c r="D6324" t="s">
        <v>2646</v>
      </c>
      <c r="E6324">
        <v>30.600808000000001</v>
      </c>
      <c r="F6324" t="s">
        <v>2647</v>
      </c>
      <c r="G6324">
        <v>-89.758902000000006</v>
      </c>
      <c r="H6324">
        <v>1700</v>
      </c>
      <c r="I6324">
        <v>-133</v>
      </c>
      <c r="J6324">
        <v>-107</v>
      </c>
      <c r="K6324">
        <v>-64</v>
      </c>
      <c r="L6324">
        <v>1200</v>
      </c>
      <c r="M6324" t="str">
        <f t="shared" si="708"/>
        <v xml:space="preserve">N35DC   </v>
      </c>
      <c r="N6324">
        <v>1</v>
      </c>
      <c r="O6324">
        <v>1750</v>
      </c>
    </row>
    <row r="6325" spans="1:15" x14ac:dyDescent="0.25">
      <c r="A6325" t="str">
        <f>"10/21/2020 18:58:32.485"</f>
        <v>10/21/2020 18:58:32.485</v>
      </c>
      <c r="B6325" t="str">
        <f>"18:58:40.438"</f>
        <v>18:58:40.438</v>
      </c>
      <c r="C6325" t="str">
        <f>"18:58:40.038"</f>
        <v>18:58:40.038</v>
      </c>
      <c r="D6325" t="s">
        <v>2646</v>
      </c>
      <c r="E6325">
        <v>30.600808000000001</v>
      </c>
      <c r="F6325" t="s">
        <v>2647</v>
      </c>
      <c r="G6325">
        <v>-89.758902000000006</v>
      </c>
      <c r="H6325">
        <v>1700</v>
      </c>
      <c r="I6325">
        <v>-133</v>
      </c>
      <c r="J6325">
        <v>-107</v>
      </c>
      <c r="K6325">
        <v>-64</v>
      </c>
      <c r="L6325">
        <v>1200</v>
      </c>
      <c r="M6325" t="str">
        <f t="shared" si="708"/>
        <v xml:space="preserve">N35DC   </v>
      </c>
      <c r="N6325">
        <v>1</v>
      </c>
      <c r="O6325">
        <v>1750</v>
      </c>
    </row>
    <row r="6326" spans="1:15" x14ac:dyDescent="0.25">
      <c r="A6326" t="str">
        <f>"10/21/2020 18:58:32.485"</f>
        <v>10/21/2020 18:58:32.485</v>
      </c>
      <c r="B6326" t="str">
        <f>"18:58:40.438"</f>
        <v>18:58:40.438</v>
      </c>
      <c r="C6326" t="str">
        <f>"18:58:40.038"</f>
        <v>18:58:40.038</v>
      </c>
      <c r="D6326" t="s">
        <v>2646</v>
      </c>
      <c r="E6326">
        <v>30.600808000000001</v>
      </c>
      <c r="F6326" t="s">
        <v>2647</v>
      </c>
      <c r="G6326">
        <v>-89.758902000000006</v>
      </c>
      <c r="H6326">
        <v>1700</v>
      </c>
      <c r="I6326">
        <v>-133</v>
      </c>
      <c r="J6326">
        <v>-107</v>
      </c>
      <c r="K6326">
        <v>-64</v>
      </c>
      <c r="L6326">
        <v>1200</v>
      </c>
      <c r="M6326" t="str">
        <f t="shared" si="708"/>
        <v xml:space="preserve">N35DC   </v>
      </c>
      <c r="N6326">
        <v>1</v>
      </c>
      <c r="O6326">
        <v>1750</v>
      </c>
    </row>
    <row r="6327" spans="1:15" x14ac:dyDescent="0.25">
      <c r="A6327" t="str">
        <f>"10/21/2020 18:58:32.485"</f>
        <v>10/21/2020 18:58:32.485</v>
      </c>
      <c r="B6327" t="str">
        <f>"18:58:40.438"</f>
        <v>18:58:40.438</v>
      </c>
      <c r="C6327" t="str">
        <f>"18:58:40.038"</f>
        <v>18:58:40.038</v>
      </c>
      <c r="D6327" t="s">
        <v>2646</v>
      </c>
      <c r="E6327">
        <v>30.600808000000001</v>
      </c>
      <c r="F6327" t="s">
        <v>2647</v>
      </c>
      <c r="G6327">
        <v>-89.758902000000006</v>
      </c>
      <c r="H6327">
        <v>1700</v>
      </c>
      <c r="I6327">
        <v>-133</v>
      </c>
      <c r="J6327">
        <v>-107</v>
      </c>
      <c r="K6327">
        <v>-64</v>
      </c>
      <c r="L6327">
        <v>1200</v>
      </c>
      <c r="M6327" t="str">
        <f t="shared" si="708"/>
        <v xml:space="preserve">N35DC   </v>
      </c>
      <c r="N6327">
        <v>1</v>
      </c>
      <c r="O6327">
        <v>1750</v>
      </c>
    </row>
    <row r="6328" spans="1:15" x14ac:dyDescent="0.25">
      <c r="A6328" t="str">
        <f>"10/21/2020 18:58:33.531"</f>
        <v>10/21/2020 18:58:33.531</v>
      </c>
      <c r="B6328" t="str">
        <f>"18:58:41.492"</f>
        <v>18:58:41.492</v>
      </c>
      <c r="C6328" t="str">
        <f>"18:58:41.092"</f>
        <v>18:58:41.092</v>
      </c>
      <c r="D6328" t="s">
        <v>463</v>
      </c>
      <c r="E6328">
        <v>30.600314000000001</v>
      </c>
      <c r="F6328" t="s">
        <v>2648</v>
      </c>
      <c r="G6328">
        <v>-89.759609999999995</v>
      </c>
      <c r="H6328">
        <v>1700</v>
      </c>
      <c r="I6328">
        <v>-133</v>
      </c>
      <c r="J6328">
        <v>-107</v>
      </c>
      <c r="K6328">
        <v>0</v>
      </c>
      <c r="L6328">
        <v>1200</v>
      </c>
      <c r="M6328" t="str">
        <f t="shared" si="708"/>
        <v xml:space="preserve">N35DC   </v>
      </c>
      <c r="N6328">
        <v>1</v>
      </c>
      <c r="O6328">
        <v>1750</v>
      </c>
    </row>
    <row r="6329" spans="1:15" x14ac:dyDescent="0.25">
      <c r="A6329" t="str">
        <f>"10/21/2020 18:58:33.531"</f>
        <v>10/21/2020 18:58:33.531</v>
      </c>
      <c r="B6329" t="str">
        <f>"18:58:41.492"</f>
        <v>18:58:41.492</v>
      </c>
      <c r="C6329" t="str">
        <f>"18:58:41.092"</f>
        <v>18:58:41.092</v>
      </c>
      <c r="D6329" t="s">
        <v>463</v>
      </c>
      <c r="E6329">
        <v>30.600314000000001</v>
      </c>
      <c r="F6329" t="s">
        <v>2648</v>
      </c>
      <c r="G6329">
        <v>-89.759609999999995</v>
      </c>
      <c r="H6329">
        <v>1700</v>
      </c>
      <c r="I6329">
        <v>-133</v>
      </c>
      <c r="J6329">
        <v>-107</v>
      </c>
      <c r="K6329">
        <v>0</v>
      </c>
      <c r="L6329">
        <v>1200</v>
      </c>
      <c r="M6329" t="str">
        <f t="shared" si="708"/>
        <v xml:space="preserve">N35DC   </v>
      </c>
      <c r="N6329">
        <v>1</v>
      </c>
      <c r="O6329">
        <v>1750</v>
      </c>
    </row>
    <row r="6330" spans="1:15" x14ac:dyDescent="0.25">
      <c r="A6330" t="str">
        <f>"10/21/2020 18:58:33.531"</f>
        <v>10/21/2020 18:58:33.531</v>
      </c>
      <c r="B6330" t="str">
        <f>"18:58:41.492"</f>
        <v>18:58:41.492</v>
      </c>
      <c r="C6330" t="str">
        <f>"18:58:41.092"</f>
        <v>18:58:41.092</v>
      </c>
      <c r="D6330" t="s">
        <v>463</v>
      </c>
      <c r="E6330">
        <v>30.600314000000001</v>
      </c>
      <c r="F6330" t="s">
        <v>2648</v>
      </c>
      <c r="G6330">
        <v>-89.759609999999995</v>
      </c>
      <c r="H6330">
        <v>1700</v>
      </c>
      <c r="I6330">
        <v>-133</v>
      </c>
      <c r="J6330">
        <v>-107</v>
      </c>
      <c r="K6330">
        <v>0</v>
      </c>
      <c r="L6330">
        <v>1200</v>
      </c>
      <c r="M6330" t="str">
        <f t="shared" si="708"/>
        <v xml:space="preserve">N35DC   </v>
      </c>
      <c r="N6330">
        <v>1</v>
      </c>
      <c r="O6330">
        <v>1750</v>
      </c>
    </row>
    <row r="6331" spans="1:15" x14ac:dyDescent="0.25">
      <c r="A6331" t="str">
        <f>"10/21/2020 18:58:33.531"</f>
        <v>10/21/2020 18:58:33.531</v>
      </c>
      <c r="B6331" t="str">
        <f>"18:58:41.492"</f>
        <v>18:58:41.492</v>
      </c>
      <c r="C6331" t="str">
        <f>"18:58:41.092"</f>
        <v>18:58:41.092</v>
      </c>
      <c r="D6331" t="s">
        <v>463</v>
      </c>
      <c r="E6331">
        <v>30.600314000000001</v>
      </c>
      <c r="F6331" t="s">
        <v>2648</v>
      </c>
      <c r="G6331">
        <v>-89.759609999999995</v>
      </c>
      <c r="H6331">
        <v>1700</v>
      </c>
      <c r="I6331">
        <v>-133</v>
      </c>
      <c r="J6331">
        <v>-107</v>
      </c>
      <c r="K6331">
        <v>0</v>
      </c>
      <c r="L6331">
        <v>1200</v>
      </c>
      <c r="M6331" t="str">
        <f t="shared" si="708"/>
        <v xml:space="preserve">N35DC   </v>
      </c>
      <c r="N6331">
        <v>1</v>
      </c>
      <c r="O6331">
        <v>1750</v>
      </c>
    </row>
    <row r="6332" spans="1:15" x14ac:dyDescent="0.25">
      <c r="A6332" t="str">
        <f>"10/21/2020 18:58:33.531"</f>
        <v>10/21/2020 18:58:33.531</v>
      </c>
      <c r="B6332" t="str">
        <f>"18:58:41.492"</f>
        <v>18:58:41.492</v>
      </c>
      <c r="C6332" t="str">
        <f>"18:58:41.092"</f>
        <v>18:58:41.092</v>
      </c>
      <c r="D6332" t="s">
        <v>463</v>
      </c>
      <c r="E6332">
        <v>30.600314000000001</v>
      </c>
      <c r="F6332" t="s">
        <v>2648</v>
      </c>
      <c r="G6332">
        <v>-89.759609999999995</v>
      </c>
      <c r="H6332">
        <v>1700</v>
      </c>
      <c r="I6332">
        <v>-133</v>
      </c>
      <c r="J6332">
        <v>-107</v>
      </c>
      <c r="K6332">
        <v>0</v>
      </c>
      <c r="L6332">
        <v>1200</v>
      </c>
      <c r="M6332" t="str">
        <f t="shared" si="708"/>
        <v xml:space="preserve">N35DC   </v>
      </c>
      <c r="N6332">
        <v>1</v>
      </c>
      <c r="O6332">
        <v>1750</v>
      </c>
    </row>
    <row r="6333" spans="1:15" x14ac:dyDescent="0.25">
      <c r="A6333" t="str">
        <f>"10/21/2020 18:58:36.482"</f>
        <v>10/21/2020 18:58:36.482</v>
      </c>
      <c r="B6333" t="str">
        <f>"18:58:44.430"</f>
        <v>18:58:44.430</v>
      </c>
      <c r="C6333" t="str">
        <f>"18:58:44.030"</f>
        <v>18:58:44.030</v>
      </c>
      <c r="D6333" t="s">
        <v>2649</v>
      </c>
      <c r="E6333">
        <v>30.598855</v>
      </c>
      <c r="F6333" t="s">
        <v>2650</v>
      </c>
      <c r="G6333">
        <v>-89.761690999999999</v>
      </c>
      <c r="H6333">
        <v>1700</v>
      </c>
      <c r="I6333">
        <v>-132</v>
      </c>
      <c r="J6333">
        <v>-107</v>
      </c>
      <c r="K6333">
        <v>64</v>
      </c>
      <c r="L6333">
        <v>1200</v>
      </c>
      <c r="M6333" t="str">
        <f t="shared" si="708"/>
        <v xml:space="preserve">N35DC   </v>
      </c>
      <c r="N6333">
        <v>1</v>
      </c>
      <c r="O6333">
        <v>1750</v>
      </c>
    </row>
    <row r="6334" spans="1:15" x14ac:dyDescent="0.25">
      <c r="A6334" t="str">
        <f>"10/21/2020 18:58:36.482"</f>
        <v>10/21/2020 18:58:36.482</v>
      </c>
      <c r="B6334" t="str">
        <f>"18:58:44.430"</f>
        <v>18:58:44.430</v>
      </c>
      <c r="C6334" t="str">
        <f>"18:58:44.030"</f>
        <v>18:58:44.030</v>
      </c>
      <c r="D6334" t="s">
        <v>2649</v>
      </c>
      <c r="E6334">
        <v>30.598855</v>
      </c>
      <c r="F6334" t="s">
        <v>2650</v>
      </c>
      <c r="G6334">
        <v>-89.761690999999999</v>
      </c>
      <c r="H6334">
        <v>1700</v>
      </c>
      <c r="I6334">
        <v>-132</v>
      </c>
      <c r="J6334">
        <v>-107</v>
      </c>
      <c r="K6334">
        <v>64</v>
      </c>
      <c r="L6334">
        <v>1200</v>
      </c>
      <c r="M6334" t="str">
        <f t="shared" si="708"/>
        <v xml:space="preserve">N35DC   </v>
      </c>
      <c r="N6334">
        <v>1</v>
      </c>
      <c r="O6334">
        <v>1750</v>
      </c>
    </row>
    <row r="6335" spans="1:15" x14ac:dyDescent="0.25">
      <c r="A6335" t="str">
        <f>"10/21/2020 18:58:36.482"</f>
        <v>10/21/2020 18:58:36.482</v>
      </c>
      <c r="B6335" t="str">
        <f>"18:58:44.430"</f>
        <v>18:58:44.430</v>
      </c>
      <c r="C6335" t="str">
        <f>"18:58:44.030"</f>
        <v>18:58:44.030</v>
      </c>
      <c r="D6335" t="s">
        <v>2649</v>
      </c>
      <c r="E6335">
        <v>30.598855</v>
      </c>
      <c r="F6335" t="s">
        <v>2650</v>
      </c>
      <c r="G6335">
        <v>-89.761690999999999</v>
      </c>
      <c r="H6335">
        <v>1700</v>
      </c>
      <c r="I6335">
        <v>-132</v>
      </c>
      <c r="J6335">
        <v>-107</v>
      </c>
      <c r="K6335">
        <v>64</v>
      </c>
      <c r="L6335">
        <v>1200</v>
      </c>
      <c r="M6335" t="str">
        <f t="shared" si="708"/>
        <v xml:space="preserve">N35DC   </v>
      </c>
      <c r="N6335">
        <v>1</v>
      </c>
      <c r="O6335">
        <v>1750</v>
      </c>
    </row>
    <row r="6336" spans="1:15" x14ac:dyDescent="0.25">
      <c r="A6336" t="str">
        <f>"10/21/2020 18:58:36.482"</f>
        <v>10/21/2020 18:58:36.482</v>
      </c>
      <c r="B6336" t="str">
        <f>"18:58:44.430"</f>
        <v>18:58:44.430</v>
      </c>
      <c r="C6336" t="str">
        <f>"18:58:44.030"</f>
        <v>18:58:44.030</v>
      </c>
      <c r="D6336" t="s">
        <v>2649</v>
      </c>
      <c r="E6336">
        <v>30.598855</v>
      </c>
      <c r="F6336" t="s">
        <v>2650</v>
      </c>
      <c r="G6336">
        <v>-89.761690999999999</v>
      </c>
      <c r="H6336">
        <v>1700</v>
      </c>
      <c r="I6336">
        <v>-132</v>
      </c>
      <c r="J6336">
        <v>-107</v>
      </c>
      <c r="K6336">
        <v>64</v>
      </c>
      <c r="L6336">
        <v>1200</v>
      </c>
      <c r="M6336" t="str">
        <f t="shared" si="708"/>
        <v xml:space="preserve">N35DC   </v>
      </c>
      <c r="N6336">
        <v>1</v>
      </c>
      <c r="O6336">
        <v>1750</v>
      </c>
    </row>
    <row r="6337" spans="1:15" x14ac:dyDescent="0.25">
      <c r="A6337" t="str">
        <f>"10/21/2020 18:58:36.482"</f>
        <v>10/21/2020 18:58:36.482</v>
      </c>
      <c r="B6337" t="str">
        <f>"18:58:44.430"</f>
        <v>18:58:44.430</v>
      </c>
      <c r="C6337" t="str">
        <f>"18:58:44.030"</f>
        <v>18:58:44.030</v>
      </c>
      <c r="D6337" t="s">
        <v>2649</v>
      </c>
      <c r="E6337">
        <v>30.598855</v>
      </c>
      <c r="F6337" t="s">
        <v>2650</v>
      </c>
      <c r="G6337">
        <v>-89.761690999999999</v>
      </c>
      <c r="H6337">
        <v>1700</v>
      </c>
      <c r="I6337">
        <v>-132</v>
      </c>
      <c r="J6337">
        <v>-107</v>
      </c>
      <c r="K6337">
        <v>64</v>
      </c>
      <c r="L6337">
        <v>1200</v>
      </c>
      <c r="M6337" t="str">
        <f t="shared" si="708"/>
        <v xml:space="preserve">N35DC   </v>
      </c>
      <c r="N6337">
        <v>1</v>
      </c>
      <c r="O6337">
        <v>1750</v>
      </c>
    </row>
    <row r="6338" spans="1:15" x14ac:dyDescent="0.25">
      <c r="A6338" t="str">
        <f>"10/21/2020 18:58:37.563"</f>
        <v>10/21/2020 18:58:37.563</v>
      </c>
      <c r="B6338" t="str">
        <f>"18:58:45.523"</f>
        <v>18:58:45.523</v>
      </c>
      <c r="C6338" t="str">
        <f>"18:58:45.123"</f>
        <v>18:58:45.123</v>
      </c>
      <c r="D6338" t="s">
        <v>2651</v>
      </c>
      <c r="E6338">
        <v>30.598319</v>
      </c>
      <c r="F6338" t="s">
        <v>2652</v>
      </c>
      <c r="G6338">
        <v>-89.762528000000003</v>
      </c>
      <c r="H6338">
        <v>1700</v>
      </c>
      <c r="I6338">
        <v>-132</v>
      </c>
      <c r="J6338">
        <v>-107</v>
      </c>
      <c r="K6338">
        <v>64</v>
      </c>
      <c r="L6338">
        <v>1200</v>
      </c>
      <c r="M6338" t="str">
        <f t="shared" si="708"/>
        <v xml:space="preserve">N35DC   </v>
      </c>
      <c r="N6338">
        <v>1</v>
      </c>
      <c r="O6338">
        <v>1750</v>
      </c>
    </row>
    <row r="6339" spans="1:15" x14ac:dyDescent="0.25">
      <c r="A6339" t="str">
        <f>"10/21/2020 18:58:37.563"</f>
        <v>10/21/2020 18:58:37.563</v>
      </c>
      <c r="B6339" t="str">
        <f>"18:58:45.523"</f>
        <v>18:58:45.523</v>
      </c>
      <c r="C6339" t="str">
        <f>"18:58:45.123"</f>
        <v>18:58:45.123</v>
      </c>
      <c r="D6339" t="s">
        <v>2651</v>
      </c>
      <c r="E6339">
        <v>30.598319</v>
      </c>
      <c r="F6339" t="s">
        <v>2652</v>
      </c>
      <c r="G6339">
        <v>-89.762528000000003</v>
      </c>
      <c r="H6339">
        <v>1700</v>
      </c>
      <c r="I6339">
        <v>-132</v>
      </c>
      <c r="J6339">
        <v>-107</v>
      </c>
      <c r="K6339">
        <v>64</v>
      </c>
      <c r="L6339">
        <v>1200</v>
      </c>
      <c r="M6339" t="str">
        <f t="shared" si="708"/>
        <v xml:space="preserve">N35DC   </v>
      </c>
      <c r="N6339">
        <v>1</v>
      </c>
      <c r="O6339">
        <v>1750</v>
      </c>
    </row>
    <row r="6340" spans="1:15" x14ac:dyDescent="0.25">
      <c r="A6340" t="str">
        <f>"10/21/2020 18:58:37.563"</f>
        <v>10/21/2020 18:58:37.563</v>
      </c>
      <c r="B6340" t="str">
        <f>"18:58:45.523"</f>
        <v>18:58:45.523</v>
      </c>
      <c r="C6340" t="str">
        <f>"18:58:45.123"</f>
        <v>18:58:45.123</v>
      </c>
      <c r="D6340" t="s">
        <v>2651</v>
      </c>
      <c r="E6340">
        <v>30.598319</v>
      </c>
      <c r="F6340" t="s">
        <v>2652</v>
      </c>
      <c r="G6340">
        <v>-89.762528000000003</v>
      </c>
      <c r="H6340">
        <v>1700</v>
      </c>
      <c r="I6340">
        <v>-132</v>
      </c>
      <c r="J6340">
        <v>-107</v>
      </c>
      <c r="K6340">
        <v>64</v>
      </c>
      <c r="L6340">
        <v>1200</v>
      </c>
      <c r="M6340" t="str">
        <f t="shared" si="708"/>
        <v xml:space="preserve">N35DC   </v>
      </c>
      <c r="N6340">
        <v>1</v>
      </c>
      <c r="O6340">
        <v>1750</v>
      </c>
    </row>
    <row r="6341" spans="1:15" x14ac:dyDescent="0.25">
      <c r="A6341" t="str">
        <f>"10/21/2020 18:58:37.563"</f>
        <v>10/21/2020 18:58:37.563</v>
      </c>
      <c r="B6341" t="str">
        <f>"18:58:45.523"</f>
        <v>18:58:45.523</v>
      </c>
      <c r="C6341" t="str">
        <f>"18:58:45.123"</f>
        <v>18:58:45.123</v>
      </c>
      <c r="D6341" t="s">
        <v>2651</v>
      </c>
      <c r="E6341">
        <v>30.598319</v>
      </c>
      <c r="F6341" t="s">
        <v>2652</v>
      </c>
      <c r="G6341">
        <v>-89.762528000000003</v>
      </c>
      <c r="H6341">
        <v>1700</v>
      </c>
      <c r="I6341">
        <v>-132</v>
      </c>
      <c r="J6341">
        <v>-107</v>
      </c>
      <c r="K6341">
        <v>64</v>
      </c>
      <c r="L6341">
        <v>1200</v>
      </c>
      <c r="M6341" t="str">
        <f t="shared" si="708"/>
        <v xml:space="preserve">N35DC   </v>
      </c>
      <c r="N6341">
        <v>1</v>
      </c>
      <c r="O6341">
        <v>1750</v>
      </c>
    </row>
    <row r="6342" spans="1:15" x14ac:dyDescent="0.25">
      <c r="A6342" t="str">
        <f>"10/21/2020 18:58:37.563"</f>
        <v>10/21/2020 18:58:37.563</v>
      </c>
      <c r="B6342" t="str">
        <f>"18:58:45.523"</f>
        <v>18:58:45.523</v>
      </c>
      <c r="C6342" t="str">
        <f>"18:58:45.123"</f>
        <v>18:58:45.123</v>
      </c>
      <c r="D6342" t="s">
        <v>2651</v>
      </c>
      <c r="E6342">
        <v>30.598319</v>
      </c>
      <c r="F6342" t="s">
        <v>2652</v>
      </c>
      <c r="G6342">
        <v>-89.762528000000003</v>
      </c>
      <c r="H6342">
        <v>1700</v>
      </c>
      <c r="I6342">
        <v>-132</v>
      </c>
      <c r="J6342">
        <v>-107</v>
      </c>
      <c r="K6342">
        <v>64</v>
      </c>
      <c r="L6342">
        <v>1200</v>
      </c>
      <c r="M6342" t="str">
        <f t="shared" si="708"/>
        <v xml:space="preserve">N35DC   </v>
      </c>
      <c r="N6342">
        <v>1</v>
      </c>
      <c r="O6342">
        <v>1750</v>
      </c>
    </row>
    <row r="6343" spans="1:15" x14ac:dyDescent="0.25">
      <c r="A6343" t="str">
        <f>"10/21/2020 18:58:40.459"</f>
        <v>10/21/2020 18:58:40.459</v>
      </c>
      <c r="B6343" t="str">
        <f t="shared" ref="B6343:C6345" si="711">"18:58:48.391"</f>
        <v>18:58:48.391</v>
      </c>
      <c r="C6343" t="str">
        <f t="shared" si="711"/>
        <v>18:58:48.391</v>
      </c>
      <c r="D6343" t="s">
        <v>2653</v>
      </c>
      <c r="E6343">
        <v>30.596881</v>
      </c>
      <c r="F6343" t="s">
        <v>2654</v>
      </c>
      <c r="G6343">
        <v>-89.764544999999998</v>
      </c>
      <c r="H6343">
        <v>1700</v>
      </c>
      <c r="I6343">
        <v>-132</v>
      </c>
      <c r="J6343">
        <v>-107</v>
      </c>
      <c r="K6343">
        <v>64</v>
      </c>
      <c r="L6343">
        <v>1200</v>
      </c>
      <c r="M6343" t="str">
        <f t="shared" ref="M6343:M6406" si="712">"N35DC   "</f>
        <v xml:space="preserve">N35DC   </v>
      </c>
      <c r="N6343">
        <v>1</v>
      </c>
      <c r="O6343">
        <v>1750</v>
      </c>
    </row>
    <row r="6344" spans="1:15" x14ac:dyDescent="0.25">
      <c r="A6344" t="str">
        <f>"10/21/2020 18:58:40.459"</f>
        <v>10/21/2020 18:58:40.459</v>
      </c>
      <c r="B6344" t="str">
        <f t="shared" si="711"/>
        <v>18:58:48.391</v>
      </c>
      <c r="C6344" t="str">
        <f t="shared" si="711"/>
        <v>18:58:48.391</v>
      </c>
      <c r="D6344" t="s">
        <v>2653</v>
      </c>
      <c r="E6344">
        <v>30.596881</v>
      </c>
      <c r="F6344" t="s">
        <v>2654</v>
      </c>
      <c r="G6344">
        <v>-89.764544999999998</v>
      </c>
      <c r="H6344">
        <v>1700</v>
      </c>
      <c r="I6344">
        <v>-132</v>
      </c>
      <c r="J6344">
        <v>-107</v>
      </c>
      <c r="K6344">
        <v>64</v>
      </c>
      <c r="L6344">
        <v>1200</v>
      </c>
      <c r="M6344" t="str">
        <f t="shared" si="712"/>
        <v xml:space="preserve">N35DC   </v>
      </c>
      <c r="N6344">
        <v>1</v>
      </c>
      <c r="O6344">
        <v>1750</v>
      </c>
    </row>
    <row r="6345" spans="1:15" x14ac:dyDescent="0.25">
      <c r="A6345" t="str">
        <f>"10/21/2020 18:58:40.459"</f>
        <v>10/21/2020 18:58:40.459</v>
      </c>
      <c r="B6345" t="str">
        <f t="shared" si="711"/>
        <v>18:58:48.391</v>
      </c>
      <c r="C6345" t="str">
        <f t="shared" si="711"/>
        <v>18:58:48.391</v>
      </c>
      <c r="D6345" t="s">
        <v>2653</v>
      </c>
      <c r="E6345">
        <v>30.596881</v>
      </c>
      <c r="F6345" t="s">
        <v>2654</v>
      </c>
      <c r="G6345">
        <v>-89.764544999999998</v>
      </c>
      <c r="H6345">
        <v>1700</v>
      </c>
      <c r="I6345">
        <v>-132</v>
      </c>
      <c r="J6345">
        <v>-107</v>
      </c>
      <c r="K6345">
        <v>64</v>
      </c>
      <c r="L6345">
        <v>1200</v>
      </c>
      <c r="M6345" t="str">
        <f t="shared" si="712"/>
        <v xml:space="preserve">N35DC   </v>
      </c>
      <c r="N6345">
        <v>1</v>
      </c>
      <c r="O6345">
        <v>1750</v>
      </c>
    </row>
    <row r="6346" spans="1:15" x14ac:dyDescent="0.25">
      <c r="A6346" t="str">
        <f>"10/21/2020 18:58:41.401"</f>
        <v>10/21/2020 18:58:41.401</v>
      </c>
      <c r="B6346" t="str">
        <f t="shared" ref="B6346:C6350" si="713">"18:58:49.336"</f>
        <v>18:58:49.336</v>
      </c>
      <c r="C6346" t="str">
        <f t="shared" si="713"/>
        <v>18:58:49.336</v>
      </c>
      <c r="D6346" t="s">
        <v>2655</v>
      </c>
      <c r="E6346">
        <v>30.596430000000002</v>
      </c>
      <c r="F6346" t="s">
        <v>2656</v>
      </c>
      <c r="G6346">
        <v>-89.765189000000007</v>
      </c>
      <c r="H6346">
        <v>1700</v>
      </c>
      <c r="I6346">
        <v>-132</v>
      </c>
      <c r="J6346">
        <v>-107</v>
      </c>
      <c r="K6346">
        <v>64</v>
      </c>
      <c r="L6346">
        <v>1200</v>
      </c>
      <c r="M6346" t="str">
        <f t="shared" si="712"/>
        <v xml:space="preserve">N35DC   </v>
      </c>
      <c r="N6346">
        <v>1</v>
      </c>
      <c r="O6346">
        <v>1750</v>
      </c>
    </row>
    <row r="6347" spans="1:15" x14ac:dyDescent="0.25">
      <c r="A6347" t="str">
        <f>"10/21/2020 18:58:41.401"</f>
        <v>10/21/2020 18:58:41.401</v>
      </c>
      <c r="B6347" t="str">
        <f t="shared" si="713"/>
        <v>18:58:49.336</v>
      </c>
      <c r="C6347" t="str">
        <f t="shared" si="713"/>
        <v>18:58:49.336</v>
      </c>
      <c r="D6347" t="s">
        <v>2655</v>
      </c>
      <c r="E6347">
        <v>30.596430000000002</v>
      </c>
      <c r="F6347" t="s">
        <v>2656</v>
      </c>
      <c r="G6347">
        <v>-89.765189000000007</v>
      </c>
      <c r="H6347">
        <v>1700</v>
      </c>
      <c r="I6347">
        <v>-132</v>
      </c>
      <c r="J6347">
        <v>-107</v>
      </c>
      <c r="K6347">
        <v>64</v>
      </c>
      <c r="L6347">
        <v>1200</v>
      </c>
      <c r="M6347" t="str">
        <f t="shared" si="712"/>
        <v xml:space="preserve">N35DC   </v>
      </c>
      <c r="N6347">
        <v>1</v>
      </c>
      <c r="O6347">
        <v>1750</v>
      </c>
    </row>
    <row r="6348" spans="1:15" x14ac:dyDescent="0.25">
      <c r="A6348" t="str">
        <f>"10/21/2020 18:58:41.401"</f>
        <v>10/21/2020 18:58:41.401</v>
      </c>
      <c r="B6348" t="str">
        <f t="shared" si="713"/>
        <v>18:58:49.336</v>
      </c>
      <c r="C6348" t="str">
        <f t="shared" si="713"/>
        <v>18:58:49.336</v>
      </c>
      <c r="D6348" t="s">
        <v>2655</v>
      </c>
      <c r="E6348">
        <v>30.596430000000002</v>
      </c>
      <c r="F6348" t="s">
        <v>2656</v>
      </c>
      <c r="G6348">
        <v>-89.765189000000007</v>
      </c>
      <c r="H6348">
        <v>1700</v>
      </c>
      <c r="I6348">
        <v>-132</v>
      </c>
      <c r="J6348">
        <v>-107</v>
      </c>
      <c r="K6348">
        <v>64</v>
      </c>
      <c r="L6348">
        <v>1200</v>
      </c>
      <c r="M6348" t="str">
        <f t="shared" si="712"/>
        <v xml:space="preserve">N35DC   </v>
      </c>
      <c r="N6348">
        <v>1</v>
      </c>
      <c r="O6348">
        <v>1750</v>
      </c>
    </row>
    <row r="6349" spans="1:15" x14ac:dyDescent="0.25">
      <c r="A6349" t="str">
        <f>"10/21/2020 18:58:41.401"</f>
        <v>10/21/2020 18:58:41.401</v>
      </c>
      <c r="B6349" t="str">
        <f t="shared" si="713"/>
        <v>18:58:49.336</v>
      </c>
      <c r="C6349" t="str">
        <f t="shared" si="713"/>
        <v>18:58:49.336</v>
      </c>
      <c r="D6349" t="s">
        <v>2655</v>
      </c>
      <c r="E6349">
        <v>30.596430000000002</v>
      </c>
      <c r="F6349" t="s">
        <v>2656</v>
      </c>
      <c r="G6349">
        <v>-89.765189000000007</v>
      </c>
      <c r="H6349">
        <v>1700</v>
      </c>
      <c r="I6349">
        <v>-132</v>
      </c>
      <c r="J6349">
        <v>-107</v>
      </c>
      <c r="K6349">
        <v>64</v>
      </c>
      <c r="L6349">
        <v>1200</v>
      </c>
      <c r="M6349" t="str">
        <f t="shared" si="712"/>
        <v xml:space="preserve">N35DC   </v>
      </c>
      <c r="N6349">
        <v>1</v>
      </c>
      <c r="O6349">
        <v>1750</v>
      </c>
    </row>
    <row r="6350" spans="1:15" x14ac:dyDescent="0.25">
      <c r="A6350" t="str">
        <f>"10/21/2020 18:58:41.401"</f>
        <v>10/21/2020 18:58:41.401</v>
      </c>
      <c r="B6350" t="str">
        <f t="shared" si="713"/>
        <v>18:58:49.336</v>
      </c>
      <c r="C6350" t="str">
        <f t="shared" si="713"/>
        <v>18:58:49.336</v>
      </c>
      <c r="D6350" t="s">
        <v>2655</v>
      </c>
      <c r="E6350">
        <v>30.596430000000002</v>
      </c>
      <c r="F6350" t="s">
        <v>2656</v>
      </c>
      <c r="G6350">
        <v>-89.765189000000007</v>
      </c>
      <c r="H6350">
        <v>1700</v>
      </c>
      <c r="I6350">
        <v>-132</v>
      </c>
      <c r="J6350">
        <v>-107</v>
      </c>
      <c r="K6350">
        <v>64</v>
      </c>
      <c r="L6350">
        <v>1200</v>
      </c>
      <c r="M6350" t="str">
        <f t="shared" si="712"/>
        <v xml:space="preserve">N35DC   </v>
      </c>
      <c r="N6350">
        <v>1</v>
      </c>
      <c r="O6350">
        <v>1750</v>
      </c>
    </row>
    <row r="6351" spans="1:15" x14ac:dyDescent="0.25">
      <c r="A6351" t="str">
        <f>"10/21/2020 18:58:43.626"</f>
        <v>10/21/2020 18:58:43.626</v>
      </c>
      <c r="B6351" t="str">
        <f>"18:58:51.570"</f>
        <v>18:58:51.570</v>
      </c>
      <c r="C6351" t="str">
        <f>"18:58:51.270"</f>
        <v>18:58:51.270</v>
      </c>
      <c r="D6351" t="s">
        <v>2657</v>
      </c>
      <c r="E6351">
        <v>30.595293000000002</v>
      </c>
      <c r="F6351" t="s">
        <v>2658</v>
      </c>
      <c r="G6351">
        <v>-89.766755000000003</v>
      </c>
      <c r="H6351">
        <v>1700</v>
      </c>
      <c r="I6351">
        <v>-131</v>
      </c>
      <c r="J6351">
        <v>-108</v>
      </c>
      <c r="K6351">
        <v>128</v>
      </c>
      <c r="L6351">
        <v>1200</v>
      </c>
      <c r="M6351" t="str">
        <f t="shared" si="712"/>
        <v xml:space="preserve">N35DC   </v>
      </c>
      <c r="N6351">
        <v>1</v>
      </c>
      <c r="O6351">
        <v>1750</v>
      </c>
    </row>
    <row r="6352" spans="1:15" x14ac:dyDescent="0.25">
      <c r="A6352" t="str">
        <f>"10/21/2020 18:58:43.626"</f>
        <v>10/21/2020 18:58:43.626</v>
      </c>
      <c r="B6352" t="str">
        <f>"18:58:51.570"</f>
        <v>18:58:51.570</v>
      </c>
      <c r="C6352" t="str">
        <f>"18:58:51.270"</f>
        <v>18:58:51.270</v>
      </c>
      <c r="D6352" t="s">
        <v>2657</v>
      </c>
      <c r="E6352">
        <v>30.595293000000002</v>
      </c>
      <c r="F6352" t="s">
        <v>2658</v>
      </c>
      <c r="G6352">
        <v>-89.766755000000003</v>
      </c>
      <c r="H6352">
        <v>1700</v>
      </c>
      <c r="I6352">
        <v>-131</v>
      </c>
      <c r="J6352">
        <v>-108</v>
      </c>
      <c r="K6352">
        <v>128</v>
      </c>
      <c r="L6352">
        <v>1200</v>
      </c>
      <c r="M6352" t="str">
        <f t="shared" si="712"/>
        <v xml:space="preserve">N35DC   </v>
      </c>
      <c r="N6352">
        <v>1</v>
      </c>
      <c r="O6352">
        <v>1750</v>
      </c>
    </row>
    <row r="6353" spans="1:15" x14ac:dyDescent="0.25">
      <c r="A6353" t="str">
        <f>"10/21/2020 18:58:43.626"</f>
        <v>10/21/2020 18:58:43.626</v>
      </c>
      <c r="B6353" t="str">
        <f>"18:58:51.570"</f>
        <v>18:58:51.570</v>
      </c>
      <c r="C6353" t="str">
        <f>"18:58:51.270"</f>
        <v>18:58:51.270</v>
      </c>
      <c r="D6353" t="s">
        <v>2657</v>
      </c>
      <c r="E6353">
        <v>30.595293000000002</v>
      </c>
      <c r="F6353" t="s">
        <v>2658</v>
      </c>
      <c r="G6353">
        <v>-89.766755000000003</v>
      </c>
      <c r="H6353">
        <v>1700</v>
      </c>
      <c r="I6353">
        <v>-131</v>
      </c>
      <c r="J6353">
        <v>-108</v>
      </c>
      <c r="K6353">
        <v>128</v>
      </c>
      <c r="L6353">
        <v>1200</v>
      </c>
      <c r="M6353" t="str">
        <f t="shared" si="712"/>
        <v xml:space="preserve">N35DC   </v>
      </c>
      <c r="N6353">
        <v>1</v>
      </c>
      <c r="O6353">
        <v>1750</v>
      </c>
    </row>
    <row r="6354" spans="1:15" x14ac:dyDescent="0.25">
      <c r="A6354" t="str">
        <f>"10/21/2020 18:58:43.626"</f>
        <v>10/21/2020 18:58:43.626</v>
      </c>
      <c r="B6354" t="str">
        <f>"18:58:51.570"</f>
        <v>18:58:51.570</v>
      </c>
      <c r="C6354" t="str">
        <f>"18:58:51.270"</f>
        <v>18:58:51.270</v>
      </c>
      <c r="D6354" t="s">
        <v>2657</v>
      </c>
      <c r="E6354">
        <v>30.595293000000002</v>
      </c>
      <c r="F6354" t="s">
        <v>2658</v>
      </c>
      <c r="G6354">
        <v>-89.766755000000003</v>
      </c>
      <c r="H6354">
        <v>1700</v>
      </c>
      <c r="I6354">
        <v>-131</v>
      </c>
      <c r="J6354">
        <v>-108</v>
      </c>
      <c r="K6354">
        <v>128</v>
      </c>
      <c r="L6354">
        <v>1200</v>
      </c>
      <c r="M6354" t="str">
        <f t="shared" si="712"/>
        <v xml:space="preserve">N35DC   </v>
      </c>
      <c r="N6354">
        <v>1</v>
      </c>
      <c r="O6354">
        <v>1750</v>
      </c>
    </row>
    <row r="6355" spans="1:15" x14ac:dyDescent="0.25">
      <c r="A6355" t="str">
        <f>"10/21/2020 18:58:43.626"</f>
        <v>10/21/2020 18:58:43.626</v>
      </c>
      <c r="B6355" t="str">
        <f>"18:58:51.570"</f>
        <v>18:58:51.570</v>
      </c>
      <c r="C6355" t="str">
        <f>"18:58:51.270"</f>
        <v>18:58:51.270</v>
      </c>
      <c r="D6355" t="s">
        <v>2657</v>
      </c>
      <c r="E6355">
        <v>30.595293000000002</v>
      </c>
      <c r="F6355" t="s">
        <v>2658</v>
      </c>
      <c r="G6355">
        <v>-89.766755000000003</v>
      </c>
      <c r="H6355">
        <v>1700</v>
      </c>
      <c r="I6355">
        <v>-131</v>
      </c>
      <c r="J6355">
        <v>-108</v>
      </c>
      <c r="K6355">
        <v>128</v>
      </c>
      <c r="L6355">
        <v>1200</v>
      </c>
      <c r="M6355" t="str">
        <f t="shared" si="712"/>
        <v xml:space="preserve">N35DC   </v>
      </c>
      <c r="N6355">
        <v>1</v>
      </c>
      <c r="O6355">
        <v>1750</v>
      </c>
    </row>
    <row r="6356" spans="1:15" x14ac:dyDescent="0.25">
      <c r="A6356" t="str">
        <f>"10/21/2020 18:58:44.488"</f>
        <v>10/21/2020 18:58:44.488</v>
      </c>
      <c r="B6356" t="str">
        <f>"18:58:52.438"</f>
        <v>18:58:52.438</v>
      </c>
      <c r="C6356" t="str">
        <f>"18:58:52.137"</f>
        <v>18:58:52.137</v>
      </c>
      <c r="D6356" t="s">
        <v>2659</v>
      </c>
      <c r="E6356">
        <v>30.594864000000001</v>
      </c>
      <c r="F6356" t="s">
        <v>2660</v>
      </c>
      <c r="G6356">
        <v>-89.767398999999997</v>
      </c>
      <c r="H6356">
        <v>1700</v>
      </c>
      <c r="I6356">
        <v>-131</v>
      </c>
      <c r="J6356">
        <v>-108</v>
      </c>
      <c r="K6356">
        <v>64</v>
      </c>
      <c r="L6356">
        <v>1200</v>
      </c>
      <c r="M6356" t="str">
        <f t="shared" si="712"/>
        <v xml:space="preserve">N35DC   </v>
      </c>
      <c r="N6356">
        <v>1</v>
      </c>
      <c r="O6356">
        <v>1750</v>
      </c>
    </row>
    <row r="6357" spans="1:15" x14ac:dyDescent="0.25">
      <c r="A6357" t="str">
        <f>"10/21/2020 18:58:44.488"</f>
        <v>10/21/2020 18:58:44.488</v>
      </c>
      <c r="B6357" t="str">
        <f>"18:58:52.438"</f>
        <v>18:58:52.438</v>
      </c>
      <c r="C6357" t="str">
        <f>"18:58:52.137"</f>
        <v>18:58:52.137</v>
      </c>
      <c r="D6357" t="s">
        <v>2659</v>
      </c>
      <c r="E6357">
        <v>30.594864000000001</v>
      </c>
      <c r="F6357" t="s">
        <v>2660</v>
      </c>
      <c r="G6357">
        <v>-89.767398999999997</v>
      </c>
      <c r="H6357">
        <v>1700</v>
      </c>
      <c r="I6357">
        <v>-131</v>
      </c>
      <c r="J6357">
        <v>-108</v>
      </c>
      <c r="K6357">
        <v>64</v>
      </c>
      <c r="L6357">
        <v>1200</v>
      </c>
      <c r="M6357" t="str">
        <f t="shared" si="712"/>
        <v xml:space="preserve">N35DC   </v>
      </c>
      <c r="N6357">
        <v>1</v>
      </c>
      <c r="O6357">
        <v>1750</v>
      </c>
    </row>
    <row r="6358" spans="1:15" x14ac:dyDescent="0.25">
      <c r="A6358" t="str">
        <f>"10/21/2020 18:58:44.488"</f>
        <v>10/21/2020 18:58:44.488</v>
      </c>
      <c r="B6358" t="str">
        <f>"18:58:52.438"</f>
        <v>18:58:52.438</v>
      </c>
      <c r="C6358" t="str">
        <f>"18:58:52.137"</f>
        <v>18:58:52.137</v>
      </c>
      <c r="D6358" t="s">
        <v>2659</v>
      </c>
      <c r="E6358">
        <v>30.594864000000001</v>
      </c>
      <c r="F6358" t="s">
        <v>2660</v>
      </c>
      <c r="G6358">
        <v>-89.767398999999997</v>
      </c>
      <c r="H6358">
        <v>1700</v>
      </c>
      <c r="I6358">
        <v>-131</v>
      </c>
      <c r="J6358">
        <v>-108</v>
      </c>
      <c r="K6358">
        <v>64</v>
      </c>
      <c r="L6358">
        <v>1200</v>
      </c>
      <c r="M6358" t="str">
        <f t="shared" si="712"/>
        <v xml:space="preserve">N35DC   </v>
      </c>
      <c r="N6358">
        <v>1</v>
      </c>
      <c r="O6358">
        <v>1750</v>
      </c>
    </row>
    <row r="6359" spans="1:15" x14ac:dyDescent="0.25">
      <c r="A6359" t="str">
        <f>"10/21/2020 18:58:44.488"</f>
        <v>10/21/2020 18:58:44.488</v>
      </c>
      <c r="B6359" t="str">
        <f>"18:58:52.438"</f>
        <v>18:58:52.438</v>
      </c>
      <c r="C6359" t="str">
        <f>"18:58:52.137"</f>
        <v>18:58:52.137</v>
      </c>
      <c r="D6359" t="s">
        <v>2659</v>
      </c>
      <c r="E6359">
        <v>30.594864000000001</v>
      </c>
      <c r="F6359" t="s">
        <v>2660</v>
      </c>
      <c r="G6359">
        <v>-89.767398999999997</v>
      </c>
      <c r="H6359">
        <v>1700</v>
      </c>
      <c r="I6359">
        <v>-131</v>
      </c>
      <c r="J6359">
        <v>-108</v>
      </c>
      <c r="K6359">
        <v>64</v>
      </c>
      <c r="L6359">
        <v>1200</v>
      </c>
      <c r="M6359" t="str">
        <f t="shared" si="712"/>
        <v xml:space="preserve">N35DC   </v>
      </c>
      <c r="N6359">
        <v>1</v>
      </c>
      <c r="O6359">
        <v>1750</v>
      </c>
    </row>
    <row r="6360" spans="1:15" x14ac:dyDescent="0.25">
      <c r="A6360" t="str">
        <f>"10/21/2020 18:58:44.488"</f>
        <v>10/21/2020 18:58:44.488</v>
      </c>
      <c r="B6360" t="str">
        <f>"18:58:52.438"</f>
        <v>18:58:52.438</v>
      </c>
      <c r="C6360" t="str">
        <f>"18:58:52.137"</f>
        <v>18:58:52.137</v>
      </c>
      <c r="D6360" t="s">
        <v>2659</v>
      </c>
      <c r="E6360">
        <v>30.594864000000001</v>
      </c>
      <c r="F6360" t="s">
        <v>2660</v>
      </c>
      <c r="G6360">
        <v>-89.767398999999997</v>
      </c>
      <c r="H6360">
        <v>1700</v>
      </c>
      <c r="I6360">
        <v>-131</v>
      </c>
      <c r="J6360">
        <v>-108</v>
      </c>
      <c r="K6360">
        <v>64</v>
      </c>
      <c r="L6360">
        <v>1200</v>
      </c>
      <c r="M6360" t="str">
        <f t="shared" si="712"/>
        <v xml:space="preserve">N35DC   </v>
      </c>
      <c r="N6360">
        <v>1</v>
      </c>
      <c r="O6360">
        <v>1750</v>
      </c>
    </row>
    <row r="6361" spans="1:15" x14ac:dyDescent="0.25">
      <c r="A6361" t="str">
        <f>"10/21/2020 18:58:47.591"</f>
        <v>10/21/2020 18:58:47.591</v>
      </c>
      <c r="B6361" t="str">
        <f>"18:58:55.547"</f>
        <v>18:58:55.547</v>
      </c>
      <c r="C6361" t="str">
        <f>"18:58:55.247"</f>
        <v>18:58:55.247</v>
      </c>
      <c r="D6361" t="s">
        <v>2661</v>
      </c>
      <c r="E6361">
        <v>30.593297</v>
      </c>
      <c r="F6361" t="s">
        <v>2662</v>
      </c>
      <c r="G6361">
        <v>-89.769502000000003</v>
      </c>
      <c r="H6361">
        <v>1700</v>
      </c>
      <c r="I6361">
        <v>-129</v>
      </c>
      <c r="J6361">
        <v>-109</v>
      </c>
      <c r="K6361">
        <v>0</v>
      </c>
      <c r="L6361">
        <v>1200</v>
      </c>
      <c r="M6361" t="str">
        <f t="shared" si="712"/>
        <v xml:space="preserve">N35DC   </v>
      </c>
      <c r="N6361">
        <v>1</v>
      </c>
      <c r="O6361">
        <v>1750</v>
      </c>
    </row>
    <row r="6362" spans="1:15" x14ac:dyDescent="0.25">
      <c r="A6362" t="str">
        <f>"10/21/2020 18:58:47.591"</f>
        <v>10/21/2020 18:58:47.591</v>
      </c>
      <c r="B6362" t="str">
        <f>"18:58:55.547"</f>
        <v>18:58:55.547</v>
      </c>
      <c r="C6362" t="str">
        <f>"18:58:55.247"</f>
        <v>18:58:55.247</v>
      </c>
      <c r="D6362" t="s">
        <v>2661</v>
      </c>
      <c r="E6362">
        <v>30.593297</v>
      </c>
      <c r="F6362" t="s">
        <v>2662</v>
      </c>
      <c r="G6362">
        <v>-89.769502000000003</v>
      </c>
      <c r="H6362">
        <v>1700</v>
      </c>
      <c r="I6362">
        <v>-129</v>
      </c>
      <c r="J6362">
        <v>-109</v>
      </c>
      <c r="K6362">
        <v>0</v>
      </c>
      <c r="L6362">
        <v>1200</v>
      </c>
      <c r="M6362" t="str">
        <f t="shared" si="712"/>
        <v xml:space="preserve">N35DC   </v>
      </c>
      <c r="N6362">
        <v>1</v>
      </c>
      <c r="O6362">
        <v>1750</v>
      </c>
    </row>
    <row r="6363" spans="1:15" x14ac:dyDescent="0.25">
      <c r="A6363" t="str">
        <f>"10/21/2020 18:58:47.591"</f>
        <v>10/21/2020 18:58:47.591</v>
      </c>
      <c r="B6363" t="str">
        <f>"18:58:55.547"</f>
        <v>18:58:55.547</v>
      </c>
      <c r="C6363" t="str">
        <f>"18:58:55.247"</f>
        <v>18:58:55.247</v>
      </c>
      <c r="D6363" t="s">
        <v>2661</v>
      </c>
      <c r="E6363">
        <v>30.593297</v>
      </c>
      <c r="F6363" t="s">
        <v>2662</v>
      </c>
      <c r="G6363">
        <v>-89.769502000000003</v>
      </c>
      <c r="H6363">
        <v>1700</v>
      </c>
      <c r="I6363">
        <v>-129</v>
      </c>
      <c r="J6363">
        <v>-109</v>
      </c>
      <c r="K6363">
        <v>0</v>
      </c>
      <c r="L6363">
        <v>1200</v>
      </c>
      <c r="M6363" t="str">
        <f t="shared" si="712"/>
        <v xml:space="preserve">N35DC   </v>
      </c>
      <c r="N6363">
        <v>1</v>
      </c>
      <c r="O6363">
        <v>1750</v>
      </c>
    </row>
    <row r="6364" spans="1:15" x14ac:dyDescent="0.25">
      <c r="A6364" t="str">
        <f>"10/21/2020 18:58:47.591"</f>
        <v>10/21/2020 18:58:47.591</v>
      </c>
      <c r="B6364" t="str">
        <f>"18:58:55.547"</f>
        <v>18:58:55.547</v>
      </c>
      <c r="C6364" t="str">
        <f>"18:58:55.247"</f>
        <v>18:58:55.247</v>
      </c>
      <c r="D6364" t="s">
        <v>2661</v>
      </c>
      <c r="E6364">
        <v>30.593297</v>
      </c>
      <c r="F6364" t="s">
        <v>2662</v>
      </c>
      <c r="G6364">
        <v>-89.769502000000003</v>
      </c>
      <c r="H6364">
        <v>1700</v>
      </c>
      <c r="I6364">
        <v>-129</v>
      </c>
      <c r="J6364">
        <v>-109</v>
      </c>
      <c r="K6364">
        <v>0</v>
      </c>
      <c r="L6364">
        <v>1200</v>
      </c>
      <c r="M6364" t="str">
        <f t="shared" si="712"/>
        <v xml:space="preserve">N35DC   </v>
      </c>
      <c r="N6364">
        <v>1</v>
      </c>
      <c r="O6364">
        <v>1750</v>
      </c>
    </row>
    <row r="6365" spans="1:15" x14ac:dyDescent="0.25">
      <c r="A6365" t="str">
        <f>"10/21/2020 18:58:47.591"</f>
        <v>10/21/2020 18:58:47.591</v>
      </c>
      <c r="B6365" t="str">
        <f>"18:58:55.547"</f>
        <v>18:58:55.547</v>
      </c>
      <c r="C6365" t="str">
        <f>"18:58:55.247"</f>
        <v>18:58:55.247</v>
      </c>
      <c r="D6365" t="s">
        <v>2661</v>
      </c>
      <c r="E6365">
        <v>30.593297</v>
      </c>
      <c r="F6365" t="s">
        <v>2662</v>
      </c>
      <c r="G6365">
        <v>-89.769502000000003</v>
      </c>
      <c r="H6365">
        <v>1700</v>
      </c>
      <c r="I6365">
        <v>-129</v>
      </c>
      <c r="J6365">
        <v>-109</v>
      </c>
      <c r="K6365">
        <v>0</v>
      </c>
      <c r="L6365">
        <v>1200</v>
      </c>
      <c r="M6365" t="str">
        <f t="shared" si="712"/>
        <v xml:space="preserve">N35DC   </v>
      </c>
      <c r="N6365">
        <v>1</v>
      </c>
      <c r="O6365">
        <v>1750</v>
      </c>
    </row>
    <row r="6366" spans="1:15" x14ac:dyDescent="0.25">
      <c r="A6366" t="str">
        <f>"10/21/2020 18:58:48.603"</f>
        <v>10/21/2020 18:58:48.603</v>
      </c>
      <c r="B6366" t="str">
        <f>"18:58:56.563"</f>
        <v>18:58:56.563</v>
      </c>
      <c r="C6366" t="str">
        <f>"18:58:56.363"</f>
        <v>18:58:56.363</v>
      </c>
      <c r="D6366" t="s">
        <v>2663</v>
      </c>
      <c r="E6366">
        <v>30.592760999999999</v>
      </c>
      <c r="F6366" t="s">
        <v>2664</v>
      </c>
      <c r="G6366">
        <v>-89.770252999999997</v>
      </c>
      <c r="H6366">
        <v>1700</v>
      </c>
      <c r="I6366">
        <v>-129</v>
      </c>
      <c r="J6366">
        <v>-109</v>
      </c>
      <c r="K6366">
        <v>0</v>
      </c>
      <c r="L6366">
        <v>1200</v>
      </c>
      <c r="M6366" t="str">
        <f t="shared" si="712"/>
        <v xml:space="preserve">N35DC   </v>
      </c>
      <c r="N6366">
        <v>1</v>
      </c>
      <c r="O6366">
        <v>1750</v>
      </c>
    </row>
    <row r="6367" spans="1:15" x14ac:dyDescent="0.25">
      <c r="A6367" t="str">
        <f>"10/21/2020 18:58:48.603"</f>
        <v>10/21/2020 18:58:48.603</v>
      </c>
      <c r="B6367" t="str">
        <f>"18:58:56.563"</f>
        <v>18:58:56.563</v>
      </c>
      <c r="C6367" t="str">
        <f>"18:58:56.363"</f>
        <v>18:58:56.363</v>
      </c>
      <c r="D6367" t="s">
        <v>2663</v>
      </c>
      <c r="E6367">
        <v>30.592760999999999</v>
      </c>
      <c r="F6367" t="s">
        <v>2664</v>
      </c>
      <c r="G6367">
        <v>-89.770252999999997</v>
      </c>
      <c r="H6367">
        <v>1700</v>
      </c>
      <c r="I6367">
        <v>-129</v>
      </c>
      <c r="J6367">
        <v>-109</v>
      </c>
      <c r="K6367">
        <v>0</v>
      </c>
      <c r="L6367">
        <v>1200</v>
      </c>
      <c r="M6367" t="str">
        <f t="shared" si="712"/>
        <v xml:space="preserve">N35DC   </v>
      </c>
      <c r="N6367">
        <v>1</v>
      </c>
      <c r="O6367">
        <v>1750</v>
      </c>
    </row>
    <row r="6368" spans="1:15" x14ac:dyDescent="0.25">
      <c r="A6368" t="str">
        <f>"10/21/2020 18:58:48.603"</f>
        <v>10/21/2020 18:58:48.603</v>
      </c>
      <c r="B6368" t="str">
        <f>"18:58:56.563"</f>
        <v>18:58:56.563</v>
      </c>
      <c r="C6368" t="str">
        <f>"18:58:56.363"</f>
        <v>18:58:56.363</v>
      </c>
      <c r="D6368" t="s">
        <v>2663</v>
      </c>
      <c r="E6368">
        <v>30.592760999999999</v>
      </c>
      <c r="F6368" t="s">
        <v>2664</v>
      </c>
      <c r="G6368">
        <v>-89.770252999999997</v>
      </c>
      <c r="H6368">
        <v>1700</v>
      </c>
      <c r="I6368">
        <v>-129</v>
      </c>
      <c r="J6368">
        <v>-109</v>
      </c>
      <c r="K6368">
        <v>0</v>
      </c>
      <c r="L6368">
        <v>1200</v>
      </c>
      <c r="M6368" t="str">
        <f t="shared" si="712"/>
        <v xml:space="preserve">N35DC   </v>
      </c>
      <c r="N6368">
        <v>1</v>
      </c>
      <c r="O6368">
        <v>1750</v>
      </c>
    </row>
    <row r="6369" spans="1:15" x14ac:dyDescent="0.25">
      <c r="A6369" t="str">
        <f>"10/21/2020 18:58:48.603"</f>
        <v>10/21/2020 18:58:48.603</v>
      </c>
      <c r="B6369" t="str">
        <f>"18:58:56.563"</f>
        <v>18:58:56.563</v>
      </c>
      <c r="C6369" t="str">
        <f>"18:58:56.363"</f>
        <v>18:58:56.363</v>
      </c>
      <c r="D6369" t="s">
        <v>2663</v>
      </c>
      <c r="E6369">
        <v>30.592760999999999</v>
      </c>
      <c r="F6369" t="s">
        <v>2664</v>
      </c>
      <c r="G6369">
        <v>-89.770252999999997</v>
      </c>
      <c r="H6369">
        <v>1700</v>
      </c>
      <c r="I6369">
        <v>-129</v>
      </c>
      <c r="J6369">
        <v>-109</v>
      </c>
      <c r="K6369">
        <v>0</v>
      </c>
      <c r="L6369">
        <v>1200</v>
      </c>
      <c r="M6369" t="str">
        <f t="shared" si="712"/>
        <v xml:space="preserve">N35DC   </v>
      </c>
      <c r="N6369">
        <v>1</v>
      </c>
      <c r="O6369">
        <v>1750</v>
      </c>
    </row>
    <row r="6370" spans="1:15" x14ac:dyDescent="0.25">
      <c r="A6370" t="str">
        <f>"10/21/2020 18:58:48.603"</f>
        <v>10/21/2020 18:58:48.603</v>
      </c>
      <c r="B6370" t="str">
        <f>"18:58:56.563"</f>
        <v>18:58:56.563</v>
      </c>
      <c r="C6370" t="str">
        <f>"18:58:56.363"</f>
        <v>18:58:56.363</v>
      </c>
      <c r="D6370" t="s">
        <v>2663</v>
      </c>
      <c r="E6370">
        <v>30.592760999999999</v>
      </c>
      <c r="F6370" t="s">
        <v>2664</v>
      </c>
      <c r="G6370">
        <v>-89.770252999999997</v>
      </c>
      <c r="H6370">
        <v>1700</v>
      </c>
      <c r="I6370">
        <v>-129</v>
      </c>
      <c r="J6370">
        <v>-109</v>
      </c>
      <c r="K6370">
        <v>0</v>
      </c>
      <c r="L6370">
        <v>1200</v>
      </c>
      <c r="M6370" t="str">
        <f t="shared" si="712"/>
        <v xml:space="preserve">N35DC   </v>
      </c>
      <c r="N6370">
        <v>1</v>
      </c>
      <c r="O6370">
        <v>1750</v>
      </c>
    </row>
    <row r="6371" spans="1:15" x14ac:dyDescent="0.25">
      <c r="A6371" t="str">
        <f>"10/21/2020 18:58:49.613"</f>
        <v>10/21/2020 18:58:49.613</v>
      </c>
      <c r="B6371" t="str">
        <f>"18:58:57.555"</f>
        <v>18:58:57.555</v>
      </c>
      <c r="C6371" t="str">
        <f>"18:58:56.755"</f>
        <v>18:58:56.755</v>
      </c>
      <c r="D6371" t="s">
        <v>2665</v>
      </c>
      <c r="E6371">
        <v>30.592268000000001</v>
      </c>
      <c r="F6371" t="s">
        <v>2666</v>
      </c>
      <c r="G6371">
        <v>-89.770938999999998</v>
      </c>
      <c r="H6371">
        <v>1700</v>
      </c>
      <c r="I6371">
        <v>-129</v>
      </c>
      <c r="J6371">
        <v>-109</v>
      </c>
      <c r="K6371">
        <v>-64</v>
      </c>
      <c r="L6371">
        <v>1200</v>
      </c>
      <c r="M6371" t="str">
        <f t="shared" si="712"/>
        <v xml:space="preserve">N35DC   </v>
      </c>
      <c r="N6371">
        <v>1</v>
      </c>
      <c r="O6371">
        <v>1750</v>
      </c>
    </row>
    <row r="6372" spans="1:15" x14ac:dyDescent="0.25">
      <c r="A6372" t="str">
        <f>"10/21/2020 18:58:49.613"</f>
        <v>10/21/2020 18:58:49.613</v>
      </c>
      <c r="B6372" t="str">
        <f>"18:58:57.555"</f>
        <v>18:58:57.555</v>
      </c>
      <c r="C6372" t="str">
        <f>"18:58:57.255"</f>
        <v>18:58:57.255</v>
      </c>
      <c r="D6372" t="s">
        <v>2665</v>
      </c>
      <c r="E6372">
        <v>30.592268000000001</v>
      </c>
      <c r="F6372" t="s">
        <v>2666</v>
      </c>
      <c r="G6372">
        <v>-89.770938999999998</v>
      </c>
      <c r="H6372">
        <v>1700</v>
      </c>
      <c r="I6372">
        <v>-129</v>
      </c>
      <c r="J6372">
        <v>-109</v>
      </c>
      <c r="K6372">
        <v>-64</v>
      </c>
      <c r="L6372">
        <v>1200</v>
      </c>
      <c r="M6372" t="str">
        <f t="shared" si="712"/>
        <v xml:space="preserve">N35DC   </v>
      </c>
      <c r="N6372">
        <v>1</v>
      </c>
      <c r="O6372">
        <v>1750</v>
      </c>
    </row>
    <row r="6373" spans="1:15" x14ac:dyDescent="0.25">
      <c r="A6373" t="str">
        <f>"10/21/2020 18:58:49.613"</f>
        <v>10/21/2020 18:58:49.613</v>
      </c>
      <c r="B6373" t="str">
        <f>"18:58:57.555"</f>
        <v>18:58:57.555</v>
      </c>
      <c r="C6373" t="str">
        <f>"18:58:57.255"</f>
        <v>18:58:57.255</v>
      </c>
      <c r="D6373" t="s">
        <v>2665</v>
      </c>
      <c r="E6373">
        <v>30.592268000000001</v>
      </c>
      <c r="F6373" t="s">
        <v>2666</v>
      </c>
      <c r="G6373">
        <v>-89.770938999999998</v>
      </c>
      <c r="H6373">
        <v>1700</v>
      </c>
      <c r="I6373">
        <v>-129</v>
      </c>
      <c r="J6373">
        <v>-109</v>
      </c>
      <c r="K6373">
        <v>-64</v>
      </c>
      <c r="L6373">
        <v>1200</v>
      </c>
      <c r="M6373" t="str">
        <f t="shared" si="712"/>
        <v xml:space="preserve">N35DC   </v>
      </c>
      <c r="N6373">
        <v>1</v>
      </c>
      <c r="O6373">
        <v>1750</v>
      </c>
    </row>
    <row r="6374" spans="1:15" x14ac:dyDescent="0.25">
      <c r="A6374" t="str">
        <f>"10/21/2020 18:58:49.613"</f>
        <v>10/21/2020 18:58:49.613</v>
      </c>
      <c r="B6374" t="str">
        <f>"18:58:57.555"</f>
        <v>18:58:57.555</v>
      </c>
      <c r="C6374" t="str">
        <f>"18:58:57.255"</f>
        <v>18:58:57.255</v>
      </c>
      <c r="D6374" t="s">
        <v>2665</v>
      </c>
      <c r="E6374">
        <v>30.592268000000001</v>
      </c>
      <c r="F6374" t="s">
        <v>2666</v>
      </c>
      <c r="G6374">
        <v>-89.770938999999998</v>
      </c>
      <c r="H6374">
        <v>1700</v>
      </c>
      <c r="I6374">
        <v>-129</v>
      </c>
      <c r="J6374">
        <v>-109</v>
      </c>
      <c r="K6374">
        <v>-64</v>
      </c>
      <c r="L6374">
        <v>1200</v>
      </c>
      <c r="M6374" t="str">
        <f t="shared" si="712"/>
        <v xml:space="preserve">N35DC   </v>
      </c>
      <c r="N6374">
        <v>1</v>
      </c>
      <c r="O6374">
        <v>1750</v>
      </c>
    </row>
    <row r="6375" spans="1:15" x14ac:dyDescent="0.25">
      <c r="A6375" t="str">
        <f>"10/21/2020 18:58:49.613"</f>
        <v>10/21/2020 18:58:49.613</v>
      </c>
      <c r="B6375" t="str">
        <f>"18:58:57.555"</f>
        <v>18:58:57.555</v>
      </c>
      <c r="C6375" t="str">
        <f>"18:58:57.255"</f>
        <v>18:58:57.255</v>
      </c>
      <c r="D6375" t="s">
        <v>2665</v>
      </c>
      <c r="E6375">
        <v>30.592268000000001</v>
      </c>
      <c r="F6375" t="s">
        <v>2666</v>
      </c>
      <c r="G6375">
        <v>-89.770938999999998</v>
      </c>
      <c r="H6375">
        <v>1700</v>
      </c>
      <c r="I6375">
        <v>-129</v>
      </c>
      <c r="J6375">
        <v>-109</v>
      </c>
      <c r="K6375">
        <v>-64</v>
      </c>
      <c r="L6375">
        <v>1200</v>
      </c>
      <c r="M6375" t="str">
        <f t="shared" si="712"/>
        <v xml:space="preserve">N35DC   </v>
      </c>
      <c r="N6375">
        <v>1</v>
      </c>
      <c r="O6375">
        <v>1750</v>
      </c>
    </row>
    <row r="6376" spans="1:15" x14ac:dyDescent="0.25">
      <c r="A6376" t="str">
        <f>"10/21/2020 18:58:52.654"</f>
        <v>10/21/2020 18:58:52.654</v>
      </c>
      <c r="B6376" t="str">
        <f t="shared" ref="B6376:C6380" si="714">"18:59:00.609"</f>
        <v>18:59:00.609</v>
      </c>
      <c r="C6376" t="str">
        <f t="shared" si="714"/>
        <v>18:59:00.609</v>
      </c>
      <c r="D6376" t="s">
        <v>2667</v>
      </c>
      <c r="E6376">
        <v>30.590723000000001</v>
      </c>
      <c r="F6376" t="s">
        <v>2668</v>
      </c>
      <c r="G6376">
        <v>-89.773021</v>
      </c>
      <c r="H6376">
        <v>1700</v>
      </c>
      <c r="I6376">
        <v>-128</v>
      </c>
      <c r="J6376">
        <v>-110</v>
      </c>
      <c r="K6376">
        <v>0</v>
      </c>
      <c r="L6376">
        <v>1200</v>
      </c>
      <c r="M6376" t="str">
        <f t="shared" si="712"/>
        <v xml:space="preserve">N35DC   </v>
      </c>
      <c r="N6376">
        <v>1</v>
      </c>
      <c r="O6376">
        <v>1750</v>
      </c>
    </row>
    <row r="6377" spans="1:15" x14ac:dyDescent="0.25">
      <c r="A6377" t="str">
        <f>"10/21/2020 18:58:52.654"</f>
        <v>10/21/2020 18:58:52.654</v>
      </c>
      <c r="B6377" t="str">
        <f t="shared" si="714"/>
        <v>18:59:00.609</v>
      </c>
      <c r="C6377" t="str">
        <f t="shared" si="714"/>
        <v>18:59:00.609</v>
      </c>
      <c r="D6377" t="s">
        <v>2667</v>
      </c>
      <c r="E6377">
        <v>30.590723000000001</v>
      </c>
      <c r="F6377" t="s">
        <v>2668</v>
      </c>
      <c r="G6377">
        <v>-89.773021</v>
      </c>
      <c r="H6377">
        <v>1700</v>
      </c>
      <c r="I6377">
        <v>-128</v>
      </c>
      <c r="J6377">
        <v>-110</v>
      </c>
      <c r="K6377">
        <v>0</v>
      </c>
      <c r="L6377">
        <v>1200</v>
      </c>
      <c r="M6377" t="str">
        <f t="shared" si="712"/>
        <v xml:space="preserve">N35DC   </v>
      </c>
      <c r="N6377">
        <v>1</v>
      </c>
      <c r="O6377">
        <v>1750</v>
      </c>
    </row>
    <row r="6378" spans="1:15" x14ac:dyDescent="0.25">
      <c r="A6378" t="str">
        <f>"10/21/2020 18:58:52.654"</f>
        <v>10/21/2020 18:58:52.654</v>
      </c>
      <c r="B6378" t="str">
        <f t="shared" si="714"/>
        <v>18:59:00.609</v>
      </c>
      <c r="C6378" t="str">
        <f t="shared" si="714"/>
        <v>18:59:00.609</v>
      </c>
      <c r="D6378" t="s">
        <v>2667</v>
      </c>
      <c r="E6378">
        <v>30.590723000000001</v>
      </c>
      <c r="F6378" t="s">
        <v>2668</v>
      </c>
      <c r="G6378">
        <v>-89.773021</v>
      </c>
      <c r="H6378">
        <v>1700</v>
      </c>
      <c r="I6378">
        <v>-128</v>
      </c>
      <c r="J6378">
        <v>-110</v>
      </c>
      <c r="K6378">
        <v>0</v>
      </c>
      <c r="L6378">
        <v>1200</v>
      </c>
      <c r="M6378" t="str">
        <f t="shared" si="712"/>
        <v xml:space="preserve">N35DC   </v>
      </c>
      <c r="N6378">
        <v>1</v>
      </c>
      <c r="O6378">
        <v>1750</v>
      </c>
    </row>
    <row r="6379" spans="1:15" x14ac:dyDescent="0.25">
      <c r="A6379" t="str">
        <f>"10/21/2020 18:58:52.654"</f>
        <v>10/21/2020 18:58:52.654</v>
      </c>
      <c r="B6379" t="str">
        <f t="shared" si="714"/>
        <v>18:59:00.609</v>
      </c>
      <c r="C6379" t="str">
        <f t="shared" si="714"/>
        <v>18:59:00.609</v>
      </c>
      <c r="D6379" t="s">
        <v>2667</v>
      </c>
      <c r="E6379">
        <v>30.590723000000001</v>
      </c>
      <c r="F6379" t="s">
        <v>2668</v>
      </c>
      <c r="G6379">
        <v>-89.773021</v>
      </c>
      <c r="H6379">
        <v>1700</v>
      </c>
      <c r="I6379">
        <v>-128</v>
      </c>
      <c r="J6379">
        <v>-110</v>
      </c>
      <c r="K6379">
        <v>0</v>
      </c>
      <c r="L6379">
        <v>1200</v>
      </c>
      <c r="M6379" t="str">
        <f t="shared" si="712"/>
        <v xml:space="preserve">N35DC   </v>
      </c>
      <c r="N6379">
        <v>1</v>
      </c>
      <c r="O6379">
        <v>1750</v>
      </c>
    </row>
    <row r="6380" spans="1:15" x14ac:dyDescent="0.25">
      <c r="A6380" t="str">
        <f>"10/21/2020 18:58:52.654"</f>
        <v>10/21/2020 18:58:52.654</v>
      </c>
      <c r="B6380" t="str">
        <f t="shared" si="714"/>
        <v>18:59:00.609</v>
      </c>
      <c r="C6380" t="str">
        <f t="shared" si="714"/>
        <v>18:59:00.609</v>
      </c>
      <c r="D6380" t="s">
        <v>2667</v>
      </c>
      <c r="E6380">
        <v>30.590723000000001</v>
      </c>
      <c r="F6380" t="s">
        <v>2668</v>
      </c>
      <c r="G6380">
        <v>-89.773021</v>
      </c>
      <c r="H6380">
        <v>1700</v>
      </c>
      <c r="I6380">
        <v>-128</v>
      </c>
      <c r="J6380">
        <v>-110</v>
      </c>
      <c r="K6380">
        <v>0</v>
      </c>
      <c r="L6380">
        <v>1200</v>
      </c>
      <c r="M6380" t="str">
        <f t="shared" si="712"/>
        <v xml:space="preserve">N35DC   </v>
      </c>
      <c r="N6380">
        <v>1</v>
      </c>
      <c r="O6380">
        <v>1750</v>
      </c>
    </row>
    <row r="6381" spans="1:15" x14ac:dyDescent="0.25">
      <c r="A6381" t="str">
        <f>"10/21/2020 18:58:53.539"</f>
        <v>10/21/2020 18:58:53.539</v>
      </c>
      <c r="B6381" t="str">
        <f>"18:59:01.500"</f>
        <v>18:59:01.500</v>
      </c>
      <c r="C6381" t="str">
        <f>"18:59:01.100"</f>
        <v>18:59:01.100</v>
      </c>
      <c r="D6381" t="s">
        <v>2669</v>
      </c>
      <c r="E6381">
        <v>30.590271999999999</v>
      </c>
      <c r="F6381" t="s">
        <v>2670</v>
      </c>
      <c r="G6381">
        <v>-89.773622000000003</v>
      </c>
      <c r="H6381">
        <v>1700</v>
      </c>
      <c r="I6381">
        <v>-128</v>
      </c>
      <c r="J6381">
        <v>-110</v>
      </c>
      <c r="K6381">
        <v>0</v>
      </c>
      <c r="L6381">
        <v>1200</v>
      </c>
      <c r="M6381" t="str">
        <f t="shared" si="712"/>
        <v xml:space="preserve">N35DC   </v>
      </c>
      <c r="N6381">
        <v>1</v>
      </c>
      <c r="O6381">
        <v>1750</v>
      </c>
    </row>
    <row r="6382" spans="1:15" x14ac:dyDescent="0.25">
      <c r="A6382" t="str">
        <f>"10/21/2020 18:58:53.539"</f>
        <v>10/21/2020 18:58:53.539</v>
      </c>
      <c r="B6382" t="str">
        <f>"18:59:01.500"</f>
        <v>18:59:01.500</v>
      </c>
      <c r="C6382" t="str">
        <f>"18:59:01.100"</f>
        <v>18:59:01.100</v>
      </c>
      <c r="D6382" t="s">
        <v>2669</v>
      </c>
      <c r="E6382">
        <v>30.590271999999999</v>
      </c>
      <c r="F6382" t="s">
        <v>2670</v>
      </c>
      <c r="G6382">
        <v>-89.773622000000003</v>
      </c>
      <c r="H6382">
        <v>1700</v>
      </c>
      <c r="I6382">
        <v>-128</v>
      </c>
      <c r="J6382">
        <v>-110</v>
      </c>
      <c r="K6382">
        <v>0</v>
      </c>
      <c r="L6382">
        <v>1200</v>
      </c>
      <c r="M6382" t="str">
        <f t="shared" si="712"/>
        <v xml:space="preserve">N35DC   </v>
      </c>
      <c r="N6382">
        <v>1</v>
      </c>
      <c r="O6382">
        <v>1750</v>
      </c>
    </row>
    <row r="6383" spans="1:15" x14ac:dyDescent="0.25">
      <c r="A6383" t="str">
        <f>"10/21/2020 18:58:53.539"</f>
        <v>10/21/2020 18:58:53.539</v>
      </c>
      <c r="B6383" t="str">
        <f>"18:59:01.500"</f>
        <v>18:59:01.500</v>
      </c>
      <c r="C6383" t="str">
        <f>"18:59:01.100"</f>
        <v>18:59:01.100</v>
      </c>
      <c r="D6383" t="s">
        <v>2669</v>
      </c>
      <c r="E6383">
        <v>30.590271999999999</v>
      </c>
      <c r="F6383" t="s">
        <v>2670</v>
      </c>
      <c r="G6383">
        <v>-89.773622000000003</v>
      </c>
      <c r="H6383">
        <v>1700</v>
      </c>
      <c r="I6383">
        <v>-128</v>
      </c>
      <c r="J6383">
        <v>-110</v>
      </c>
      <c r="K6383">
        <v>0</v>
      </c>
      <c r="L6383">
        <v>1200</v>
      </c>
      <c r="M6383" t="str">
        <f t="shared" si="712"/>
        <v xml:space="preserve">N35DC   </v>
      </c>
      <c r="N6383">
        <v>1</v>
      </c>
      <c r="O6383">
        <v>1750</v>
      </c>
    </row>
    <row r="6384" spans="1:15" x14ac:dyDescent="0.25">
      <c r="A6384" t="str">
        <f>"10/21/2020 18:58:53.539"</f>
        <v>10/21/2020 18:58:53.539</v>
      </c>
      <c r="B6384" t="str">
        <f>"18:59:01.500"</f>
        <v>18:59:01.500</v>
      </c>
      <c r="C6384" t="str">
        <f>"18:59:01.100"</f>
        <v>18:59:01.100</v>
      </c>
      <c r="D6384" t="s">
        <v>2669</v>
      </c>
      <c r="E6384">
        <v>30.590271999999999</v>
      </c>
      <c r="F6384" t="s">
        <v>2670</v>
      </c>
      <c r="G6384">
        <v>-89.773622000000003</v>
      </c>
      <c r="H6384">
        <v>1700</v>
      </c>
      <c r="I6384">
        <v>-128</v>
      </c>
      <c r="J6384">
        <v>-110</v>
      </c>
      <c r="K6384">
        <v>0</v>
      </c>
      <c r="L6384">
        <v>1200</v>
      </c>
      <c r="M6384" t="str">
        <f t="shared" si="712"/>
        <v xml:space="preserve">N35DC   </v>
      </c>
      <c r="N6384">
        <v>1</v>
      </c>
      <c r="O6384">
        <v>1750</v>
      </c>
    </row>
    <row r="6385" spans="1:15" x14ac:dyDescent="0.25">
      <c r="A6385" t="str">
        <f>"10/21/2020 18:58:53.539"</f>
        <v>10/21/2020 18:58:53.539</v>
      </c>
      <c r="B6385" t="str">
        <f>"18:59:01.500"</f>
        <v>18:59:01.500</v>
      </c>
      <c r="C6385" t="str">
        <f>"18:59:01.100"</f>
        <v>18:59:01.100</v>
      </c>
      <c r="D6385" t="s">
        <v>2669</v>
      </c>
      <c r="E6385">
        <v>30.590271999999999</v>
      </c>
      <c r="F6385" t="s">
        <v>2670</v>
      </c>
      <c r="G6385">
        <v>-89.773622000000003</v>
      </c>
      <c r="H6385">
        <v>1700</v>
      </c>
      <c r="I6385">
        <v>-128</v>
      </c>
      <c r="J6385">
        <v>-110</v>
      </c>
      <c r="K6385">
        <v>0</v>
      </c>
      <c r="L6385">
        <v>1200</v>
      </c>
      <c r="M6385" t="str">
        <f t="shared" si="712"/>
        <v xml:space="preserve">N35DC   </v>
      </c>
      <c r="N6385">
        <v>1</v>
      </c>
      <c r="O6385">
        <v>1750</v>
      </c>
    </row>
    <row r="6386" spans="1:15" x14ac:dyDescent="0.25">
      <c r="A6386" t="str">
        <f>"10/21/2020 18:58:57.631"</f>
        <v>10/21/2020 18:58:57.631</v>
      </c>
      <c r="B6386" t="str">
        <f>"18:59:05.594"</f>
        <v>18:59:05.594</v>
      </c>
      <c r="C6386" t="str">
        <f>"18:59:05.094"</f>
        <v>18:59:05.094</v>
      </c>
      <c r="D6386" t="s">
        <v>2671</v>
      </c>
      <c r="E6386">
        <v>30.588190999999998</v>
      </c>
      <c r="F6386" t="s">
        <v>2672</v>
      </c>
      <c r="G6386">
        <v>-89.776454000000001</v>
      </c>
      <c r="H6386">
        <v>1700</v>
      </c>
      <c r="I6386">
        <v>-128</v>
      </c>
      <c r="J6386">
        <v>-110</v>
      </c>
      <c r="K6386">
        <v>-64</v>
      </c>
      <c r="L6386">
        <v>1200</v>
      </c>
      <c r="M6386" t="str">
        <f t="shared" si="712"/>
        <v xml:space="preserve">N35DC   </v>
      </c>
      <c r="N6386">
        <v>1</v>
      </c>
      <c r="O6386">
        <v>1750</v>
      </c>
    </row>
    <row r="6387" spans="1:15" x14ac:dyDescent="0.25">
      <c r="A6387" t="str">
        <f>"10/21/2020 18:58:57.631"</f>
        <v>10/21/2020 18:58:57.631</v>
      </c>
      <c r="B6387" t="str">
        <f>"18:59:05.594"</f>
        <v>18:59:05.594</v>
      </c>
      <c r="C6387" t="str">
        <f>"18:59:05.094"</f>
        <v>18:59:05.094</v>
      </c>
      <c r="D6387" t="s">
        <v>2671</v>
      </c>
      <c r="E6387">
        <v>30.588190999999998</v>
      </c>
      <c r="F6387" t="s">
        <v>2672</v>
      </c>
      <c r="G6387">
        <v>-89.776454000000001</v>
      </c>
      <c r="H6387">
        <v>1700</v>
      </c>
      <c r="I6387">
        <v>-128</v>
      </c>
      <c r="J6387">
        <v>-110</v>
      </c>
      <c r="K6387">
        <v>-64</v>
      </c>
      <c r="L6387">
        <v>1200</v>
      </c>
      <c r="M6387" t="str">
        <f t="shared" si="712"/>
        <v xml:space="preserve">N35DC   </v>
      </c>
      <c r="N6387">
        <v>1</v>
      </c>
      <c r="O6387">
        <v>1750</v>
      </c>
    </row>
    <row r="6388" spans="1:15" x14ac:dyDescent="0.25">
      <c r="A6388" t="str">
        <f>"10/21/2020 18:58:57.631"</f>
        <v>10/21/2020 18:58:57.631</v>
      </c>
      <c r="B6388" t="str">
        <f>"18:59:05.594"</f>
        <v>18:59:05.594</v>
      </c>
      <c r="C6388" t="str">
        <f>"18:59:05.094"</f>
        <v>18:59:05.094</v>
      </c>
      <c r="D6388" t="s">
        <v>2671</v>
      </c>
      <c r="E6388">
        <v>30.588190999999998</v>
      </c>
      <c r="F6388" t="s">
        <v>2672</v>
      </c>
      <c r="G6388">
        <v>-89.776454000000001</v>
      </c>
      <c r="H6388">
        <v>1700</v>
      </c>
      <c r="I6388">
        <v>-128</v>
      </c>
      <c r="J6388">
        <v>-110</v>
      </c>
      <c r="K6388">
        <v>-64</v>
      </c>
      <c r="L6388">
        <v>1200</v>
      </c>
      <c r="M6388" t="str">
        <f t="shared" si="712"/>
        <v xml:space="preserve">N35DC   </v>
      </c>
      <c r="N6388">
        <v>1</v>
      </c>
      <c r="O6388">
        <v>1750</v>
      </c>
    </row>
    <row r="6389" spans="1:15" x14ac:dyDescent="0.25">
      <c r="A6389" t="str">
        <f>"10/21/2020 18:58:57.631"</f>
        <v>10/21/2020 18:58:57.631</v>
      </c>
      <c r="B6389" t="str">
        <f>"18:59:05.594"</f>
        <v>18:59:05.594</v>
      </c>
      <c r="C6389" t="str">
        <f>"18:59:05.094"</f>
        <v>18:59:05.094</v>
      </c>
      <c r="D6389" t="s">
        <v>2671</v>
      </c>
      <c r="E6389">
        <v>30.588190999999998</v>
      </c>
      <c r="F6389" t="s">
        <v>2672</v>
      </c>
      <c r="G6389">
        <v>-89.776454000000001</v>
      </c>
      <c r="H6389">
        <v>1700</v>
      </c>
      <c r="I6389">
        <v>-128</v>
      </c>
      <c r="J6389">
        <v>-110</v>
      </c>
      <c r="K6389">
        <v>-64</v>
      </c>
      <c r="L6389">
        <v>1200</v>
      </c>
      <c r="M6389" t="str">
        <f t="shared" si="712"/>
        <v xml:space="preserve">N35DC   </v>
      </c>
      <c r="N6389">
        <v>1</v>
      </c>
      <c r="O6389">
        <v>1750</v>
      </c>
    </row>
    <row r="6390" spans="1:15" x14ac:dyDescent="0.25">
      <c r="A6390" t="str">
        <f>"10/21/2020 18:58:57.631"</f>
        <v>10/21/2020 18:58:57.631</v>
      </c>
      <c r="B6390" t="str">
        <f>"18:59:05.594"</f>
        <v>18:59:05.594</v>
      </c>
      <c r="C6390" t="str">
        <f>"18:59:05.094"</f>
        <v>18:59:05.094</v>
      </c>
      <c r="D6390" t="s">
        <v>2671</v>
      </c>
      <c r="E6390">
        <v>30.588190999999998</v>
      </c>
      <c r="F6390" t="s">
        <v>2672</v>
      </c>
      <c r="G6390">
        <v>-89.776454000000001</v>
      </c>
      <c r="H6390">
        <v>1700</v>
      </c>
      <c r="I6390">
        <v>-128</v>
      </c>
      <c r="J6390">
        <v>-110</v>
      </c>
      <c r="K6390">
        <v>-64</v>
      </c>
      <c r="L6390">
        <v>1200</v>
      </c>
      <c r="M6390" t="str">
        <f t="shared" si="712"/>
        <v xml:space="preserve">N35DC   </v>
      </c>
      <c r="N6390">
        <v>1</v>
      </c>
      <c r="O6390">
        <v>1750</v>
      </c>
    </row>
    <row r="6391" spans="1:15" x14ac:dyDescent="0.25">
      <c r="A6391" t="str">
        <f>"10/21/2020 18:58:58.667"</f>
        <v>10/21/2020 18:58:58.667</v>
      </c>
      <c r="B6391" t="str">
        <f>"18:59:06.625"</f>
        <v>18:59:06.625</v>
      </c>
      <c r="C6391" t="str">
        <f>"18:59:06.225"</f>
        <v>18:59:06.225</v>
      </c>
      <c r="D6391" t="s">
        <v>2673</v>
      </c>
      <c r="E6391">
        <v>30.587654000000001</v>
      </c>
      <c r="F6391" t="s">
        <v>2674</v>
      </c>
      <c r="G6391">
        <v>-89.777141</v>
      </c>
      <c r="H6391">
        <v>1700</v>
      </c>
      <c r="I6391">
        <v>-128</v>
      </c>
      <c r="J6391">
        <v>-109</v>
      </c>
      <c r="K6391">
        <v>-128</v>
      </c>
      <c r="L6391">
        <v>1200</v>
      </c>
      <c r="M6391" t="str">
        <f t="shared" si="712"/>
        <v xml:space="preserve">N35DC   </v>
      </c>
      <c r="N6391">
        <v>1</v>
      </c>
      <c r="O6391">
        <v>1750</v>
      </c>
    </row>
    <row r="6392" spans="1:15" x14ac:dyDescent="0.25">
      <c r="A6392" t="str">
        <f>"10/21/2020 18:58:58.667"</f>
        <v>10/21/2020 18:58:58.667</v>
      </c>
      <c r="B6392" t="str">
        <f>"18:59:06.625"</f>
        <v>18:59:06.625</v>
      </c>
      <c r="C6392" t="str">
        <f>"18:59:06.225"</f>
        <v>18:59:06.225</v>
      </c>
      <c r="D6392" t="s">
        <v>2673</v>
      </c>
      <c r="E6392">
        <v>30.587654000000001</v>
      </c>
      <c r="F6392" t="s">
        <v>2674</v>
      </c>
      <c r="G6392">
        <v>-89.777141</v>
      </c>
      <c r="H6392">
        <v>1700</v>
      </c>
      <c r="I6392">
        <v>-128</v>
      </c>
      <c r="J6392">
        <v>-109</v>
      </c>
      <c r="K6392">
        <v>-128</v>
      </c>
      <c r="L6392">
        <v>1200</v>
      </c>
      <c r="M6392" t="str">
        <f t="shared" si="712"/>
        <v xml:space="preserve">N35DC   </v>
      </c>
      <c r="N6392">
        <v>1</v>
      </c>
      <c r="O6392">
        <v>1750</v>
      </c>
    </row>
    <row r="6393" spans="1:15" x14ac:dyDescent="0.25">
      <c r="A6393" t="str">
        <f>"10/21/2020 18:58:58.667"</f>
        <v>10/21/2020 18:58:58.667</v>
      </c>
      <c r="B6393" t="str">
        <f>"18:59:06.625"</f>
        <v>18:59:06.625</v>
      </c>
      <c r="C6393" t="str">
        <f>"18:59:06.225"</f>
        <v>18:59:06.225</v>
      </c>
      <c r="D6393" t="s">
        <v>2673</v>
      </c>
      <c r="E6393">
        <v>30.587654000000001</v>
      </c>
      <c r="F6393" t="s">
        <v>2674</v>
      </c>
      <c r="G6393">
        <v>-89.777141</v>
      </c>
      <c r="H6393">
        <v>1700</v>
      </c>
      <c r="I6393">
        <v>-128</v>
      </c>
      <c r="J6393">
        <v>-109</v>
      </c>
      <c r="K6393">
        <v>-128</v>
      </c>
      <c r="L6393">
        <v>1200</v>
      </c>
      <c r="M6393" t="str">
        <f t="shared" si="712"/>
        <v xml:space="preserve">N35DC   </v>
      </c>
      <c r="N6393">
        <v>1</v>
      </c>
      <c r="O6393">
        <v>1750</v>
      </c>
    </row>
    <row r="6394" spans="1:15" x14ac:dyDescent="0.25">
      <c r="A6394" t="str">
        <f>"10/21/2020 18:58:58.667"</f>
        <v>10/21/2020 18:58:58.667</v>
      </c>
      <c r="B6394" t="str">
        <f>"18:59:06.625"</f>
        <v>18:59:06.625</v>
      </c>
      <c r="C6394" t="str">
        <f>"18:59:06.225"</f>
        <v>18:59:06.225</v>
      </c>
      <c r="D6394" t="s">
        <v>2673</v>
      </c>
      <c r="E6394">
        <v>30.587654000000001</v>
      </c>
      <c r="F6394" t="s">
        <v>2674</v>
      </c>
      <c r="G6394">
        <v>-89.777141</v>
      </c>
      <c r="H6394">
        <v>1700</v>
      </c>
      <c r="I6394">
        <v>-128</v>
      </c>
      <c r="J6394">
        <v>-109</v>
      </c>
      <c r="K6394">
        <v>-128</v>
      </c>
      <c r="L6394">
        <v>1200</v>
      </c>
      <c r="M6394" t="str">
        <f t="shared" si="712"/>
        <v xml:space="preserve">N35DC   </v>
      </c>
      <c r="N6394">
        <v>1</v>
      </c>
      <c r="O6394">
        <v>1750</v>
      </c>
    </row>
    <row r="6395" spans="1:15" x14ac:dyDescent="0.25">
      <c r="A6395" t="str">
        <f>"10/21/2020 18:58:58.667"</f>
        <v>10/21/2020 18:58:58.667</v>
      </c>
      <c r="B6395" t="str">
        <f>"18:59:06.625"</f>
        <v>18:59:06.625</v>
      </c>
      <c r="C6395" t="str">
        <f>"18:59:06.225"</f>
        <v>18:59:06.225</v>
      </c>
      <c r="D6395" t="s">
        <v>2673</v>
      </c>
      <c r="E6395">
        <v>30.587654000000001</v>
      </c>
      <c r="F6395" t="s">
        <v>2674</v>
      </c>
      <c r="G6395">
        <v>-89.777141</v>
      </c>
      <c r="H6395">
        <v>1700</v>
      </c>
      <c r="I6395">
        <v>-128</v>
      </c>
      <c r="J6395">
        <v>-109</v>
      </c>
      <c r="K6395">
        <v>-128</v>
      </c>
      <c r="L6395">
        <v>1200</v>
      </c>
      <c r="M6395" t="str">
        <f t="shared" si="712"/>
        <v xml:space="preserve">N35DC   </v>
      </c>
      <c r="N6395">
        <v>1</v>
      </c>
      <c r="O6395">
        <v>1750</v>
      </c>
    </row>
    <row r="6396" spans="1:15" x14ac:dyDescent="0.25">
      <c r="A6396" t="str">
        <f>"10/21/2020 18:59:01.724"</f>
        <v>10/21/2020 18:59:01.724</v>
      </c>
      <c r="B6396" t="str">
        <f>"18:59:09.656"</f>
        <v>18:59:09.656</v>
      </c>
      <c r="C6396" t="str">
        <f>"18:59:09.256"</f>
        <v>18:59:09.256</v>
      </c>
      <c r="D6396" t="s">
        <v>2675</v>
      </c>
      <c r="E6396">
        <v>30.586131000000002</v>
      </c>
      <c r="F6396" t="s">
        <v>2676</v>
      </c>
      <c r="G6396">
        <v>-89.779242999999994</v>
      </c>
      <c r="H6396">
        <v>1700</v>
      </c>
      <c r="I6396">
        <v>-128</v>
      </c>
      <c r="J6396">
        <v>-109</v>
      </c>
      <c r="K6396">
        <v>128</v>
      </c>
      <c r="L6396">
        <v>1200</v>
      </c>
      <c r="M6396" t="str">
        <f t="shared" si="712"/>
        <v xml:space="preserve">N35DC   </v>
      </c>
      <c r="N6396">
        <v>1</v>
      </c>
      <c r="O6396">
        <v>1750</v>
      </c>
    </row>
    <row r="6397" spans="1:15" x14ac:dyDescent="0.25">
      <c r="A6397" t="str">
        <f>"10/21/2020 18:59:01.724"</f>
        <v>10/21/2020 18:59:01.724</v>
      </c>
      <c r="B6397" t="str">
        <f>"18:59:09.656"</f>
        <v>18:59:09.656</v>
      </c>
      <c r="C6397" t="str">
        <f>"18:59:09.256"</f>
        <v>18:59:09.256</v>
      </c>
      <c r="D6397" t="s">
        <v>2675</v>
      </c>
      <c r="E6397">
        <v>30.586131000000002</v>
      </c>
      <c r="F6397" t="s">
        <v>2676</v>
      </c>
      <c r="G6397">
        <v>-89.779242999999994</v>
      </c>
      <c r="H6397">
        <v>1700</v>
      </c>
      <c r="I6397">
        <v>-128</v>
      </c>
      <c r="J6397">
        <v>-109</v>
      </c>
      <c r="K6397">
        <v>128</v>
      </c>
      <c r="L6397">
        <v>1200</v>
      </c>
      <c r="M6397" t="str">
        <f t="shared" si="712"/>
        <v xml:space="preserve">N35DC   </v>
      </c>
      <c r="N6397">
        <v>1</v>
      </c>
      <c r="O6397">
        <v>1750</v>
      </c>
    </row>
    <row r="6398" spans="1:15" x14ac:dyDescent="0.25">
      <c r="A6398" t="str">
        <f>"10/21/2020 18:59:01.724"</f>
        <v>10/21/2020 18:59:01.724</v>
      </c>
      <c r="B6398" t="str">
        <f>"18:59:09.656"</f>
        <v>18:59:09.656</v>
      </c>
      <c r="C6398" t="str">
        <f>"18:59:09.256"</f>
        <v>18:59:09.256</v>
      </c>
      <c r="D6398" t="s">
        <v>2675</v>
      </c>
      <c r="E6398">
        <v>30.586131000000002</v>
      </c>
      <c r="F6398" t="s">
        <v>2676</v>
      </c>
      <c r="G6398">
        <v>-89.779242999999994</v>
      </c>
      <c r="H6398">
        <v>1700</v>
      </c>
      <c r="I6398">
        <v>-128</v>
      </c>
      <c r="J6398">
        <v>-109</v>
      </c>
      <c r="K6398">
        <v>128</v>
      </c>
      <c r="L6398">
        <v>1200</v>
      </c>
      <c r="M6398" t="str">
        <f t="shared" si="712"/>
        <v xml:space="preserve">N35DC   </v>
      </c>
      <c r="N6398">
        <v>1</v>
      </c>
      <c r="O6398">
        <v>1750</v>
      </c>
    </row>
    <row r="6399" spans="1:15" x14ac:dyDescent="0.25">
      <c r="A6399" t="str">
        <f>"10/21/2020 18:59:01.724"</f>
        <v>10/21/2020 18:59:01.724</v>
      </c>
      <c r="B6399" t="str">
        <f>"18:59:09.656"</f>
        <v>18:59:09.656</v>
      </c>
      <c r="C6399" t="str">
        <f>"18:59:09.256"</f>
        <v>18:59:09.256</v>
      </c>
      <c r="D6399" t="s">
        <v>2675</v>
      </c>
      <c r="E6399">
        <v>30.586131000000002</v>
      </c>
      <c r="F6399" t="s">
        <v>2676</v>
      </c>
      <c r="G6399">
        <v>-89.779242999999994</v>
      </c>
      <c r="H6399">
        <v>1700</v>
      </c>
      <c r="I6399">
        <v>-128</v>
      </c>
      <c r="J6399">
        <v>-109</v>
      </c>
      <c r="K6399">
        <v>128</v>
      </c>
      <c r="L6399">
        <v>1200</v>
      </c>
      <c r="M6399" t="str">
        <f t="shared" si="712"/>
        <v xml:space="preserve">N35DC   </v>
      </c>
      <c r="N6399">
        <v>1</v>
      </c>
      <c r="O6399">
        <v>1750</v>
      </c>
    </row>
    <row r="6400" spans="1:15" x14ac:dyDescent="0.25">
      <c r="A6400" t="str">
        <f>"10/21/2020 18:59:01.724"</f>
        <v>10/21/2020 18:59:01.724</v>
      </c>
      <c r="B6400" t="str">
        <f>"18:59:09.656"</f>
        <v>18:59:09.656</v>
      </c>
      <c r="C6400" t="str">
        <f>"18:59:09.256"</f>
        <v>18:59:09.256</v>
      </c>
      <c r="D6400" t="s">
        <v>2675</v>
      </c>
      <c r="E6400">
        <v>30.586131000000002</v>
      </c>
      <c r="F6400" t="s">
        <v>2676</v>
      </c>
      <c r="G6400">
        <v>-89.779242999999994</v>
      </c>
      <c r="H6400">
        <v>1700</v>
      </c>
      <c r="I6400">
        <v>-128</v>
      </c>
      <c r="J6400">
        <v>-109</v>
      </c>
      <c r="K6400">
        <v>128</v>
      </c>
      <c r="L6400">
        <v>1200</v>
      </c>
      <c r="M6400" t="str">
        <f t="shared" si="712"/>
        <v xml:space="preserve">N35DC   </v>
      </c>
      <c r="N6400">
        <v>1</v>
      </c>
      <c r="O6400">
        <v>1750</v>
      </c>
    </row>
    <row r="6401" spans="1:15" x14ac:dyDescent="0.25">
      <c r="A6401" t="str">
        <f>"10/21/2020 18:59:02.633"</f>
        <v>10/21/2020 18:59:02.633</v>
      </c>
      <c r="B6401" t="str">
        <f>"18:59:10.586"</f>
        <v>18:59:10.586</v>
      </c>
      <c r="C6401" t="str">
        <f>"18:59:10.186"</f>
        <v>18:59:10.186</v>
      </c>
      <c r="D6401" t="s">
        <v>2677</v>
      </c>
      <c r="E6401">
        <v>30.585659</v>
      </c>
      <c r="F6401" t="s">
        <v>2678</v>
      </c>
      <c r="G6401">
        <v>-89.779887000000002</v>
      </c>
      <c r="H6401">
        <v>1700</v>
      </c>
      <c r="I6401">
        <v>-129</v>
      </c>
      <c r="J6401">
        <v>-108</v>
      </c>
      <c r="K6401">
        <v>0</v>
      </c>
      <c r="L6401">
        <v>1200</v>
      </c>
      <c r="M6401" t="str">
        <f t="shared" si="712"/>
        <v xml:space="preserve">N35DC   </v>
      </c>
      <c r="N6401">
        <v>1</v>
      </c>
      <c r="O6401">
        <v>1750</v>
      </c>
    </row>
    <row r="6402" spans="1:15" x14ac:dyDescent="0.25">
      <c r="A6402" t="str">
        <f>"10/21/2020 18:59:02.633"</f>
        <v>10/21/2020 18:59:02.633</v>
      </c>
      <c r="B6402" t="str">
        <f>"18:59:10.586"</f>
        <v>18:59:10.586</v>
      </c>
      <c r="C6402" t="str">
        <f>"18:59:10.186"</f>
        <v>18:59:10.186</v>
      </c>
      <c r="D6402" t="s">
        <v>2677</v>
      </c>
      <c r="E6402">
        <v>30.585659</v>
      </c>
      <c r="F6402" t="s">
        <v>2678</v>
      </c>
      <c r="G6402">
        <v>-89.779887000000002</v>
      </c>
      <c r="H6402">
        <v>1700</v>
      </c>
      <c r="I6402">
        <v>-129</v>
      </c>
      <c r="J6402">
        <v>-108</v>
      </c>
      <c r="K6402">
        <v>0</v>
      </c>
      <c r="L6402">
        <v>1200</v>
      </c>
      <c r="M6402" t="str">
        <f t="shared" si="712"/>
        <v xml:space="preserve">N35DC   </v>
      </c>
      <c r="N6402">
        <v>1</v>
      </c>
      <c r="O6402">
        <v>1750</v>
      </c>
    </row>
    <row r="6403" spans="1:15" x14ac:dyDescent="0.25">
      <c r="A6403" t="str">
        <f>"10/21/2020 18:59:02.633"</f>
        <v>10/21/2020 18:59:02.633</v>
      </c>
      <c r="B6403" t="str">
        <f>"18:59:10.586"</f>
        <v>18:59:10.586</v>
      </c>
      <c r="C6403" t="str">
        <f>"18:59:10.186"</f>
        <v>18:59:10.186</v>
      </c>
      <c r="D6403" t="s">
        <v>2677</v>
      </c>
      <c r="E6403">
        <v>30.585659</v>
      </c>
      <c r="F6403" t="s">
        <v>2678</v>
      </c>
      <c r="G6403">
        <v>-89.779887000000002</v>
      </c>
      <c r="H6403">
        <v>1700</v>
      </c>
      <c r="I6403">
        <v>-129</v>
      </c>
      <c r="J6403">
        <v>-108</v>
      </c>
      <c r="K6403">
        <v>0</v>
      </c>
      <c r="L6403">
        <v>1200</v>
      </c>
      <c r="M6403" t="str">
        <f t="shared" si="712"/>
        <v xml:space="preserve">N35DC   </v>
      </c>
      <c r="N6403">
        <v>1</v>
      </c>
      <c r="O6403">
        <v>1750</v>
      </c>
    </row>
    <row r="6404" spans="1:15" x14ac:dyDescent="0.25">
      <c r="A6404" t="str">
        <f>"10/21/2020 18:59:02.633"</f>
        <v>10/21/2020 18:59:02.633</v>
      </c>
      <c r="B6404" t="str">
        <f>"18:59:10.586"</f>
        <v>18:59:10.586</v>
      </c>
      <c r="C6404" t="str">
        <f>"18:59:10.186"</f>
        <v>18:59:10.186</v>
      </c>
      <c r="D6404" t="s">
        <v>2677</v>
      </c>
      <c r="E6404">
        <v>30.585659</v>
      </c>
      <c r="F6404" t="s">
        <v>2678</v>
      </c>
      <c r="G6404">
        <v>-89.779887000000002</v>
      </c>
      <c r="H6404">
        <v>1700</v>
      </c>
      <c r="I6404">
        <v>-129</v>
      </c>
      <c r="J6404">
        <v>-108</v>
      </c>
      <c r="K6404">
        <v>0</v>
      </c>
      <c r="L6404">
        <v>1200</v>
      </c>
      <c r="M6404" t="str">
        <f t="shared" si="712"/>
        <v xml:space="preserve">N35DC   </v>
      </c>
      <c r="N6404">
        <v>1</v>
      </c>
      <c r="O6404">
        <v>1750</v>
      </c>
    </row>
    <row r="6405" spans="1:15" x14ac:dyDescent="0.25">
      <c r="A6405" t="str">
        <f>"10/21/2020 18:59:02.633"</f>
        <v>10/21/2020 18:59:02.633</v>
      </c>
      <c r="B6405" t="str">
        <f>"18:59:10.586"</f>
        <v>18:59:10.586</v>
      </c>
      <c r="C6405" t="str">
        <f>"18:59:10.186"</f>
        <v>18:59:10.186</v>
      </c>
      <c r="D6405" t="s">
        <v>2677</v>
      </c>
      <c r="E6405">
        <v>30.585659</v>
      </c>
      <c r="F6405" t="s">
        <v>2678</v>
      </c>
      <c r="G6405">
        <v>-89.779887000000002</v>
      </c>
      <c r="H6405">
        <v>1700</v>
      </c>
      <c r="I6405">
        <v>-129</v>
      </c>
      <c r="J6405">
        <v>-108</v>
      </c>
      <c r="K6405">
        <v>0</v>
      </c>
      <c r="L6405">
        <v>1200</v>
      </c>
      <c r="M6405" t="str">
        <f t="shared" si="712"/>
        <v xml:space="preserve">N35DC   </v>
      </c>
      <c r="N6405">
        <v>1</v>
      </c>
      <c r="O6405">
        <v>1750</v>
      </c>
    </row>
    <row r="6406" spans="1:15" x14ac:dyDescent="0.25">
      <c r="A6406" t="str">
        <f>"10/21/2020 18:59:07.714"</f>
        <v>10/21/2020 18:59:07.714</v>
      </c>
      <c r="B6406" t="str">
        <f>"18:59:15.672"</f>
        <v>18:59:15.672</v>
      </c>
      <c r="C6406" t="str">
        <f>"18:59:15.572"</f>
        <v>18:59:15.572</v>
      </c>
      <c r="D6406" t="s">
        <v>2679</v>
      </c>
      <c r="E6406">
        <v>30.583105</v>
      </c>
      <c r="F6406" t="s">
        <v>169</v>
      </c>
      <c r="G6406">
        <v>-89.783405999999999</v>
      </c>
      <c r="H6406">
        <v>1700</v>
      </c>
      <c r="I6406">
        <v>-128</v>
      </c>
      <c r="J6406">
        <v>-108</v>
      </c>
      <c r="K6406">
        <v>128</v>
      </c>
      <c r="L6406">
        <v>1200</v>
      </c>
      <c r="M6406" t="str">
        <f t="shared" si="712"/>
        <v xml:space="preserve">N35DC   </v>
      </c>
      <c r="N6406">
        <v>1</v>
      </c>
      <c r="O6406">
        <v>1750</v>
      </c>
    </row>
    <row r="6407" spans="1:15" x14ac:dyDescent="0.25">
      <c r="A6407" t="str">
        <f>"10/21/2020 18:59:07.714"</f>
        <v>10/21/2020 18:59:07.714</v>
      </c>
      <c r="B6407" t="str">
        <f>"18:59:15.672"</f>
        <v>18:59:15.672</v>
      </c>
      <c r="C6407" t="str">
        <f>"18:59:15.572"</f>
        <v>18:59:15.572</v>
      </c>
      <c r="D6407" t="s">
        <v>2679</v>
      </c>
      <c r="E6407">
        <v>30.583105</v>
      </c>
      <c r="F6407" t="s">
        <v>169</v>
      </c>
      <c r="G6407">
        <v>-89.783405999999999</v>
      </c>
      <c r="H6407">
        <v>1700</v>
      </c>
      <c r="I6407">
        <v>-128</v>
      </c>
      <c r="J6407">
        <v>-108</v>
      </c>
      <c r="K6407">
        <v>128</v>
      </c>
      <c r="L6407">
        <v>1200</v>
      </c>
      <c r="M6407" t="str">
        <f t="shared" ref="M6407:M6470" si="715">"N35DC   "</f>
        <v xml:space="preserve">N35DC   </v>
      </c>
      <c r="N6407">
        <v>1</v>
      </c>
      <c r="O6407">
        <v>1750</v>
      </c>
    </row>
    <row r="6408" spans="1:15" x14ac:dyDescent="0.25">
      <c r="A6408" t="str">
        <f>"10/21/2020 18:59:07.714"</f>
        <v>10/21/2020 18:59:07.714</v>
      </c>
      <c r="B6408" t="str">
        <f>"18:59:15.672"</f>
        <v>18:59:15.672</v>
      </c>
      <c r="C6408" t="str">
        <f>"18:59:15.572"</f>
        <v>18:59:15.572</v>
      </c>
      <c r="D6408" t="s">
        <v>2679</v>
      </c>
      <c r="E6408">
        <v>30.583105</v>
      </c>
      <c r="F6408" t="s">
        <v>169</v>
      </c>
      <c r="G6408">
        <v>-89.783405999999999</v>
      </c>
      <c r="H6408">
        <v>1700</v>
      </c>
      <c r="I6408">
        <v>-128</v>
      </c>
      <c r="J6408">
        <v>-108</v>
      </c>
      <c r="K6408">
        <v>128</v>
      </c>
      <c r="L6408">
        <v>1200</v>
      </c>
      <c r="M6408" t="str">
        <f t="shared" si="715"/>
        <v xml:space="preserve">N35DC   </v>
      </c>
      <c r="N6408">
        <v>1</v>
      </c>
      <c r="O6408">
        <v>1750</v>
      </c>
    </row>
    <row r="6409" spans="1:15" x14ac:dyDescent="0.25">
      <c r="A6409" t="str">
        <f>"10/21/2020 18:59:07.714"</f>
        <v>10/21/2020 18:59:07.714</v>
      </c>
      <c r="B6409" t="str">
        <f>"18:59:15.672"</f>
        <v>18:59:15.672</v>
      </c>
      <c r="C6409" t="str">
        <f>"18:59:15.572"</f>
        <v>18:59:15.572</v>
      </c>
      <c r="D6409" t="s">
        <v>2679</v>
      </c>
      <c r="E6409">
        <v>30.583105</v>
      </c>
      <c r="F6409" t="s">
        <v>169</v>
      </c>
      <c r="G6409">
        <v>-89.783405999999999</v>
      </c>
      <c r="H6409">
        <v>1700</v>
      </c>
      <c r="I6409">
        <v>-128</v>
      </c>
      <c r="J6409">
        <v>-108</v>
      </c>
      <c r="K6409">
        <v>128</v>
      </c>
      <c r="L6409">
        <v>1200</v>
      </c>
      <c r="M6409" t="str">
        <f t="shared" si="715"/>
        <v xml:space="preserve">N35DC   </v>
      </c>
      <c r="N6409">
        <v>1</v>
      </c>
      <c r="O6409">
        <v>1750</v>
      </c>
    </row>
    <row r="6410" spans="1:15" x14ac:dyDescent="0.25">
      <c r="A6410" t="str">
        <f>"10/21/2020 18:59:07.714"</f>
        <v>10/21/2020 18:59:07.714</v>
      </c>
      <c r="B6410" t="str">
        <f>"18:59:15.672"</f>
        <v>18:59:15.672</v>
      </c>
      <c r="C6410" t="str">
        <f>"18:59:15.572"</f>
        <v>18:59:15.572</v>
      </c>
      <c r="D6410" t="s">
        <v>2679</v>
      </c>
      <c r="E6410">
        <v>30.583105</v>
      </c>
      <c r="F6410" t="s">
        <v>169</v>
      </c>
      <c r="G6410">
        <v>-89.783405999999999</v>
      </c>
      <c r="H6410">
        <v>1700</v>
      </c>
      <c r="I6410">
        <v>-128</v>
      </c>
      <c r="J6410">
        <v>-108</v>
      </c>
      <c r="K6410">
        <v>128</v>
      </c>
      <c r="L6410">
        <v>1200</v>
      </c>
      <c r="M6410" t="str">
        <f t="shared" si="715"/>
        <v xml:space="preserve">N35DC   </v>
      </c>
      <c r="N6410">
        <v>1</v>
      </c>
      <c r="O6410">
        <v>1750</v>
      </c>
    </row>
    <row r="6411" spans="1:15" x14ac:dyDescent="0.25">
      <c r="A6411" t="str">
        <f>"10/21/2020 18:59:11.667"</f>
        <v>10/21/2020 18:59:11.667</v>
      </c>
      <c r="B6411" t="str">
        <f>"18:59:19.633"</f>
        <v>18:59:19.633</v>
      </c>
      <c r="C6411" t="str">
        <f>"18:59:19.333"</f>
        <v>18:59:19.333</v>
      </c>
      <c r="D6411" t="s">
        <v>2680</v>
      </c>
      <c r="E6411">
        <v>30.581130999999999</v>
      </c>
      <c r="F6411" t="s">
        <v>2681</v>
      </c>
      <c r="G6411">
        <v>-89.786152999999999</v>
      </c>
      <c r="H6411">
        <v>1700</v>
      </c>
      <c r="I6411">
        <v>-129</v>
      </c>
      <c r="J6411">
        <v>-107</v>
      </c>
      <c r="K6411">
        <v>0</v>
      </c>
      <c r="L6411">
        <v>1200</v>
      </c>
      <c r="M6411" t="str">
        <f t="shared" si="715"/>
        <v xml:space="preserve">N35DC   </v>
      </c>
      <c r="N6411">
        <v>1</v>
      </c>
      <c r="O6411">
        <v>1750</v>
      </c>
    </row>
    <row r="6412" spans="1:15" x14ac:dyDescent="0.25">
      <c r="A6412" t="str">
        <f>"10/21/2020 18:59:11.667"</f>
        <v>10/21/2020 18:59:11.667</v>
      </c>
      <c r="B6412" t="str">
        <f>"18:59:19.633"</f>
        <v>18:59:19.633</v>
      </c>
      <c r="C6412" t="str">
        <f>"18:59:19.333"</f>
        <v>18:59:19.333</v>
      </c>
      <c r="D6412" t="s">
        <v>2680</v>
      </c>
      <c r="E6412">
        <v>30.581130999999999</v>
      </c>
      <c r="F6412" t="s">
        <v>2681</v>
      </c>
      <c r="G6412">
        <v>-89.786152999999999</v>
      </c>
      <c r="H6412">
        <v>1700</v>
      </c>
      <c r="I6412">
        <v>-129</v>
      </c>
      <c r="J6412">
        <v>-107</v>
      </c>
      <c r="K6412">
        <v>0</v>
      </c>
      <c r="L6412">
        <v>1200</v>
      </c>
      <c r="M6412" t="str">
        <f t="shared" si="715"/>
        <v xml:space="preserve">N35DC   </v>
      </c>
      <c r="N6412">
        <v>1</v>
      </c>
      <c r="O6412">
        <v>1750</v>
      </c>
    </row>
    <row r="6413" spans="1:15" x14ac:dyDescent="0.25">
      <c r="A6413" t="str">
        <f>"10/21/2020 18:59:11.667"</f>
        <v>10/21/2020 18:59:11.667</v>
      </c>
      <c r="B6413" t="str">
        <f>"18:59:19.633"</f>
        <v>18:59:19.633</v>
      </c>
      <c r="C6413" t="str">
        <f>"18:59:19.333"</f>
        <v>18:59:19.333</v>
      </c>
      <c r="D6413" t="s">
        <v>2680</v>
      </c>
      <c r="E6413">
        <v>30.581130999999999</v>
      </c>
      <c r="F6413" t="s">
        <v>2681</v>
      </c>
      <c r="G6413">
        <v>-89.786152999999999</v>
      </c>
      <c r="H6413">
        <v>1700</v>
      </c>
      <c r="I6413">
        <v>-129</v>
      </c>
      <c r="J6413">
        <v>-107</v>
      </c>
      <c r="K6413">
        <v>0</v>
      </c>
      <c r="L6413">
        <v>1200</v>
      </c>
      <c r="M6413" t="str">
        <f t="shared" si="715"/>
        <v xml:space="preserve">N35DC   </v>
      </c>
      <c r="N6413">
        <v>1</v>
      </c>
      <c r="O6413">
        <v>1750</v>
      </c>
    </row>
    <row r="6414" spans="1:15" x14ac:dyDescent="0.25">
      <c r="A6414" t="str">
        <f>"10/21/2020 18:59:11.667"</f>
        <v>10/21/2020 18:59:11.667</v>
      </c>
      <c r="B6414" t="str">
        <f>"18:59:19.633"</f>
        <v>18:59:19.633</v>
      </c>
      <c r="C6414" t="str">
        <f>"18:59:19.333"</f>
        <v>18:59:19.333</v>
      </c>
      <c r="D6414" t="s">
        <v>2680</v>
      </c>
      <c r="E6414">
        <v>30.581130999999999</v>
      </c>
      <c r="F6414" t="s">
        <v>2681</v>
      </c>
      <c r="G6414">
        <v>-89.786152999999999</v>
      </c>
      <c r="H6414">
        <v>1700</v>
      </c>
      <c r="I6414">
        <v>-129</v>
      </c>
      <c r="J6414">
        <v>-107</v>
      </c>
      <c r="K6414">
        <v>0</v>
      </c>
      <c r="L6414">
        <v>1200</v>
      </c>
      <c r="M6414" t="str">
        <f t="shared" si="715"/>
        <v xml:space="preserve">N35DC   </v>
      </c>
      <c r="N6414">
        <v>1</v>
      </c>
      <c r="O6414">
        <v>1750</v>
      </c>
    </row>
    <row r="6415" spans="1:15" x14ac:dyDescent="0.25">
      <c r="A6415" t="str">
        <f>"10/21/2020 18:59:11.667"</f>
        <v>10/21/2020 18:59:11.667</v>
      </c>
      <c r="B6415" t="str">
        <f>"18:59:19.633"</f>
        <v>18:59:19.633</v>
      </c>
      <c r="C6415" t="str">
        <f>"18:59:19.333"</f>
        <v>18:59:19.333</v>
      </c>
      <c r="D6415" t="s">
        <v>2680</v>
      </c>
      <c r="E6415">
        <v>30.581130999999999</v>
      </c>
      <c r="F6415" t="s">
        <v>2681</v>
      </c>
      <c r="G6415">
        <v>-89.786152999999999</v>
      </c>
      <c r="H6415">
        <v>1700</v>
      </c>
      <c r="I6415">
        <v>-129</v>
      </c>
      <c r="J6415">
        <v>-107</v>
      </c>
      <c r="K6415">
        <v>0</v>
      </c>
      <c r="L6415">
        <v>1200</v>
      </c>
      <c r="M6415" t="str">
        <f t="shared" si="715"/>
        <v xml:space="preserve">N35DC   </v>
      </c>
      <c r="N6415">
        <v>1</v>
      </c>
      <c r="O6415">
        <v>1750</v>
      </c>
    </row>
    <row r="6416" spans="1:15" x14ac:dyDescent="0.25">
      <c r="A6416" t="str">
        <f>"10/21/2020 18:59:12.738"</f>
        <v>10/21/2020 18:59:12.738</v>
      </c>
      <c r="B6416" t="str">
        <f t="shared" ref="B6416:C6420" si="716">"18:59:20.695"</f>
        <v>18:59:20.695</v>
      </c>
      <c r="C6416" t="str">
        <f t="shared" si="716"/>
        <v>18:59:20.695</v>
      </c>
      <c r="D6416" t="s">
        <v>2682</v>
      </c>
      <c r="E6416">
        <v>30.580594999999999</v>
      </c>
      <c r="F6416" t="s">
        <v>2683</v>
      </c>
      <c r="G6416">
        <v>-89.786861000000002</v>
      </c>
      <c r="H6416">
        <v>1700</v>
      </c>
      <c r="I6416">
        <v>-129</v>
      </c>
      <c r="J6416">
        <v>-108</v>
      </c>
      <c r="K6416">
        <v>64</v>
      </c>
      <c r="L6416">
        <v>1200</v>
      </c>
      <c r="M6416" t="str">
        <f t="shared" si="715"/>
        <v xml:space="preserve">N35DC   </v>
      </c>
      <c r="N6416">
        <v>1</v>
      </c>
      <c r="O6416">
        <v>1750</v>
      </c>
    </row>
    <row r="6417" spans="1:15" x14ac:dyDescent="0.25">
      <c r="A6417" t="str">
        <f>"10/21/2020 18:59:12.738"</f>
        <v>10/21/2020 18:59:12.738</v>
      </c>
      <c r="B6417" t="str">
        <f t="shared" si="716"/>
        <v>18:59:20.695</v>
      </c>
      <c r="C6417" t="str">
        <f t="shared" si="716"/>
        <v>18:59:20.695</v>
      </c>
      <c r="D6417" t="s">
        <v>2682</v>
      </c>
      <c r="E6417">
        <v>30.580594999999999</v>
      </c>
      <c r="F6417" t="s">
        <v>2683</v>
      </c>
      <c r="G6417">
        <v>-89.786861000000002</v>
      </c>
      <c r="H6417">
        <v>1700</v>
      </c>
      <c r="I6417">
        <v>-129</v>
      </c>
      <c r="J6417">
        <v>-108</v>
      </c>
      <c r="K6417">
        <v>64</v>
      </c>
      <c r="L6417">
        <v>1200</v>
      </c>
      <c r="M6417" t="str">
        <f t="shared" si="715"/>
        <v xml:space="preserve">N35DC   </v>
      </c>
      <c r="N6417">
        <v>1</v>
      </c>
      <c r="O6417">
        <v>1750</v>
      </c>
    </row>
    <row r="6418" spans="1:15" x14ac:dyDescent="0.25">
      <c r="A6418" t="str">
        <f>"10/21/2020 18:59:12.738"</f>
        <v>10/21/2020 18:59:12.738</v>
      </c>
      <c r="B6418" t="str">
        <f t="shared" si="716"/>
        <v>18:59:20.695</v>
      </c>
      <c r="C6418" t="str">
        <f t="shared" si="716"/>
        <v>18:59:20.695</v>
      </c>
      <c r="D6418" t="s">
        <v>2682</v>
      </c>
      <c r="E6418">
        <v>30.580594999999999</v>
      </c>
      <c r="F6418" t="s">
        <v>2683</v>
      </c>
      <c r="G6418">
        <v>-89.786861000000002</v>
      </c>
      <c r="H6418">
        <v>1700</v>
      </c>
      <c r="I6418">
        <v>-129</v>
      </c>
      <c r="J6418">
        <v>-108</v>
      </c>
      <c r="K6418">
        <v>64</v>
      </c>
      <c r="L6418">
        <v>1200</v>
      </c>
      <c r="M6418" t="str">
        <f t="shared" si="715"/>
        <v xml:space="preserve">N35DC   </v>
      </c>
      <c r="N6418">
        <v>1</v>
      </c>
      <c r="O6418">
        <v>1750</v>
      </c>
    </row>
    <row r="6419" spans="1:15" x14ac:dyDescent="0.25">
      <c r="A6419" t="str">
        <f>"10/21/2020 18:59:12.738"</f>
        <v>10/21/2020 18:59:12.738</v>
      </c>
      <c r="B6419" t="str">
        <f t="shared" si="716"/>
        <v>18:59:20.695</v>
      </c>
      <c r="C6419" t="str">
        <f t="shared" si="716"/>
        <v>18:59:20.695</v>
      </c>
      <c r="D6419" t="s">
        <v>2682</v>
      </c>
      <c r="E6419">
        <v>30.580594999999999</v>
      </c>
      <c r="F6419" t="s">
        <v>2683</v>
      </c>
      <c r="G6419">
        <v>-89.786861000000002</v>
      </c>
      <c r="H6419">
        <v>1700</v>
      </c>
      <c r="I6419">
        <v>-129</v>
      </c>
      <c r="J6419">
        <v>-108</v>
      </c>
      <c r="K6419">
        <v>64</v>
      </c>
      <c r="L6419">
        <v>1200</v>
      </c>
      <c r="M6419" t="str">
        <f t="shared" si="715"/>
        <v xml:space="preserve">N35DC   </v>
      </c>
      <c r="N6419">
        <v>1</v>
      </c>
      <c r="O6419">
        <v>1750</v>
      </c>
    </row>
    <row r="6420" spans="1:15" x14ac:dyDescent="0.25">
      <c r="A6420" t="str">
        <f>"10/21/2020 18:59:12.738"</f>
        <v>10/21/2020 18:59:12.738</v>
      </c>
      <c r="B6420" t="str">
        <f t="shared" si="716"/>
        <v>18:59:20.695</v>
      </c>
      <c r="C6420" t="str">
        <f t="shared" si="716"/>
        <v>18:59:20.695</v>
      </c>
      <c r="D6420" t="s">
        <v>2682</v>
      </c>
      <c r="E6420">
        <v>30.580594999999999</v>
      </c>
      <c r="F6420" t="s">
        <v>2683</v>
      </c>
      <c r="G6420">
        <v>-89.786861000000002</v>
      </c>
      <c r="H6420">
        <v>1700</v>
      </c>
      <c r="I6420">
        <v>-129</v>
      </c>
      <c r="J6420">
        <v>-108</v>
      </c>
      <c r="K6420">
        <v>64</v>
      </c>
      <c r="L6420">
        <v>1200</v>
      </c>
      <c r="M6420" t="str">
        <f t="shared" si="715"/>
        <v xml:space="preserve">N35DC   </v>
      </c>
      <c r="N6420">
        <v>1</v>
      </c>
      <c r="O6420">
        <v>1750</v>
      </c>
    </row>
    <row r="6421" spans="1:15" x14ac:dyDescent="0.25">
      <c r="A6421" t="str">
        <f>"10/21/2020 18:59:15.737"</f>
        <v>10/21/2020 18:59:15.737</v>
      </c>
      <c r="B6421" t="str">
        <f t="shared" ref="B6421:C6425" si="717">"18:59:23.680"</f>
        <v>18:59:23.680</v>
      </c>
      <c r="C6421" t="str">
        <f t="shared" si="717"/>
        <v>18:59:23.680</v>
      </c>
      <c r="D6421" t="s">
        <v>2684</v>
      </c>
      <c r="E6421">
        <v>30.579114000000001</v>
      </c>
      <c r="F6421" t="s">
        <v>2685</v>
      </c>
      <c r="G6421">
        <v>-89.788942000000006</v>
      </c>
      <c r="H6421">
        <v>1700</v>
      </c>
      <c r="I6421">
        <v>-129</v>
      </c>
      <c r="J6421">
        <v>-109</v>
      </c>
      <c r="K6421">
        <v>64</v>
      </c>
      <c r="L6421">
        <v>1200</v>
      </c>
      <c r="M6421" t="str">
        <f t="shared" si="715"/>
        <v xml:space="preserve">N35DC   </v>
      </c>
      <c r="N6421">
        <v>1</v>
      </c>
      <c r="O6421">
        <v>1750</v>
      </c>
    </row>
    <row r="6422" spans="1:15" x14ac:dyDescent="0.25">
      <c r="A6422" t="str">
        <f>"10/21/2020 18:59:15.737"</f>
        <v>10/21/2020 18:59:15.737</v>
      </c>
      <c r="B6422" t="str">
        <f t="shared" si="717"/>
        <v>18:59:23.680</v>
      </c>
      <c r="C6422" t="str">
        <f t="shared" si="717"/>
        <v>18:59:23.680</v>
      </c>
      <c r="D6422" t="s">
        <v>2684</v>
      </c>
      <c r="E6422">
        <v>30.579114000000001</v>
      </c>
      <c r="F6422" t="s">
        <v>2685</v>
      </c>
      <c r="G6422">
        <v>-89.788942000000006</v>
      </c>
      <c r="H6422">
        <v>1700</v>
      </c>
      <c r="I6422">
        <v>-129</v>
      </c>
      <c r="J6422">
        <v>-109</v>
      </c>
      <c r="K6422">
        <v>64</v>
      </c>
      <c r="L6422">
        <v>1200</v>
      </c>
      <c r="M6422" t="str">
        <f t="shared" si="715"/>
        <v xml:space="preserve">N35DC   </v>
      </c>
      <c r="N6422">
        <v>1</v>
      </c>
      <c r="O6422">
        <v>1750</v>
      </c>
    </row>
    <row r="6423" spans="1:15" x14ac:dyDescent="0.25">
      <c r="A6423" t="str">
        <f>"10/21/2020 18:59:15.737"</f>
        <v>10/21/2020 18:59:15.737</v>
      </c>
      <c r="B6423" t="str">
        <f t="shared" si="717"/>
        <v>18:59:23.680</v>
      </c>
      <c r="C6423" t="str">
        <f t="shared" si="717"/>
        <v>18:59:23.680</v>
      </c>
      <c r="D6423" t="s">
        <v>2684</v>
      </c>
      <c r="E6423">
        <v>30.579114000000001</v>
      </c>
      <c r="F6423" t="s">
        <v>2685</v>
      </c>
      <c r="G6423">
        <v>-89.788942000000006</v>
      </c>
      <c r="H6423">
        <v>1700</v>
      </c>
      <c r="I6423">
        <v>-129</v>
      </c>
      <c r="J6423">
        <v>-109</v>
      </c>
      <c r="K6423">
        <v>64</v>
      </c>
      <c r="L6423">
        <v>1200</v>
      </c>
      <c r="M6423" t="str">
        <f t="shared" si="715"/>
        <v xml:space="preserve">N35DC   </v>
      </c>
      <c r="N6423">
        <v>1</v>
      </c>
      <c r="O6423">
        <v>1750</v>
      </c>
    </row>
    <row r="6424" spans="1:15" x14ac:dyDescent="0.25">
      <c r="A6424" t="str">
        <f>"10/21/2020 18:59:15.737"</f>
        <v>10/21/2020 18:59:15.737</v>
      </c>
      <c r="B6424" t="str">
        <f t="shared" si="717"/>
        <v>18:59:23.680</v>
      </c>
      <c r="C6424" t="str">
        <f t="shared" si="717"/>
        <v>18:59:23.680</v>
      </c>
      <c r="D6424" t="s">
        <v>2684</v>
      </c>
      <c r="E6424">
        <v>30.579114000000001</v>
      </c>
      <c r="F6424" t="s">
        <v>2685</v>
      </c>
      <c r="G6424">
        <v>-89.788942000000006</v>
      </c>
      <c r="H6424">
        <v>1700</v>
      </c>
      <c r="I6424">
        <v>-129</v>
      </c>
      <c r="J6424">
        <v>-109</v>
      </c>
      <c r="K6424">
        <v>64</v>
      </c>
      <c r="L6424">
        <v>1200</v>
      </c>
      <c r="M6424" t="str">
        <f t="shared" si="715"/>
        <v xml:space="preserve">N35DC   </v>
      </c>
      <c r="N6424">
        <v>1</v>
      </c>
      <c r="O6424">
        <v>1750</v>
      </c>
    </row>
    <row r="6425" spans="1:15" x14ac:dyDescent="0.25">
      <c r="A6425" t="str">
        <f>"10/21/2020 18:59:15.737"</f>
        <v>10/21/2020 18:59:15.737</v>
      </c>
      <c r="B6425" t="str">
        <f t="shared" si="717"/>
        <v>18:59:23.680</v>
      </c>
      <c r="C6425" t="str">
        <f t="shared" si="717"/>
        <v>18:59:23.680</v>
      </c>
      <c r="D6425" t="s">
        <v>2684</v>
      </c>
      <c r="E6425">
        <v>30.579114000000001</v>
      </c>
      <c r="F6425" t="s">
        <v>2685</v>
      </c>
      <c r="G6425">
        <v>-89.788942000000006</v>
      </c>
      <c r="H6425">
        <v>1700</v>
      </c>
      <c r="I6425">
        <v>-129</v>
      </c>
      <c r="J6425">
        <v>-109</v>
      </c>
      <c r="K6425">
        <v>64</v>
      </c>
      <c r="L6425">
        <v>1200</v>
      </c>
      <c r="M6425" t="str">
        <f t="shared" si="715"/>
        <v xml:space="preserve">N35DC   </v>
      </c>
      <c r="N6425">
        <v>1</v>
      </c>
      <c r="O6425">
        <v>1750</v>
      </c>
    </row>
    <row r="6426" spans="1:15" x14ac:dyDescent="0.25">
      <c r="A6426" t="str">
        <f>"10/21/2020 18:59:16.666"</f>
        <v>10/21/2020 18:59:16.666</v>
      </c>
      <c r="B6426" t="str">
        <f>"18:59:24.609"</f>
        <v>18:59:24.609</v>
      </c>
      <c r="C6426" t="str">
        <f>"18:59:24.309"</f>
        <v>18:59:24.309</v>
      </c>
      <c r="D6426" t="s">
        <v>2686</v>
      </c>
      <c r="E6426">
        <v>30.578620000000001</v>
      </c>
      <c r="F6426" t="s">
        <v>2687</v>
      </c>
      <c r="G6426">
        <v>-89.789564999999996</v>
      </c>
      <c r="H6426">
        <v>1700</v>
      </c>
      <c r="I6426">
        <v>-128</v>
      </c>
      <c r="J6426">
        <v>-109</v>
      </c>
      <c r="K6426">
        <v>64</v>
      </c>
      <c r="L6426">
        <v>1200</v>
      </c>
      <c r="M6426" t="str">
        <f t="shared" si="715"/>
        <v xml:space="preserve">N35DC   </v>
      </c>
      <c r="N6426">
        <v>1</v>
      </c>
      <c r="O6426">
        <v>1750</v>
      </c>
    </row>
    <row r="6427" spans="1:15" x14ac:dyDescent="0.25">
      <c r="A6427" t="str">
        <f>"10/21/2020 18:59:16.666"</f>
        <v>10/21/2020 18:59:16.666</v>
      </c>
      <c r="B6427" t="str">
        <f>"18:59:24.609"</f>
        <v>18:59:24.609</v>
      </c>
      <c r="C6427" t="str">
        <f>"18:59:24.309"</f>
        <v>18:59:24.309</v>
      </c>
      <c r="D6427" t="s">
        <v>2686</v>
      </c>
      <c r="E6427">
        <v>30.578620000000001</v>
      </c>
      <c r="F6427" t="s">
        <v>2687</v>
      </c>
      <c r="G6427">
        <v>-89.789564999999996</v>
      </c>
      <c r="H6427">
        <v>1700</v>
      </c>
      <c r="I6427">
        <v>-128</v>
      </c>
      <c r="J6427">
        <v>-109</v>
      </c>
      <c r="K6427">
        <v>64</v>
      </c>
      <c r="L6427">
        <v>1200</v>
      </c>
      <c r="M6427" t="str">
        <f t="shared" si="715"/>
        <v xml:space="preserve">N35DC   </v>
      </c>
      <c r="N6427">
        <v>1</v>
      </c>
      <c r="O6427">
        <v>1750</v>
      </c>
    </row>
    <row r="6428" spans="1:15" x14ac:dyDescent="0.25">
      <c r="A6428" t="str">
        <f>"10/21/2020 18:59:16.666"</f>
        <v>10/21/2020 18:59:16.666</v>
      </c>
      <c r="B6428" t="str">
        <f>"18:59:24.609"</f>
        <v>18:59:24.609</v>
      </c>
      <c r="C6428" t="str">
        <f>"18:59:24.309"</f>
        <v>18:59:24.309</v>
      </c>
      <c r="D6428" t="s">
        <v>2686</v>
      </c>
      <c r="E6428">
        <v>30.578620000000001</v>
      </c>
      <c r="F6428" t="s">
        <v>2687</v>
      </c>
      <c r="G6428">
        <v>-89.789564999999996</v>
      </c>
      <c r="H6428">
        <v>1700</v>
      </c>
      <c r="I6428">
        <v>-128</v>
      </c>
      <c r="J6428">
        <v>-109</v>
      </c>
      <c r="K6428">
        <v>64</v>
      </c>
      <c r="L6428">
        <v>1200</v>
      </c>
      <c r="M6428" t="str">
        <f t="shared" si="715"/>
        <v xml:space="preserve">N35DC   </v>
      </c>
      <c r="N6428">
        <v>1</v>
      </c>
      <c r="O6428">
        <v>1750</v>
      </c>
    </row>
    <row r="6429" spans="1:15" x14ac:dyDescent="0.25">
      <c r="A6429" t="str">
        <f>"10/21/2020 18:59:16.666"</f>
        <v>10/21/2020 18:59:16.666</v>
      </c>
      <c r="B6429" t="str">
        <f>"18:59:24.609"</f>
        <v>18:59:24.609</v>
      </c>
      <c r="C6429" t="str">
        <f>"18:59:24.309"</f>
        <v>18:59:24.309</v>
      </c>
      <c r="D6429" t="s">
        <v>2686</v>
      </c>
      <c r="E6429">
        <v>30.578620000000001</v>
      </c>
      <c r="F6429" t="s">
        <v>2687</v>
      </c>
      <c r="G6429">
        <v>-89.789564999999996</v>
      </c>
      <c r="H6429">
        <v>1700</v>
      </c>
      <c r="I6429">
        <v>-128</v>
      </c>
      <c r="J6429">
        <v>-109</v>
      </c>
      <c r="K6429">
        <v>64</v>
      </c>
      <c r="L6429">
        <v>1200</v>
      </c>
      <c r="M6429" t="str">
        <f t="shared" si="715"/>
        <v xml:space="preserve">N35DC   </v>
      </c>
      <c r="N6429">
        <v>1</v>
      </c>
      <c r="O6429">
        <v>1750</v>
      </c>
    </row>
    <row r="6430" spans="1:15" x14ac:dyDescent="0.25">
      <c r="A6430" t="str">
        <f>"10/21/2020 18:59:16.666"</f>
        <v>10/21/2020 18:59:16.666</v>
      </c>
      <c r="B6430" t="str">
        <f>"18:59:24.609"</f>
        <v>18:59:24.609</v>
      </c>
      <c r="C6430" t="str">
        <f>"18:59:24.309"</f>
        <v>18:59:24.309</v>
      </c>
      <c r="D6430" t="s">
        <v>2686</v>
      </c>
      <c r="E6430">
        <v>30.578620000000001</v>
      </c>
      <c r="F6430" t="s">
        <v>2687</v>
      </c>
      <c r="G6430">
        <v>-89.789564999999996</v>
      </c>
      <c r="H6430">
        <v>1700</v>
      </c>
      <c r="I6430">
        <v>-128</v>
      </c>
      <c r="J6430">
        <v>-109</v>
      </c>
      <c r="K6430">
        <v>64</v>
      </c>
      <c r="L6430">
        <v>1200</v>
      </c>
      <c r="M6430" t="str">
        <f t="shared" si="715"/>
        <v xml:space="preserve">N35DC   </v>
      </c>
      <c r="N6430">
        <v>1</v>
      </c>
      <c r="O6430">
        <v>1750</v>
      </c>
    </row>
    <row r="6431" spans="1:15" x14ac:dyDescent="0.25">
      <c r="A6431" t="str">
        <f>"10/21/2020 18:59:17.579"</f>
        <v>10/21/2020 18:59:17.579</v>
      </c>
      <c r="B6431" t="str">
        <f>"18:59:25.539"</f>
        <v>18:59:25.539</v>
      </c>
      <c r="C6431" t="str">
        <f>"18:59:25.339"</f>
        <v>18:59:25.339</v>
      </c>
      <c r="D6431" t="s">
        <v>2688</v>
      </c>
      <c r="E6431">
        <v>30.57817</v>
      </c>
      <c r="F6431" t="s">
        <v>2689</v>
      </c>
      <c r="G6431">
        <v>-89.790208000000007</v>
      </c>
      <c r="H6431">
        <v>1700</v>
      </c>
      <c r="I6431">
        <v>-128</v>
      </c>
      <c r="J6431">
        <v>-110</v>
      </c>
      <c r="K6431">
        <v>-64</v>
      </c>
      <c r="L6431">
        <v>1200</v>
      </c>
      <c r="M6431" t="str">
        <f t="shared" si="715"/>
        <v xml:space="preserve">N35DC   </v>
      </c>
      <c r="N6431">
        <v>1</v>
      </c>
      <c r="O6431">
        <v>1750</v>
      </c>
    </row>
    <row r="6432" spans="1:15" x14ac:dyDescent="0.25">
      <c r="A6432" t="str">
        <f>"10/21/2020 18:59:17.579"</f>
        <v>10/21/2020 18:59:17.579</v>
      </c>
      <c r="B6432" t="str">
        <f>"18:59:25.539"</f>
        <v>18:59:25.539</v>
      </c>
      <c r="C6432" t="str">
        <f>"18:59:25.339"</f>
        <v>18:59:25.339</v>
      </c>
      <c r="D6432" t="s">
        <v>2688</v>
      </c>
      <c r="E6432">
        <v>30.57817</v>
      </c>
      <c r="F6432" t="s">
        <v>2689</v>
      </c>
      <c r="G6432">
        <v>-89.790208000000007</v>
      </c>
      <c r="H6432">
        <v>1700</v>
      </c>
      <c r="I6432">
        <v>-128</v>
      </c>
      <c r="J6432">
        <v>-110</v>
      </c>
      <c r="K6432">
        <v>-64</v>
      </c>
      <c r="L6432">
        <v>1200</v>
      </c>
      <c r="M6432" t="str">
        <f t="shared" si="715"/>
        <v xml:space="preserve">N35DC   </v>
      </c>
      <c r="N6432">
        <v>1</v>
      </c>
      <c r="O6432">
        <v>1750</v>
      </c>
    </row>
    <row r="6433" spans="1:15" x14ac:dyDescent="0.25">
      <c r="A6433" t="str">
        <f>"10/21/2020 18:59:17.579"</f>
        <v>10/21/2020 18:59:17.579</v>
      </c>
      <c r="B6433" t="str">
        <f>"18:59:25.539"</f>
        <v>18:59:25.539</v>
      </c>
      <c r="C6433" t="str">
        <f>"18:59:25.339"</f>
        <v>18:59:25.339</v>
      </c>
      <c r="D6433" t="s">
        <v>2688</v>
      </c>
      <c r="E6433">
        <v>30.57817</v>
      </c>
      <c r="F6433" t="s">
        <v>2689</v>
      </c>
      <c r="G6433">
        <v>-89.790208000000007</v>
      </c>
      <c r="H6433">
        <v>1700</v>
      </c>
      <c r="I6433">
        <v>-128</v>
      </c>
      <c r="J6433">
        <v>-110</v>
      </c>
      <c r="K6433">
        <v>-64</v>
      </c>
      <c r="L6433">
        <v>1200</v>
      </c>
      <c r="M6433" t="str">
        <f t="shared" si="715"/>
        <v xml:space="preserve">N35DC   </v>
      </c>
      <c r="N6433">
        <v>1</v>
      </c>
      <c r="O6433">
        <v>1750</v>
      </c>
    </row>
    <row r="6434" spans="1:15" x14ac:dyDescent="0.25">
      <c r="A6434" t="str">
        <f>"10/21/2020 18:59:17.579"</f>
        <v>10/21/2020 18:59:17.579</v>
      </c>
      <c r="B6434" t="str">
        <f>"18:59:25.539"</f>
        <v>18:59:25.539</v>
      </c>
      <c r="C6434" t="str">
        <f>"18:59:25.339"</f>
        <v>18:59:25.339</v>
      </c>
      <c r="D6434" t="s">
        <v>2688</v>
      </c>
      <c r="E6434">
        <v>30.57817</v>
      </c>
      <c r="F6434" t="s">
        <v>2689</v>
      </c>
      <c r="G6434">
        <v>-89.790208000000007</v>
      </c>
      <c r="H6434">
        <v>1700</v>
      </c>
      <c r="I6434">
        <v>-128</v>
      </c>
      <c r="J6434">
        <v>-110</v>
      </c>
      <c r="K6434">
        <v>-64</v>
      </c>
      <c r="L6434">
        <v>1200</v>
      </c>
      <c r="M6434" t="str">
        <f t="shared" si="715"/>
        <v xml:space="preserve">N35DC   </v>
      </c>
      <c r="N6434">
        <v>1</v>
      </c>
      <c r="O6434">
        <v>1750</v>
      </c>
    </row>
    <row r="6435" spans="1:15" x14ac:dyDescent="0.25">
      <c r="A6435" t="str">
        <f>"10/21/2020 18:59:17.579"</f>
        <v>10/21/2020 18:59:17.579</v>
      </c>
      <c r="B6435" t="str">
        <f>"18:59:25.539"</f>
        <v>18:59:25.539</v>
      </c>
      <c r="C6435" t="str">
        <f>"18:59:25.339"</f>
        <v>18:59:25.339</v>
      </c>
      <c r="D6435" t="s">
        <v>2688</v>
      </c>
      <c r="E6435">
        <v>30.57817</v>
      </c>
      <c r="F6435" t="s">
        <v>2689</v>
      </c>
      <c r="G6435">
        <v>-89.790208000000007</v>
      </c>
      <c r="H6435">
        <v>1700</v>
      </c>
      <c r="I6435">
        <v>-128</v>
      </c>
      <c r="J6435">
        <v>-110</v>
      </c>
      <c r="K6435">
        <v>-64</v>
      </c>
      <c r="L6435">
        <v>1200</v>
      </c>
      <c r="M6435" t="str">
        <f t="shared" si="715"/>
        <v xml:space="preserve">N35DC   </v>
      </c>
      <c r="N6435">
        <v>1</v>
      </c>
      <c r="O6435">
        <v>1750</v>
      </c>
    </row>
    <row r="6436" spans="1:15" x14ac:dyDescent="0.25">
      <c r="A6436" t="str">
        <f>"10/21/2020 18:59:20.646"</f>
        <v>10/21/2020 18:59:20.646</v>
      </c>
      <c r="B6436" t="str">
        <f>"18:59:28.586"</f>
        <v>18:59:28.586</v>
      </c>
      <c r="C6436" t="str">
        <f>"18:59:28.386"</f>
        <v>18:59:28.386</v>
      </c>
      <c r="D6436" t="s">
        <v>2690</v>
      </c>
      <c r="E6436">
        <v>30.576625</v>
      </c>
      <c r="F6436" t="s">
        <v>2691</v>
      </c>
      <c r="G6436">
        <v>-89.792310999999998</v>
      </c>
      <c r="H6436">
        <v>1700</v>
      </c>
      <c r="I6436">
        <v>-130</v>
      </c>
      <c r="J6436">
        <v>-108</v>
      </c>
      <c r="K6436">
        <v>-64</v>
      </c>
      <c r="L6436">
        <v>1200</v>
      </c>
      <c r="M6436" t="str">
        <f t="shared" si="715"/>
        <v xml:space="preserve">N35DC   </v>
      </c>
      <c r="N6436">
        <v>1</v>
      </c>
      <c r="O6436">
        <v>1750</v>
      </c>
    </row>
    <row r="6437" spans="1:15" x14ac:dyDescent="0.25">
      <c r="A6437" t="str">
        <f>"10/21/2020 18:59:20.646"</f>
        <v>10/21/2020 18:59:20.646</v>
      </c>
      <c r="B6437" t="str">
        <f>"18:59:28.586"</f>
        <v>18:59:28.586</v>
      </c>
      <c r="C6437" t="str">
        <f>"18:59:28.386"</f>
        <v>18:59:28.386</v>
      </c>
      <c r="D6437" t="s">
        <v>2690</v>
      </c>
      <c r="E6437">
        <v>30.576625</v>
      </c>
      <c r="F6437" t="s">
        <v>2691</v>
      </c>
      <c r="G6437">
        <v>-89.792310999999998</v>
      </c>
      <c r="H6437">
        <v>1700</v>
      </c>
      <c r="I6437">
        <v>-130</v>
      </c>
      <c r="J6437">
        <v>-108</v>
      </c>
      <c r="K6437">
        <v>-64</v>
      </c>
      <c r="L6437">
        <v>1200</v>
      </c>
      <c r="M6437" t="str">
        <f t="shared" si="715"/>
        <v xml:space="preserve">N35DC   </v>
      </c>
      <c r="N6437">
        <v>1</v>
      </c>
      <c r="O6437">
        <v>1750</v>
      </c>
    </row>
    <row r="6438" spans="1:15" x14ac:dyDescent="0.25">
      <c r="A6438" t="str">
        <f>"10/21/2020 18:59:20.646"</f>
        <v>10/21/2020 18:59:20.646</v>
      </c>
      <c r="B6438" t="str">
        <f>"18:59:28.586"</f>
        <v>18:59:28.586</v>
      </c>
      <c r="C6438" t="str">
        <f>"18:59:28.386"</f>
        <v>18:59:28.386</v>
      </c>
      <c r="D6438" t="s">
        <v>2690</v>
      </c>
      <c r="E6438">
        <v>30.576625</v>
      </c>
      <c r="F6438" t="s">
        <v>2691</v>
      </c>
      <c r="G6438">
        <v>-89.792310999999998</v>
      </c>
      <c r="H6438">
        <v>1700</v>
      </c>
      <c r="I6438">
        <v>-130</v>
      </c>
      <c r="J6438">
        <v>-108</v>
      </c>
      <c r="K6438">
        <v>-64</v>
      </c>
      <c r="L6438">
        <v>1200</v>
      </c>
      <c r="M6438" t="str">
        <f t="shared" si="715"/>
        <v xml:space="preserve">N35DC   </v>
      </c>
      <c r="N6438">
        <v>1</v>
      </c>
      <c r="O6438">
        <v>1750</v>
      </c>
    </row>
    <row r="6439" spans="1:15" x14ac:dyDescent="0.25">
      <c r="A6439" t="str">
        <f>"10/21/2020 18:59:20.646"</f>
        <v>10/21/2020 18:59:20.646</v>
      </c>
      <c r="B6439" t="str">
        <f>"18:59:28.586"</f>
        <v>18:59:28.586</v>
      </c>
      <c r="C6439" t="str">
        <f>"18:59:28.386"</f>
        <v>18:59:28.386</v>
      </c>
      <c r="D6439" t="s">
        <v>2690</v>
      </c>
      <c r="E6439">
        <v>30.576625</v>
      </c>
      <c r="F6439" t="s">
        <v>2691</v>
      </c>
      <c r="G6439">
        <v>-89.792310999999998</v>
      </c>
      <c r="H6439">
        <v>1700</v>
      </c>
      <c r="I6439">
        <v>-130</v>
      </c>
      <c r="J6439">
        <v>-108</v>
      </c>
      <c r="K6439">
        <v>-64</v>
      </c>
      <c r="L6439">
        <v>1200</v>
      </c>
      <c r="M6439" t="str">
        <f t="shared" si="715"/>
        <v xml:space="preserve">N35DC   </v>
      </c>
      <c r="N6439">
        <v>1</v>
      </c>
      <c r="O6439">
        <v>1750</v>
      </c>
    </row>
    <row r="6440" spans="1:15" x14ac:dyDescent="0.25">
      <c r="A6440" t="str">
        <f>"10/21/2020 18:59:20.646"</f>
        <v>10/21/2020 18:59:20.646</v>
      </c>
      <c r="B6440" t="str">
        <f>"18:59:28.586"</f>
        <v>18:59:28.586</v>
      </c>
      <c r="C6440" t="str">
        <f>"18:59:28.386"</f>
        <v>18:59:28.386</v>
      </c>
      <c r="D6440" t="s">
        <v>2690</v>
      </c>
      <c r="E6440">
        <v>30.576625</v>
      </c>
      <c r="F6440" t="s">
        <v>2691</v>
      </c>
      <c r="G6440">
        <v>-89.792310999999998</v>
      </c>
      <c r="H6440">
        <v>1700</v>
      </c>
      <c r="I6440">
        <v>-130</v>
      </c>
      <c r="J6440">
        <v>-108</v>
      </c>
      <c r="K6440">
        <v>-64</v>
      </c>
      <c r="L6440">
        <v>1200</v>
      </c>
      <c r="M6440" t="str">
        <f t="shared" si="715"/>
        <v xml:space="preserve">N35DC   </v>
      </c>
      <c r="N6440">
        <v>1</v>
      </c>
      <c r="O6440">
        <v>1750</v>
      </c>
    </row>
    <row r="6441" spans="1:15" x14ac:dyDescent="0.25">
      <c r="A6441" t="str">
        <f>"10/21/2020 18:59:21.652"</f>
        <v>10/21/2020 18:59:21.652</v>
      </c>
      <c r="B6441" t="str">
        <f>"18:59:29.594"</f>
        <v>18:59:29.594</v>
      </c>
      <c r="C6441" t="str">
        <f>"18:59:29.494"</f>
        <v>18:59:29.494</v>
      </c>
      <c r="D6441" t="s">
        <v>2692</v>
      </c>
      <c r="E6441">
        <v>30.57611</v>
      </c>
      <c r="F6441" t="s">
        <v>2693</v>
      </c>
      <c r="G6441">
        <v>-89.793019000000001</v>
      </c>
      <c r="H6441">
        <v>1700</v>
      </c>
      <c r="I6441">
        <v>-131</v>
      </c>
      <c r="J6441">
        <v>-106</v>
      </c>
      <c r="K6441">
        <v>-128</v>
      </c>
      <c r="L6441">
        <v>1200</v>
      </c>
      <c r="M6441" t="str">
        <f t="shared" si="715"/>
        <v xml:space="preserve">N35DC   </v>
      </c>
      <c r="N6441">
        <v>1</v>
      </c>
      <c r="O6441">
        <v>1750</v>
      </c>
    </row>
    <row r="6442" spans="1:15" x14ac:dyDescent="0.25">
      <c r="A6442" t="str">
        <f>"10/21/2020 18:59:21.652"</f>
        <v>10/21/2020 18:59:21.652</v>
      </c>
      <c r="B6442" t="str">
        <f>"18:59:29.594"</f>
        <v>18:59:29.594</v>
      </c>
      <c r="C6442" t="str">
        <f>"18:59:29.494"</f>
        <v>18:59:29.494</v>
      </c>
      <c r="D6442" t="s">
        <v>2692</v>
      </c>
      <c r="E6442">
        <v>30.57611</v>
      </c>
      <c r="F6442" t="s">
        <v>2693</v>
      </c>
      <c r="G6442">
        <v>-89.793019000000001</v>
      </c>
      <c r="H6442">
        <v>1700</v>
      </c>
      <c r="I6442">
        <v>-131</v>
      </c>
      <c r="J6442">
        <v>-106</v>
      </c>
      <c r="K6442">
        <v>-128</v>
      </c>
      <c r="L6442">
        <v>1200</v>
      </c>
      <c r="M6442" t="str">
        <f t="shared" si="715"/>
        <v xml:space="preserve">N35DC   </v>
      </c>
      <c r="N6442">
        <v>1</v>
      </c>
      <c r="O6442">
        <v>1750</v>
      </c>
    </row>
    <row r="6443" spans="1:15" x14ac:dyDescent="0.25">
      <c r="A6443" t="str">
        <f>"10/21/2020 18:59:21.652"</f>
        <v>10/21/2020 18:59:21.652</v>
      </c>
      <c r="B6443" t="str">
        <f>"18:59:29.594"</f>
        <v>18:59:29.594</v>
      </c>
      <c r="C6443" t="str">
        <f>"18:59:29.494"</f>
        <v>18:59:29.494</v>
      </c>
      <c r="D6443" t="s">
        <v>2692</v>
      </c>
      <c r="E6443">
        <v>30.57611</v>
      </c>
      <c r="F6443" t="s">
        <v>2693</v>
      </c>
      <c r="G6443">
        <v>-89.793019000000001</v>
      </c>
      <c r="H6443">
        <v>1700</v>
      </c>
      <c r="I6443">
        <v>-131</v>
      </c>
      <c r="J6443">
        <v>-106</v>
      </c>
      <c r="K6443">
        <v>-128</v>
      </c>
      <c r="L6443">
        <v>1200</v>
      </c>
      <c r="M6443" t="str">
        <f t="shared" si="715"/>
        <v xml:space="preserve">N35DC   </v>
      </c>
      <c r="N6443">
        <v>1</v>
      </c>
      <c r="O6443">
        <v>1750</v>
      </c>
    </row>
    <row r="6444" spans="1:15" x14ac:dyDescent="0.25">
      <c r="A6444" t="str">
        <f>"10/21/2020 18:59:21.652"</f>
        <v>10/21/2020 18:59:21.652</v>
      </c>
      <c r="B6444" t="str">
        <f>"18:59:29.594"</f>
        <v>18:59:29.594</v>
      </c>
      <c r="C6444" t="str">
        <f>"18:59:29.494"</f>
        <v>18:59:29.494</v>
      </c>
      <c r="D6444" t="s">
        <v>2692</v>
      </c>
      <c r="E6444">
        <v>30.57611</v>
      </c>
      <c r="F6444" t="s">
        <v>2693</v>
      </c>
      <c r="G6444">
        <v>-89.793019000000001</v>
      </c>
      <c r="H6444">
        <v>1700</v>
      </c>
      <c r="I6444">
        <v>-131</v>
      </c>
      <c r="J6444">
        <v>-106</v>
      </c>
      <c r="K6444">
        <v>-128</v>
      </c>
      <c r="L6444">
        <v>1200</v>
      </c>
      <c r="M6444" t="str">
        <f t="shared" si="715"/>
        <v xml:space="preserve">N35DC   </v>
      </c>
      <c r="N6444">
        <v>1</v>
      </c>
      <c r="O6444">
        <v>1750</v>
      </c>
    </row>
    <row r="6445" spans="1:15" x14ac:dyDescent="0.25">
      <c r="A6445" t="str">
        <f>"10/21/2020 18:59:21.652"</f>
        <v>10/21/2020 18:59:21.652</v>
      </c>
      <c r="B6445" t="str">
        <f>"18:59:29.594"</f>
        <v>18:59:29.594</v>
      </c>
      <c r="C6445" t="str">
        <f>"18:59:29.494"</f>
        <v>18:59:29.494</v>
      </c>
      <c r="D6445" t="s">
        <v>2692</v>
      </c>
      <c r="E6445">
        <v>30.57611</v>
      </c>
      <c r="F6445" t="s">
        <v>2693</v>
      </c>
      <c r="G6445">
        <v>-89.793019000000001</v>
      </c>
      <c r="H6445">
        <v>1700</v>
      </c>
      <c r="I6445">
        <v>-131</v>
      </c>
      <c r="J6445">
        <v>-106</v>
      </c>
      <c r="K6445">
        <v>-128</v>
      </c>
      <c r="L6445">
        <v>1200</v>
      </c>
      <c r="M6445" t="str">
        <f t="shared" si="715"/>
        <v xml:space="preserve">N35DC   </v>
      </c>
      <c r="N6445">
        <v>1</v>
      </c>
      <c r="O6445">
        <v>1750</v>
      </c>
    </row>
    <row r="6446" spans="1:15" x14ac:dyDescent="0.25">
      <c r="A6446" t="str">
        <f>"10/21/2020 18:59:22.627"</f>
        <v>10/21/2020 18:59:22.627</v>
      </c>
      <c r="B6446" t="str">
        <f>"18:59:30.594"</f>
        <v>18:59:30.594</v>
      </c>
      <c r="C6446" t="str">
        <f>"18:59:30.394"</f>
        <v>18:59:30.394</v>
      </c>
      <c r="D6446" t="s">
        <v>2694</v>
      </c>
      <c r="E6446">
        <v>30.575638000000001</v>
      </c>
      <c r="F6446" t="s">
        <v>2695</v>
      </c>
      <c r="G6446">
        <v>-89.793727000000004</v>
      </c>
      <c r="H6446">
        <v>1700</v>
      </c>
      <c r="I6446">
        <v>-131</v>
      </c>
      <c r="J6446">
        <v>-106</v>
      </c>
      <c r="K6446">
        <v>0</v>
      </c>
      <c r="L6446">
        <v>1200</v>
      </c>
      <c r="M6446" t="str">
        <f t="shared" si="715"/>
        <v xml:space="preserve">N35DC   </v>
      </c>
      <c r="N6446">
        <v>1</v>
      </c>
      <c r="O6446">
        <v>1750</v>
      </c>
    </row>
    <row r="6447" spans="1:15" x14ac:dyDescent="0.25">
      <c r="A6447" t="str">
        <f>"10/21/2020 18:59:22.627"</f>
        <v>10/21/2020 18:59:22.627</v>
      </c>
      <c r="B6447" t="str">
        <f>"18:59:30.594"</f>
        <v>18:59:30.594</v>
      </c>
      <c r="C6447" t="str">
        <f>"18:59:30.394"</f>
        <v>18:59:30.394</v>
      </c>
      <c r="D6447" t="s">
        <v>2694</v>
      </c>
      <c r="E6447">
        <v>30.575638000000001</v>
      </c>
      <c r="F6447" t="s">
        <v>2695</v>
      </c>
      <c r="G6447">
        <v>-89.793727000000004</v>
      </c>
      <c r="H6447">
        <v>1700</v>
      </c>
      <c r="I6447">
        <v>-131</v>
      </c>
      <c r="J6447">
        <v>-106</v>
      </c>
      <c r="K6447">
        <v>0</v>
      </c>
      <c r="L6447">
        <v>1200</v>
      </c>
      <c r="M6447" t="str">
        <f t="shared" si="715"/>
        <v xml:space="preserve">N35DC   </v>
      </c>
      <c r="N6447">
        <v>1</v>
      </c>
      <c r="O6447">
        <v>1750</v>
      </c>
    </row>
    <row r="6448" spans="1:15" x14ac:dyDescent="0.25">
      <c r="A6448" t="str">
        <f>"10/21/2020 18:59:22.627"</f>
        <v>10/21/2020 18:59:22.627</v>
      </c>
      <c r="B6448" t="str">
        <f>"18:59:30.594"</f>
        <v>18:59:30.594</v>
      </c>
      <c r="C6448" t="str">
        <f>"18:59:30.394"</f>
        <v>18:59:30.394</v>
      </c>
      <c r="D6448" t="s">
        <v>2694</v>
      </c>
      <c r="E6448">
        <v>30.575638000000001</v>
      </c>
      <c r="F6448" t="s">
        <v>2695</v>
      </c>
      <c r="G6448">
        <v>-89.793727000000004</v>
      </c>
      <c r="H6448">
        <v>1700</v>
      </c>
      <c r="I6448">
        <v>-131</v>
      </c>
      <c r="J6448">
        <v>-106</v>
      </c>
      <c r="K6448">
        <v>0</v>
      </c>
      <c r="L6448">
        <v>1200</v>
      </c>
      <c r="M6448" t="str">
        <f t="shared" si="715"/>
        <v xml:space="preserve">N35DC   </v>
      </c>
      <c r="N6448">
        <v>1</v>
      </c>
      <c r="O6448">
        <v>1750</v>
      </c>
    </row>
    <row r="6449" spans="1:15" x14ac:dyDescent="0.25">
      <c r="A6449" t="str">
        <f>"10/21/2020 18:59:22.627"</f>
        <v>10/21/2020 18:59:22.627</v>
      </c>
      <c r="B6449" t="str">
        <f>"18:59:30.594"</f>
        <v>18:59:30.594</v>
      </c>
      <c r="C6449" t="str">
        <f>"18:59:30.394"</f>
        <v>18:59:30.394</v>
      </c>
      <c r="D6449" t="s">
        <v>2694</v>
      </c>
      <c r="E6449">
        <v>30.575638000000001</v>
      </c>
      <c r="F6449" t="s">
        <v>2695</v>
      </c>
      <c r="G6449">
        <v>-89.793727000000004</v>
      </c>
      <c r="H6449">
        <v>1700</v>
      </c>
      <c r="I6449">
        <v>-131</v>
      </c>
      <c r="J6449">
        <v>-106</v>
      </c>
      <c r="K6449">
        <v>0</v>
      </c>
      <c r="L6449">
        <v>1200</v>
      </c>
      <c r="M6449" t="str">
        <f t="shared" si="715"/>
        <v xml:space="preserve">N35DC   </v>
      </c>
      <c r="N6449">
        <v>1</v>
      </c>
      <c r="O6449">
        <v>1750</v>
      </c>
    </row>
    <row r="6450" spans="1:15" x14ac:dyDescent="0.25">
      <c r="A6450" t="str">
        <f>"10/21/2020 18:59:22.627"</f>
        <v>10/21/2020 18:59:22.627</v>
      </c>
      <c r="B6450" t="str">
        <f>"18:59:30.594"</f>
        <v>18:59:30.594</v>
      </c>
      <c r="C6450" t="str">
        <f>"18:59:30.394"</f>
        <v>18:59:30.394</v>
      </c>
      <c r="D6450" t="s">
        <v>2694</v>
      </c>
      <c r="E6450">
        <v>30.575638000000001</v>
      </c>
      <c r="F6450" t="s">
        <v>2695</v>
      </c>
      <c r="G6450">
        <v>-89.793727000000004</v>
      </c>
      <c r="H6450">
        <v>1700</v>
      </c>
      <c r="I6450">
        <v>-131</v>
      </c>
      <c r="J6450">
        <v>-106</v>
      </c>
      <c r="K6450">
        <v>0</v>
      </c>
      <c r="L6450">
        <v>1200</v>
      </c>
      <c r="M6450" t="str">
        <f t="shared" si="715"/>
        <v xml:space="preserve">N35DC   </v>
      </c>
      <c r="N6450">
        <v>1</v>
      </c>
      <c r="O6450">
        <v>1750</v>
      </c>
    </row>
    <row r="6451" spans="1:15" x14ac:dyDescent="0.25">
      <c r="A6451" t="str">
        <f>"10/21/2020 18:59:24.709"</f>
        <v>10/21/2020 18:59:24.709</v>
      </c>
      <c r="B6451" t="str">
        <f>"18:59:32.664"</f>
        <v>18:59:32.664</v>
      </c>
      <c r="C6451" t="str">
        <f>"18:59:32.264"</f>
        <v>18:59:32.264</v>
      </c>
      <c r="D6451" t="s">
        <v>2696</v>
      </c>
      <c r="E6451">
        <v>30.574629000000002</v>
      </c>
      <c r="F6451" t="s">
        <v>2697</v>
      </c>
      <c r="G6451">
        <v>-89.795208000000002</v>
      </c>
      <c r="H6451">
        <v>1700</v>
      </c>
      <c r="I6451">
        <v>-133</v>
      </c>
      <c r="J6451">
        <v>-105</v>
      </c>
      <c r="K6451">
        <v>-64</v>
      </c>
      <c r="L6451">
        <v>1200</v>
      </c>
      <c r="M6451" t="str">
        <f t="shared" si="715"/>
        <v xml:space="preserve">N35DC   </v>
      </c>
      <c r="N6451">
        <v>1</v>
      </c>
      <c r="O6451">
        <v>1750</v>
      </c>
    </row>
    <row r="6452" spans="1:15" x14ac:dyDescent="0.25">
      <c r="A6452" t="str">
        <f>"10/21/2020 18:59:24.709"</f>
        <v>10/21/2020 18:59:24.709</v>
      </c>
      <c r="B6452" t="str">
        <f>"18:59:32.664"</f>
        <v>18:59:32.664</v>
      </c>
      <c r="C6452" t="str">
        <f>"18:59:32.264"</f>
        <v>18:59:32.264</v>
      </c>
      <c r="D6452" t="s">
        <v>2696</v>
      </c>
      <c r="E6452">
        <v>30.574629000000002</v>
      </c>
      <c r="F6452" t="s">
        <v>2697</v>
      </c>
      <c r="G6452">
        <v>-89.795208000000002</v>
      </c>
      <c r="H6452">
        <v>1700</v>
      </c>
      <c r="I6452">
        <v>-133</v>
      </c>
      <c r="J6452">
        <v>-105</v>
      </c>
      <c r="K6452">
        <v>-64</v>
      </c>
      <c r="L6452">
        <v>1200</v>
      </c>
      <c r="M6452" t="str">
        <f t="shared" si="715"/>
        <v xml:space="preserve">N35DC   </v>
      </c>
      <c r="N6452">
        <v>1</v>
      </c>
      <c r="O6452">
        <v>1750</v>
      </c>
    </row>
    <row r="6453" spans="1:15" x14ac:dyDescent="0.25">
      <c r="A6453" t="str">
        <f>"10/21/2020 18:59:24.709"</f>
        <v>10/21/2020 18:59:24.709</v>
      </c>
      <c r="B6453" t="str">
        <f>"18:59:32.664"</f>
        <v>18:59:32.664</v>
      </c>
      <c r="C6453" t="str">
        <f>"18:59:32.264"</f>
        <v>18:59:32.264</v>
      </c>
      <c r="D6453" t="s">
        <v>2696</v>
      </c>
      <c r="E6453">
        <v>30.574629000000002</v>
      </c>
      <c r="F6453" t="s">
        <v>2697</v>
      </c>
      <c r="G6453">
        <v>-89.795208000000002</v>
      </c>
      <c r="H6453">
        <v>1700</v>
      </c>
      <c r="I6453">
        <v>-133</v>
      </c>
      <c r="J6453">
        <v>-105</v>
      </c>
      <c r="K6453">
        <v>-64</v>
      </c>
      <c r="L6453">
        <v>1200</v>
      </c>
      <c r="M6453" t="str">
        <f t="shared" si="715"/>
        <v xml:space="preserve">N35DC   </v>
      </c>
      <c r="N6453">
        <v>1</v>
      </c>
      <c r="O6453">
        <v>1750</v>
      </c>
    </row>
    <row r="6454" spans="1:15" x14ac:dyDescent="0.25">
      <c r="A6454" t="str">
        <f>"10/21/2020 18:59:24.709"</f>
        <v>10/21/2020 18:59:24.709</v>
      </c>
      <c r="B6454" t="str">
        <f>"18:59:32.664"</f>
        <v>18:59:32.664</v>
      </c>
      <c r="C6454" t="str">
        <f>"18:59:32.264"</f>
        <v>18:59:32.264</v>
      </c>
      <c r="D6454" t="s">
        <v>2696</v>
      </c>
      <c r="E6454">
        <v>30.574629000000002</v>
      </c>
      <c r="F6454" t="s">
        <v>2697</v>
      </c>
      <c r="G6454">
        <v>-89.795208000000002</v>
      </c>
      <c r="H6454">
        <v>1700</v>
      </c>
      <c r="I6454">
        <v>-133</v>
      </c>
      <c r="J6454">
        <v>-105</v>
      </c>
      <c r="K6454">
        <v>-64</v>
      </c>
      <c r="L6454">
        <v>1200</v>
      </c>
      <c r="M6454" t="str">
        <f t="shared" si="715"/>
        <v xml:space="preserve">N35DC   </v>
      </c>
      <c r="N6454">
        <v>1</v>
      </c>
      <c r="O6454">
        <v>1750</v>
      </c>
    </row>
    <row r="6455" spans="1:15" x14ac:dyDescent="0.25">
      <c r="A6455" t="str">
        <f>"10/21/2020 18:59:24.709"</f>
        <v>10/21/2020 18:59:24.709</v>
      </c>
      <c r="B6455" t="str">
        <f>"18:59:32.664"</f>
        <v>18:59:32.664</v>
      </c>
      <c r="C6455" t="str">
        <f>"18:59:32.264"</f>
        <v>18:59:32.264</v>
      </c>
      <c r="D6455" t="s">
        <v>2696</v>
      </c>
      <c r="E6455">
        <v>30.574629000000002</v>
      </c>
      <c r="F6455" t="s">
        <v>2697</v>
      </c>
      <c r="G6455">
        <v>-89.795208000000002</v>
      </c>
      <c r="H6455">
        <v>1700</v>
      </c>
      <c r="I6455">
        <v>-133</v>
      </c>
      <c r="J6455">
        <v>-105</v>
      </c>
      <c r="K6455">
        <v>-64</v>
      </c>
      <c r="L6455">
        <v>1200</v>
      </c>
      <c r="M6455" t="str">
        <f t="shared" si="715"/>
        <v xml:space="preserve">N35DC   </v>
      </c>
      <c r="N6455">
        <v>1</v>
      </c>
      <c r="O6455">
        <v>1750</v>
      </c>
    </row>
    <row r="6456" spans="1:15" x14ac:dyDescent="0.25">
      <c r="A6456" t="str">
        <f>"10/21/2020 18:59:25.771"</f>
        <v>10/21/2020 18:59:25.771</v>
      </c>
      <c r="B6456" t="str">
        <f>"18:59:33.719"</f>
        <v>18:59:33.719</v>
      </c>
      <c r="C6456" t="str">
        <f>"18:59:33.419"</f>
        <v>18:59:33.419</v>
      </c>
      <c r="D6456" t="s">
        <v>2698</v>
      </c>
      <c r="E6456">
        <v>30.574135999999999</v>
      </c>
      <c r="F6456" t="s">
        <v>2699</v>
      </c>
      <c r="G6456">
        <v>-89.795938000000007</v>
      </c>
      <c r="H6456">
        <v>1700</v>
      </c>
      <c r="I6456">
        <v>-133</v>
      </c>
      <c r="J6456">
        <v>-104</v>
      </c>
      <c r="K6456">
        <v>-64</v>
      </c>
      <c r="L6456">
        <v>1200</v>
      </c>
      <c r="M6456" t="str">
        <f t="shared" si="715"/>
        <v xml:space="preserve">N35DC   </v>
      </c>
      <c r="N6456">
        <v>1</v>
      </c>
      <c r="O6456">
        <v>1750</v>
      </c>
    </row>
    <row r="6457" spans="1:15" x14ac:dyDescent="0.25">
      <c r="A6457" t="str">
        <f>"10/21/2020 18:59:25.771"</f>
        <v>10/21/2020 18:59:25.771</v>
      </c>
      <c r="B6457" t="str">
        <f>"18:59:33.719"</f>
        <v>18:59:33.719</v>
      </c>
      <c r="C6457" t="str">
        <f>"18:59:33.419"</f>
        <v>18:59:33.419</v>
      </c>
      <c r="D6457" t="s">
        <v>2698</v>
      </c>
      <c r="E6457">
        <v>30.574135999999999</v>
      </c>
      <c r="F6457" t="s">
        <v>2699</v>
      </c>
      <c r="G6457">
        <v>-89.795938000000007</v>
      </c>
      <c r="H6457">
        <v>1700</v>
      </c>
      <c r="I6457">
        <v>-133</v>
      </c>
      <c r="J6457">
        <v>-104</v>
      </c>
      <c r="K6457">
        <v>-64</v>
      </c>
      <c r="L6457">
        <v>1200</v>
      </c>
      <c r="M6457" t="str">
        <f t="shared" si="715"/>
        <v xml:space="preserve">N35DC   </v>
      </c>
      <c r="N6457">
        <v>1</v>
      </c>
      <c r="O6457">
        <v>1750</v>
      </c>
    </row>
    <row r="6458" spans="1:15" x14ac:dyDescent="0.25">
      <c r="A6458" t="str">
        <f>"10/21/2020 18:59:25.771"</f>
        <v>10/21/2020 18:59:25.771</v>
      </c>
      <c r="B6458" t="str">
        <f>"18:59:33.719"</f>
        <v>18:59:33.719</v>
      </c>
      <c r="C6458" t="str">
        <f>"18:59:33.419"</f>
        <v>18:59:33.419</v>
      </c>
      <c r="D6458" t="s">
        <v>2698</v>
      </c>
      <c r="E6458">
        <v>30.574135999999999</v>
      </c>
      <c r="F6458" t="s">
        <v>2699</v>
      </c>
      <c r="G6458">
        <v>-89.795938000000007</v>
      </c>
      <c r="H6458">
        <v>1700</v>
      </c>
      <c r="I6458">
        <v>-133</v>
      </c>
      <c r="J6458">
        <v>-104</v>
      </c>
      <c r="K6458">
        <v>-64</v>
      </c>
      <c r="L6458">
        <v>1200</v>
      </c>
      <c r="M6458" t="str">
        <f t="shared" si="715"/>
        <v xml:space="preserve">N35DC   </v>
      </c>
      <c r="N6458">
        <v>1</v>
      </c>
      <c r="O6458">
        <v>1750</v>
      </c>
    </row>
    <row r="6459" spans="1:15" x14ac:dyDescent="0.25">
      <c r="A6459" t="str">
        <f>"10/21/2020 18:59:25.771"</f>
        <v>10/21/2020 18:59:25.771</v>
      </c>
      <c r="B6459" t="str">
        <f>"18:59:33.711"</f>
        <v>18:59:33.711</v>
      </c>
      <c r="C6459" t="str">
        <f>"18:59:33.411"</f>
        <v>18:59:33.411</v>
      </c>
      <c r="D6459" t="s">
        <v>2698</v>
      </c>
      <c r="E6459">
        <v>30.574135999999999</v>
      </c>
      <c r="F6459" t="s">
        <v>2699</v>
      </c>
      <c r="G6459">
        <v>-89.795938000000007</v>
      </c>
      <c r="H6459">
        <v>1700</v>
      </c>
      <c r="I6459">
        <v>-133</v>
      </c>
      <c r="J6459">
        <v>-104</v>
      </c>
      <c r="K6459">
        <v>-64</v>
      </c>
      <c r="L6459">
        <v>1200</v>
      </c>
      <c r="M6459" t="str">
        <f t="shared" si="715"/>
        <v xml:space="preserve">N35DC   </v>
      </c>
      <c r="N6459">
        <v>1</v>
      </c>
      <c r="O6459">
        <v>1750</v>
      </c>
    </row>
    <row r="6460" spans="1:15" x14ac:dyDescent="0.25">
      <c r="A6460" t="str">
        <f>"10/21/2020 18:59:25.771"</f>
        <v>10/21/2020 18:59:25.771</v>
      </c>
      <c r="B6460" t="str">
        <f>"18:59:33.719"</f>
        <v>18:59:33.719</v>
      </c>
      <c r="C6460" t="str">
        <f>"18:59:33.419"</f>
        <v>18:59:33.419</v>
      </c>
      <c r="D6460" t="s">
        <v>2698</v>
      </c>
      <c r="E6460">
        <v>30.574135999999999</v>
      </c>
      <c r="F6460" t="s">
        <v>2699</v>
      </c>
      <c r="G6460">
        <v>-89.795938000000007</v>
      </c>
      <c r="H6460">
        <v>1700</v>
      </c>
      <c r="I6460">
        <v>-133</v>
      </c>
      <c r="J6460">
        <v>-104</v>
      </c>
      <c r="K6460">
        <v>-64</v>
      </c>
      <c r="L6460">
        <v>1200</v>
      </c>
      <c r="M6460" t="str">
        <f t="shared" si="715"/>
        <v xml:space="preserve">N35DC   </v>
      </c>
      <c r="N6460">
        <v>1</v>
      </c>
      <c r="O6460">
        <v>1750</v>
      </c>
    </row>
    <row r="6461" spans="1:15" x14ac:dyDescent="0.25">
      <c r="A6461" t="str">
        <f>"10/21/2020 18:59:27.832"</f>
        <v>10/21/2020 18:59:27.832</v>
      </c>
      <c r="B6461" t="str">
        <f>"18:59:35.773"</f>
        <v>18:59:35.773</v>
      </c>
      <c r="C6461" t="str">
        <f>"18:59:35.373"</f>
        <v>18:59:35.373</v>
      </c>
      <c r="D6461" t="s">
        <v>2700</v>
      </c>
      <c r="E6461">
        <v>30.573126999999999</v>
      </c>
      <c r="F6461" t="s">
        <v>2701</v>
      </c>
      <c r="G6461">
        <v>-89.797397000000004</v>
      </c>
      <c r="H6461">
        <v>1700</v>
      </c>
      <c r="I6461">
        <v>-133</v>
      </c>
      <c r="J6461">
        <v>-105</v>
      </c>
      <c r="K6461">
        <v>-192</v>
      </c>
      <c r="L6461">
        <v>1200</v>
      </c>
      <c r="M6461" t="str">
        <f t="shared" si="715"/>
        <v xml:space="preserve">N35DC   </v>
      </c>
      <c r="N6461">
        <v>1</v>
      </c>
      <c r="O6461">
        <v>1725</v>
      </c>
    </row>
    <row r="6462" spans="1:15" x14ac:dyDescent="0.25">
      <c r="A6462" t="str">
        <f>"10/21/2020 18:59:27.832"</f>
        <v>10/21/2020 18:59:27.832</v>
      </c>
      <c r="B6462" t="str">
        <f>"18:59:35.773"</f>
        <v>18:59:35.773</v>
      </c>
      <c r="C6462" t="str">
        <f>"18:59:35.373"</f>
        <v>18:59:35.373</v>
      </c>
      <c r="D6462" t="s">
        <v>2700</v>
      </c>
      <c r="E6462">
        <v>30.573126999999999</v>
      </c>
      <c r="F6462" t="s">
        <v>2701</v>
      </c>
      <c r="G6462">
        <v>-89.797397000000004</v>
      </c>
      <c r="H6462">
        <v>1700</v>
      </c>
      <c r="I6462">
        <v>-133</v>
      </c>
      <c r="J6462">
        <v>-105</v>
      </c>
      <c r="K6462">
        <v>-192</v>
      </c>
      <c r="L6462">
        <v>1200</v>
      </c>
      <c r="M6462" t="str">
        <f t="shared" si="715"/>
        <v xml:space="preserve">N35DC   </v>
      </c>
      <c r="N6462">
        <v>1</v>
      </c>
      <c r="O6462">
        <v>1725</v>
      </c>
    </row>
    <row r="6463" spans="1:15" x14ac:dyDescent="0.25">
      <c r="A6463" t="str">
        <f>"10/21/2020 18:59:27.832"</f>
        <v>10/21/2020 18:59:27.832</v>
      </c>
      <c r="B6463" t="str">
        <f>"18:59:35.773"</f>
        <v>18:59:35.773</v>
      </c>
      <c r="C6463" t="str">
        <f>"18:59:35.373"</f>
        <v>18:59:35.373</v>
      </c>
      <c r="D6463" t="s">
        <v>2700</v>
      </c>
      <c r="E6463">
        <v>30.573126999999999</v>
      </c>
      <c r="F6463" t="s">
        <v>2701</v>
      </c>
      <c r="G6463">
        <v>-89.797397000000004</v>
      </c>
      <c r="H6463">
        <v>1700</v>
      </c>
      <c r="I6463">
        <v>-133</v>
      </c>
      <c r="J6463">
        <v>-105</v>
      </c>
      <c r="K6463">
        <v>-192</v>
      </c>
      <c r="L6463">
        <v>1200</v>
      </c>
      <c r="M6463" t="str">
        <f t="shared" si="715"/>
        <v xml:space="preserve">N35DC   </v>
      </c>
      <c r="N6463">
        <v>1</v>
      </c>
      <c r="O6463">
        <v>1725</v>
      </c>
    </row>
    <row r="6464" spans="1:15" x14ac:dyDescent="0.25">
      <c r="A6464" t="str">
        <f>"10/21/2020 18:59:27.832"</f>
        <v>10/21/2020 18:59:27.832</v>
      </c>
      <c r="B6464" t="str">
        <f>"18:59:35.773"</f>
        <v>18:59:35.773</v>
      </c>
      <c r="C6464" t="str">
        <f>"18:59:35.373"</f>
        <v>18:59:35.373</v>
      </c>
      <c r="D6464" t="s">
        <v>2700</v>
      </c>
      <c r="E6464">
        <v>30.573126999999999</v>
      </c>
      <c r="F6464" t="s">
        <v>2701</v>
      </c>
      <c r="G6464">
        <v>-89.797397000000004</v>
      </c>
      <c r="H6464">
        <v>1700</v>
      </c>
      <c r="I6464">
        <v>-133</v>
      </c>
      <c r="J6464">
        <v>-105</v>
      </c>
      <c r="K6464">
        <v>-192</v>
      </c>
      <c r="L6464">
        <v>1200</v>
      </c>
      <c r="M6464" t="str">
        <f t="shared" si="715"/>
        <v xml:space="preserve">N35DC   </v>
      </c>
      <c r="N6464">
        <v>1</v>
      </c>
      <c r="O6464">
        <v>1725</v>
      </c>
    </row>
    <row r="6465" spans="1:15" x14ac:dyDescent="0.25">
      <c r="A6465" t="str">
        <f>"10/21/2020 18:59:27.832"</f>
        <v>10/21/2020 18:59:27.832</v>
      </c>
      <c r="B6465" t="str">
        <f>"18:59:35.773"</f>
        <v>18:59:35.773</v>
      </c>
      <c r="C6465" t="str">
        <f>"18:59:35.373"</f>
        <v>18:59:35.373</v>
      </c>
      <c r="D6465" t="s">
        <v>2700</v>
      </c>
      <c r="E6465">
        <v>30.573126999999999</v>
      </c>
      <c r="F6465" t="s">
        <v>2701</v>
      </c>
      <c r="G6465">
        <v>-89.797397000000004</v>
      </c>
      <c r="H6465">
        <v>1700</v>
      </c>
      <c r="I6465">
        <v>-133</v>
      </c>
      <c r="J6465">
        <v>-105</v>
      </c>
      <c r="K6465">
        <v>-192</v>
      </c>
      <c r="L6465">
        <v>1200</v>
      </c>
      <c r="M6465" t="str">
        <f t="shared" si="715"/>
        <v xml:space="preserve">N35DC   </v>
      </c>
      <c r="N6465">
        <v>1</v>
      </c>
      <c r="O6465">
        <v>1725</v>
      </c>
    </row>
    <row r="6466" spans="1:15" x14ac:dyDescent="0.25">
      <c r="A6466" t="str">
        <f>"10/21/2020 18:59:28.890"</f>
        <v>10/21/2020 18:59:28.890</v>
      </c>
      <c r="B6466" t="str">
        <f t="shared" ref="B6466:C6470" si="718">"18:59:36.836"</f>
        <v>18:59:36.836</v>
      </c>
      <c r="C6466" t="str">
        <f t="shared" si="718"/>
        <v>18:59:36.836</v>
      </c>
      <c r="D6466" t="s">
        <v>2702</v>
      </c>
      <c r="E6466">
        <v>30.572611999999999</v>
      </c>
      <c r="F6466" t="s">
        <v>2703</v>
      </c>
      <c r="G6466">
        <v>-89.798147999999998</v>
      </c>
      <c r="H6466">
        <v>1700</v>
      </c>
      <c r="I6466">
        <v>-133</v>
      </c>
      <c r="J6466">
        <v>-106</v>
      </c>
      <c r="K6466">
        <v>0</v>
      </c>
      <c r="L6466">
        <v>1200</v>
      </c>
      <c r="M6466" t="str">
        <f t="shared" si="715"/>
        <v xml:space="preserve">N35DC   </v>
      </c>
      <c r="N6466">
        <v>1</v>
      </c>
      <c r="O6466">
        <v>1725</v>
      </c>
    </row>
    <row r="6467" spans="1:15" x14ac:dyDescent="0.25">
      <c r="A6467" t="str">
        <f>"10/21/2020 18:59:28.890"</f>
        <v>10/21/2020 18:59:28.890</v>
      </c>
      <c r="B6467" t="str">
        <f t="shared" si="718"/>
        <v>18:59:36.836</v>
      </c>
      <c r="C6467" t="str">
        <f t="shared" si="718"/>
        <v>18:59:36.836</v>
      </c>
      <c r="D6467" t="s">
        <v>2702</v>
      </c>
      <c r="E6467">
        <v>30.572611999999999</v>
      </c>
      <c r="F6467" t="s">
        <v>2703</v>
      </c>
      <c r="G6467">
        <v>-89.798147999999998</v>
      </c>
      <c r="H6467">
        <v>1700</v>
      </c>
      <c r="I6467">
        <v>-133</v>
      </c>
      <c r="J6467">
        <v>-106</v>
      </c>
      <c r="K6467">
        <v>0</v>
      </c>
      <c r="L6467">
        <v>1200</v>
      </c>
      <c r="M6467" t="str">
        <f t="shared" si="715"/>
        <v xml:space="preserve">N35DC   </v>
      </c>
      <c r="N6467">
        <v>1</v>
      </c>
      <c r="O6467">
        <v>1725</v>
      </c>
    </row>
    <row r="6468" spans="1:15" x14ac:dyDescent="0.25">
      <c r="A6468" t="str">
        <f>"10/21/2020 18:59:28.890"</f>
        <v>10/21/2020 18:59:28.890</v>
      </c>
      <c r="B6468" t="str">
        <f t="shared" si="718"/>
        <v>18:59:36.836</v>
      </c>
      <c r="C6468" t="str">
        <f t="shared" si="718"/>
        <v>18:59:36.836</v>
      </c>
      <c r="D6468" t="s">
        <v>2702</v>
      </c>
      <c r="E6468">
        <v>30.572611999999999</v>
      </c>
      <c r="F6468" t="s">
        <v>2703</v>
      </c>
      <c r="G6468">
        <v>-89.798147999999998</v>
      </c>
      <c r="H6468">
        <v>1700</v>
      </c>
      <c r="I6468">
        <v>-133</v>
      </c>
      <c r="J6468">
        <v>-106</v>
      </c>
      <c r="K6468">
        <v>0</v>
      </c>
      <c r="L6468">
        <v>1200</v>
      </c>
      <c r="M6468" t="str">
        <f t="shared" si="715"/>
        <v xml:space="preserve">N35DC   </v>
      </c>
      <c r="N6468">
        <v>1</v>
      </c>
      <c r="O6468">
        <v>1725</v>
      </c>
    </row>
    <row r="6469" spans="1:15" x14ac:dyDescent="0.25">
      <c r="A6469" t="str">
        <f>"10/21/2020 18:59:28.890"</f>
        <v>10/21/2020 18:59:28.890</v>
      </c>
      <c r="B6469" t="str">
        <f t="shared" si="718"/>
        <v>18:59:36.836</v>
      </c>
      <c r="C6469" t="str">
        <f t="shared" si="718"/>
        <v>18:59:36.836</v>
      </c>
      <c r="D6469" t="s">
        <v>2702</v>
      </c>
      <c r="E6469">
        <v>30.572611999999999</v>
      </c>
      <c r="F6469" t="s">
        <v>2703</v>
      </c>
      <c r="G6469">
        <v>-89.798147999999998</v>
      </c>
      <c r="H6469">
        <v>1700</v>
      </c>
      <c r="I6469">
        <v>-133</v>
      </c>
      <c r="J6469">
        <v>-106</v>
      </c>
      <c r="K6469">
        <v>0</v>
      </c>
      <c r="L6469">
        <v>1200</v>
      </c>
      <c r="M6469" t="str">
        <f t="shared" si="715"/>
        <v xml:space="preserve">N35DC   </v>
      </c>
      <c r="N6469">
        <v>1</v>
      </c>
      <c r="O6469">
        <v>1725</v>
      </c>
    </row>
    <row r="6470" spans="1:15" x14ac:dyDescent="0.25">
      <c r="A6470" t="str">
        <f>"10/21/2020 18:59:28.890"</f>
        <v>10/21/2020 18:59:28.890</v>
      </c>
      <c r="B6470" t="str">
        <f t="shared" si="718"/>
        <v>18:59:36.836</v>
      </c>
      <c r="C6470" t="str">
        <f t="shared" si="718"/>
        <v>18:59:36.836</v>
      </c>
      <c r="D6470" t="s">
        <v>2702</v>
      </c>
      <c r="E6470">
        <v>30.572611999999999</v>
      </c>
      <c r="F6470" t="s">
        <v>2703</v>
      </c>
      <c r="G6470">
        <v>-89.798147999999998</v>
      </c>
      <c r="H6470">
        <v>1700</v>
      </c>
      <c r="I6470">
        <v>-133</v>
      </c>
      <c r="J6470">
        <v>-106</v>
      </c>
      <c r="K6470">
        <v>0</v>
      </c>
      <c r="L6470">
        <v>1200</v>
      </c>
      <c r="M6470" t="str">
        <f t="shared" si="715"/>
        <v xml:space="preserve">N35DC   </v>
      </c>
      <c r="N6470">
        <v>1</v>
      </c>
      <c r="O6470">
        <v>1725</v>
      </c>
    </row>
    <row r="6471" spans="1:15" x14ac:dyDescent="0.25">
      <c r="A6471" t="str">
        <f>"10/21/2020 18:59:32.024"</f>
        <v>10/21/2020 18:59:32.024</v>
      </c>
      <c r="B6471" t="str">
        <f>"18:59:39.953"</f>
        <v>18:59:39.953</v>
      </c>
      <c r="C6471" t="str">
        <f>"18:59:39.753"</f>
        <v>18:59:39.753</v>
      </c>
      <c r="D6471" t="s">
        <v>2704</v>
      </c>
      <c r="E6471">
        <v>30.571045999999999</v>
      </c>
      <c r="F6471" t="s">
        <v>2705</v>
      </c>
      <c r="G6471">
        <v>-89.800379000000007</v>
      </c>
      <c r="H6471">
        <v>1700</v>
      </c>
      <c r="I6471">
        <v>-131</v>
      </c>
      <c r="J6471">
        <v>-107</v>
      </c>
      <c r="K6471">
        <v>64</v>
      </c>
      <c r="L6471">
        <v>1200</v>
      </c>
      <c r="M6471" t="str">
        <f t="shared" ref="M6471:M6534" si="719">"N35DC   "</f>
        <v xml:space="preserve">N35DC   </v>
      </c>
      <c r="N6471">
        <v>1</v>
      </c>
      <c r="O6471">
        <v>1725</v>
      </c>
    </row>
    <row r="6472" spans="1:15" x14ac:dyDescent="0.25">
      <c r="A6472" t="str">
        <f>"10/21/2020 18:59:32.024"</f>
        <v>10/21/2020 18:59:32.024</v>
      </c>
      <c r="B6472" t="str">
        <f>"18:59:39.953"</f>
        <v>18:59:39.953</v>
      </c>
      <c r="C6472" t="str">
        <f>"18:59:39.753"</f>
        <v>18:59:39.753</v>
      </c>
      <c r="D6472" t="s">
        <v>2704</v>
      </c>
      <c r="E6472">
        <v>30.571045999999999</v>
      </c>
      <c r="F6472" t="s">
        <v>2705</v>
      </c>
      <c r="G6472">
        <v>-89.800379000000007</v>
      </c>
      <c r="H6472">
        <v>1700</v>
      </c>
      <c r="I6472">
        <v>-131</v>
      </c>
      <c r="J6472">
        <v>-107</v>
      </c>
      <c r="K6472">
        <v>64</v>
      </c>
      <c r="L6472">
        <v>1200</v>
      </c>
      <c r="M6472" t="str">
        <f t="shared" si="719"/>
        <v xml:space="preserve">N35DC   </v>
      </c>
      <c r="N6472">
        <v>1</v>
      </c>
      <c r="O6472">
        <v>1725</v>
      </c>
    </row>
    <row r="6473" spans="1:15" x14ac:dyDescent="0.25">
      <c r="A6473" t="str">
        <f>"10/21/2020 18:59:32.024"</f>
        <v>10/21/2020 18:59:32.024</v>
      </c>
      <c r="B6473" t="str">
        <f>"18:59:39.953"</f>
        <v>18:59:39.953</v>
      </c>
      <c r="C6473" t="str">
        <f>"18:59:39.753"</f>
        <v>18:59:39.753</v>
      </c>
      <c r="D6473" t="s">
        <v>2704</v>
      </c>
      <c r="E6473">
        <v>30.571045999999999</v>
      </c>
      <c r="F6473" t="s">
        <v>2705</v>
      </c>
      <c r="G6473">
        <v>-89.800379000000007</v>
      </c>
      <c r="H6473">
        <v>1700</v>
      </c>
      <c r="I6473">
        <v>-131</v>
      </c>
      <c r="J6473">
        <v>-107</v>
      </c>
      <c r="K6473">
        <v>64</v>
      </c>
      <c r="L6473">
        <v>1200</v>
      </c>
      <c r="M6473" t="str">
        <f t="shared" si="719"/>
        <v xml:space="preserve">N35DC   </v>
      </c>
      <c r="N6473">
        <v>1</v>
      </c>
      <c r="O6473">
        <v>1725</v>
      </c>
    </row>
    <row r="6474" spans="1:15" x14ac:dyDescent="0.25">
      <c r="A6474" t="str">
        <f>"10/21/2020 18:59:32.024"</f>
        <v>10/21/2020 18:59:32.024</v>
      </c>
      <c r="B6474" t="str">
        <f>"18:59:39.953"</f>
        <v>18:59:39.953</v>
      </c>
      <c r="C6474" t="str">
        <f>"18:59:39.753"</f>
        <v>18:59:39.753</v>
      </c>
      <c r="D6474" t="s">
        <v>2704</v>
      </c>
      <c r="E6474">
        <v>30.571045999999999</v>
      </c>
      <c r="F6474" t="s">
        <v>2705</v>
      </c>
      <c r="G6474">
        <v>-89.800379000000007</v>
      </c>
      <c r="H6474">
        <v>1700</v>
      </c>
      <c r="I6474">
        <v>-131</v>
      </c>
      <c r="J6474">
        <v>-107</v>
      </c>
      <c r="K6474">
        <v>64</v>
      </c>
      <c r="L6474">
        <v>1200</v>
      </c>
      <c r="M6474" t="str">
        <f t="shared" si="719"/>
        <v xml:space="preserve">N35DC   </v>
      </c>
      <c r="N6474">
        <v>1</v>
      </c>
      <c r="O6474">
        <v>1725</v>
      </c>
    </row>
    <row r="6475" spans="1:15" x14ac:dyDescent="0.25">
      <c r="A6475" t="str">
        <f>"10/21/2020 18:59:32.024"</f>
        <v>10/21/2020 18:59:32.024</v>
      </c>
      <c r="B6475" t="str">
        <f>"18:59:39.953"</f>
        <v>18:59:39.953</v>
      </c>
      <c r="C6475" t="str">
        <f>"18:59:39.753"</f>
        <v>18:59:39.753</v>
      </c>
      <c r="D6475" t="s">
        <v>2704</v>
      </c>
      <c r="E6475">
        <v>30.571045999999999</v>
      </c>
      <c r="F6475" t="s">
        <v>2705</v>
      </c>
      <c r="G6475">
        <v>-89.800379000000007</v>
      </c>
      <c r="H6475">
        <v>1700</v>
      </c>
      <c r="I6475">
        <v>-131</v>
      </c>
      <c r="J6475">
        <v>-107</v>
      </c>
      <c r="K6475">
        <v>64</v>
      </c>
      <c r="L6475">
        <v>1200</v>
      </c>
      <c r="M6475" t="str">
        <f t="shared" si="719"/>
        <v xml:space="preserve">N35DC   </v>
      </c>
      <c r="N6475">
        <v>1</v>
      </c>
      <c r="O6475">
        <v>1725</v>
      </c>
    </row>
    <row r="6476" spans="1:15" x14ac:dyDescent="0.25">
      <c r="A6476" t="str">
        <f>"10/21/2020 18:59:32.897"</f>
        <v>10/21/2020 18:59:32.897</v>
      </c>
      <c r="B6476" t="str">
        <f t="shared" ref="B6476:C6480" si="720">"18:59:40.836"</f>
        <v>18:59:40.836</v>
      </c>
      <c r="C6476" t="str">
        <f t="shared" si="720"/>
        <v>18:59:40.836</v>
      </c>
      <c r="D6476" t="s">
        <v>2706</v>
      </c>
      <c r="E6476">
        <v>30.570595000000001</v>
      </c>
      <c r="F6476" t="s">
        <v>2707</v>
      </c>
      <c r="G6476">
        <v>-89.801001999999997</v>
      </c>
      <c r="H6476">
        <v>1700</v>
      </c>
      <c r="I6476">
        <v>-131</v>
      </c>
      <c r="J6476">
        <v>-108</v>
      </c>
      <c r="K6476">
        <v>64</v>
      </c>
      <c r="L6476">
        <v>1200</v>
      </c>
      <c r="M6476" t="str">
        <f t="shared" si="719"/>
        <v xml:space="preserve">N35DC   </v>
      </c>
      <c r="N6476">
        <v>1</v>
      </c>
      <c r="O6476">
        <v>1725</v>
      </c>
    </row>
    <row r="6477" spans="1:15" x14ac:dyDescent="0.25">
      <c r="A6477" t="str">
        <f>"10/21/2020 18:59:32.897"</f>
        <v>10/21/2020 18:59:32.897</v>
      </c>
      <c r="B6477" t="str">
        <f t="shared" si="720"/>
        <v>18:59:40.836</v>
      </c>
      <c r="C6477" t="str">
        <f t="shared" si="720"/>
        <v>18:59:40.836</v>
      </c>
      <c r="D6477" t="s">
        <v>2706</v>
      </c>
      <c r="E6477">
        <v>30.570595000000001</v>
      </c>
      <c r="F6477" t="s">
        <v>2707</v>
      </c>
      <c r="G6477">
        <v>-89.801001999999997</v>
      </c>
      <c r="H6477">
        <v>1700</v>
      </c>
      <c r="I6477">
        <v>-131</v>
      </c>
      <c r="J6477">
        <v>-108</v>
      </c>
      <c r="K6477">
        <v>64</v>
      </c>
      <c r="L6477">
        <v>1200</v>
      </c>
      <c r="M6477" t="str">
        <f t="shared" si="719"/>
        <v xml:space="preserve">N35DC   </v>
      </c>
      <c r="N6477">
        <v>1</v>
      </c>
      <c r="O6477">
        <v>1725</v>
      </c>
    </row>
    <row r="6478" spans="1:15" x14ac:dyDescent="0.25">
      <c r="A6478" t="str">
        <f>"10/21/2020 18:59:32.897"</f>
        <v>10/21/2020 18:59:32.897</v>
      </c>
      <c r="B6478" t="str">
        <f t="shared" si="720"/>
        <v>18:59:40.836</v>
      </c>
      <c r="C6478" t="str">
        <f t="shared" si="720"/>
        <v>18:59:40.836</v>
      </c>
      <c r="D6478" t="s">
        <v>2706</v>
      </c>
      <c r="E6478">
        <v>30.570595000000001</v>
      </c>
      <c r="F6478" t="s">
        <v>2707</v>
      </c>
      <c r="G6478">
        <v>-89.801001999999997</v>
      </c>
      <c r="H6478">
        <v>1700</v>
      </c>
      <c r="I6478">
        <v>-131</v>
      </c>
      <c r="J6478">
        <v>-108</v>
      </c>
      <c r="K6478">
        <v>64</v>
      </c>
      <c r="L6478">
        <v>1200</v>
      </c>
      <c r="M6478" t="str">
        <f t="shared" si="719"/>
        <v xml:space="preserve">N35DC   </v>
      </c>
      <c r="N6478">
        <v>1</v>
      </c>
      <c r="O6478">
        <v>1725</v>
      </c>
    </row>
    <row r="6479" spans="1:15" x14ac:dyDescent="0.25">
      <c r="A6479" t="str">
        <f>"10/21/2020 18:59:32.897"</f>
        <v>10/21/2020 18:59:32.897</v>
      </c>
      <c r="B6479" t="str">
        <f t="shared" si="720"/>
        <v>18:59:40.836</v>
      </c>
      <c r="C6479" t="str">
        <f t="shared" si="720"/>
        <v>18:59:40.836</v>
      </c>
      <c r="D6479" t="s">
        <v>2706</v>
      </c>
      <c r="E6479">
        <v>30.570595000000001</v>
      </c>
      <c r="F6479" t="s">
        <v>2707</v>
      </c>
      <c r="G6479">
        <v>-89.801001999999997</v>
      </c>
      <c r="H6479">
        <v>1700</v>
      </c>
      <c r="I6479">
        <v>-131</v>
      </c>
      <c r="J6479">
        <v>-108</v>
      </c>
      <c r="K6479">
        <v>64</v>
      </c>
      <c r="L6479">
        <v>1200</v>
      </c>
      <c r="M6479" t="str">
        <f t="shared" si="719"/>
        <v xml:space="preserve">N35DC   </v>
      </c>
      <c r="N6479">
        <v>1</v>
      </c>
      <c r="O6479">
        <v>1725</v>
      </c>
    </row>
    <row r="6480" spans="1:15" x14ac:dyDescent="0.25">
      <c r="A6480" t="str">
        <f>"10/21/2020 18:59:32.897"</f>
        <v>10/21/2020 18:59:32.897</v>
      </c>
      <c r="B6480" t="str">
        <f t="shared" si="720"/>
        <v>18:59:40.836</v>
      </c>
      <c r="C6480" t="str">
        <f t="shared" si="720"/>
        <v>18:59:40.836</v>
      </c>
      <c r="D6480" t="s">
        <v>2706</v>
      </c>
      <c r="E6480">
        <v>30.570595000000001</v>
      </c>
      <c r="F6480" t="s">
        <v>2707</v>
      </c>
      <c r="G6480">
        <v>-89.801001999999997</v>
      </c>
      <c r="H6480">
        <v>1700</v>
      </c>
      <c r="I6480">
        <v>-131</v>
      </c>
      <c r="J6480">
        <v>-108</v>
      </c>
      <c r="K6480">
        <v>64</v>
      </c>
      <c r="L6480">
        <v>1200</v>
      </c>
      <c r="M6480" t="str">
        <f t="shared" si="719"/>
        <v xml:space="preserve">N35DC   </v>
      </c>
      <c r="N6480">
        <v>1</v>
      </c>
      <c r="O6480">
        <v>1725</v>
      </c>
    </row>
    <row r="6481" spans="1:15" x14ac:dyDescent="0.25">
      <c r="A6481" t="str">
        <f>"10/21/2020 18:59:33.792"</f>
        <v>10/21/2020 18:59:33.792</v>
      </c>
      <c r="B6481" t="str">
        <f>"18:59:41.742"</f>
        <v>18:59:41.742</v>
      </c>
      <c r="C6481" t="str">
        <f>"18:59:41.442"</f>
        <v>18:59:41.442</v>
      </c>
      <c r="D6481" t="s">
        <v>2708</v>
      </c>
      <c r="E6481">
        <v>30.570145</v>
      </c>
      <c r="F6481" t="s">
        <v>2709</v>
      </c>
      <c r="G6481">
        <v>-89.801644999999994</v>
      </c>
      <c r="H6481">
        <v>1700</v>
      </c>
      <c r="I6481">
        <v>-130</v>
      </c>
      <c r="J6481">
        <v>-108</v>
      </c>
      <c r="K6481">
        <v>0</v>
      </c>
      <c r="L6481">
        <v>1200</v>
      </c>
      <c r="M6481" t="str">
        <f t="shared" si="719"/>
        <v xml:space="preserve">N35DC   </v>
      </c>
      <c r="N6481">
        <v>1</v>
      </c>
      <c r="O6481">
        <v>1725</v>
      </c>
    </row>
    <row r="6482" spans="1:15" x14ac:dyDescent="0.25">
      <c r="A6482" t="str">
        <f>"10/21/2020 18:59:33.792"</f>
        <v>10/21/2020 18:59:33.792</v>
      </c>
      <c r="B6482" t="str">
        <f>"18:59:41.742"</f>
        <v>18:59:41.742</v>
      </c>
      <c r="C6482" t="str">
        <f>"18:59:41.442"</f>
        <v>18:59:41.442</v>
      </c>
      <c r="D6482" t="s">
        <v>2708</v>
      </c>
      <c r="E6482">
        <v>30.570145</v>
      </c>
      <c r="F6482" t="s">
        <v>2709</v>
      </c>
      <c r="G6482">
        <v>-89.801644999999994</v>
      </c>
      <c r="H6482">
        <v>1700</v>
      </c>
      <c r="I6482">
        <v>-130</v>
      </c>
      <c r="J6482">
        <v>-108</v>
      </c>
      <c r="K6482">
        <v>0</v>
      </c>
      <c r="L6482">
        <v>1200</v>
      </c>
      <c r="M6482" t="str">
        <f t="shared" si="719"/>
        <v xml:space="preserve">N35DC   </v>
      </c>
      <c r="N6482">
        <v>1</v>
      </c>
      <c r="O6482">
        <v>1725</v>
      </c>
    </row>
    <row r="6483" spans="1:15" x14ac:dyDescent="0.25">
      <c r="A6483" t="str">
        <f>"10/21/2020 18:59:33.792"</f>
        <v>10/21/2020 18:59:33.792</v>
      </c>
      <c r="B6483" t="str">
        <f>"18:59:41.742"</f>
        <v>18:59:41.742</v>
      </c>
      <c r="C6483" t="str">
        <f>"18:59:41.442"</f>
        <v>18:59:41.442</v>
      </c>
      <c r="D6483" t="s">
        <v>2708</v>
      </c>
      <c r="E6483">
        <v>30.570145</v>
      </c>
      <c r="F6483" t="s">
        <v>2709</v>
      </c>
      <c r="G6483">
        <v>-89.801644999999994</v>
      </c>
      <c r="H6483">
        <v>1700</v>
      </c>
      <c r="I6483">
        <v>-130</v>
      </c>
      <c r="J6483">
        <v>-108</v>
      </c>
      <c r="K6483">
        <v>0</v>
      </c>
      <c r="L6483">
        <v>1200</v>
      </c>
      <c r="M6483" t="str">
        <f t="shared" si="719"/>
        <v xml:space="preserve">N35DC   </v>
      </c>
      <c r="N6483">
        <v>1</v>
      </c>
      <c r="O6483">
        <v>1725</v>
      </c>
    </row>
    <row r="6484" spans="1:15" x14ac:dyDescent="0.25">
      <c r="A6484" t="str">
        <f>"10/21/2020 18:59:33.792"</f>
        <v>10/21/2020 18:59:33.792</v>
      </c>
      <c r="B6484" t="str">
        <f>"18:59:41.742"</f>
        <v>18:59:41.742</v>
      </c>
      <c r="C6484" t="str">
        <f>"18:59:41.442"</f>
        <v>18:59:41.442</v>
      </c>
      <c r="D6484" t="s">
        <v>2708</v>
      </c>
      <c r="E6484">
        <v>30.570145</v>
      </c>
      <c r="F6484" t="s">
        <v>2709</v>
      </c>
      <c r="G6484">
        <v>-89.801644999999994</v>
      </c>
      <c r="H6484">
        <v>1700</v>
      </c>
      <c r="I6484">
        <v>-130</v>
      </c>
      <c r="J6484">
        <v>-108</v>
      </c>
      <c r="K6484">
        <v>0</v>
      </c>
      <c r="L6484">
        <v>1200</v>
      </c>
      <c r="M6484" t="str">
        <f t="shared" si="719"/>
        <v xml:space="preserve">N35DC   </v>
      </c>
      <c r="N6484">
        <v>1</v>
      </c>
      <c r="O6484">
        <v>1725</v>
      </c>
    </row>
    <row r="6485" spans="1:15" x14ac:dyDescent="0.25">
      <c r="A6485" t="str">
        <f>"10/21/2020 18:59:33.792"</f>
        <v>10/21/2020 18:59:33.792</v>
      </c>
      <c r="B6485" t="str">
        <f>"18:59:41.742"</f>
        <v>18:59:41.742</v>
      </c>
      <c r="C6485" t="str">
        <f>"18:59:41.442"</f>
        <v>18:59:41.442</v>
      </c>
      <c r="D6485" t="s">
        <v>2708</v>
      </c>
      <c r="E6485">
        <v>30.570145</v>
      </c>
      <c r="F6485" t="s">
        <v>2709</v>
      </c>
      <c r="G6485">
        <v>-89.801644999999994</v>
      </c>
      <c r="H6485">
        <v>1700</v>
      </c>
      <c r="I6485">
        <v>-130</v>
      </c>
      <c r="J6485">
        <v>-108</v>
      </c>
      <c r="K6485">
        <v>0</v>
      </c>
      <c r="L6485">
        <v>1200</v>
      </c>
      <c r="M6485" t="str">
        <f t="shared" si="719"/>
        <v xml:space="preserve">N35DC   </v>
      </c>
      <c r="N6485">
        <v>1</v>
      </c>
      <c r="O6485">
        <v>1725</v>
      </c>
    </row>
    <row r="6486" spans="1:15" x14ac:dyDescent="0.25">
      <c r="A6486" t="str">
        <f>"10/21/2020 18:59:36.711"</f>
        <v>10/21/2020 18:59:36.711</v>
      </c>
      <c r="B6486" t="str">
        <f>"18:59:44.664"</f>
        <v>18:59:44.664</v>
      </c>
      <c r="C6486" t="str">
        <f>"18:59:44.264"</f>
        <v>18:59:44.264</v>
      </c>
      <c r="D6486" t="s">
        <v>2710</v>
      </c>
      <c r="E6486">
        <v>30.568663999999998</v>
      </c>
      <c r="F6486" t="s">
        <v>2711</v>
      </c>
      <c r="G6486">
        <v>-89.803618999999998</v>
      </c>
      <c r="H6486">
        <v>1700</v>
      </c>
      <c r="I6486">
        <v>-127</v>
      </c>
      <c r="J6486">
        <v>-112</v>
      </c>
      <c r="K6486">
        <v>0</v>
      </c>
      <c r="L6486">
        <v>1200</v>
      </c>
      <c r="M6486" t="str">
        <f t="shared" si="719"/>
        <v xml:space="preserve">N35DC   </v>
      </c>
      <c r="N6486">
        <v>1</v>
      </c>
      <c r="O6486">
        <v>1725</v>
      </c>
    </row>
    <row r="6487" spans="1:15" x14ac:dyDescent="0.25">
      <c r="A6487" t="str">
        <f>"10/21/2020 18:59:36.711"</f>
        <v>10/21/2020 18:59:36.711</v>
      </c>
      <c r="B6487" t="str">
        <f>"18:59:44.664"</f>
        <v>18:59:44.664</v>
      </c>
      <c r="C6487" t="str">
        <f>"18:59:44.264"</f>
        <v>18:59:44.264</v>
      </c>
      <c r="D6487" t="s">
        <v>2710</v>
      </c>
      <c r="E6487">
        <v>30.568663999999998</v>
      </c>
      <c r="F6487" t="s">
        <v>2711</v>
      </c>
      <c r="G6487">
        <v>-89.803618999999998</v>
      </c>
      <c r="H6487">
        <v>1700</v>
      </c>
      <c r="I6487">
        <v>-127</v>
      </c>
      <c r="J6487">
        <v>-112</v>
      </c>
      <c r="K6487">
        <v>0</v>
      </c>
      <c r="L6487">
        <v>1200</v>
      </c>
      <c r="M6487" t="str">
        <f t="shared" si="719"/>
        <v xml:space="preserve">N35DC   </v>
      </c>
      <c r="N6487">
        <v>1</v>
      </c>
      <c r="O6487">
        <v>1725</v>
      </c>
    </row>
    <row r="6488" spans="1:15" x14ac:dyDescent="0.25">
      <c r="A6488" t="str">
        <f>"10/21/2020 18:59:36.711"</f>
        <v>10/21/2020 18:59:36.711</v>
      </c>
      <c r="B6488" t="str">
        <f>"18:59:44.664"</f>
        <v>18:59:44.664</v>
      </c>
      <c r="C6488" t="str">
        <f>"18:59:44.264"</f>
        <v>18:59:44.264</v>
      </c>
      <c r="D6488" t="s">
        <v>2710</v>
      </c>
      <c r="E6488">
        <v>30.568663999999998</v>
      </c>
      <c r="F6488" t="s">
        <v>2711</v>
      </c>
      <c r="G6488">
        <v>-89.803618999999998</v>
      </c>
      <c r="H6488">
        <v>1700</v>
      </c>
      <c r="I6488">
        <v>-127</v>
      </c>
      <c r="J6488">
        <v>-112</v>
      </c>
      <c r="K6488">
        <v>0</v>
      </c>
      <c r="L6488">
        <v>1200</v>
      </c>
      <c r="M6488" t="str">
        <f t="shared" si="719"/>
        <v xml:space="preserve">N35DC   </v>
      </c>
      <c r="N6488">
        <v>1</v>
      </c>
      <c r="O6488">
        <v>1725</v>
      </c>
    </row>
    <row r="6489" spans="1:15" x14ac:dyDescent="0.25">
      <c r="A6489" t="str">
        <f>"10/21/2020 18:59:36.711"</f>
        <v>10/21/2020 18:59:36.711</v>
      </c>
      <c r="B6489" t="str">
        <f>"18:59:44.664"</f>
        <v>18:59:44.664</v>
      </c>
      <c r="C6489" t="str">
        <f>"18:59:44.264"</f>
        <v>18:59:44.264</v>
      </c>
      <c r="D6489" t="s">
        <v>2710</v>
      </c>
      <c r="E6489">
        <v>30.568663999999998</v>
      </c>
      <c r="F6489" t="s">
        <v>2711</v>
      </c>
      <c r="G6489">
        <v>-89.803618999999998</v>
      </c>
      <c r="H6489">
        <v>1700</v>
      </c>
      <c r="I6489">
        <v>-127</v>
      </c>
      <c r="J6489">
        <v>-112</v>
      </c>
      <c r="K6489">
        <v>0</v>
      </c>
      <c r="L6489">
        <v>1200</v>
      </c>
      <c r="M6489" t="str">
        <f t="shared" si="719"/>
        <v xml:space="preserve">N35DC   </v>
      </c>
      <c r="N6489">
        <v>1</v>
      </c>
      <c r="O6489">
        <v>1725</v>
      </c>
    </row>
    <row r="6490" spans="1:15" x14ac:dyDescent="0.25">
      <c r="A6490" t="str">
        <f>"10/21/2020 18:59:36.711"</f>
        <v>10/21/2020 18:59:36.711</v>
      </c>
      <c r="B6490" t="str">
        <f>"18:59:44.664"</f>
        <v>18:59:44.664</v>
      </c>
      <c r="C6490" t="str">
        <f>"18:59:44.264"</f>
        <v>18:59:44.264</v>
      </c>
      <c r="D6490" t="s">
        <v>2710</v>
      </c>
      <c r="E6490">
        <v>30.568663999999998</v>
      </c>
      <c r="F6490" t="s">
        <v>2711</v>
      </c>
      <c r="G6490">
        <v>-89.803618999999998</v>
      </c>
      <c r="H6490">
        <v>1700</v>
      </c>
      <c r="I6490">
        <v>-127</v>
      </c>
      <c r="J6490">
        <v>-112</v>
      </c>
      <c r="K6490">
        <v>0</v>
      </c>
      <c r="L6490">
        <v>1200</v>
      </c>
      <c r="M6490" t="str">
        <f t="shared" si="719"/>
        <v xml:space="preserve">N35DC   </v>
      </c>
      <c r="N6490">
        <v>1</v>
      </c>
      <c r="O6490">
        <v>1725</v>
      </c>
    </row>
    <row r="6491" spans="1:15" x14ac:dyDescent="0.25">
      <c r="A6491" t="str">
        <f>"10/21/2020 18:59:37.646"</f>
        <v>10/21/2020 18:59:37.646</v>
      </c>
      <c r="B6491" t="str">
        <f>"18:59:45.578"</f>
        <v>18:59:45.578</v>
      </c>
      <c r="C6491" t="str">
        <f>"18:59:45.378"</f>
        <v>18:59:45.378</v>
      </c>
      <c r="D6491" t="s">
        <v>2712</v>
      </c>
      <c r="E6491">
        <v>30.568171</v>
      </c>
      <c r="F6491" t="s">
        <v>2713</v>
      </c>
      <c r="G6491">
        <v>-89.804242000000002</v>
      </c>
      <c r="H6491">
        <v>1700</v>
      </c>
      <c r="I6491">
        <v>-125</v>
      </c>
      <c r="J6491">
        <v>-114</v>
      </c>
      <c r="K6491">
        <v>0</v>
      </c>
      <c r="L6491">
        <v>1200</v>
      </c>
      <c r="M6491" t="str">
        <f t="shared" si="719"/>
        <v xml:space="preserve">N35DC   </v>
      </c>
      <c r="N6491">
        <v>1</v>
      </c>
      <c r="O6491">
        <v>1725</v>
      </c>
    </row>
    <row r="6492" spans="1:15" x14ac:dyDescent="0.25">
      <c r="A6492" t="str">
        <f>"10/21/2020 18:59:37.646"</f>
        <v>10/21/2020 18:59:37.646</v>
      </c>
      <c r="B6492" t="str">
        <f>"18:59:45.578"</f>
        <v>18:59:45.578</v>
      </c>
      <c r="C6492" t="str">
        <f>"18:59:45.378"</f>
        <v>18:59:45.378</v>
      </c>
      <c r="D6492" t="s">
        <v>2712</v>
      </c>
      <c r="E6492">
        <v>30.568171</v>
      </c>
      <c r="F6492" t="s">
        <v>2713</v>
      </c>
      <c r="G6492">
        <v>-89.804242000000002</v>
      </c>
      <c r="H6492">
        <v>1700</v>
      </c>
      <c r="I6492">
        <v>-125</v>
      </c>
      <c r="J6492">
        <v>-114</v>
      </c>
      <c r="K6492">
        <v>0</v>
      </c>
      <c r="L6492">
        <v>1200</v>
      </c>
      <c r="M6492" t="str">
        <f t="shared" si="719"/>
        <v xml:space="preserve">N35DC   </v>
      </c>
      <c r="N6492">
        <v>1</v>
      </c>
      <c r="O6492">
        <v>1725</v>
      </c>
    </row>
    <row r="6493" spans="1:15" x14ac:dyDescent="0.25">
      <c r="A6493" t="str">
        <f>"10/21/2020 18:59:37.646"</f>
        <v>10/21/2020 18:59:37.646</v>
      </c>
      <c r="B6493" t="str">
        <f>"18:59:45.578"</f>
        <v>18:59:45.578</v>
      </c>
      <c r="C6493" t="str">
        <f>"18:59:45.378"</f>
        <v>18:59:45.378</v>
      </c>
      <c r="D6493" t="s">
        <v>2712</v>
      </c>
      <c r="E6493">
        <v>30.568171</v>
      </c>
      <c r="F6493" t="s">
        <v>2713</v>
      </c>
      <c r="G6493">
        <v>-89.804242000000002</v>
      </c>
      <c r="H6493">
        <v>1700</v>
      </c>
      <c r="I6493">
        <v>-125</v>
      </c>
      <c r="J6493">
        <v>-114</v>
      </c>
      <c r="K6493">
        <v>0</v>
      </c>
      <c r="L6493">
        <v>1200</v>
      </c>
      <c r="M6493" t="str">
        <f t="shared" si="719"/>
        <v xml:space="preserve">N35DC   </v>
      </c>
      <c r="N6493">
        <v>1</v>
      </c>
      <c r="O6493">
        <v>1725</v>
      </c>
    </row>
    <row r="6494" spans="1:15" x14ac:dyDescent="0.25">
      <c r="A6494" t="str">
        <f>"10/21/2020 18:59:37.646"</f>
        <v>10/21/2020 18:59:37.646</v>
      </c>
      <c r="B6494" t="str">
        <f>"18:59:45.578"</f>
        <v>18:59:45.578</v>
      </c>
      <c r="C6494" t="str">
        <f>"18:59:45.378"</f>
        <v>18:59:45.378</v>
      </c>
      <c r="D6494" t="s">
        <v>2712</v>
      </c>
      <c r="E6494">
        <v>30.568171</v>
      </c>
      <c r="F6494" t="s">
        <v>2713</v>
      </c>
      <c r="G6494">
        <v>-89.804242000000002</v>
      </c>
      <c r="H6494">
        <v>1700</v>
      </c>
      <c r="I6494">
        <v>-125</v>
      </c>
      <c r="J6494">
        <v>-114</v>
      </c>
      <c r="K6494">
        <v>0</v>
      </c>
      <c r="L6494">
        <v>1200</v>
      </c>
      <c r="M6494" t="str">
        <f t="shared" si="719"/>
        <v xml:space="preserve">N35DC   </v>
      </c>
      <c r="N6494">
        <v>1</v>
      </c>
      <c r="O6494">
        <v>1725</v>
      </c>
    </row>
    <row r="6495" spans="1:15" x14ac:dyDescent="0.25">
      <c r="A6495" t="str">
        <f>"10/21/2020 18:59:37.646"</f>
        <v>10/21/2020 18:59:37.646</v>
      </c>
      <c r="B6495" t="str">
        <f>"18:59:45.578"</f>
        <v>18:59:45.578</v>
      </c>
      <c r="C6495" t="str">
        <f>"18:59:45.378"</f>
        <v>18:59:45.378</v>
      </c>
      <c r="D6495" t="s">
        <v>2712</v>
      </c>
      <c r="E6495">
        <v>30.568171</v>
      </c>
      <c r="F6495" t="s">
        <v>2713</v>
      </c>
      <c r="G6495">
        <v>-89.804242000000002</v>
      </c>
      <c r="H6495">
        <v>1700</v>
      </c>
      <c r="I6495">
        <v>-125</v>
      </c>
      <c r="J6495">
        <v>-114</v>
      </c>
      <c r="K6495">
        <v>0</v>
      </c>
      <c r="L6495">
        <v>1200</v>
      </c>
      <c r="M6495" t="str">
        <f t="shared" si="719"/>
        <v xml:space="preserve">N35DC   </v>
      </c>
      <c r="N6495">
        <v>1</v>
      </c>
      <c r="O6495">
        <v>1725</v>
      </c>
    </row>
    <row r="6496" spans="1:15" x14ac:dyDescent="0.25">
      <c r="A6496" t="str">
        <f>"10/21/2020 18:59:40.968"</f>
        <v>10/21/2020 18:59:40.968</v>
      </c>
      <c r="B6496" t="str">
        <f>"18:59:48.875"</f>
        <v>18:59:48.875</v>
      </c>
      <c r="C6496" t="str">
        <f>"18:59:48.475"</f>
        <v>18:59:48.475</v>
      </c>
      <c r="D6496" t="s">
        <v>2714</v>
      </c>
      <c r="E6496">
        <v>30.566347</v>
      </c>
      <c r="F6496" t="s">
        <v>2715</v>
      </c>
      <c r="G6496">
        <v>-89.806344999999993</v>
      </c>
      <c r="H6496">
        <v>1700</v>
      </c>
      <c r="I6496">
        <v>-116</v>
      </c>
      <c r="J6496">
        <v>-123</v>
      </c>
      <c r="K6496">
        <v>-128</v>
      </c>
      <c r="L6496">
        <v>1200</v>
      </c>
      <c r="M6496" t="str">
        <f t="shared" si="719"/>
        <v xml:space="preserve">N35DC   </v>
      </c>
      <c r="N6496">
        <v>1</v>
      </c>
      <c r="O6496">
        <v>1725</v>
      </c>
    </row>
    <row r="6497" spans="1:15" x14ac:dyDescent="0.25">
      <c r="A6497" t="str">
        <f>"10/21/2020 18:59:40.968"</f>
        <v>10/21/2020 18:59:40.968</v>
      </c>
      <c r="B6497" t="str">
        <f>"18:59:48.875"</f>
        <v>18:59:48.875</v>
      </c>
      <c r="C6497" t="str">
        <f>"18:59:48.475"</f>
        <v>18:59:48.475</v>
      </c>
      <c r="D6497" t="s">
        <v>2714</v>
      </c>
      <c r="E6497">
        <v>30.566347</v>
      </c>
      <c r="F6497" t="s">
        <v>2715</v>
      </c>
      <c r="G6497">
        <v>-89.806344999999993</v>
      </c>
      <c r="H6497">
        <v>1700</v>
      </c>
      <c r="I6497">
        <v>-116</v>
      </c>
      <c r="J6497">
        <v>-123</v>
      </c>
      <c r="K6497">
        <v>-128</v>
      </c>
      <c r="L6497">
        <v>1200</v>
      </c>
      <c r="M6497" t="str">
        <f t="shared" si="719"/>
        <v xml:space="preserve">N35DC   </v>
      </c>
      <c r="N6497">
        <v>1</v>
      </c>
      <c r="O6497">
        <v>1725</v>
      </c>
    </row>
    <row r="6498" spans="1:15" x14ac:dyDescent="0.25">
      <c r="A6498" t="str">
        <f>"10/21/2020 18:59:40.968"</f>
        <v>10/21/2020 18:59:40.968</v>
      </c>
      <c r="B6498" t="str">
        <f>"18:59:48.875"</f>
        <v>18:59:48.875</v>
      </c>
      <c r="C6498" t="str">
        <f>"18:59:48.475"</f>
        <v>18:59:48.475</v>
      </c>
      <c r="D6498" t="s">
        <v>2714</v>
      </c>
      <c r="E6498">
        <v>30.566347</v>
      </c>
      <c r="F6498" t="s">
        <v>2715</v>
      </c>
      <c r="G6498">
        <v>-89.806344999999993</v>
      </c>
      <c r="H6498">
        <v>1700</v>
      </c>
      <c r="I6498">
        <v>-116</v>
      </c>
      <c r="J6498">
        <v>-123</v>
      </c>
      <c r="K6498">
        <v>-128</v>
      </c>
      <c r="L6498">
        <v>1200</v>
      </c>
      <c r="M6498" t="str">
        <f t="shared" si="719"/>
        <v xml:space="preserve">N35DC   </v>
      </c>
      <c r="N6498">
        <v>1</v>
      </c>
      <c r="O6498">
        <v>1725</v>
      </c>
    </row>
    <row r="6499" spans="1:15" x14ac:dyDescent="0.25">
      <c r="A6499" t="str">
        <f>"10/21/2020 18:59:40.968"</f>
        <v>10/21/2020 18:59:40.968</v>
      </c>
      <c r="B6499" t="str">
        <f>"18:59:48.875"</f>
        <v>18:59:48.875</v>
      </c>
      <c r="C6499" t="str">
        <f>"18:59:48.475"</f>
        <v>18:59:48.475</v>
      </c>
      <c r="D6499" t="s">
        <v>2714</v>
      </c>
      <c r="E6499">
        <v>30.566347</v>
      </c>
      <c r="F6499" t="s">
        <v>2715</v>
      </c>
      <c r="G6499">
        <v>-89.806344999999993</v>
      </c>
      <c r="H6499">
        <v>1700</v>
      </c>
      <c r="I6499">
        <v>-116</v>
      </c>
      <c r="J6499">
        <v>-123</v>
      </c>
      <c r="K6499">
        <v>-128</v>
      </c>
      <c r="L6499">
        <v>1200</v>
      </c>
      <c r="M6499" t="str">
        <f t="shared" si="719"/>
        <v xml:space="preserve">N35DC   </v>
      </c>
      <c r="N6499">
        <v>1</v>
      </c>
      <c r="O6499">
        <v>1725</v>
      </c>
    </row>
    <row r="6500" spans="1:15" x14ac:dyDescent="0.25">
      <c r="A6500" t="str">
        <f>"10/21/2020 18:59:40.968"</f>
        <v>10/21/2020 18:59:40.968</v>
      </c>
      <c r="B6500" t="str">
        <f>"18:59:48.875"</f>
        <v>18:59:48.875</v>
      </c>
      <c r="C6500" t="str">
        <f>"18:59:48.475"</f>
        <v>18:59:48.475</v>
      </c>
      <c r="D6500" t="s">
        <v>2714</v>
      </c>
      <c r="E6500">
        <v>30.566347</v>
      </c>
      <c r="F6500" t="s">
        <v>2715</v>
      </c>
      <c r="G6500">
        <v>-89.806344999999993</v>
      </c>
      <c r="H6500">
        <v>1700</v>
      </c>
      <c r="I6500">
        <v>-116</v>
      </c>
      <c r="J6500">
        <v>-123</v>
      </c>
      <c r="K6500">
        <v>-128</v>
      </c>
      <c r="L6500">
        <v>1200</v>
      </c>
      <c r="M6500" t="str">
        <f t="shared" si="719"/>
        <v xml:space="preserve">N35DC   </v>
      </c>
      <c r="N6500">
        <v>1</v>
      </c>
      <c r="O6500">
        <v>1725</v>
      </c>
    </row>
    <row r="6501" spans="1:15" x14ac:dyDescent="0.25">
      <c r="A6501" t="str">
        <f>"10/21/2020 18:59:41.798"</f>
        <v>10/21/2020 18:59:41.798</v>
      </c>
      <c r="B6501" t="str">
        <f>"18:59:49.734"</f>
        <v>18:59:49.734</v>
      </c>
      <c r="C6501" t="str">
        <f>"18:59:49.534"</f>
        <v>18:59:49.534</v>
      </c>
      <c r="D6501" t="s">
        <v>2716</v>
      </c>
      <c r="E6501">
        <v>30.565832</v>
      </c>
      <c r="F6501" t="s">
        <v>2717</v>
      </c>
      <c r="G6501">
        <v>-89.806881000000004</v>
      </c>
      <c r="H6501">
        <v>1700</v>
      </c>
      <c r="I6501">
        <v>-113</v>
      </c>
      <c r="J6501">
        <v>-126</v>
      </c>
      <c r="K6501">
        <v>-128</v>
      </c>
      <c r="L6501">
        <v>1200</v>
      </c>
      <c r="M6501" t="str">
        <f t="shared" si="719"/>
        <v xml:space="preserve">N35DC   </v>
      </c>
      <c r="N6501">
        <v>1</v>
      </c>
      <c r="O6501">
        <v>1725</v>
      </c>
    </row>
    <row r="6502" spans="1:15" x14ac:dyDescent="0.25">
      <c r="A6502" t="str">
        <f>"10/21/2020 18:59:41.798"</f>
        <v>10/21/2020 18:59:41.798</v>
      </c>
      <c r="B6502" t="str">
        <f>"18:59:49.734"</f>
        <v>18:59:49.734</v>
      </c>
      <c r="C6502" t="str">
        <f>"18:59:49.534"</f>
        <v>18:59:49.534</v>
      </c>
      <c r="D6502" t="s">
        <v>2716</v>
      </c>
      <c r="E6502">
        <v>30.565832</v>
      </c>
      <c r="F6502" t="s">
        <v>2717</v>
      </c>
      <c r="G6502">
        <v>-89.806881000000004</v>
      </c>
      <c r="H6502">
        <v>1700</v>
      </c>
      <c r="I6502">
        <v>-113</v>
      </c>
      <c r="J6502">
        <v>-126</v>
      </c>
      <c r="K6502">
        <v>-128</v>
      </c>
      <c r="L6502">
        <v>1200</v>
      </c>
      <c r="M6502" t="str">
        <f t="shared" si="719"/>
        <v xml:space="preserve">N35DC   </v>
      </c>
      <c r="N6502">
        <v>1</v>
      </c>
      <c r="O6502">
        <v>1725</v>
      </c>
    </row>
    <row r="6503" spans="1:15" x14ac:dyDescent="0.25">
      <c r="A6503" t="str">
        <f>"10/21/2020 18:59:41.798"</f>
        <v>10/21/2020 18:59:41.798</v>
      </c>
      <c r="B6503" t="str">
        <f>"18:59:49.734"</f>
        <v>18:59:49.734</v>
      </c>
      <c r="C6503" t="str">
        <f>"18:59:49.534"</f>
        <v>18:59:49.534</v>
      </c>
      <c r="D6503" t="s">
        <v>2716</v>
      </c>
      <c r="E6503">
        <v>30.565832</v>
      </c>
      <c r="F6503" t="s">
        <v>2717</v>
      </c>
      <c r="G6503">
        <v>-89.806881000000004</v>
      </c>
      <c r="H6503">
        <v>1700</v>
      </c>
      <c r="I6503">
        <v>-113</v>
      </c>
      <c r="J6503">
        <v>-126</v>
      </c>
      <c r="K6503">
        <v>-128</v>
      </c>
      <c r="L6503">
        <v>1200</v>
      </c>
      <c r="M6503" t="str">
        <f t="shared" si="719"/>
        <v xml:space="preserve">N35DC   </v>
      </c>
      <c r="N6503">
        <v>1</v>
      </c>
      <c r="O6503">
        <v>1725</v>
      </c>
    </row>
    <row r="6504" spans="1:15" x14ac:dyDescent="0.25">
      <c r="A6504" t="str">
        <f>"10/21/2020 18:59:41.798"</f>
        <v>10/21/2020 18:59:41.798</v>
      </c>
      <c r="B6504" t="str">
        <f>"18:59:49.734"</f>
        <v>18:59:49.734</v>
      </c>
      <c r="C6504" t="str">
        <f>"18:59:49.534"</f>
        <v>18:59:49.534</v>
      </c>
      <c r="D6504" t="s">
        <v>2716</v>
      </c>
      <c r="E6504">
        <v>30.565832</v>
      </c>
      <c r="F6504" t="s">
        <v>2717</v>
      </c>
      <c r="G6504">
        <v>-89.806881000000004</v>
      </c>
      <c r="H6504">
        <v>1700</v>
      </c>
      <c r="I6504">
        <v>-113</v>
      </c>
      <c r="J6504">
        <v>-126</v>
      </c>
      <c r="K6504">
        <v>-128</v>
      </c>
      <c r="L6504">
        <v>1200</v>
      </c>
      <c r="M6504" t="str">
        <f t="shared" si="719"/>
        <v xml:space="preserve">N35DC   </v>
      </c>
      <c r="N6504">
        <v>1</v>
      </c>
      <c r="O6504">
        <v>1725</v>
      </c>
    </row>
    <row r="6505" spans="1:15" x14ac:dyDescent="0.25">
      <c r="A6505" t="str">
        <f>"10/21/2020 18:59:41.798"</f>
        <v>10/21/2020 18:59:41.798</v>
      </c>
      <c r="B6505" t="str">
        <f>"18:59:49.734"</f>
        <v>18:59:49.734</v>
      </c>
      <c r="C6505" t="str">
        <f>"18:59:49.534"</f>
        <v>18:59:49.534</v>
      </c>
      <c r="D6505" t="s">
        <v>2716</v>
      </c>
      <c r="E6505">
        <v>30.565832</v>
      </c>
      <c r="F6505" t="s">
        <v>2717</v>
      </c>
      <c r="G6505">
        <v>-89.806881000000004</v>
      </c>
      <c r="H6505">
        <v>1700</v>
      </c>
      <c r="I6505">
        <v>-113</v>
      </c>
      <c r="J6505">
        <v>-126</v>
      </c>
      <c r="K6505">
        <v>-128</v>
      </c>
      <c r="L6505">
        <v>1200</v>
      </c>
      <c r="M6505" t="str">
        <f t="shared" si="719"/>
        <v xml:space="preserve">N35DC   </v>
      </c>
      <c r="N6505">
        <v>1</v>
      </c>
      <c r="O6505">
        <v>1725</v>
      </c>
    </row>
    <row r="6506" spans="1:15" x14ac:dyDescent="0.25">
      <c r="A6506" t="str">
        <f>"10/21/2020 18:59:44.787"</f>
        <v>10/21/2020 18:59:44.787</v>
      </c>
      <c r="B6506" t="str">
        <f>"18:59:52.703"</f>
        <v>18:59:52.703</v>
      </c>
      <c r="C6506" t="str">
        <f>"18:59:52.603"</f>
        <v>18:59:52.603</v>
      </c>
      <c r="D6506" t="s">
        <v>2718</v>
      </c>
      <c r="E6506">
        <v>30.564008000000001</v>
      </c>
      <c r="F6506" t="s">
        <v>2719</v>
      </c>
      <c r="G6506">
        <v>-89.808554999999998</v>
      </c>
      <c r="H6506">
        <v>1700</v>
      </c>
      <c r="I6506">
        <v>-103</v>
      </c>
      <c r="J6506">
        <v>-133</v>
      </c>
      <c r="K6506">
        <v>128</v>
      </c>
      <c r="L6506">
        <v>1200</v>
      </c>
      <c r="M6506" t="str">
        <f t="shared" si="719"/>
        <v xml:space="preserve">N35DC   </v>
      </c>
      <c r="N6506">
        <v>1</v>
      </c>
      <c r="O6506">
        <v>1725</v>
      </c>
    </row>
    <row r="6507" spans="1:15" x14ac:dyDescent="0.25">
      <c r="A6507" t="str">
        <f>"10/21/2020 18:59:44.787"</f>
        <v>10/21/2020 18:59:44.787</v>
      </c>
      <c r="B6507" t="str">
        <f>"18:59:52.703"</f>
        <v>18:59:52.703</v>
      </c>
      <c r="C6507" t="str">
        <f>"18:59:52.603"</f>
        <v>18:59:52.603</v>
      </c>
      <c r="D6507" t="s">
        <v>2718</v>
      </c>
      <c r="E6507">
        <v>30.564008000000001</v>
      </c>
      <c r="F6507" t="s">
        <v>2719</v>
      </c>
      <c r="G6507">
        <v>-89.808554999999998</v>
      </c>
      <c r="H6507">
        <v>1700</v>
      </c>
      <c r="I6507">
        <v>-103</v>
      </c>
      <c r="J6507">
        <v>-133</v>
      </c>
      <c r="K6507">
        <v>128</v>
      </c>
      <c r="L6507">
        <v>1200</v>
      </c>
      <c r="M6507" t="str">
        <f t="shared" si="719"/>
        <v xml:space="preserve">N35DC   </v>
      </c>
      <c r="N6507">
        <v>1</v>
      </c>
      <c r="O6507">
        <v>1725</v>
      </c>
    </row>
    <row r="6508" spans="1:15" x14ac:dyDescent="0.25">
      <c r="A6508" t="str">
        <f>"10/21/2020 18:59:44.787"</f>
        <v>10/21/2020 18:59:44.787</v>
      </c>
      <c r="B6508" t="str">
        <f>"18:59:52.703"</f>
        <v>18:59:52.703</v>
      </c>
      <c r="C6508" t="str">
        <f>"18:59:52.603"</f>
        <v>18:59:52.603</v>
      </c>
      <c r="D6508" t="s">
        <v>2718</v>
      </c>
      <c r="E6508">
        <v>30.564008000000001</v>
      </c>
      <c r="F6508" t="s">
        <v>2719</v>
      </c>
      <c r="G6508">
        <v>-89.808554999999998</v>
      </c>
      <c r="H6508">
        <v>1700</v>
      </c>
      <c r="I6508">
        <v>-103</v>
      </c>
      <c r="J6508">
        <v>-133</v>
      </c>
      <c r="K6508">
        <v>128</v>
      </c>
      <c r="L6508">
        <v>1200</v>
      </c>
      <c r="M6508" t="str">
        <f t="shared" si="719"/>
        <v xml:space="preserve">N35DC   </v>
      </c>
      <c r="N6508">
        <v>1</v>
      </c>
      <c r="O6508">
        <v>1725</v>
      </c>
    </row>
    <row r="6509" spans="1:15" x14ac:dyDescent="0.25">
      <c r="A6509" t="str">
        <f>"10/21/2020 18:59:44.787"</f>
        <v>10/21/2020 18:59:44.787</v>
      </c>
      <c r="B6509" t="str">
        <f>"18:59:52.703"</f>
        <v>18:59:52.703</v>
      </c>
      <c r="C6509" t="str">
        <f>"18:59:52.603"</f>
        <v>18:59:52.603</v>
      </c>
      <c r="D6509" t="s">
        <v>2718</v>
      </c>
      <c r="E6509">
        <v>30.564008000000001</v>
      </c>
      <c r="F6509" t="s">
        <v>2719</v>
      </c>
      <c r="G6509">
        <v>-89.808554999999998</v>
      </c>
      <c r="H6509">
        <v>1700</v>
      </c>
      <c r="I6509">
        <v>-103</v>
      </c>
      <c r="J6509">
        <v>-133</v>
      </c>
      <c r="K6509">
        <v>128</v>
      </c>
      <c r="L6509">
        <v>1200</v>
      </c>
      <c r="M6509" t="str">
        <f t="shared" si="719"/>
        <v xml:space="preserve">N35DC   </v>
      </c>
      <c r="N6509">
        <v>1</v>
      </c>
      <c r="O6509">
        <v>1725</v>
      </c>
    </row>
    <row r="6510" spans="1:15" x14ac:dyDescent="0.25">
      <c r="A6510" t="str">
        <f>"10/21/2020 18:59:45.879"</f>
        <v>10/21/2020 18:59:45.879</v>
      </c>
      <c r="B6510" t="str">
        <f>"18:59:53.813"</f>
        <v>18:59:53.813</v>
      </c>
      <c r="C6510" t="str">
        <f>"18:59:53.613"</f>
        <v>18:59:53.613</v>
      </c>
      <c r="D6510" t="s">
        <v>2720</v>
      </c>
      <c r="E6510">
        <v>30.563320999999998</v>
      </c>
      <c r="F6510" t="s">
        <v>372</v>
      </c>
      <c r="G6510">
        <v>-89.809112999999996</v>
      </c>
      <c r="H6510">
        <v>1700</v>
      </c>
      <c r="I6510">
        <v>-99</v>
      </c>
      <c r="J6510">
        <v>-136</v>
      </c>
      <c r="K6510">
        <v>128</v>
      </c>
      <c r="L6510">
        <v>1200</v>
      </c>
      <c r="M6510" t="str">
        <f t="shared" si="719"/>
        <v xml:space="preserve">N35DC   </v>
      </c>
      <c r="N6510">
        <v>1</v>
      </c>
      <c r="O6510">
        <v>1725</v>
      </c>
    </row>
    <row r="6511" spans="1:15" x14ac:dyDescent="0.25">
      <c r="A6511" t="str">
        <f>"10/21/2020 18:59:45.879"</f>
        <v>10/21/2020 18:59:45.879</v>
      </c>
      <c r="B6511" t="str">
        <f>"18:59:53.813"</f>
        <v>18:59:53.813</v>
      </c>
      <c r="C6511" t="str">
        <f>"18:59:53.613"</f>
        <v>18:59:53.613</v>
      </c>
      <c r="D6511" t="s">
        <v>2720</v>
      </c>
      <c r="E6511">
        <v>30.563320999999998</v>
      </c>
      <c r="F6511" t="s">
        <v>372</v>
      </c>
      <c r="G6511">
        <v>-89.809112999999996</v>
      </c>
      <c r="H6511">
        <v>1700</v>
      </c>
      <c r="I6511">
        <v>-99</v>
      </c>
      <c r="J6511">
        <v>-136</v>
      </c>
      <c r="K6511">
        <v>128</v>
      </c>
      <c r="L6511">
        <v>1200</v>
      </c>
      <c r="M6511" t="str">
        <f t="shared" si="719"/>
        <v xml:space="preserve">N35DC   </v>
      </c>
      <c r="N6511">
        <v>1</v>
      </c>
      <c r="O6511">
        <v>1725</v>
      </c>
    </row>
    <row r="6512" spans="1:15" x14ac:dyDescent="0.25">
      <c r="A6512" t="str">
        <f>"10/21/2020 18:59:45.879"</f>
        <v>10/21/2020 18:59:45.879</v>
      </c>
      <c r="B6512" t="str">
        <f>"18:59:53.813"</f>
        <v>18:59:53.813</v>
      </c>
      <c r="C6512" t="str">
        <f>"18:59:53.613"</f>
        <v>18:59:53.613</v>
      </c>
      <c r="D6512" t="s">
        <v>2720</v>
      </c>
      <c r="E6512">
        <v>30.563320999999998</v>
      </c>
      <c r="F6512" t="s">
        <v>372</v>
      </c>
      <c r="G6512">
        <v>-89.809112999999996</v>
      </c>
      <c r="H6512">
        <v>1700</v>
      </c>
      <c r="I6512">
        <v>-99</v>
      </c>
      <c r="J6512">
        <v>-136</v>
      </c>
      <c r="K6512">
        <v>128</v>
      </c>
      <c r="L6512">
        <v>1200</v>
      </c>
      <c r="M6512" t="str">
        <f t="shared" si="719"/>
        <v xml:space="preserve">N35DC   </v>
      </c>
      <c r="N6512">
        <v>1</v>
      </c>
      <c r="O6512">
        <v>1725</v>
      </c>
    </row>
    <row r="6513" spans="1:15" x14ac:dyDescent="0.25">
      <c r="A6513" t="str">
        <f>"10/21/2020 18:59:45.879"</f>
        <v>10/21/2020 18:59:45.879</v>
      </c>
      <c r="B6513" t="str">
        <f>"18:59:53.813"</f>
        <v>18:59:53.813</v>
      </c>
      <c r="C6513" t="str">
        <f>"18:59:53.613"</f>
        <v>18:59:53.613</v>
      </c>
      <c r="D6513" t="s">
        <v>2720</v>
      </c>
      <c r="E6513">
        <v>30.563320999999998</v>
      </c>
      <c r="F6513" t="s">
        <v>372</v>
      </c>
      <c r="G6513">
        <v>-89.809112999999996</v>
      </c>
      <c r="H6513">
        <v>1700</v>
      </c>
      <c r="I6513">
        <v>-99</v>
      </c>
      <c r="J6513">
        <v>-136</v>
      </c>
      <c r="K6513">
        <v>128</v>
      </c>
      <c r="L6513">
        <v>1200</v>
      </c>
      <c r="M6513" t="str">
        <f t="shared" si="719"/>
        <v xml:space="preserve">N35DC   </v>
      </c>
      <c r="N6513">
        <v>1</v>
      </c>
      <c r="O6513">
        <v>1725</v>
      </c>
    </row>
    <row r="6514" spans="1:15" x14ac:dyDescent="0.25">
      <c r="A6514" t="str">
        <f>"10/21/2020 18:59:45.879"</f>
        <v>10/21/2020 18:59:45.879</v>
      </c>
      <c r="B6514" t="str">
        <f>"18:59:53.813"</f>
        <v>18:59:53.813</v>
      </c>
      <c r="C6514" t="str">
        <f>"18:59:53.613"</f>
        <v>18:59:53.613</v>
      </c>
      <c r="D6514" t="s">
        <v>2720</v>
      </c>
      <c r="E6514">
        <v>30.563320999999998</v>
      </c>
      <c r="F6514" t="s">
        <v>372</v>
      </c>
      <c r="G6514">
        <v>-89.809112999999996</v>
      </c>
      <c r="H6514">
        <v>1700</v>
      </c>
      <c r="I6514">
        <v>-99</v>
      </c>
      <c r="J6514">
        <v>-136</v>
      </c>
      <c r="K6514">
        <v>128</v>
      </c>
      <c r="L6514">
        <v>1200</v>
      </c>
      <c r="M6514" t="str">
        <f t="shared" si="719"/>
        <v xml:space="preserve">N35DC   </v>
      </c>
      <c r="N6514">
        <v>1</v>
      </c>
      <c r="O6514">
        <v>1725</v>
      </c>
    </row>
    <row r="6515" spans="1:15" x14ac:dyDescent="0.25">
      <c r="A6515" t="str">
        <f>"10/21/2020 18:59:46.811"</f>
        <v>10/21/2020 18:59:46.811</v>
      </c>
      <c r="B6515" t="str">
        <f>"18:59:54.773"</f>
        <v>18:59:54.773</v>
      </c>
      <c r="C6515" t="str">
        <f>"18:59:54.573"</f>
        <v>18:59:54.573</v>
      </c>
      <c r="D6515" t="s">
        <v>2721</v>
      </c>
      <c r="E6515">
        <v>30.562677000000001</v>
      </c>
      <c r="F6515" t="s">
        <v>2722</v>
      </c>
      <c r="G6515">
        <v>-89.809628000000004</v>
      </c>
      <c r="H6515">
        <v>1700</v>
      </c>
      <c r="I6515">
        <v>-96</v>
      </c>
      <c r="J6515">
        <v>-138</v>
      </c>
      <c r="K6515">
        <v>64</v>
      </c>
      <c r="L6515">
        <v>1200</v>
      </c>
      <c r="M6515" t="str">
        <f t="shared" si="719"/>
        <v xml:space="preserve">N35DC   </v>
      </c>
      <c r="N6515">
        <v>1</v>
      </c>
      <c r="O6515">
        <v>1725</v>
      </c>
    </row>
    <row r="6516" spans="1:15" x14ac:dyDescent="0.25">
      <c r="A6516" t="str">
        <f>"10/21/2020 18:59:46.811"</f>
        <v>10/21/2020 18:59:46.811</v>
      </c>
      <c r="B6516" t="str">
        <f>"18:59:54.773"</f>
        <v>18:59:54.773</v>
      </c>
      <c r="C6516" t="str">
        <f>"18:59:54.173"</f>
        <v>18:59:54.173</v>
      </c>
      <c r="D6516" t="s">
        <v>2721</v>
      </c>
      <c r="E6516">
        <v>30.562677000000001</v>
      </c>
      <c r="F6516" t="s">
        <v>2722</v>
      </c>
      <c r="G6516">
        <v>-89.809628000000004</v>
      </c>
      <c r="H6516">
        <v>1700</v>
      </c>
      <c r="I6516">
        <v>-97</v>
      </c>
      <c r="J6516">
        <v>-137</v>
      </c>
      <c r="K6516">
        <v>64</v>
      </c>
      <c r="L6516">
        <v>1200</v>
      </c>
      <c r="M6516" t="str">
        <f t="shared" si="719"/>
        <v xml:space="preserve">N35DC   </v>
      </c>
      <c r="N6516">
        <v>1</v>
      </c>
      <c r="O6516">
        <v>1725</v>
      </c>
    </row>
    <row r="6517" spans="1:15" x14ac:dyDescent="0.25">
      <c r="A6517" t="str">
        <f>"10/21/2020 18:59:46.811"</f>
        <v>10/21/2020 18:59:46.811</v>
      </c>
      <c r="B6517" t="str">
        <f>"18:59:54.773"</f>
        <v>18:59:54.773</v>
      </c>
      <c r="C6517" t="str">
        <f>"18:59:54.573"</f>
        <v>18:59:54.573</v>
      </c>
      <c r="D6517" t="s">
        <v>2721</v>
      </c>
      <c r="E6517">
        <v>30.562677000000001</v>
      </c>
      <c r="F6517" t="s">
        <v>2722</v>
      </c>
      <c r="G6517">
        <v>-89.809628000000004</v>
      </c>
      <c r="H6517">
        <v>1700</v>
      </c>
      <c r="I6517">
        <v>-96</v>
      </c>
      <c r="J6517">
        <v>-138</v>
      </c>
      <c r="K6517">
        <v>64</v>
      </c>
      <c r="L6517">
        <v>1200</v>
      </c>
      <c r="M6517" t="str">
        <f t="shared" si="719"/>
        <v xml:space="preserve">N35DC   </v>
      </c>
      <c r="N6517">
        <v>1</v>
      </c>
      <c r="O6517">
        <v>1725</v>
      </c>
    </row>
    <row r="6518" spans="1:15" x14ac:dyDescent="0.25">
      <c r="A6518" t="str">
        <f>"10/21/2020 18:59:46.811"</f>
        <v>10/21/2020 18:59:46.811</v>
      </c>
      <c r="B6518" t="str">
        <f>"18:59:54.773"</f>
        <v>18:59:54.773</v>
      </c>
      <c r="C6518" t="str">
        <f>"18:59:54.573"</f>
        <v>18:59:54.573</v>
      </c>
      <c r="D6518" t="s">
        <v>2721</v>
      </c>
      <c r="E6518">
        <v>30.562677000000001</v>
      </c>
      <c r="F6518" t="s">
        <v>2722</v>
      </c>
      <c r="G6518">
        <v>-89.809628000000004</v>
      </c>
      <c r="H6518">
        <v>1700</v>
      </c>
      <c r="I6518">
        <v>-96</v>
      </c>
      <c r="J6518">
        <v>-138</v>
      </c>
      <c r="K6518">
        <v>64</v>
      </c>
      <c r="L6518">
        <v>1200</v>
      </c>
      <c r="M6518" t="str">
        <f t="shared" si="719"/>
        <v xml:space="preserve">N35DC   </v>
      </c>
      <c r="N6518">
        <v>1</v>
      </c>
      <c r="O6518">
        <v>1725</v>
      </c>
    </row>
    <row r="6519" spans="1:15" x14ac:dyDescent="0.25">
      <c r="A6519" t="str">
        <f>"10/21/2020 18:59:46.811"</f>
        <v>10/21/2020 18:59:46.811</v>
      </c>
      <c r="B6519" t="str">
        <f>"18:59:54.773"</f>
        <v>18:59:54.773</v>
      </c>
      <c r="C6519" t="str">
        <f>"18:59:54.573"</f>
        <v>18:59:54.573</v>
      </c>
      <c r="D6519" t="s">
        <v>2721</v>
      </c>
      <c r="E6519">
        <v>30.562677000000001</v>
      </c>
      <c r="F6519" t="s">
        <v>2722</v>
      </c>
      <c r="G6519">
        <v>-89.809628000000004</v>
      </c>
      <c r="H6519">
        <v>1700</v>
      </c>
      <c r="I6519">
        <v>-96</v>
      </c>
      <c r="J6519">
        <v>-138</v>
      </c>
      <c r="K6519">
        <v>64</v>
      </c>
      <c r="L6519">
        <v>1200</v>
      </c>
      <c r="M6519" t="str">
        <f t="shared" si="719"/>
        <v xml:space="preserve">N35DC   </v>
      </c>
      <c r="N6519">
        <v>1</v>
      </c>
      <c r="O6519">
        <v>1725</v>
      </c>
    </row>
    <row r="6520" spans="1:15" x14ac:dyDescent="0.25">
      <c r="A6520" t="str">
        <f>"10/21/2020 18:59:49.807"</f>
        <v>10/21/2020 18:59:49.807</v>
      </c>
      <c r="B6520" t="str">
        <f>"18:59:57.758"</f>
        <v>18:59:57.758</v>
      </c>
      <c r="C6520" t="str">
        <f>"18:59:57.558"</f>
        <v>18:59:57.558</v>
      </c>
      <c r="D6520" t="s">
        <v>2723</v>
      </c>
      <c r="E6520">
        <v>30.560767999999999</v>
      </c>
      <c r="F6520" t="s">
        <v>2724</v>
      </c>
      <c r="G6520">
        <v>-89.811087000000001</v>
      </c>
      <c r="H6520">
        <v>1700</v>
      </c>
      <c r="I6520">
        <v>-87</v>
      </c>
      <c r="J6520">
        <v>-143</v>
      </c>
      <c r="K6520">
        <v>128</v>
      </c>
      <c r="L6520">
        <v>1200</v>
      </c>
      <c r="M6520" t="str">
        <f t="shared" si="719"/>
        <v xml:space="preserve">N35DC   </v>
      </c>
      <c r="N6520">
        <v>1</v>
      </c>
      <c r="O6520">
        <v>1725</v>
      </c>
    </row>
    <row r="6521" spans="1:15" x14ac:dyDescent="0.25">
      <c r="A6521" t="str">
        <f>"10/21/2020 18:59:49.807"</f>
        <v>10/21/2020 18:59:49.807</v>
      </c>
      <c r="B6521" t="str">
        <f>"18:59:57.758"</f>
        <v>18:59:57.758</v>
      </c>
      <c r="C6521" t="str">
        <f>"18:59:57.558"</f>
        <v>18:59:57.558</v>
      </c>
      <c r="D6521" t="s">
        <v>2723</v>
      </c>
      <c r="E6521">
        <v>30.560767999999999</v>
      </c>
      <c r="F6521" t="s">
        <v>2724</v>
      </c>
      <c r="G6521">
        <v>-89.811087000000001</v>
      </c>
      <c r="H6521">
        <v>1700</v>
      </c>
      <c r="I6521">
        <v>-87</v>
      </c>
      <c r="J6521">
        <v>-143</v>
      </c>
      <c r="K6521">
        <v>128</v>
      </c>
      <c r="L6521">
        <v>1200</v>
      </c>
      <c r="M6521" t="str">
        <f t="shared" si="719"/>
        <v xml:space="preserve">N35DC   </v>
      </c>
      <c r="N6521">
        <v>1</v>
      </c>
      <c r="O6521">
        <v>1725</v>
      </c>
    </row>
    <row r="6522" spans="1:15" x14ac:dyDescent="0.25">
      <c r="A6522" t="str">
        <f>"10/21/2020 18:59:49.807"</f>
        <v>10/21/2020 18:59:49.807</v>
      </c>
      <c r="B6522" t="str">
        <f>"18:59:57.758"</f>
        <v>18:59:57.758</v>
      </c>
      <c r="C6522" t="str">
        <f>"18:59:57.558"</f>
        <v>18:59:57.558</v>
      </c>
      <c r="D6522" t="s">
        <v>2723</v>
      </c>
      <c r="E6522">
        <v>30.560767999999999</v>
      </c>
      <c r="F6522" t="s">
        <v>2724</v>
      </c>
      <c r="G6522">
        <v>-89.811087000000001</v>
      </c>
      <c r="H6522">
        <v>1700</v>
      </c>
      <c r="I6522">
        <v>-87</v>
      </c>
      <c r="J6522">
        <v>-143</v>
      </c>
      <c r="K6522">
        <v>128</v>
      </c>
      <c r="L6522">
        <v>1200</v>
      </c>
      <c r="M6522" t="str">
        <f t="shared" si="719"/>
        <v xml:space="preserve">N35DC   </v>
      </c>
      <c r="N6522">
        <v>1</v>
      </c>
      <c r="O6522">
        <v>1725</v>
      </c>
    </row>
    <row r="6523" spans="1:15" x14ac:dyDescent="0.25">
      <c r="A6523" t="str">
        <f>"10/21/2020 18:59:49.807"</f>
        <v>10/21/2020 18:59:49.807</v>
      </c>
      <c r="B6523" t="str">
        <f>"18:59:57.758"</f>
        <v>18:59:57.758</v>
      </c>
      <c r="C6523" t="str">
        <f>"18:59:57.558"</f>
        <v>18:59:57.558</v>
      </c>
      <c r="D6523" t="s">
        <v>2723</v>
      </c>
      <c r="E6523">
        <v>30.560767999999999</v>
      </c>
      <c r="F6523" t="s">
        <v>2724</v>
      </c>
      <c r="G6523">
        <v>-89.811087000000001</v>
      </c>
      <c r="H6523">
        <v>1700</v>
      </c>
      <c r="I6523">
        <v>-87</v>
      </c>
      <c r="J6523">
        <v>-143</v>
      </c>
      <c r="K6523">
        <v>128</v>
      </c>
      <c r="L6523">
        <v>1200</v>
      </c>
      <c r="M6523" t="str">
        <f t="shared" si="719"/>
        <v xml:space="preserve">N35DC   </v>
      </c>
      <c r="N6523">
        <v>1</v>
      </c>
      <c r="O6523">
        <v>1725</v>
      </c>
    </row>
    <row r="6524" spans="1:15" x14ac:dyDescent="0.25">
      <c r="A6524" t="str">
        <f>"10/21/2020 18:59:49.807"</f>
        <v>10/21/2020 18:59:49.807</v>
      </c>
      <c r="B6524" t="str">
        <f>"18:59:57.758"</f>
        <v>18:59:57.758</v>
      </c>
      <c r="C6524" t="str">
        <f>"18:59:57.558"</f>
        <v>18:59:57.558</v>
      </c>
      <c r="D6524" t="s">
        <v>2723</v>
      </c>
      <c r="E6524">
        <v>30.560767999999999</v>
      </c>
      <c r="F6524" t="s">
        <v>2724</v>
      </c>
      <c r="G6524">
        <v>-89.811087000000001</v>
      </c>
      <c r="H6524">
        <v>1700</v>
      </c>
      <c r="I6524">
        <v>-87</v>
      </c>
      <c r="J6524">
        <v>-143</v>
      </c>
      <c r="K6524">
        <v>128</v>
      </c>
      <c r="L6524">
        <v>1200</v>
      </c>
      <c r="M6524" t="str">
        <f t="shared" si="719"/>
        <v xml:space="preserve">N35DC   </v>
      </c>
      <c r="N6524">
        <v>1</v>
      </c>
      <c r="O6524">
        <v>1725</v>
      </c>
    </row>
    <row r="6525" spans="1:15" x14ac:dyDescent="0.25">
      <c r="A6525" t="str">
        <f>"10/21/2020 18:59:52.890"</f>
        <v>10/21/2020 18:59:52.890</v>
      </c>
      <c r="B6525" t="str">
        <f>"19:00:00.820"</f>
        <v>19:00:00.820</v>
      </c>
      <c r="C6525" t="str">
        <f>"19:00:00.620"</f>
        <v>19:00:00.620</v>
      </c>
      <c r="D6525" t="s">
        <v>2725</v>
      </c>
      <c r="E6525">
        <v>30.558665000000001</v>
      </c>
      <c r="F6525" t="s">
        <v>2726</v>
      </c>
      <c r="G6525">
        <v>-89.812374000000005</v>
      </c>
      <c r="H6525">
        <v>1700</v>
      </c>
      <c r="I6525">
        <v>-77</v>
      </c>
      <c r="J6525">
        <v>-148</v>
      </c>
      <c r="K6525">
        <v>64</v>
      </c>
      <c r="L6525">
        <v>1200</v>
      </c>
      <c r="M6525" t="str">
        <f t="shared" si="719"/>
        <v xml:space="preserve">N35DC   </v>
      </c>
      <c r="N6525">
        <v>1</v>
      </c>
      <c r="O6525">
        <v>1750</v>
      </c>
    </row>
    <row r="6526" spans="1:15" x14ac:dyDescent="0.25">
      <c r="A6526" t="str">
        <f>"10/21/2020 18:59:52.890"</f>
        <v>10/21/2020 18:59:52.890</v>
      </c>
      <c r="B6526" t="str">
        <f>"19:00:00.820"</f>
        <v>19:00:00.820</v>
      </c>
      <c r="C6526" t="str">
        <f>"19:00:00.620"</f>
        <v>19:00:00.620</v>
      </c>
      <c r="D6526" t="s">
        <v>2725</v>
      </c>
      <c r="E6526">
        <v>30.558665000000001</v>
      </c>
      <c r="F6526" t="s">
        <v>2726</v>
      </c>
      <c r="G6526">
        <v>-89.812374000000005</v>
      </c>
      <c r="H6526">
        <v>1700</v>
      </c>
      <c r="I6526">
        <v>-77</v>
      </c>
      <c r="J6526">
        <v>-148</v>
      </c>
      <c r="K6526">
        <v>64</v>
      </c>
      <c r="L6526">
        <v>1200</v>
      </c>
      <c r="M6526" t="str">
        <f t="shared" si="719"/>
        <v xml:space="preserve">N35DC   </v>
      </c>
      <c r="N6526">
        <v>1</v>
      </c>
      <c r="O6526">
        <v>1750</v>
      </c>
    </row>
    <row r="6527" spans="1:15" x14ac:dyDescent="0.25">
      <c r="A6527" t="str">
        <f>"10/21/2020 18:59:52.890"</f>
        <v>10/21/2020 18:59:52.890</v>
      </c>
      <c r="B6527" t="str">
        <f>"19:00:00.820"</f>
        <v>19:00:00.820</v>
      </c>
      <c r="C6527" t="str">
        <f>"19:00:00.620"</f>
        <v>19:00:00.620</v>
      </c>
      <c r="D6527" t="s">
        <v>2725</v>
      </c>
      <c r="E6527">
        <v>30.558665000000001</v>
      </c>
      <c r="F6527" t="s">
        <v>2726</v>
      </c>
      <c r="G6527">
        <v>-89.812374000000005</v>
      </c>
      <c r="H6527">
        <v>1700</v>
      </c>
      <c r="I6527">
        <v>-77</v>
      </c>
      <c r="J6527">
        <v>-148</v>
      </c>
      <c r="K6527">
        <v>64</v>
      </c>
      <c r="L6527">
        <v>1200</v>
      </c>
      <c r="M6527" t="str">
        <f t="shared" si="719"/>
        <v xml:space="preserve">N35DC   </v>
      </c>
      <c r="N6527">
        <v>1</v>
      </c>
      <c r="O6527">
        <v>1750</v>
      </c>
    </row>
    <row r="6528" spans="1:15" x14ac:dyDescent="0.25">
      <c r="A6528" t="str">
        <f>"10/21/2020 18:59:52.890"</f>
        <v>10/21/2020 18:59:52.890</v>
      </c>
      <c r="B6528" t="str">
        <f>"19:00:00.820"</f>
        <v>19:00:00.820</v>
      </c>
      <c r="C6528" t="str">
        <f>"19:00:00.620"</f>
        <v>19:00:00.620</v>
      </c>
      <c r="D6528" t="s">
        <v>2725</v>
      </c>
      <c r="E6528">
        <v>30.558665000000001</v>
      </c>
      <c r="F6528" t="s">
        <v>2726</v>
      </c>
      <c r="G6528">
        <v>-89.812374000000005</v>
      </c>
      <c r="H6528">
        <v>1700</v>
      </c>
      <c r="I6528">
        <v>-77</v>
      </c>
      <c r="J6528">
        <v>-148</v>
      </c>
      <c r="K6528">
        <v>64</v>
      </c>
      <c r="L6528">
        <v>1200</v>
      </c>
      <c r="M6528" t="str">
        <f t="shared" si="719"/>
        <v xml:space="preserve">N35DC   </v>
      </c>
      <c r="N6528">
        <v>1</v>
      </c>
      <c r="O6528">
        <v>1750</v>
      </c>
    </row>
    <row r="6529" spans="1:15" x14ac:dyDescent="0.25">
      <c r="A6529" t="str">
        <f>"10/21/2020 18:59:52.890"</f>
        <v>10/21/2020 18:59:52.890</v>
      </c>
      <c r="B6529" t="str">
        <f>"19:00:00.820"</f>
        <v>19:00:00.820</v>
      </c>
      <c r="C6529" t="str">
        <f>"19:00:00.620"</f>
        <v>19:00:00.620</v>
      </c>
      <c r="D6529" t="s">
        <v>2725</v>
      </c>
      <c r="E6529">
        <v>30.558665000000001</v>
      </c>
      <c r="F6529" t="s">
        <v>2726</v>
      </c>
      <c r="G6529">
        <v>-89.812374000000005</v>
      </c>
      <c r="H6529">
        <v>1700</v>
      </c>
      <c r="I6529">
        <v>-77</v>
      </c>
      <c r="J6529">
        <v>-148</v>
      </c>
      <c r="K6529">
        <v>64</v>
      </c>
      <c r="L6529">
        <v>1200</v>
      </c>
      <c r="M6529" t="str">
        <f t="shared" si="719"/>
        <v xml:space="preserve">N35DC   </v>
      </c>
      <c r="N6529">
        <v>1</v>
      </c>
      <c r="O6529">
        <v>1750</v>
      </c>
    </row>
    <row r="6530" spans="1:15" x14ac:dyDescent="0.25">
      <c r="A6530" t="str">
        <f>"10/21/2020 18:59:56.022"</f>
        <v>10/21/2020 18:59:56.022</v>
      </c>
      <c r="B6530" t="str">
        <f t="shared" ref="B6530:C6534" si="721">"19:00:03.969"</f>
        <v>19:00:03.969</v>
      </c>
      <c r="C6530" t="str">
        <f t="shared" si="721"/>
        <v>19:00:03.969</v>
      </c>
      <c r="D6530" t="s">
        <v>2727</v>
      </c>
      <c r="E6530">
        <v>30.556455</v>
      </c>
      <c r="F6530" t="s">
        <v>2341</v>
      </c>
      <c r="G6530">
        <v>-89.813553999999996</v>
      </c>
      <c r="H6530">
        <v>1700</v>
      </c>
      <c r="I6530">
        <v>-67</v>
      </c>
      <c r="J6530">
        <v>-151</v>
      </c>
      <c r="K6530">
        <v>128</v>
      </c>
      <c r="L6530">
        <v>1200</v>
      </c>
      <c r="M6530" t="str">
        <f t="shared" si="719"/>
        <v xml:space="preserve">N35DC   </v>
      </c>
      <c r="N6530">
        <v>1</v>
      </c>
      <c r="O6530">
        <v>1750</v>
      </c>
    </row>
    <row r="6531" spans="1:15" x14ac:dyDescent="0.25">
      <c r="A6531" t="str">
        <f>"10/21/2020 18:59:56.022"</f>
        <v>10/21/2020 18:59:56.022</v>
      </c>
      <c r="B6531" t="str">
        <f t="shared" si="721"/>
        <v>19:00:03.969</v>
      </c>
      <c r="C6531" t="str">
        <f t="shared" si="721"/>
        <v>19:00:03.969</v>
      </c>
      <c r="D6531" t="s">
        <v>2727</v>
      </c>
      <c r="E6531">
        <v>30.556455</v>
      </c>
      <c r="F6531" t="s">
        <v>2341</v>
      </c>
      <c r="G6531">
        <v>-89.813553999999996</v>
      </c>
      <c r="H6531">
        <v>1700</v>
      </c>
      <c r="I6531">
        <v>-67</v>
      </c>
      <c r="J6531">
        <v>-151</v>
      </c>
      <c r="K6531">
        <v>128</v>
      </c>
      <c r="L6531">
        <v>1200</v>
      </c>
      <c r="M6531" t="str">
        <f t="shared" si="719"/>
        <v xml:space="preserve">N35DC   </v>
      </c>
      <c r="N6531">
        <v>1</v>
      </c>
      <c r="O6531">
        <v>1750</v>
      </c>
    </row>
    <row r="6532" spans="1:15" x14ac:dyDescent="0.25">
      <c r="A6532" t="str">
        <f>"10/21/2020 18:59:56.022"</f>
        <v>10/21/2020 18:59:56.022</v>
      </c>
      <c r="B6532" t="str">
        <f t="shared" si="721"/>
        <v>19:00:03.969</v>
      </c>
      <c r="C6532" t="str">
        <f t="shared" si="721"/>
        <v>19:00:03.969</v>
      </c>
      <c r="D6532" t="s">
        <v>2727</v>
      </c>
      <c r="E6532">
        <v>30.556455</v>
      </c>
      <c r="F6532" t="s">
        <v>2341</v>
      </c>
      <c r="G6532">
        <v>-89.813553999999996</v>
      </c>
      <c r="H6532">
        <v>1700</v>
      </c>
      <c r="I6532">
        <v>-67</v>
      </c>
      <c r="J6532">
        <v>-151</v>
      </c>
      <c r="K6532">
        <v>128</v>
      </c>
      <c r="L6532">
        <v>1200</v>
      </c>
      <c r="M6532" t="str">
        <f t="shared" si="719"/>
        <v xml:space="preserve">N35DC   </v>
      </c>
      <c r="N6532">
        <v>1</v>
      </c>
      <c r="O6532">
        <v>1750</v>
      </c>
    </row>
    <row r="6533" spans="1:15" x14ac:dyDescent="0.25">
      <c r="A6533" t="str">
        <f>"10/21/2020 18:59:56.022"</f>
        <v>10/21/2020 18:59:56.022</v>
      </c>
      <c r="B6533" t="str">
        <f t="shared" si="721"/>
        <v>19:00:03.969</v>
      </c>
      <c r="C6533" t="str">
        <f t="shared" si="721"/>
        <v>19:00:03.969</v>
      </c>
      <c r="D6533" t="s">
        <v>2727</v>
      </c>
      <c r="E6533">
        <v>30.556455</v>
      </c>
      <c r="F6533" t="s">
        <v>2341</v>
      </c>
      <c r="G6533">
        <v>-89.813553999999996</v>
      </c>
      <c r="H6533">
        <v>1700</v>
      </c>
      <c r="I6533">
        <v>-67</v>
      </c>
      <c r="J6533">
        <v>-151</v>
      </c>
      <c r="K6533">
        <v>128</v>
      </c>
      <c r="L6533">
        <v>1200</v>
      </c>
      <c r="M6533" t="str">
        <f t="shared" si="719"/>
        <v xml:space="preserve">N35DC   </v>
      </c>
      <c r="N6533">
        <v>1</v>
      </c>
      <c r="O6533">
        <v>1750</v>
      </c>
    </row>
    <row r="6534" spans="1:15" x14ac:dyDescent="0.25">
      <c r="A6534" t="str">
        <f>"10/21/2020 18:59:56.022"</f>
        <v>10/21/2020 18:59:56.022</v>
      </c>
      <c r="B6534" t="str">
        <f t="shared" si="721"/>
        <v>19:00:03.969</v>
      </c>
      <c r="C6534" t="str">
        <f t="shared" si="721"/>
        <v>19:00:03.969</v>
      </c>
      <c r="D6534" t="s">
        <v>2727</v>
      </c>
      <c r="E6534">
        <v>30.556455</v>
      </c>
      <c r="F6534" t="s">
        <v>2341</v>
      </c>
      <c r="G6534">
        <v>-89.813553999999996</v>
      </c>
      <c r="H6534">
        <v>1700</v>
      </c>
      <c r="I6534">
        <v>-67</v>
      </c>
      <c r="J6534">
        <v>-151</v>
      </c>
      <c r="K6534">
        <v>128</v>
      </c>
      <c r="L6534">
        <v>1200</v>
      </c>
      <c r="M6534" t="str">
        <f t="shared" si="719"/>
        <v xml:space="preserve">N35DC   </v>
      </c>
      <c r="N6534">
        <v>1</v>
      </c>
      <c r="O6534">
        <v>1750</v>
      </c>
    </row>
    <row r="6535" spans="1:15" x14ac:dyDescent="0.25">
      <c r="A6535" t="str">
        <f>"10/21/2020 18:59:57.017"</f>
        <v>10/21/2020 18:59:57.017</v>
      </c>
      <c r="B6535" t="str">
        <f>"19:00:04.945"</f>
        <v>19:00:04.945</v>
      </c>
      <c r="C6535" t="str">
        <f>"19:00:04.845"</f>
        <v>19:00:04.845</v>
      </c>
      <c r="D6535" t="s">
        <v>2728</v>
      </c>
      <c r="E6535">
        <v>30.555768</v>
      </c>
      <c r="F6535" t="s">
        <v>2729</v>
      </c>
      <c r="G6535">
        <v>-89.813875999999993</v>
      </c>
      <c r="H6535">
        <v>1700</v>
      </c>
      <c r="I6535">
        <v>-66</v>
      </c>
      <c r="J6535">
        <v>-152</v>
      </c>
      <c r="K6535">
        <v>0</v>
      </c>
      <c r="L6535">
        <v>1200</v>
      </c>
      <c r="M6535" t="str">
        <f t="shared" ref="M6535:M6598" si="722">"N35DC   "</f>
        <v xml:space="preserve">N35DC   </v>
      </c>
      <c r="N6535">
        <v>1</v>
      </c>
      <c r="O6535">
        <v>1750</v>
      </c>
    </row>
    <row r="6536" spans="1:15" x14ac:dyDescent="0.25">
      <c r="A6536" t="str">
        <f>"10/21/2020 18:59:57.017"</f>
        <v>10/21/2020 18:59:57.017</v>
      </c>
      <c r="B6536" t="str">
        <f>"19:00:04.945"</f>
        <v>19:00:04.945</v>
      </c>
      <c r="C6536" t="str">
        <f>"19:00:04.845"</f>
        <v>19:00:04.845</v>
      </c>
      <c r="D6536" t="s">
        <v>2728</v>
      </c>
      <c r="E6536">
        <v>30.555768</v>
      </c>
      <c r="F6536" t="s">
        <v>2729</v>
      </c>
      <c r="G6536">
        <v>-89.813875999999993</v>
      </c>
      <c r="H6536">
        <v>1700</v>
      </c>
      <c r="I6536">
        <v>-66</v>
      </c>
      <c r="J6536">
        <v>-152</v>
      </c>
      <c r="K6536">
        <v>0</v>
      </c>
      <c r="L6536">
        <v>1200</v>
      </c>
      <c r="M6536" t="str">
        <f t="shared" si="722"/>
        <v xml:space="preserve">N35DC   </v>
      </c>
      <c r="N6536">
        <v>1</v>
      </c>
      <c r="O6536">
        <v>1750</v>
      </c>
    </row>
    <row r="6537" spans="1:15" x14ac:dyDescent="0.25">
      <c r="A6537" t="str">
        <f>"10/21/2020 18:59:57.017"</f>
        <v>10/21/2020 18:59:57.017</v>
      </c>
      <c r="B6537" t="str">
        <f>"19:00:04.945"</f>
        <v>19:00:04.945</v>
      </c>
      <c r="C6537" t="str">
        <f>"19:00:04.845"</f>
        <v>19:00:04.845</v>
      </c>
      <c r="D6537" t="s">
        <v>2728</v>
      </c>
      <c r="E6537">
        <v>30.555768</v>
      </c>
      <c r="F6537" t="s">
        <v>2729</v>
      </c>
      <c r="G6537">
        <v>-89.813875999999993</v>
      </c>
      <c r="H6537">
        <v>1700</v>
      </c>
      <c r="I6537">
        <v>-66</v>
      </c>
      <c r="J6537">
        <v>-152</v>
      </c>
      <c r="K6537">
        <v>0</v>
      </c>
      <c r="L6537">
        <v>1200</v>
      </c>
      <c r="M6537" t="str">
        <f t="shared" si="722"/>
        <v xml:space="preserve">N35DC   </v>
      </c>
      <c r="N6537">
        <v>1</v>
      </c>
      <c r="O6537">
        <v>1750</v>
      </c>
    </row>
    <row r="6538" spans="1:15" x14ac:dyDescent="0.25">
      <c r="A6538" t="str">
        <f>"10/21/2020 18:59:57.017"</f>
        <v>10/21/2020 18:59:57.017</v>
      </c>
      <c r="B6538" t="str">
        <f>"19:00:04.945"</f>
        <v>19:00:04.945</v>
      </c>
      <c r="C6538" t="str">
        <f>"19:00:04.845"</f>
        <v>19:00:04.845</v>
      </c>
      <c r="D6538" t="s">
        <v>2728</v>
      </c>
      <c r="E6538">
        <v>30.555768</v>
      </c>
      <c r="F6538" t="s">
        <v>2729</v>
      </c>
      <c r="G6538">
        <v>-89.813875999999993</v>
      </c>
      <c r="H6538">
        <v>1700</v>
      </c>
      <c r="I6538">
        <v>-66</v>
      </c>
      <c r="J6538">
        <v>-152</v>
      </c>
      <c r="K6538">
        <v>0</v>
      </c>
      <c r="L6538">
        <v>1200</v>
      </c>
      <c r="M6538" t="str">
        <f t="shared" si="722"/>
        <v xml:space="preserve">N35DC   </v>
      </c>
      <c r="N6538">
        <v>1</v>
      </c>
      <c r="O6538">
        <v>1750</v>
      </c>
    </row>
    <row r="6539" spans="1:15" x14ac:dyDescent="0.25">
      <c r="A6539" t="str">
        <f>"10/21/2020 18:59:57.017"</f>
        <v>10/21/2020 18:59:57.017</v>
      </c>
      <c r="B6539" t="str">
        <f>"19:00:04.945"</f>
        <v>19:00:04.945</v>
      </c>
      <c r="C6539" t="str">
        <f>"19:00:04.845"</f>
        <v>19:00:04.845</v>
      </c>
      <c r="D6539" t="s">
        <v>2728</v>
      </c>
      <c r="E6539">
        <v>30.555768</v>
      </c>
      <c r="F6539" t="s">
        <v>2729</v>
      </c>
      <c r="G6539">
        <v>-89.813875999999993</v>
      </c>
      <c r="H6539">
        <v>1700</v>
      </c>
      <c r="I6539">
        <v>-66</v>
      </c>
      <c r="J6539">
        <v>-152</v>
      </c>
      <c r="K6539">
        <v>0</v>
      </c>
      <c r="L6539">
        <v>1200</v>
      </c>
      <c r="M6539" t="str">
        <f t="shared" si="722"/>
        <v xml:space="preserve">N35DC   </v>
      </c>
      <c r="N6539">
        <v>1</v>
      </c>
      <c r="O6539">
        <v>1750</v>
      </c>
    </row>
    <row r="6540" spans="1:15" x14ac:dyDescent="0.25">
      <c r="A6540" t="str">
        <f>"10/21/2020 18:59:59.962"</f>
        <v>10/21/2020 18:59:59.962</v>
      </c>
      <c r="B6540" t="str">
        <f>"19:00:07.914"</f>
        <v>19:00:07.914</v>
      </c>
      <c r="C6540" t="str">
        <f>"19:00:07.514"</f>
        <v>19:00:07.514</v>
      </c>
      <c r="D6540" t="s">
        <v>379</v>
      </c>
      <c r="E6540">
        <v>30.553687</v>
      </c>
      <c r="F6540" t="s">
        <v>2730</v>
      </c>
      <c r="G6540">
        <v>-89.814885000000004</v>
      </c>
      <c r="H6540">
        <v>1700</v>
      </c>
      <c r="I6540">
        <v>-62</v>
      </c>
      <c r="J6540">
        <v>-154</v>
      </c>
      <c r="K6540">
        <v>-64</v>
      </c>
      <c r="L6540">
        <v>1200</v>
      </c>
      <c r="M6540" t="str">
        <f t="shared" si="722"/>
        <v xml:space="preserve">N35DC   </v>
      </c>
      <c r="N6540">
        <v>1</v>
      </c>
      <c r="O6540">
        <v>1750</v>
      </c>
    </row>
    <row r="6541" spans="1:15" x14ac:dyDescent="0.25">
      <c r="A6541" t="str">
        <f>"10/21/2020 18:59:59.962"</f>
        <v>10/21/2020 18:59:59.962</v>
      </c>
      <c r="B6541" t="str">
        <f>"19:00:07.914"</f>
        <v>19:00:07.914</v>
      </c>
      <c r="C6541" t="str">
        <f>"19:00:07.514"</f>
        <v>19:00:07.514</v>
      </c>
      <c r="D6541" t="s">
        <v>379</v>
      </c>
      <c r="E6541">
        <v>30.553687</v>
      </c>
      <c r="F6541" t="s">
        <v>2730</v>
      </c>
      <c r="G6541">
        <v>-89.814885000000004</v>
      </c>
      <c r="H6541">
        <v>1700</v>
      </c>
      <c r="I6541">
        <v>-62</v>
      </c>
      <c r="J6541">
        <v>-154</v>
      </c>
      <c r="K6541">
        <v>-64</v>
      </c>
      <c r="L6541">
        <v>1200</v>
      </c>
      <c r="M6541" t="str">
        <f t="shared" si="722"/>
        <v xml:space="preserve">N35DC   </v>
      </c>
      <c r="N6541">
        <v>1</v>
      </c>
      <c r="O6541">
        <v>1750</v>
      </c>
    </row>
    <row r="6542" spans="1:15" x14ac:dyDescent="0.25">
      <c r="A6542" t="str">
        <f>"10/21/2020 18:59:59.962"</f>
        <v>10/21/2020 18:59:59.962</v>
      </c>
      <c r="B6542" t="str">
        <f>"19:00:07.914"</f>
        <v>19:00:07.914</v>
      </c>
      <c r="C6542" t="str">
        <f>"19:00:07.514"</f>
        <v>19:00:07.514</v>
      </c>
      <c r="D6542" t="s">
        <v>379</v>
      </c>
      <c r="E6542">
        <v>30.553687</v>
      </c>
      <c r="F6542" t="s">
        <v>2730</v>
      </c>
      <c r="G6542">
        <v>-89.814885000000004</v>
      </c>
      <c r="H6542">
        <v>1700</v>
      </c>
      <c r="I6542">
        <v>-62</v>
      </c>
      <c r="J6542">
        <v>-154</v>
      </c>
      <c r="K6542">
        <v>-64</v>
      </c>
      <c r="L6542">
        <v>1200</v>
      </c>
      <c r="M6542" t="str">
        <f t="shared" si="722"/>
        <v xml:space="preserve">N35DC   </v>
      </c>
      <c r="N6542">
        <v>1</v>
      </c>
      <c r="O6542">
        <v>1750</v>
      </c>
    </row>
    <row r="6543" spans="1:15" x14ac:dyDescent="0.25">
      <c r="A6543" t="str">
        <f>"10/21/2020 18:59:59.962"</f>
        <v>10/21/2020 18:59:59.962</v>
      </c>
      <c r="B6543" t="str">
        <f>"19:00:07.914"</f>
        <v>19:00:07.914</v>
      </c>
      <c r="C6543" t="str">
        <f>"19:00:07.514"</f>
        <v>19:00:07.514</v>
      </c>
      <c r="D6543" t="s">
        <v>379</v>
      </c>
      <c r="E6543">
        <v>30.553687</v>
      </c>
      <c r="F6543" t="s">
        <v>2730</v>
      </c>
      <c r="G6543">
        <v>-89.814885000000004</v>
      </c>
      <c r="H6543">
        <v>1700</v>
      </c>
      <c r="I6543">
        <v>-62</v>
      </c>
      <c r="J6543">
        <v>-154</v>
      </c>
      <c r="K6543">
        <v>-64</v>
      </c>
      <c r="L6543">
        <v>1200</v>
      </c>
      <c r="M6543" t="str">
        <f t="shared" si="722"/>
        <v xml:space="preserve">N35DC   </v>
      </c>
      <c r="N6543">
        <v>1</v>
      </c>
      <c r="O6543">
        <v>1750</v>
      </c>
    </row>
    <row r="6544" spans="1:15" x14ac:dyDescent="0.25">
      <c r="A6544" t="str">
        <f>"10/21/2020 18:59:59.962"</f>
        <v>10/21/2020 18:59:59.962</v>
      </c>
      <c r="B6544" t="str">
        <f>"19:00:07.914"</f>
        <v>19:00:07.914</v>
      </c>
      <c r="C6544" t="str">
        <f>"19:00:07.514"</f>
        <v>19:00:07.514</v>
      </c>
      <c r="D6544" t="s">
        <v>379</v>
      </c>
      <c r="E6544">
        <v>30.553687</v>
      </c>
      <c r="F6544" t="s">
        <v>2730</v>
      </c>
      <c r="G6544">
        <v>-89.814885000000004</v>
      </c>
      <c r="H6544">
        <v>1700</v>
      </c>
      <c r="I6544">
        <v>-62</v>
      </c>
      <c r="J6544">
        <v>-154</v>
      </c>
      <c r="K6544">
        <v>-64</v>
      </c>
      <c r="L6544">
        <v>1200</v>
      </c>
      <c r="M6544" t="str">
        <f t="shared" si="722"/>
        <v xml:space="preserve">N35DC   </v>
      </c>
      <c r="N6544">
        <v>1</v>
      </c>
      <c r="O6544">
        <v>1750</v>
      </c>
    </row>
    <row r="6545" spans="1:15" x14ac:dyDescent="0.25">
      <c r="A6545" t="str">
        <f>"10/21/2020 19:00:00.968"</f>
        <v>10/21/2020 19:00:00.968</v>
      </c>
      <c r="B6545" t="str">
        <f>"19:00:08.914"</f>
        <v>19:00:08.914</v>
      </c>
      <c r="C6545" t="str">
        <f>"19:00:08.514"</f>
        <v>19:00:08.514</v>
      </c>
      <c r="D6545" t="s">
        <v>2731</v>
      </c>
      <c r="E6545">
        <v>30.552979000000001</v>
      </c>
      <c r="F6545" t="s">
        <v>2339</v>
      </c>
      <c r="G6545">
        <v>-89.815228000000005</v>
      </c>
      <c r="H6545">
        <v>1700</v>
      </c>
      <c r="I6545">
        <v>-60</v>
      </c>
      <c r="J6545">
        <v>-154</v>
      </c>
      <c r="K6545">
        <v>-128</v>
      </c>
      <c r="L6545">
        <v>1200</v>
      </c>
      <c r="M6545" t="str">
        <f t="shared" si="722"/>
        <v xml:space="preserve">N35DC   </v>
      </c>
      <c r="N6545">
        <v>1</v>
      </c>
      <c r="O6545">
        <v>1750</v>
      </c>
    </row>
    <row r="6546" spans="1:15" x14ac:dyDescent="0.25">
      <c r="A6546" t="str">
        <f>"10/21/2020 19:00:00.968"</f>
        <v>10/21/2020 19:00:00.968</v>
      </c>
      <c r="B6546" t="str">
        <f>"19:00:08.914"</f>
        <v>19:00:08.914</v>
      </c>
      <c r="C6546" t="str">
        <f>"19:00:08.514"</f>
        <v>19:00:08.514</v>
      </c>
      <c r="D6546" t="s">
        <v>2731</v>
      </c>
      <c r="E6546">
        <v>30.552979000000001</v>
      </c>
      <c r="F6546" t="s">
        <v>2339</v>
      </c>
      <c r="G6546">
        <v>-89.815228000000005</v>
      </c>
      <c r="H6546">
        <v>1700</v>
      </c>
      <c r="I6546">
        <v>-60</v>
      </c>
      <c r="J6546">
        <v>-154</v>
      </c>
      <c r="K6546">
        <v>-128</v>
      </c>
      <c r="L6546">
        <v>1200</v>
      </c>
      <c r="M6546" t="str">
        <f t="shared" si="722"/>
        <v xml:space="preserve">N35DC   </v>
      </c>
      <c r="N6546">
        <v>1</v>
      </c>
      <c r="O6546">
        <v>1750</v>
      </c>
    </row>
    <row r="6547" spans="1:15" x14ac:dyDescent="0.25">
      <c r="A6547" t="str">
        <f>"10/21/2020 19:00:00.968"</f>
        <v>10/21/2020 19:00:00.968</v>
      </c>
      <c r="B6547" t="str">
        <f>"19:00:08.914"</f>
        <v>19:00:08.914</v>
      </c>
      <c r="C6547" t="str">
        <f>"19:00:08.514"</f>
        <v>19:00:08.514</v>
      </c>
      <c r="D6547" t="s">
        <v>2731</v>
      </c>
      <c r="E6547">
        <v>30.552979000000001</v>
      </c>
      <c r="F6547" t="s">
        <v>2339</v>
      </c>
      <c r="G6547">
        <v>-89.815228000000005</v>
      </c>
      <c r="H6547">
        <v>1700</v>
      </c>
      <c r="I6547">
        <v>-60</v>
      </c>
      <c r="J6547">
        <v>-154</v>
      </c>
      <c r="K6547">
        <v>-128</v>
      </c>
      <c r="L6547">
        <v>1200</v>
      </c>
      <c r="M6547" t="str">
        <f t="shared" si="722"/>
        <v xml:space="preserve">N35DC   </v>
      </c>
      <c r="N6547">
        <v>1</v>
      </c>
      <c r="O6547">
        <v>1750</v>
      </c>
    </row>
    <row r="6548" spans="1:15" x14ac:dyDescent="0.25">
      <c r="A6548" t="str">
        <f>"10/21/2020 19:00:00.968"</f>
        <v>10/21/2020 19:00:00.968</v>
      </c>
      <c r="B6548" t="str">
        <f>"19:00:08.914"</f>
        <v>19:00:08.914</v>
      </c>
      <c r="C6548" t="str">
        <f>"19:00:08.514"</f>
        <v>19:00:08.514</v>
      </c>
      <c r="D6548" t="s">
        <v>2731</v>
      </c>
      <c r="E6548">
        <v>30.552979000000001</v>
      </c>
      <c r="F6548" t="s">
        <v>2339</v>
      </c>
      <c r="G6548">
        <v>-89.815228000000005</v>
      </c>
      <c r="H6548">
        <v>1700</v>
      </c>
      <c r="I6548">
        <v>-60</v>
      </c>
      <c r="J6548">
        <v>-154</v>
      </c>
      <c r="K6548">
        <v>-128</v>
      </c>
      <c r="L6548">
        <v>1200</v>
      </c>
      <c r="M6548" t="str">
        <f t="shared" si="722"/>
        <v xml:space="preserve">N35DC   </v>
      </c>
      <c r="N6548">
        <v>1</v>
      </c>
      <c r="O6548">
        <v>1750</v>
      </c>
    </row>
    <row r="6549" spans="1:15" x14ac:dyDescent="0.25">
      <c r="A6549" t="str">
        <f>"10/21/2020 19:00:00.968"</f>
        <v>10/21/2020 19:00:00.968</v>
      </c>
      <c r="B6549" t="str">
        <f>"19:00:08.914"</f>
        <v>19:00:08.914</v>
      </c>
      <c r="C6549" t="str">
        <f>"19:00:08.514"</f>
        <v>19:00:08.514</v>
      </c>
      <c r="D6549" t="s">
        <v>2731</v>
      </c>
      <c r="E6549">
        <v>30.552979000000001</v>
      </c>
      <c r="F6549" t="s">
        <v>2339</v>
      </c>
      <c r="G6549">
        <v>-89.815228000000005</v>
      </c>
      <c r="H6549">
        <v>1700</v>
      </c>
      <c r="I6549">
        <v>-60</v>
      </c>
      <c r="J6549">
        <v>-154</v>
      </c>
      <c r="K6549">
        <v>-128</v>
      </c>
      <c r="L6549">
        <v>1200</v>
      </c>
      <c r="M6549" t="str">
        <f t="shared" si="722"/>
        <v xml:space="preserve">N35DC   </v>
      </c>
      <c r="N6549">
        <v>1</v>
      </c>
      <c r="O6549">
        <v>1750</v>
      </c>
    </row>
    <row r="6550" spans="1:15" x14ac:dyDescent="0.25">
      <c r="A6550" t="str">
        <f>"10/21/2020 19:00:03.903"</f>
        <v>10/21/2020 19:00:03.903</v>
      </c>
      <c r="B6550" t="str">
        <f>"19:00:11.859"</f>
        <v>19:00:11.859</v>
      </c>
      <c r="C6550" t="str">
        <f>"19:00:11.759"</f>
        <v>19:00:11.759</v>
      </c>
      <c r="D6550" t="s">
        <v>2732</v>
      </c>
      <c r="E6550">
        <v>30.550833000000001</v>
      </c>
      <c r="F6550" t="s">
        <v>2733</v>
      </c>
      <c r="G6550">
        <v>-89.816085999999999</v>
      </c>
      <c r="H6550">
        <v>1700</v>
      </c>
      <c r="I6550">
        <v>-54</v>
      </c>
      <c r="J6550">
        <v>-157</v>
      </c>
      <c r="K6550">
        <v>64</v>
      </c>
      <c r="L6550">
        <v>1200</v>
      </c>
      <c r="M6550" t="str">
        <f t="shared" si="722"/>
        <v xml:space="preserve">N35DC   </v>
      </c>
      <c r="N6550">
        <v>1</v>
      </c>
      <c r="O6550">
        <v>1750</v>
      </c>
    </row>
    <row r="6551" spans="1:15" x14ac:dyDescent="0.25">
      <c r="A6551" t="str">
        <f>"10/21/2020 19:00:03.903"</f>
        <v>10/21/2020 19:00:03.903</v>
      </c>
      <c r="B6551" t="str">
        <f>"19:00:11.859"</f>
        <v>19:00:11.859</v>
      </c>
      <c r="C6551" t="str">
        <f>"19:00:11.759"</f>
        <v>19:00:11.759</v>
      </c>
      <c r="D6551" t="s">
        <v>2732</v>
      </c>
      <c r="E6551">
        <v>30.550833000000001</v>
      </c>
      <c r="F6551" t="s">
        <v>2733</v>
      </c>
      <c r="G6551">
        <v>-89.816085999999999</v>
      </c>
      <c r="H6551">
        <v>1700</v>
      </c>
      <c r="I6551">
        <v>-54</v>
      </c>
      <c r="J6551">
        <v>-157</v>
      </c>
      <c r="K6551">
        <v>64</v>
      </c>
      <c r="L6551">
        <v>1200</v>
      </c>
      <c r="M6551" t="str">
        <f t="shared" si="722"/>
        <v xml:space="preserve">N35DC   </v>
      </c>
      <c r="N6551">
        <v>1</v>
      </c>
      <c r="O6551">
        <v>1750</v>
      </c>
    </row>
    <row r="6552" spans="1:15" x14ac:dyDescent="0.25">
      <c r="A6552" t="str">
        <f>"10/21/2020 19:00:03.903"</f>
        <v>10/21/2020 19:00:03.903</v>
      </c>
      <c r="B6552" t="str">
        <f>"19:00:11.859"</f>
        <v>19:00:11.859</v>
      </c>
      <c r="C6552" t="str">
        <f>"19:00:11.759"</f>
        <v>19:00:11.759</v>
      </c>
      <c r="D6552" t="s">
        <v>2732</v>
      </c>
      <c r="E6552">
        <v>30.550833000000001</v>
      </c>
      <c r="F6552" t="s">
        <v>2733</v>
      </c>
      <c r="G6552">
        <v>-89.816085999999999</v>
      </c>
      <c r="H6552">
        <v>1700</v>
      </c>
      <c r="I6552">
        <v>-54</v>
      </c>
      <c r="J6552">
        <v>-157</v>
      </c>
      <c r="K6552">
        <v>64</v>
      </c>
      <c r="L6552">
        <v>1200</v>
      </c>
      <c r="M6552" t="str">
        <f t="shared" si="722"/>
        <v xml:space="preserve">N35DC   </v>
      </c>
      <c r="N6552">
        <v>1</v>
      </c>
      <c r="O6552">
        <v>1750</v>
      </c>
    </row>
    <row r="6553" spans="1:15" x14ac:dyDescent="0.25">
      <c r="A6553" t="str">
        <f>"10/21/2020 19:00:03.903"</f>
        <v>10/21/2020 19:00:03.903</v>
      </c>
      <c r="B6553" t="str">
        <f>"19:00:11.859"</f>
        <v>19:00:11.859</v>
      </c>
      <c r="C6553" t="str">
        <f>"19:00:11.759"</f>
        <v>19:00:11.759</v>
      </c>
      <c r="D6553" t="s">
        <v>2732</v>
      </c>
      <c r="E6553">
        <v>30.550833000000001</v>
      </c>
      <c r="F6553" t="s">
        <v>2733</v>
      </c>
      <c r="G6553">
        <v>-89.816085999999999</v>
      </c>
      <c r="H6553">
        <v>1700</v>
      </c>
      <c r="I6553">
        <v>-54</v>
      </c>
      <c r="J6553">
        <v>-157</v>
      </c>
      <c r="K6553">
        <v>64</v>
      </c>
      <c r="L6553">
        <v>1200</v>
      </c>
      <c r="M6553" t="str">
        <f t="shared" si="722"/>
        <v xml:space="preserve">N35DC   </v>
      </c>
      <c r="N6553">
        <v>1</v>
      </c>
      <c r="O6553">
        <v>1750</v>
      </c>
    </row>
    <row r="6554" spans="1:15" x14ac:dyDescent="0.25">
      <c r="A6554" t="str">
        <f>"10/21/2020 19:00:03.903"</f>
        <v>10/21/2020 19:00:03.903</v>
      </c>
      <c r="B6554" t="str">
        <f>"19:00:11.859"</f>
        <v>19:00:11.859</v>
      </c>
      <c r="C6554" t="str">
        <f>"19:00:11.759"</f>
        <v>19:00:11.759</v>
      </c>
      <c r="D6554" t="s">
        <v>2732</v>
      </c>
      <c r="E6554">
        <v>30.550833000000001</v>
      </c>
      <c r="F6554" t="s">
        <v>2733</v>
      </c>
      <c r="G6554">
        <v>-89.816085999999999</v>
      </c>
      <c r="H6554">
        <v>1700</v>
      </c>
      <c r="I6554">
        <v>-54</v>
      </c>
      <c r="J6554">
        <v>-157</v>
      </c>
      <c r="K6554">
        <v>64</v>
      </c>
      <c r="L6554">
        <v>1200</v>
      </c>
      <c r="M6554" t="str">
        <f t="shared" si="722"/>
        <v xml:space="preserve">N35DC   </v>
      </c>
      <c r="N6554">
        <v>1</v>
      </c>
      <c r="O6554">
        <v>1750</v>
      </c>
    </row>
    <row r="6555" spans="1:15" x14ac:dyDescent="0.25">
      <c r="A6555" t="str">
        <f>"10/21/2020 19:00:06.781"</f>
        <v>10/21/2020 19:00:06.781</v>
      </c>
      <c r="B6555" t="str">
        <f t="shared" ref="B6555:C6559" si="723">"19:00:14.734"</f>
        <v>19:00:14.734</v>
      </c>
      <c r="C6555" t="str">
        <f t="shared" si="723"/>
        <v>19:00:14.734</v>
      </c>
      <c r="D6555" t="s">
        <v>2734</v>
      </c>
      <c r="E6555">
        <v>30.548687000000001</v>
      </c>
      <c r="F6555" t="s">
        <v>2735</v>
      </c>
      <c r="G6555">
        <v>-89.816923000000003</v>
      </c>
      <c r="H6555">
        <v>1700</v>
      </c>
      <c r="I6555">
        <v>-47</v>
      </c>
      <c r="J6555">
        <v>-160</v>
      </c>
      <c r="K6555">
        <v>-64</v>
      </c>
      <c r="L6555">
        <v>1200</v>
      </c>
      <c r="M6555" t="str">
        <f t="shared" si="722"/>
        <v xml:space="preserve">N35DC   </v>
      </c>
      <c r="N6555">
        <v>1</v>
      </c>
      <c r="O6555">
        <v>1750</v>
      </c>
    </row>
    <row r="6556" spans="1:15" x14ac:dyDescent="0.25">
      <c r="A6556" t="str">
        <f>"10/21/2020 19:00:06.781"</f>
        <v>10/21/2020 19:00:06.781</v>
      </c>
      <c r="B6556" t="str">
        <f t="shared" si="723"/>
        <v>19:00:14.734</v>
      </c>
      <c r="C6556" t="str">
        <f t="shared" si="723"/>
        <v>19:00:14.734</v>
      </c>
      <c r="D6556" t="s">
        <v>2734</v>
      </c>
      <c r="E6556">
        <v>30.548687000000001</v>
      </c>
      <c r="F6556" t="s">
        <v>2735</v>
      </c>
      <c r="G6556">
        <v>-89.816923000000003</v>
      </c>
      <c r="H6556">
        <v>1700</v>
      </c>
      <c r="I6556">
        <v>-47</v>
      </c>
      <c r="J6556">
        <v>-160</v>
      </c>
      <c r="K6556">
        <v>-64</v>
      </c>
      <c r="L6556">
        <v>1200</v>
      </c>
      <c r="M6556" t="str">
        <f t="shared" si="722"/>
        <v xml:space="preserve">N35DC   </v>
      </c>
      <c r="N6556">
        <v>1</v>
      </c>
      <c r="O6556">
        <v>1750</v>
      </c>
    </row>
    <row r="6557" spans="1:15" x14ac:dyDescent="0.25">
      <c r="A6557" t="str">
        <f>"10/21/2020 19:00:06.781"</f>
        <v>10/21/2020 19:00:06.781</v>
      </c>
      <c r="B6557" t="str">
        <f t="shared" si="723"/>
        <v>19:00:14.734</v>
      </c>
      <c r="C6557" t="str">
        <f t="shared" si="723"/>
        <v>19:00:14.734</v>
      </c>
      <c r="D6557" t="s">
        <v>2734</v>
      </c>
      <c r="E6557">
        <v>30.548687000000001</v>
      </c>
      <c r="F6557" t="s">
        <v>2735</v>
      </c>
      <c r="G6557">
        <v>-89.816923000000003</v>
      </c>
      <c r="H6557">
        <v>1700</v>
      </c>
      <c r="I6557">
        <v>-47</v>
      </c>
      <c r="J6557">
        <v>-160</v>
      </c>
      <c r="K6557">
        <v>-64</v>
      </c>
      <c r="L6557">
        <v>1200</v>
      </c>
      <c r="M6557" t="str">
        <f t="shared" si="722"/>
        <v xml:space="preserve">N35DC   </v>
      </c>
      <c r="N6557">
        <v>1</v>
      </c>
      <c r="O6557">
        <v>1750</v>
      </c>
    </row>
    <row r="6558" spans="1:15" x14ac:dyDescent="0.25">
      <c r="A6558" t="str">
        <f>"10/21/2020 19:00:06.781"</f>
        <v>10/21/2020 19:00:06.781</v>
      </c>
      <c r="B6558" t="str">
        <f t="shared" si="723"/>
        <v>19:00:14.734</v>
      </c>
      <c r="C6558" t="str">
        <f t="shared" si="723"/>
        <v>19:00:14.734</v>
      </c>
      <c r="D6558" t="s">
        <v>2734</v>
      </c>
      <c r="E6558">
        <v>30.548687000000001</v>
      </c>
      <c r="F6558" t="s">
        <v>2735</v>
      </c>
      <c r="G6558">
        <v>-89.816923000000003</v>
      </c>
      <c r="H6558">
        <v>1700</v>
      </c>
      <c r="I6558">
        <v>-47</v>
      </c>
      <c r="J6558">
        <v>-160</v>
      </c>
      <c r="K6558">
        <v>-64</v>
      </c>
      <c r="L6558">
        <v>1200</v>
      </c>
      <c r="M6558" t="str">
        <f t="shared" si="722"/>
        <v xml:space="preserve">N35DC   </v>
      </c>
      <c r="N6558">
        <v>1</v>
      </c>
      <c r="O6558">
        <v>1750</v>
      </c>
    </row>
    <row r="6559" spans="1:15" x14ac:dyDescent="0.25">
      <c r="A6559" t="str">
        <f>"10/21/2020 19:00:06.781"</f>
        <v>10/21/2020 19:00:06.781</v>
      </c>
      <c r="B6559" t="str">
        <f t="shared" si="723"/>
        <v>19:00:14.734</v>
      </c>
      <c r="C6559" t="str">
        <f t="shared" si="723"/>
        <v>19:00:14.734</v>
      </c>
      <c r="D6559" t="s">
        <v>2734</v>
      </c>
      <c r="E6559">
        <v>30.548687000000001</v>
      </c>
      <c r="F6559" t="s">
        <v>2735</v>
      </c>
      <c r="G6559">
        <v>-89.816923000000003</v>
      </c>
      <c r="H6559">
        <v>1700</v>
      </c>
      <c r="I6559">
        <v>-47</v>
      </c>
      <c r="J6559">
        <v>-160</v>
      </c>
      <c r="K6559">
        <v>-64</v>
      </c>
      <c r="L6559">
        <v>1200</v>
      </c>
      <c r="M6559" t="str">
        <f t="shared" si="722"/>
        <v xml:space="preserve">N35DC   </v>
      </c>
      <c r="N6559">
        <v>1</v>
      </c>
      <c r="O6559">
        <v>1750</v>
      </c>
    </row>
    <row r="6560" spans="1:15" x14ac:dyDescent="0.25">
      <c r="A6560" t="str">
        <f>"10/21/2020 19:00:07.921"</f>
        <v>10/21/2020 19:00:07.921</v>
      </c>
      <c r="B6560" t="str">
        <f>"19:00:15.859"</f>
        <v>19:00:15.859</v>
      </c>
      <c r="C6560" t="str">
        <f>"19:00:15.659"</f>
        <v>19:00:15.659</v>
      </c>
      <c r="D6560" t="s">
        <v>2736</v>
      </c>
      <c r="E6560">
        <v>30.54785</v>
      </c>
      <c r="F6560" t="s">
        <v>2737</v>
      </c>
      <c r="G6560">
        <v>-89.817138</v>
      </c>
      <c r="H6560">
        <v>1700</v>
      </c>
      <c r="I6560">
        <v>-44</v>
      </c>
      <c r="J6560">
        <v>-160</v>
      </c>
      <c r="K6560">
        <v>0</v>
      </c>
      <c r="L6560">
        <v>1200</v>
      </c>
      <c r="M6560" t="str">
        <f t="shared" si="722"/>
        <v xml:space="preserve">N35DC   </v>
      </c>
      <c r="N6560">
        <v>1</v>
      </c>
      <c r="O6560">
        <v>1725</v>
      </c>
    </row>
    <row r="6561" spans="1:15" x14ac:dyDescent="0.25">
      <c r="A6561" t="str">
        <f>"10/21/2020 19:00:07.921"</f>
        <v>10/21/2020 19:00:07.921</v>
      </c>
      <c r="B6561" t="str">
        <f>"19:00:15.859"</f>
        <v>19:00:15.859</v>
      </c>
      <c r="C6561" t="str">
        <f>"19:00:15.659"</f>
        <v>19:00:15.659</v>
      </c>
      <c r="D6561" t="s">
        <v>2736</v>
      </c>
      <c r="E6561">
        <v>30.54785</v>
      </c>
      <c r="F6561" t="s">
        <v>2737</v>
      </c>
      <c r="G6561">
        <v>-89.817138</v>
      </c>
      <c r="H6561">
        <v>1700</v>
      </c>
      <c r="I6561">
        <v>-44</v>
      </c>
      <c r="J6561">
        <v>-160</v>
      </c>
      <c r="K6561">
        <v>0</v>
      </c>
      <c r="L6561">
        <v>1200</v>
      </c>
      <c r="M6561" t="str">
        <f t="shared" si="722"/>
        <v xml:space="preserve">N35DC   </v>
      </c>
      <c r="N6561">
        <v>1</v>
      </c>
      <c r="O6561">
        <v>1725</v>
      </c>
    </row>
    <row r="6562" spans="1:15" x14ac:dyDescent="0.25">
      <c r="A6562" t="str">
        <f>"10/21/2020 19:00:07.921"</f>
        <v>10/21/2020 19:00:07.921</v>
      </c>
      <c r="B6562" t="str">
        <f>"19:00:15.859"</f>
        <v>19:00:15.859</v>
      </c>
      <c r="C6562" t="str">
        <f>"19:00:15.659"</f>
        <v>19:00:15.659</v>
      </c>
      <c r="D6562" t="s">
        <v>2736</v>
      </c>
      <c r="E6562">
        <v>30.54785</v>
      </c>
      <c r="F6562" t="s">
        <v>2737</v>
      </c>
      <c r="G6562">
        <v>-89.817138</v>
      </c>
      <c r="H6562">
        <v>1700</v>
      </c>
      <c r="I6562">
        <v>-44</v>
      </c>
      <c r="J6562">
        <v>-160</v>
      </c>
      <c r="K6562">
        <v>0</v>
      </c>
      <c r="L6562">
        <v>1200</v>
      </c>
      <c r="M6562" t="str">
        <f t="shared" si="722"/>
        <v xml:space="preserve">N35DC   </v>
      </c>
      <c r="N6562">
        <v>1</v>
      </c>
      <c r="O6562">
        <v>1725</v>
      </c>
    </row>
    <row r="6563" spans="1:15" x14ac:dyDescent="0.25">
      <c r="A6563" t="str">
        <f>"10/21/2020 19:00:07.921"</f>
        <v>10/21/2020 19:00:07.921</v>
      </c>
      <c r="B6563" t="str">
        <f>"19:00:15.859"</f>
        <v>19:00:15.859</v>
      </c>
      <c r="C6563" t="str">
        <f>"19:00:15.659"</f>
        <v>19:00:15.659</v>
      </c>
      <c r="D6563" t="s">
        <v>2736</v>
      </c>
      <c r="E6563">
        <v>30.54785</v>
      </c>
      <c r="F6563" t="s">
        <v>2737</v>
      </c>
      <c r="G6563">
        <v>-89.817138</v>
      </c>
      <c r="H6563">
        <v>1700</v>
      </c>
      <c r="I6563">
        <v>-44</v>
      </c>
      <c r="J6563">
        <v>-160</v>
      </c>
      <c r="K6563">
        <v>0</v>
      </c>
      <c r="L6563">
        <v>1200</v>
      </c>
      <c r="M6563" t="str">
        <f t="shared" si="722"/>
        <v xml:space="preserve">N35DC   </v>
      </c>
      <c r="N6563">
        <v>1</v>
      </c>
      <c r="O6563">
        <v>1725</v>
      </c>
    </row>
    <row r="6564" spans="1:15" x14ac:dyDescent="0.25">
      <c r="A6564" t="str">
        <f>"10/21/2020 19:00:07.921"</f>
        <v>10/21/2020 19:00:07.921</v>
      </c>
      <c r="B6564" t="str">
        <f>"19:00:15.859"</f>
        <v>19:00:15.859</v>
      </c>
      <c r="C6564" t="str">
        <f>"19:00:15.659"</f>
        <v>19:00:15.659</v>
      </c>
      <c r="D6564" t="s">
        <v>2736</v>
      </c>
      <c r="E6564">
        <v>30.54785</v>
      </c>
      <c r="F6564" t="s">
        <v>2737</v>
      </c>
      <c r="G6564">
        <v>-89.817138</v>
      </c>
      <c r="H6564">
        <v>1700</v>
      </c>
      <c r="I6564">
        <v>-44</v>
      </c>
      <c r="J6564">
        <v>-160</v>
      </c>
      <c r="K6564">
        <v>0</v>
      </c>
      <c r="L6564">
        <v>1200</v>
      </c>
      <c r="M6564" t="str">
        <f t="shared" si="722"/>
        <v xml:space="preserve">N35DC   </v>
      </c>
      <c r="N6564">
        <v>1</v>
      </c>
      <c r="O6564">
        <v>1725</v>
      </c>
    </row>
    <row r="6565" spans="1:15" x14ac:dyDescent="0.25">
      <c r="A6565" t="str">
        <f>"10/21/2020 19:00:10.884"</f>
        <v>10/21/2020 19:00:10.884</v>
      </c>
      <c r="B6565" t="str">
        <f>"19:00:18.813"</f>
        <v>19:00:18.813</v>
      </c>
      <c r="C6565" t="str">
        <f>"19:00:18.613"</f>
        <v>19:00:18.613</v>
      </c>
      <c r="D6565" t="s">
        <v>2738</v>
      </c>
      <c r="E6565">
        <v>30.545704000000001</v>
      </c>
      <c r="F6565" t="s">
        <v>2739</v>
      </c>
      <c r="G6565">
        <v>-89.817760000000007</v>
      </c>
      <c r="H6565">
        <v>1700</v>
      </c>
      <c r="I6565">
        <v>-38</v>
      </c>
      <c r="J6565">
        <v>-161</v>
      </c>
      <c r="K6565">
        <v>64</v>
      </c>
      <c r="L6565">
        <v>1200</v>
      </c>
      <c r="M6565" t="str">
        <f t="shared" si="722"/>
        <v xml:space="preserve">N35DC   </v>
      </c>
      <c r="N6565">
        <v>1</v>
      </c>
      <c r="O6565">
        <v>1750</v>
      </c>
    </row>
    <row r="6566" spans="1:15" x14ac:dyDescent="0.25">
      <c r="A6566" t="str">
        <f>"10/21/2020 19:00:10.884"</f>
        <v>10/21/2020 19:00:10.884</v>
      </c>
      <c r="B6566" t="str">
        <f>"19:00:18.813"</f>
        <v>19:00:18.813</v>
      </c>
      <c r="C6566" t="str">
        <f>"19:00:18.613"</f>
        <v>19:00:18.613</v>
      </c>
      <c r="D6566" t="s">
        <v>2738</v>
      </c>
      <c r="E6566">
        <v>30.545704000000001</v>
      </c>
      <c r="F6566" t="s">
        <v>2739</v>
      </c>
      <c r="G6566">
        <v>-89.817760000000007</v>
      </c>
      <c r="H6566">
        <v>1700</v>
      </c>
      <c r="I6566">
        <v>-38</v>
      </c>
      <c r="J6566">
        <v>-161</v>
      </c>
      <c r="K6566">
        <v>64</v>
      </c>
      <c r="L6566">
        <v>1200</v>
      </c>
      <c r="M6566" t="str">
        <f t="shared" si="722"/>
        <v xml:space="preserve">N35DC   </v>
      </c>
      <c r="N6566">
        <v>1</v>
      </c>
      <c r="O6566">
        <v>1750</v>
      </c>
    </row>
    <row r="6567" spans="1:15" x14ac:dyDescent="0.25">
      <c r="A6567" t="str">
        <f>"10/21/2020 19:00:10.884"</f>
        <v>10/21/2020 19:00:10.884</v>
      </c>
      <c r="B6567" t="str">
        <f>"19:00:18.813"</f>
        <v>19:00:18.813</v>
      </c>
      <c r="C6567" t="str">
        <f>"19:00:18.613"</f>
        <v>19:00:18.613</v>
      </c>
      <c r="D6567" t="s">
        <v>2738</v>
      </c>
      <c r="E6567">
        <v>30.545704000000001</v>
      </c>
      <c r="F6567" t="s">
        <v>2739</v>
      </c>
      <c r="G6567">
        <v>-89.817760000000007</v>
      </c>
      <c r="H6567">
        <v>1700</v>
      </c>
      <c r="I6567">
        <v>-38</v>
      </c>
      <c r="J6567">
        <v>-161</v>
      </c>
      <c r="K6567">
        <v>64</v>
      </c>
      <c r="L6567">
        <v>1200</v>
      </c>
      <c r="M6567" t="str">
        <f t="shared" si="722"/>
        <v xml:space="preserve">N35DC   </v>
      </c>
      <c r="N6567">
        <v>1</v>
      </c>
      <c r="O6567">
        <v>1750</v>
      </c>
    </row>
    <row r="6568" spans="1:15" x14ac:dyDescent="0.25">
      <c r="A6568" t="str">
        <f>"10/21/2020 19:00:10.884"</f>
        <v>10/21/2020 19:00:10.884</v>
      </c>
      <c r="B6568" t="str">
        <f>"19:00:18.813"</f>
        <v>19:00:18.813</v>
      </c>
      <c r="C6568" t="str">
        <f>"19:00:18.613"</f>
        <v>19:00:18.613</v>
      </c>
      <c r="D6568" t="s">
        <v>2738</v>
      </c>
      <c r="E6568">
        <v>30.545704000000001</v>
      </c>
      <c r="F6568" t="s">
        <v>2739</v>
      </c>
      <c r="G6568">
        <v>-89.817760000000007</v>
      </c>
      <c r="H6568">
        <v>1700</v>
      </c>
      <c r="I6568">
        <v>-38</v>
      </c>
      <c r="J6568">
        <v>-161</v>
      </c>
      <c r="K6568">
        <v>64</v>
      </c>
      <c r="L6568">
        <v>1200</v>
      </c>
      <c r="M6568" t="str">
        <f t="shared" si="722"/>
        <v xml:space="preserve">N35DC   </v>
      </c>
      <c r="N6568">
        <v>1</v>
      </c>
      <c r="O6568">
        <v>1750</v>
      </c>
    </row>
    <row r="6569" spans="1:15" x14ac:dyDescent="0.25">
      <c r="A6569" t="str">
        <f>"10/21/2020 19:00:10.884"</f>
        <v>10/21/2020 19:00:10.884</v>
      </c>
      <c r="B6569" t="str">
        <f>"19:00:18.813"</f>
        <v>19:00:18.813</v>
      </c>
      <c r="C6569" t="str">
        <f>"19:00:18.613"</f>
        <v>19:00:18.613</v>
      </c>
      <c r="D6569" t="s">
        <v>2738</v>
      </c>
      <c r="E6569">
        <v>30.545704000000001</v>
      </c>
      <c r="F6569" t="s">
        <v>2739</v>
      </c>
      <c r="G6569">
        <v>-89.817760000000007</v>
      </c>
      <c r="H6569">
        <v>1700</v>
      </c>
      <c r="I6569">
        <v>-38</v>
      </c>
      <c r="J6569">
        <v>-161</v>
      </c>
      <c r="K6569">
        <v>64</v>
      </c>
      <c r="L6569">
        <v>1200</v>
      </c>
      <c r="M6569" t="str">
        <f t="shared" si="722"/>
        <v xml:space="preserve">N35DC   </v>
      </c>
      <c r="N6569">
        <v>1</v>
      </c>
      <c r="O6569">
        <v>1750</v>
      </c>
    </row>
    <row r="6570" spans="1:15" x14ac:dyDescent="0.25">
      <c r="A6570" t="str">
        <f>"10/21/2020 19:00:14.041"</f>
        <v>10/21/2020 19:00:14.041</v>
      </c>
      <c r="B6570" t="str">
        <f>"19:00:22.008"</f>
        <v>19:00:22.008</v>
      </c>
      <c r="C6570" t="str">
        <f>"19:00:21.708"</f>
        <v>19:00:21.708</v>
      </c>
      <c r="D6570" t="s">
        <v>2740</v>
      </c>
      <c r="E6570">
        <v>30.543279999999999</v>
      </c>
      <c r="F6570" t="s">
        <v>2327</v>
      </c>
      <c r="G6570">
        <v>-89.818338999999995</v>
      </c>
      <c r="H6570">
        <v>1700</v>
      </c>
      <c r="I6570">
        <v>-34</v>
      </c>
      <c r="J6570">
        <v>-161</v>
      </c>
      <c r="K6570">
        <v>64</v>
      </c>
      <c r="L6570">
        <v>1200</v>
      </c>
      <c r="M6570" t="str">
        <f t="shared" si="722"/>
        <v xml:space="preserve">N35DC   </v>
      </c>
      <c r="N6570">
        <v>1</v>
      </c>
      <c r="O6570">
        <v>1750</v>
      </c>
    </row>
    <row r="6571" spans="1:15" x14ac:dyDescent="0.25">
      <c r="A6571" t="str">
        <f>"10/21/2020 19:00:14.041"</f>
        <v>10/21/2020 19:00:14.041</v>
      </c>
      <c r="B6571" t="str">
        <f>"19:00:22.008"</f>
        <v>19:00:22.008</v>
      </c>
      <c r="C6571" t="str">
        <f>"19:00:21.708"</f>
        <v>19:00:21.708</v>
      </c>
      <c r="D6571" t="s">
        <v>2740</v>
      </c>
      <c r="E6571">
        <v>30.543279999999999</v>
      </c>
      <c r="F6571" t="s">
        <v>2327</v>
      </c>
      <c r="G6571">
        <v>-89.818338999999995</v>
      </c>
      <c r="H6571">
        <v>1700</v>
      </c>
      <c r="I6571">
        <v>-34</v>
      </c>
      <c r="J6571">
        <v>-161</v>
      </c>
      <c r="K6571">
        <v>64</v>
      </c>
      <c r="L6571">
        <v>1200</v>
      </c>
      <c r="M6571" t="str">
        <f t="shared" si="722"/>
        <v xml:space="preserve">N35DC   </v>
      </c>
      <c r="N6571">
        <v>1</v>
      </c>
      <c r="O6571">
        <v>1750</v>
      </c>
    </row>
    <row r="6572" spans="1:15" x14ac:dyDescent="0.25">
      <c r="A6572" t="str">
        <f>"10/21/2020 19:00:14.041"</f>
        <v>10/21/2020 19:00:14.041</v>
      </c>
      <c r="B6572" t="str">
        <f>"19:00:22.008"</f>
        <v>19:00:22.008</v>
      </c>
      <c r="C6572" t="str">
        <f>"19:00:21.708"</f>
        <v>19:00:21.708</v>
      </c>
      <c r="D6572" t="s">
        <v>2740</v>
      </c>
      <c r="E6572">
        <v>30.543279999999999</v>
      </c>
      <c r="F6572" t="s">
        <v>2327</v>
      </c>
      <c r="G6572">
        <v>-89.818338999999995</v>
      </c>
      <c r="H6572">
        <v>1700</v>
      </c>
      <c r="I6572">
        <v>-34</v>
      </c>
      <c r="J6572">
        <v>-161</v>
      </c>
      <c r="K6572">
        <v>64</v>
      </c>
      <c r="L6572">
        <v>1200</v>
      </c>
      <c r="M6572" t="str">
        <f t="shared" si="722"/>
        <v xml:space="preserve">N35DC   </v>
      </c>
      <c r="N6572">
        <v>1</v>
      </c>
      <c r="O6572">
        <v>1750</v>
      </c>
    </row>
    <row r="6573" spans="1:15" x14ac:dyDescent="0.25">
      <c r="A6573" t="str">
        <f>"10/21/2020 19:00:14.041"</f>
        <v>10/21/2020 19:00:14.041</v>
      </c>
      <c r="B6573" t="str">
        <f>"19:00:22.008"</f>
        <v>19:00:22.008</v>
      </c>
      <c r="C6573" t="str">
        <f>"19:00:21.708"</f>
        <v>19:00:21.708</v>
      </c>
      <c r="D6573" t="s">
        <v>2740</v>
      </c>
      <c r="E6573">
        <v>30.543279999999999</v>
      </c>
      <c r="F6573" t="s">
        <v>2327</v>
      </c>
      <c r="G6573">
        <v>-89.818338999999995</v>
      </c>
      <c r="H6573">
        <v>1700</v>
      </c>
      <c r="I6573">
        <v>-34</v>
      </c>
      <c r="J6573">
        <v>-161</v>
      </c>
      <c r="K6573">
        <v>64</v>
      </c>
      <c r="L6573">
        <v>1200</v>
      </c>
      <c r="M6573" t="str">
        <f t="shared" si="722"/>
        <v xml:space="preserve">N35DC   </v>
      </c>
      <c r="N6573">
        <v>1</v>
      </c>
      <c r="O6573">
        <v>1750</v>
      </c>
    </row>
    <row r="6574" spans="1:15" x14ac:dyDescent="0.25">
      <c r="A6574" t="str">
        <f>"10/21/2020 19:00:14.041"</f>
        <v>10/21/2020 19:00:14.041</v>
      </c>
      <c r="B6574" t="str">
        <f>"19:00:22.008"</f>
        <v>19:00:22.008</v>
      </c>
      <c r="C6574" t="str">
        <f>"19:00:21.708"</f>
        <v>19:00:21.708</v>
      </c>
      <c r="D6574" t="s">
        <v>2740</v>
      </c>
      <c r="E6574">
        <v>30.543279999999999</v>
      </c>
      <c r="F6574" t="s">
        <v>2327</v>
      </c>
      <c r="G6574">
        <v>-89.818338999999995</v>
      </c>
      <c r="H6574">
        <v>1700</v>
      </c>
      <c r="I6574">
        <v>-34</v>
      </c>
      <c r="J6574">
        <v>-161</v>
      </c>
      <c r="K6574">
        <v>64</v>
      </c>
      <c r="L6574">
        <v>1200</v>
      </c>
      <c r="M6574" t="str">
        <f t="shared" si="722"/>
        <v xml:space="preserve">N35DC   </v>
      </c>
      <c r="N6574">
        <v>1</v>
      </c>
      <c r="O6574">
        <v>1750</v>
      </c>
    </row>
    <row r="6575" spans="1:15" x14ac:dyDescent="0.25">
      <c r="A6575" t="str">
        <f>"10/21/2020 19:00:17.203"</f>
        <v>10/21/2020 19:00:17.203</v>
      </c>
      <c r="B6575" t="str">
        <f>"19:00:25.133"</f>
        <v>19:00:25.133</v>
      </c>
      <c r="C6575" t="str">
        <f>"19:00:25.033"</f>
        <v>19:00:25.033</v>
      </c>
      <c r="D6575" t="s">
        <v>2741</v>
      </c>
      <c r="E6575">
        <v>30.540962</v>
      </c>
      <c r="F6575" t="s">
        <v>2742</v>
      </c>
      <c r="G6575">
        <v>-89.818897000000007</v>
      </c>
      <c r="H6575">
        <v>1700</v>
      </c>
      <c r="I6575">
        <v>-31</v>
      </c>
      <c r="J6575">
        <v>-162</v>
      </c>
      <c r="K6575">
        <v>64</v>
      </c>
      <c r="L6575">
        <v>1200</v>
      </c>
      <c r="M6575" t="str">
        <f t="shared" si="722"/>
        <v xml:space="preserve">N35DC   </v>
      </c>
      <c r="N6575">
        <v>1</v>
      </c>
      <c r="O6575">
        <v>1750</v>
      </c>
    </row>
    <row r="6576" spans="1:15" x14ac:dyDescent="0.25">
      <c r="A6576" t="str">
        <f>"10/21/2020 19:00:17.203"</f>
        <v>10/21/2020 19:00:17.203</v>
      </c>
      <c r="B6576" t="str">
        <f>"19:00:25.133"</f>
        <v>19:00:25.133</v>
      </c>
      <c r="C6576" t="str">
        <f>"19:00:25.033"</f>
        <v>19:00:25.033</v>
      </c>
      <c r="D6576" t="s">
        <v>2741</v>
      </c>
      <c r="E6576">
        <v>30.540962</v>
      </c>
      <c r="F6576" t="s">
        <v>2742</v>
      </c>
      <c r="G6576">
        <v>-89.818897000000007</v>
      </c>
      <c r="H6576">
        <v>1700</v>
      </c>
      <c r="I6576">
        <v>-31</v>
      </c>
      <c r="J6576">
        <v>-162</v>
      </c>
      <c r="K6576">
        <v>64</v>
      </c>
      <c r="L6576">
        <v>1200</v>
      </c>
      <c r="M6576" t="str">
        <f t="shared" si="722"/>
        <v xml:space="preserve">N35DC   </v>
      </c>
      <c r="N6576">
        <v>1</v>
      </c>
      <c r="O6576">
        <v>1750</v>
      </c>
    </row>
    <row r="6577" spans="1:15" x14ac:dyDescent="0.25">
      <c r="A6577" t="str">
        <f>"10/21/2020 19:00:17.203"</f>
        <v>10/21/2020 19:00:17.203</v>
      </c>
      <c r="B6577" t="str">
        <f>"19:00:25.133"</f>
        <v>19:00:25.133</v>
      </c>
      <c r="C6577" t="str">
        <f>"19:00:25.033"</f>
        <v>19:00:25.033</v>
      </c>
      <c r="D6577" t="s">
        <v>2741</v>
      </c>
      <c r="E6577">
        <v>30.540962</v>
      </c>
      <c r="F6577" t="s">
        <v>2742</v>
      </c>
      <c r="G6577">
        <v>-89.818897000000007</v>
      </c>
      <c r="H6577">
        <v>1700</v>
      </c>
      <c r="I6577">
        <v>-31</v>
      </c>
      <c r="J6577">
        <v>-162</v>
      </c>
      <c r="K6577">
        <v>64</v>
      </c>
      <c r="L6577">
        <v>1200</v>
      </c>
      <c r="M6577" t="str">
        <f t="shared" si="722"/>
        <v xml:space="preserve">N35DC   </v>
      </c>
      <c r="N6577">
        <v>1</v>
      </c>
      <c r="O6577">
        <v>1750</v>
      </c>
    </row>
    <row r="6578" spans="1:15" x14ac:dyDescent="0.25">
      <c r="A6578" t="str">
        <f>"10/21/2020 19:00:17.203"</f>
        <v>10/21/2020 19:00:17.203</v>
      </c>
      <c r="B6578" t="str">
        <f>"19:00:25.133"</f>
        <v>19:00:25.133</v>
      </c>
      <c r="C6578" t="str">
        <f>"19:00:25.033"</f>
        <v>19:00:25.033</v>
      </c>
      <c r="D6578" t="s">
        <v>2741</v>
      </c>
      <c r="E6578">
        <v>30.540962</v>
      </c>
      <c r="F6578" t="s">
        <v>2742</v>
      </c>
      <c r="G6578">
        <v>-89.818897000000007</v>
      </c>
      <c r="H6578">
        <v>1700</v>
      </c>
      <c r="I6578">
        <v>-31</v>
      </c>
      <c r="J6578">
        <v>-162</v>
      </c>
      <c r="K6578">
        <v>64</v>
      </c>
      <c r="L6578">
        <v>1200</v>
      </c>
      <c r="M6578" t="str">
        <f t="shared" si="722"/>
        <v xml:space="preserve">N35DC   </v>
      </c>
      <c r="N6578">
        <v>1</v>
      </c>
      <c r="O6578">
        <v>1750</v>
      </c>
    </row>
    <row r="6579" spans="1:15" x14ac:dyDescent="0.25">
      <c r="A6579" t="str">
        <f>"10/21/2020 19:00:17.203"</f>
        <v>10/21/2020 19:00:17.203</v>
      </c>
      <c r="B6579" t="str">
        <f>"19:00:25.133"</f>
        <v>19:00:25.133</v>
      </c>
      <c r="C6579" t="str">
        <f>"19:00:25.033"</f>
        <v>19:00:25.033</v>
      </c>
      <c r="D6579" t="s">
        <v>2741</v>
      </c>
      <c r="E6579">
        <v>30.540962</v>
      </c>
      <c r="F6579" t="s">
        <v>2742</v>
      </c>
      <c r="G6579">
        <v>-89.818897000000007</v>
      </c>
      <c r="H6579">
        <v>1700</v>
      </c>
      <c r="I6579">
        <v>-31</v>
      </c>
      <c r="J6579">
        <v>-162</v>
      </c>
      <c r="K6579">
        <v>64</v>
      </c>
      <c r="L6579">
        <v>1200</v>
      </c>
      <c r="M6579" t="str">
        <f t="shared" si="722"/>
        <v xml:space="preserve">N35DC   </v>
      </c>
      <c r="N6579">
        <v>1</v>
      </c>
      <c r="O6579">
        <v>1750</v>
      </c>
    </row>
    <row r="6580" spans="1:15" x14ac:dyDescent="0.25">
      <c r="A6580" t="str">
        <f>"10/21/2020 19:00:18.130"</f>
        <v>10/21/2020 19:00:18.130</v>
      </c>
      <c r="B6580" t="str">
        <f>"19:00:26.086"</f>
        <v>19:00:26.086</v>
      </c>
      <c r="C6580" t="str">
        <f>"19:00:25.986"</f>
        <v>19:00:25.986</v>
      </c>
      <c r="D6580" t="s">
        <v>2743</v>
      </c>
      <c r="E6580">
        <v>30.540254000000001</v>
      </c>
      <c r="F6580" t="s">
        <v>2744</v>
      </c>
      <c r="G6580">
        <v>-89.819046999999998</v>
      </c>
      <c r="H6580">
        <v>1700</v>
      </c>
      <c r="I6580">
        <v>-30</v>
      </c>
      <c r="J6580">
        <v>-162</v>
      </c>
      <c r="K6580">
        <v>0</v>
      </c>
      <c r="L6580">
        <v>1200</v>
      </c>
      <c r="M6580" t="str">
        <f t="shared" si="722"/>
        <v xml:space="preserve">N35DC   </v>
      </c>
      <c r="N6580">
        <v>1</v>
      </c>
      <c r="O6580">
        <v>1750</v>
      </c>
    </row>
    <row r="6581" spans="1:15" x14ac:dyDescent="0.25">
      <c r="A6581" t="str">
        <f>"10/21/2020 19:00:18.130"</f>
        <v>10/21/2020 19:00:18.130</v>
      </c>
      <c r="B6581" t="str">
        <f>"19:00:26.086"</f>
        <v>19:00:26.086</v>
      </c>
      <c r="C6581" t="str">
        <f>"19:00:25.986"</f>
        <v>19:00:25.986</v>
      </c>
      <c r="D6581" t="s">
        <v>2743</v>
      </c>
      <c r="E6581">
        <v>30.540254000000001</v>
      </c>
      <c r="F6581" t="s">
        <v>2744</v>
      </c>
      <c r="G6581">
        <v>-89.819046999999998</v>
      </c>
      <c r="H6581">
        <v>1700</v>
      </c>
      <c r="I6581">
        <v>-30</v>
      </c>
      <c r="J6581">
        <v>-162</v>
      </c>
      <c r="K6581">
        <v>0</v>
      </c>
      <c r="L6581">
        <v>1200</v>
      </c>
      <c r="M6581" t="str">
        <f t="shared" si="722"/>
        <v xml:space="preserve">N35DC   </v>
      </c>
      <c r="N6581">
        <v>1</v>
      </c>
      <c r="O6581">
        <v>1750</v>
      </c>
    </row>
    <row r="6582" spans="1:15" x14ac:dyDescent="0.25">
      <c r="A6582" t="str">
        <f>"10/21/2020 19:00:18.130"</f>
        <v>10/21/2020 19:00:18.130</v>
      </c>
      <c r="B6582" t="str">
        <f>"19:00:26.086"</f>
        <v>19:00:26.086</v>
      </c>
      <c r="C6582" t="str">
        <f>"19:00:25.986"</f>
        <v>19:00:25.986</v>
      </c>
      <c r="D6582" t="s">
        <v>2743</v>
      </c>
      <c r="E6582">
        <v>30.540254000000001</v>
      </c>
      <c r="F6582" t="s">
        <v>2744</v>
      </c>
      <c r="G6582">
        <v>-89.819046999999998</v>
      </c>
      <c r="H6582">
        <v>1700</v>
      </c>
      <c r="I6582">
        <v>-30</v>
      </c>
      <c r="J6582">
        <v>-162</v>
      </c>
      <c r="K6582">
        <v>0</v>
      </c>
      <c r="L6582">
        <v>1200</v>
      </c>
      <c r="M6582" t="str">
        <f t="shared" si="722"/>
        <v xml:space="preserve">N35DC   </v>
      </c>
      <c r="N6582">
        <v>1</v>
      </c>
      <c r="O6582">
        <v>1750</v>
      </c>
    </row>
    <row r="6583" spans="1:15" x14ac:dyDescent="0.25">
      <c r="A6583" t="str">
        <f>"10/21/2020 19:00:18.130"</f>
        <v>10/21/2020 19:00:18.130</v>
      </c>
      <c r="B6583" t="str">
        <f>"19:00:26.086"</f>
        <v>19:00:26.086</v>
      </c>
      <c r="C6583" t="str">
        <f>"19:00:25.986"</f>
        <v>19:00:25.986</v>
      </c>
      <c r="D6583" t="s">
        <v>2743</v>
      </c>
      <c r="E6583">
        <v>30.540254000000001</v>
      </c>
      <c r="F6583" t="s">
        <v>2744</v>
      </c>
      <c r="G6583">
        <v>-89.819046999999998</v>
      </c>
      <c r="H6583">
        <v>1700</v>
      </c>
      <c r="I6583">
        <v>-30</v>
      </c>
      <c r="J6583">
        <v>-162</v>
      </c>
      <c r="K6583">
        <v>0</v>
      </c>
      <c r="L6583">
        <v>1200</v>
      </c>
      <c r="M6583" t="str">
        <f t="shared" si="722"/>
        <v xml:space="preserve">N35DC   </v>
      </c>
      <c r="N6583">
        <v>1</v>
      </c>
      <c r="O6583">
        <v>1750</v>
      </c>
    </row>
    <row r="6584" spans="1:15" x14ac:dyDescent="0.25">
      <c r="A6584" t="str">
        <f>"10/21/2020 19:00:18.130"</f>
        <v>10/21/2020 19:00:18.130</v>
      </c>
      <c r="B6584" t="str">
        <f>"19:00:26.086"</f>
        <v>19:00:26.086</v>
      </c>
      <c r="C6584" t="str">
        <f>"19:00:25.986"</f>
        <v>19:00:25.986</v>
      </c>
      <c r="D6584" t="s">
        <v>2743</v>
      </c>
      <c r="E6584">
        <v>30.540254000000001</v>
      </c>
      <c r="F6584" t="s">
        <v>2744</v>
      </c>
      <c r="G6584">
        <v>-89.819046999999998</v>
      </c>
      <c r="H6584">
        <v>1700</v>
      </c>
      <c r="I6584">
        <v>-30</v>
      </c>
      <c r="J6584">
        <v>-162</v>
      </c>
      <c r="K6584">
        <v>0</v>
      </c>
      <c r="L6584">
        <v>1200</v>
      </c>
      <c r="M6584" t="str">
        <f t="shared" si="722"/>
        <v xml:space="preserve">N35DC   </v>
      </c>
      <c r="N6584">
        <v>1</v>
      </c>
      <c r="O6584">
        <v>1750</v>
      </c>
    </row>
    <row r="6585" spans="1:15" x14ac:dyDescent="0.25">
      <c r="A6585" t="str">
        <f>"10/21/2020 19:00:20.972"</f>
        <v>10/21/2020 19:00:20.972</v>
      </c>
      <c r="B6585" t="str">
        <f>"19:00:28.922"</f>
        <v>19:00:28.922</v>
      </c>
      <c r="C6585" t="str">
        <f>"19:00:28.622"</f>
        <v>19:00:28.622</v>
      </c>
      <c r="D6585" t="s">
        <v>2745</v>
      </c>
      <c r="E6585">
        <v>30.538108000000001</v>
      </c>
      <c r="F6585" t="s">
        <v>45</v>
      </c>
      <c r="G6585">
        <v>-89.819477000000006</v>
      </c>
      <c r="H6585">
        <v>1700</v>
      </c>
      <c r="I6585">
        <v>-28</v>
      </c>
      <c r="J6585">
        <v>-162</v>
      </c>
      <c r="K6585">
        <v>-64</v>
      </c>
      <c r="L6585">
        <v>1200</v>
      </c>
      <c r="M6585" t="str">
        <f t="shared" si="722"/>
        <v xml:space="preserve">N35DC   </v>
      </c>
      <c r="N6585">
        <v>1</v>
      </c>
      <c r="O6585">
        <v>1750</v>
      </c>
    </row>
    <row r="6586" spans="1:15" x14ac:dyDescent="0.25">
      <c r="A6586" t="str">
        <f>"10/21/2020 19:00:20.972"</f>
        <v>10/21/2020 19:00:20.972</v>
      </c>
      <c r="B6586" t="str">
        <f>"19:00:28.922"</f>
        <v>19:00:28.922</v>
      </c>
      <c r="C6586" t="str">
        <f>"19:00:28.622"</f>
        <v>19:00:28.622</v>
      </c>
      <c r="D6586" t="s">
        <v>2745</v>
      </c>
      <c r="E6586">
        <v>30.538108000000001</v>
      </c>
      <c r="F6586" t="s">
        <v>45</v>
      </c>
      <c r="G6586">
        <v>-89.819477000000006</v>
      </c>
      <c r="H6586">
        <v>1700</v>
      </c>
      <c r="I6586">
        <v>-28</v>
      </c>
      <c r="J6586">
        <v>-162</v>
      </c>
      <c r="K6586">
        <v>-64</v>
      </c>
      <c r="L6586">
        <v>1200</v>
      </c>
      <c r="M6586" t="str">
        <f t="shared" si="722"/>
        <v xml:space="preserve">N35DC   </v>
      </c>
      <c r="N6586">
        <v>1</v>
      </c>
      <c r="O6586">
        <v>1750</v>
      </c>
    </row>
    <row r="6587" spans="1:15" x14ac:dyDescent="0.25">
      <c r="A6587" t="str">
        <f>"10/21/2020 19:00:20.972"</f>
        <v>10/21/2020 19:00:20.972</v>
      </c>
      <c r="B6587" t="str">
        <f>"19:00:28.922"</f>
        <v>19:00:28.922</v>
      </c>
      <c r="C6587" t="str">
        <f>"19:00:28.622"</f>
        <v>19:00:28.622</v>
      </c>
      <c r="D6587" t="s">
        <v>2745</v>
      </c>
      <c r="E6587">
        <v>30.538108000000001</v>
      </c>
      <c r="F6587" t="s">
        <v>45</v>
      </c>
      <c r="G6587">
        <v>-89.819477000000006</v>
      </c>
      <c r="H6587">
        <v>1700</v>
      </c>
      <c r="I6587">
        <v>-28</v>
      </c>
      <c r="J6587">
        <v>-162</v>
      </c>
      <c r="K6587">
        <v>-64</v>
      </c>
      <c r="L6587">
        <v>1200</v>
      </c>
      <c r="M6587" t="str">
        <f t="shared" si="722"/>
        <v xml:space="preserve">N35DC   </v>
      </c>
      <c r="N6587">
        <v>1</v>
      </c>
      <c r="O6587">
        <v>1750</v>
      </c>
    </row>
    <row r="6588" spans="1:15" x14ac:dyDescent="0.25">
      <c r="A6588" t="str">
        <f>"10/21/2020 19:00:20.972"</f>
        <v>10/21/2020 19:00:20.972</v>
      </c>
      <c r="B6588" t="str">
        <f>"19:00:28.922"</f>
        <v>19:00:28.922</v>
      </c>
      <c r="C6588" t="str">
        <f>"19:00:28.622"</f>
        <v>19:00:28.622</v>
      </c>
      <c r="D6588" t="s">
        <v>2745</v>
      </c>
      <c r="E6588">
        <v>30.538108000000001</v>
      </c>
      <c r="F6588" t="s">
        <v>45</v>
      </c>
      <c r="G6588">
        <v>-89.819477000000006</v>
      </c>
      <c r="H6588">
        <v>1700</v>
      </c>
      <c r="I6588">
        <v>-28</v>
      </c>
      <c r="J6588">
        <v>-162</v>
      </c>
      <c r="K6588">
        <v>-64</v>
      </c>
      <c r="L6588">
        <v>1200</v>
      </c>
      <c r="M6588" t="str">
        <f t="shared" si="722"/>
        <v xml:space="preserve">N35DC   </v>
      </c>
      <c r="N6588">
        <v>1</v>
      </c>
      <c r="O6588">
        <v>1750</v>
      </c>
    </row>
    <row r="6589" spans="1:15" x14ac:dyDescent="0.25">
      <c r="A6589" t="str">
        <f>"10/21/2020 19:00:20.972"</f>
        <v>10/21/2020 19:00:20.972</v>
      </c>
      <c r="B6589" t="str">
        <f>"19:00:28.922"</f>
        <v>19:00:28.922</v>
      </c>
      <c r="C6589" t="str">
        <f>"19:00:28.622"</f>
        <v>19:00:28.622</v>
      </c>
      <c r="D6589" t="s">
        <v>2745</v>
      </c>
      <c r="E6589">
        <v>30.538108000000001</v>
      </c>
      <c r="F6589" t="s">
        <v>45</v>
      </c>
      <c r="G6589">
        <v>-89.819477000000006</v>
      </c>
      <c r="H6589">
        <v>1700</v>
      </c>
      <c r="I6589">
        <v>-28</v>
      </c>
      <c r="J6589">
        <v>-162</v>
      </c>
      <c r="K6589">
        <v>-64</v>
      </c>
      <c r="L6589">
        <v>1200</v>
      </c>
      <c r="M6589" t="str">
        <f t="shared" si="722"/>
        <v xml:space="preserve">N35DC   </v>
      </c>
      <c r="N6589">
        <v>1</v>
      </c>
      <c r="O6589">
        <v>1750</v>
      </c>
    </row>
    <row r="6590" spans="1:15" x14ac:dyDescent="0.25">
      <c r="A6590" t="str">
        <f>"10/21/2020 19:00:22.035"</f>
        <v>10/21/2020 19:00:22.035</v>
      </c>
      <c r="B6590" t="str">
        <f>"19:00:29.961"</f>
        <v>19:00:29.961</v>
      </c>
      <c r="C6590" t="str">
        <f>"19:00:29.561"</f>
        <v>19:00:29.561</v>
      </c>
      <c r="D6590" t="s">
        <v>2746</v>
      </c>
      <c r="E6590">
        <v>30.537336</v>
      </c>
      <c r="F6590" t="s">
        <v>43</v>
      </c>
      <c r="G6590">
        <v>-89.819670000000002</v>
      </c>
      <c r="H6590">
        <v>1700</v>
      </c>
      <c r="I6590">
        <v>-28</v>
      </c>
      <c r="J6590">
        <v>-162</v>
      </c>
      <c r="K6590">
        <v>-64</v>
      </c>
      <c r="L6590">
        <v>1200</v>
      </c>
      <c r="M6590" t="str">
        <f t="shared" si="722"/>
        <v xml:space="preserve">N35DC   </v>
      </c>
      <c r="N6590">
        <v>1</v>
      </c>
      <c r="O6590">
        <v>1750</v>
      </c>
    </row>
    <row r="6591" spans="1:15" x14ac:dyDescent="0.25">
      <c r="A6591" t="str">
        <f>"10/21/2020 19:00:22.035"</f>
        <v>10/21/2020 19:00:22.035</v>
      </c>
      <c r="B6591" t="str">
        <f>"19:00:29.961"</f>
        <v>19:00:29.961</v>
      </c>
      <c r="C6591" t="str">
        <f>"19:00:29.561"</f>
        <v>19:00:29.561</v>
      </c>
      <c r="D6591" t="s">
        <v>2746</v>
      </c>
      <c r="E6591">
        <v>30.537336</v>
      </c>
      <c r="F6591" t="s">
        <v>43</v>
      </c>
      <c r="G6591">
        <v>-89.819670000000002</v>
      </c>
      <c r="H6591">
        <v>1700</v>
      </c>
      <c r="I6591">
        <v>-28</v>
      </c>
      <c r="J6591">
        <v>-162</v>
      </c>
      <c r="K6591">
        <v>-64</v>
      </c>
      <c r="L6591">
        <v>1200</v>
      </c>
      <c r="M6591" t="str">
        <f t="shared" si="722"/>
        <v xml:space="preserve">N35DC   </v>
      </c>
      <c r="N6591">
        <v>1</v>
      </c>
      <c r="O6591">
        <v>1750</v>
      </c>
    </row>
    <row r="6592" spans="1:15" x14ac:dyDescent="0.25">
      <c r="A6592" t="str">
        <f>"10/21/2020 19:00:22.035"</f>
        <v>10/21/2020 19:00:22.035</v>
      </c>
      <c r="B6592" t="str">
        <f>"19:00:29.961"</f>
        <v>19:00:29.961</v>
      </c>
      <c r="C6592" t="str">
        <f>"19:00:29.561"</f>
        <v>19:00:29.561</v>
      </c>
      <c r="D6592" t="s">
        <v>2746</v>
      </c>
      <c r="E6592">
        <v>30.537336</v>
      </c>
      <c r="F6592" t="s">
        <v>43</v>
      </c>
      <c r="G6592">
        <v>-89.819670000000002</v>
      </c>
      <c r="H6592">
        <v>1700</v>
      </c>
      <c r="I6592">
        <v>-28</v>
      </c>
      <c r="J6592">
        <v>-162</v>
      </c>
      <c r="K6592">
        <v>-64</v>
      </c>
      <c r="L6592">
        <v>1200</v>
      </c>
      <c r="M6592" t="str">
        <f t="shared" si="722"/>
        <v xml:space="preserve">N35DC   </v>
      </c>
      <c r="N6592">
        <v>1</v>
      </c>
      <c r="O6592">
        <v>1750</v>
      </c>
    </row>
    <row r="6593" spans="1:15" x14ac:dyDescent="0.25">
      <c r="A6593" t="str">
        <f>"10/21/2020 19:00:22.035"</f>
        <v>10/21/2020 19:00:22.035</v>
      </c>
      <c r="B6593" t="str">
        <f>"19:00:29.961"</f>
        <v>19:00:29.961</v>
      </c>
      <c r="C6593" t="str">
        <f>"19:00:29.561"</f>
        <v>19:00:29.561</v>
      </c>
      <c r="D6593" t="s">
        <v>2746</v>
      </c>
      <c r="E6593">
        <v>30.537336</v>
      </c>
      <c r="F6593" t="s">
        <v>43</v>
      </c>
      <c r="G6593">
        <v>-89.819670000000002</v>
      </c>
      <c r="H6593">
        <v>1700</v>
      </c>
      <c r="I6593">
        <v>-28</v>
      </c>
      <c r="J6593">
        <v>-162</v>
      </c>
      <c r="K6593">
        <v>-64</v>
      </c>
      <c r="L6593">
        <v>1200</v>
      </c>
      <c r="M6593" t="str">
        <f t="shared" si="722"/>
        <v xml:space="preserve">N35DC   </v>
      </c>
      <c r="N6593">
        <v>1</v>
      </c>
      <c r="O6593">
        <v>1750</v>
      </c>
    </row>
    <row r="6594" spans="1:15" x14ac:dyDescent="0.25">
      <c r="A6594" t="str">
        <f>"10/21/2020 19:00:22.035"</f>
        <v>10/21/2020 19:00:22.035</v>
      </c>
      <c r="B6594" t="str">
        <f>"19:00:29.961"</f>
        <v>19:00:29.961</v>
      </c>
      <c r="C6594" t="str">
        <f>"19:00:29.561"</f>
        <v>19:00:29.561</v>
      </c>
      <c r="D6594" t="s">
        <v>2746</v>
      </c>
      <c r="E6594">
        <v>30.537336</v>
      </c>
      <c r="F6594" t="s">
        <v>43</v>
      </c>
      <c r="G6594">
        <v>-89.819670000000002</v>
      </c>
      <c r="H6594">
        <v>1700</v>
      </c>
      <c r="I6594">
        <v>-28</v>
      </c>
      <c r="J6594">
        <v>-162</v>
      </c>
      <c r="K6594">
        <v>-64</v>
      </c>
      <c r="L6594">
        <v>1200</v>
      </c>
      <c r="M6594" t="str">
        <f t="shared" si="722"/>
        <v xml:space="preserve">N35DC   </v>
      </c>
      <c r="N6594">
        <v>1</v>
      </c>
      <c r="O6594">
        <v>1750</v>
      </c>
    </row>
    <row r="6595" spans="1:15" x14ac:dyDescent="0.25">
      <c r="A6595" t="str">
        <f>"10/21/2020 19:00:22.946"</f>
        <v>10/21/2020 19:00:22.946</v>
      </c>
      <c r="B6595" t="str">
        <f>"19:00:30.906"</f>
        <v>19:00:30.906</v>
      </c>
      <c r="C6595" t="str">
        <f>"19:00:30.706"</f>
        <v>19:00:30.706</v>
      </c>
      <c r="D6595" t="s">
        <v>2747</v>
      </c>
      <c r="E6595">
        <v>30.536628</v>
      </c>
      <c r="F6595" t="s">
        <v>2748</v>
      </c>
      <c r="G6595">
        <v>-89.819798000000006</v>
      </c>
      <c r="H6595">
        <v>1700</v>
      </c>
      <c r="I6595">
        <v>-27</v>
      </c>
      <c r="J6595">
        <v>-162</v>
      </c>
      <c r="K6595">
        <v>-128</v>
      </c>
      <c r="L6595">
        <v>1200</v>
      </c>
      <c r="M6595" t="str">
        <f t="shared" si="722"/>
        <v xml:space="preserve">N35DC   </v>
      </c>
      <c r="N6595">
        <v>1</v>
      </c>
      <c r="O6595">
        <v>1750</v>
      </c>
    </row>
    <row r="6596" spans="1:15" x14ac:dyDescent="0.25">
      <c r="A6596" t="str">
        <f>"10/21/2020 19:00:22.946"</f>
        <v>10/21/2020 19:00:22.946</v>
      </c>
      <c r="B6596" t="str">
        <f>"19:00:30.906"</f>
        <v>19:00:30.906</v>
      </c>
      <c r="C6596" t="str">
        <f>"19:00:30.706"</f>
        <v>19:00:30.706</v>
      </c>
      <c r="D6596" t="s">
        <v>2747</v>
      </c>
      <c r="E6596">
        <v>30.536628</v>
      </c>
      <c r="F6596" t="s">
        <v>2748</v>
      </c>
      <c r="G6596">
        <v>-89.819798000000006</v>
      </c>
      <c r="H6596">
        <v>1700</v>
      </c>
      <c r="I6596">
        <v>-27</v>
      </c>
      <c r="J6596">
        <v>-162</v>
      </c>
      <c r="K6596">
        <v>-128</v>
      </c>
      <c r="L6596">
        <v>1200</v>
      </c>
      <c r="M6596" t="str">
        <f t="shared" si="722"/>
        <v xml:space="preserve">N35DC   </v>
      </c>
      <c r="N6596">
        <v>1</v>
      </c>
      <c r="O6596">
        <v>1750</v>
      </c>
    </row>
    <row r="6597" spans="1:15" x14ac:dyDescent="0.25">
      <c r="A6597" t="str">
        <f>"10/21/2020 19:00:22.946"</f>
        <v>10/21/2020 19:00:22.946</v>
      </c>
      <c r="B6597" t="str">
        <f>"19:00:30.906"</f>
        <v>19:00:30.906</v>
      </c>
      <c r="C6597" t="str">
        <f>"19:00:30.706"</f>
        <v>19:00:30.706</v>
      </c>
      <c r="D6597" t="s">
        <v>2747</v>
      </c>
      <c r="E6597">
        <v>30.536628</v>
      </c>
      <c r="F6597" t="s">
        <v>2748</v>
      </c>
      <c r="G6597">
        <v>-89.819798000000006</v>
      </c>
      <c r="H6597">
        <v>1700</v>
      </c>
      <c r="I6597">
        <v>-27</v>
      </c>
      <c r="J6597">
        <v>-162</v>
      </c>
      <c r="K6597">
        <v>-128</v>
      </c>
      <c r="L6597">
        <v>1200</v>
      </c>
      <c r="M6597" t="str">
        <f t="shared" si="722"/>
        <v xml:space="preserve">N35DC   </v>
      </c>
      <c r="N6597">
        <v>1</v>
      </c>
      <c r="O6597">
        <v>1750</v>
      </c>
    </row>
    <row r="6598" spans="1:15" x14ac:dyDescent="0.25">
      <c r="A6598" t="str">
        <f>"10/21/2020 19:00:22.946"</f>
        <v>10/21/2020 19:00:22.946</v>
      </c>
      <c r="B6598" t="str">
        <f>"19:00:30.906"</f>
        <v>19:00:30.906</v>
      </c>
      <c r="C6598" t="str">
        <f>"19:00:30.706"</f>
        <v>19:00:30.706</v>
      </c>
      <c r="D6598" t="s">
        <v>2747</v>
      </c>
      <c r="E6598">
        <v>30.536628</v>
      </c>
      <c r="F6598" t="s">
        <v>2748</v>
      </c>
      <c r="G6598">
        <v>-89.819798000000006</v>
      </c>
      <c r="H6598">
        <v>1700</v>
      </c>
      <c r="I6598">
        <v>-27</v>
      </c>
      <c r="J6598">
        <v>-162</v>
      </c>
      <c r="K6598">
        <v>-128</v>
      </c>
      <c r="L6598">
        <v>1200</v>
      </c>
      <c r="M6598" t="str">
        <f t="shared" si="722"/>
        <v xml:space="preserve">N35DC   </v>
      </c>
      <c r="N6598">
        <v>1</v>
      </c>
      <c r="O6598">
        <v>1750</v>
      </c>
    </row>
    <row r="6599" spans="1:15" x14ac:dyDescent="0.25">
      <c r="A6599" t="str">
        <f>"10/21/2020 19:00:22.946"</f>
        <v>10/21/2020 19:00:22.946</v>
      </c>
      <c r="B6599" t="str">
        <f>"19:00:30.906"</f>
        <v>19:00:30.906</v>
      </c>
      <c r="C6599" t="str">
        <f>"19:00:30.706"</f>
        <v>19:00:30.706</v>
      </c>
      <c r="D6599" t="s">
        <v>2747</v>
      </c>
      <c r="E6599">
        <v>30.536628</v>
      </c>
      <c r="F6599" t="s">
        <v>2748</v>
      </c>
      <c r="G6599">
        <v>-89.819798000000006</v>
      </c>
      <c r="H6599">
        <v>1700</v>
      </c>
      <c r="I6599">
        <v>-27</v>
      </c>
      <c r="J6599">
        <v>-162</v>
      </c>
      <c r="K6599">
        <v>-128</v>
      </c>
      <c r="L6599">
        <v>1200</v>
      </c>
      <c r="M6599" t="str">
        <f t="shared" ref="M6599:M6662" si="724">"N35DC   "</f>
        <v xml:space="preserve">N35DC   </v>
      </c>
      <c r="N6599">
        <v>1</v>
      </c>
      <c r="O6599">
        <v>1750</v>
      </c>
    </row>
    <row r="6600" spans="1:15" x14ac:dyDescent="0.25">
      <c r="A6600" t="str">
        <f>"10/21/2020 19:00:25.221"</f>
        <v>10/21/2020 19:00:25.221</v>
      </c>
      <c r="B6600" t="str">
        <f>"19:00:33.156"</f>
        <v>19:00:33.156</v>
      </c>
      <c r="C6600" t="str">
        <f>"19:00:32.956"</f>
        <v>19:00:32.956</v>
      </c>
      <c r="D6600" t="s">
        <v>2749</v>
      </c>
      <c r="E6600">
        <v>30.534911000000001</v>
      </c>
      <c r="F6600" t="s">
        <v>2750</v>
      </c>
      <c r="G6600">
        <v>-89.820098999999999</v>
      </c>
      <c r="H6600">
        <v>1700</v>
      </c>
      <c r="I6600">
        <v>-27</v>
      </c>
      <c r="J6600">
        <v>-162</v>
      </c>
      <c r="K6600">
        <v>-192</v>
      </c>
      <c r="L6600">
        <v>1200</v>
      </c>
      <c r="M6600" t="str">
        <f t="shared" si="724"/>
        <v xml:space="preserve">N35DC   </v>
      </c>
      <c r="N6600">
        <v>1</v>
      </c>
      <c r="O6600">
        <v>1750</v>
      </c>
    </row>
    <row r="6601" spans="1:15" x14ac:dyDescent="0.25">
      <c r="A6601" t="str">
        <f>"10/21/2020 19:00:25.221"</f>
        <v>10/21/2020 19:00:25.221</v>
      </c>
      <c r="B6601" t="str">
        <f>"19:00:33.156"</f>
        <v>19:00:33.156</v>
      </c>
      <c r="C6601" t="str">
        <f>"19:00:32.556"</f>
        <v>19:00:32.556</v>
      </c>
      <c r="D6601" t="s">
        <v>2749</v>
      </c>
      <c r="E6601">
        <v>30.534911000000001</v>
      </c>
      <c r="F6601" t="s">
        <v>2750</v>
      </c>
      <c r="G6601">
        <v>-89.820098999999999</v>
      </c>
      <c r="H6601">
        <v>1700</v>
      </c>
      <c r="I6601">
        <v>-27</v>
      </c>
      <c r="J6601">
        <v>-162</v>
      </c>
      <c r="K6601">
        <v>-192</v>
      </c>
      <c r="L6601">
        <v>1200</v>
      </c>
      <c r="M6601" t="str">
        <f t="shared" si="724"/>
        <v xml:space="preserve">N35DC   </v>
      </c>
      <c r="N6601">
        <v>1</v>
      </c>
      <c r="O6601">
        <v>1750</v>
      </c>
    </row>
    <row r="6602" spans="1:15" x14ac:dyDescent="0.25">
      <c r="A6602" t="str">
        <f>"10/21/2020 19:00:25.221"</f>
        <v>10/21/2020 19:00:25.221</v>
      </c>
      <c r="B6602" t="str">
        <f>"19:00:33.156"</f>
        <v>19:00:33.156</v>
      </c>
      <c r="C6602" t="str">
        <f>"19:00:32.956"</f>
        <v>19:00:32.956</v>
      </c>
      <c r="D6602" t="s">
        <v>2749</v>
      </c>
      <c r="E6602">
        <v>30.534911000000001</v>
      </c>
      <c r="F6602" t="s">
        <v>2750</v>
      </c>
      <c r="G6602">
        <v>-89.820098999999999</v>
      </c>
      <c r="H6602">
        <v>1700</v>
      </c>
      <c r="I6602">
        <v>-27</v>
      </c>
      <c r="J6602">
        <v>-162</v>
      </c>
      <c r="K6602">
        <v>-192</v>
      </c>
      <c r="L6602">
        <v>1200</v>
      </c>
      <c r="M6602" t="str">
        <f t="shared" si="724"/>
        <v xml:space="preserve">N35DC   </v>
      </c>
      <c r="N6602">
        <v>1</v>
      </c>
      <c r="O6602">
        <v>1750</v>
      </c>
    </row>
    <row r="6603" spans="1:15" x14ac:dyDescent="0.25">
      <c r="A6603" t="str">
        <f>"10/21/2020 19:00:25.221"</f>
        <v>10/21/2020 19:00:25.221</v>
      </c>
      <c r="B6603" t="str">
        <f>"19:00:33.156"</f>
        <v>19:00:33.156</v>
      </c>
      <c r="C6603" t="str">
        <f>"19:00:32.956"</f>
        <v>19:00:32.956</v>
      </c>
      <c r="D6603" t="s">
        <v>2749</v>
      </c>
      <c r="E6603">
        <v>30.534911000000001</v>
      </c>
      <c r="F6603" t="s">
        <v>2750</v>
      </c>
      <c r="G6603">
        <v>-89.820098999999999</v>
      </c>
      <c r="H6603">
        <v>1700</v>
      </c>
      <c r="I6603">
        <v>-27</v>
      </c>
      <c r="J6603">
        <v>-162</v>
      </c>
      <c r="K6603">
        <v>-192</v>
      </c>
      <c r="L6603">
        <v>1200</v>
      </c>
      <c r="M6603" t="str">
        <f t="shared" si="724"/>
        <v xml:space="preserve">N35DC   </v>
      </c>
      <c r="N6603">
        <v>1</v>
      </c>
      <c r="O6603">
        <v>1750</v>
      </c>
    </row>
    <row r="6604" spans="1:15" x14ac:dyDescent="0.25">
      <c r="A6604" t="str">
        <f>"10/21/2020 19:00:25.221"</f>
        <v>10/21/2020 19:00:25.221</v>
      </c>
      <c r="B6604" t="str">
        <f>"19:00:33.156"</f>
        <v>19:00:33.156</v>
      </c>
      <c r="C6604" t="str">
        <f>"19:00:32.956"</f>
        <v>19:00:32.956</v>
      </c>
      <c r="D6604" t="s">
        <v>2749</v>
      </c>
      <c r="E6604">
        <v>30.534911000000001</v>
      </c>
      <c r="F6604" t="s">
        <v>2750</v>
      </c>
      <c r="G6604">
        <v>-89.820098999999999</v>
      </c>
      <c r="H6604">
        <v>1700</v>
      </c>
      <c r="I6604">
        <v>-27</v>
      </c>
      <c r="J6604">
        <v>-162</v>
      </c>
      <c r="K6604">
        <v>-192</v>
      </c>
      <c r="L6604">
        <v>1200</v>
      </c>
      <c r="M6604" t="str">
        <f t="shared" si="724"/>
        <v xml:space="preserve">N35DC   </v>
      </c>
      <c r="N6604">
        <v>1</v>
      </c>
      <c r="O6604">
        <v>1750</v>
      </c>
    </row>
    <row r="6605" spans="1:15" x14ac:dyDescent="0.25">
      <c r="A6605" t="str">
        <f>"10/21/2020 19:00:26.131"</f>
        <v>10/21/2020 19:00:26.131</v>
      </c>
      <c r="B6605" t="str">
        <f>"19:00:34.086"</f>
        <v>19:00:34.086</v>
      </c>
      <c r="C6605" t="str">
        <f>"19:00:33.986"</f>
        <v>19:00:33.986</v>
      </c>
      <c r="D6605" t="s">
        <v>671</v>
      </c>
      <c r="E6605">
        <v>30.534203000000002</v>
      </c>
      <c r="F6605" t="s">
        <v>23</v>
      </c>
      <c r="G6605">
        <v>-89.820228</v>
      </c>
      <c r="H6605">
        <v>1700</v>
      </c>
      <c r="I6605">
        <v>-26</v>
      </c>
      <c r="J6605">
        <v>-162</v>
      </c>
      <c r="K6605">
        <v>-128</v>
      </c>
      <c r="L6605">
        <v>1200</v>
      </c>
      <c r="M6605" t="str">
        <f t="shared" si="724"/>
        <v xml:space="preserve">N35DC   </v>
      </c>
      <c r="N6605">
        <v>1</v>
      </c>
      <c r="O6605">
        <v>1750</v>
      </c>
    </row>
    <row r="6606" spans="1:15" x14ac:dyDescent="0.25">
      <c r="A6606" t="str">
        <f>"10/21/2020 19:00:26.131"</f>
        <v>10/21/2020 19:00:26.131</v>
      </c>
      <c r="B6606" t="str">
        <f>"19:00:34.086"</f>
        <v>19:00:34.086</v>
      </c>
      <c r="C6606" t="str">
        <f>"19:00:33.986"</f>
        <v>19:00:33.986</v>
      </c>
      <c r="D6606" t="s">
        <v>671</v>
      </c>
      <c r="E6606">
        <v>30.534203000000002</v>
      </c>
      <c r="F6606" t="s">
        <v>23</v>
      </c>
      <c r="G6606">
        <v>-89.820228</v>
      </c>
      <c r="H6606">
        <v>1700</v>
      </c>
      <c r="I6606">
        <v>-26</v>
      </c>
      <c r="J6606">
        <v>-162</v>
      </c>
      <c r="K6606">
        <v>-128</v>
      </c>
      <c r="L6606">
        <v>1200</v>
      </c>
      <c r="M6606" t="str">
        <f t="shared" si="724"/>
        <v xml:space="preserve">N35DC   </v>
      </c>
      <c r="N6606">
        <v>1</v>
      </c>
      <c r="O6606">
        <v>1750</v>
      </c>
    </row>
    <row r="6607" spans="1:15" x14ac:dyDescent="0.25">
      <c r="A6607" t="str">
        <f>"10/21/2020 19:00:26.131"</f>
        <v>10/21/2020 19:00:26.131</v>
      </c>
      <c r="B6607" t="str">
        <f>"19:00:34.086"</f>
        <v>19:00:34.086</v>
      </c>
      <c r="C6607" t="str">
        <f>"19:00:33.986"</f>
        <v>19:00:33.986</v>
      </c>
      <c r="D6607" t="s">
        <v>671</v>
      </c>
      <c r="E6607">
        <v>30.534203000000002</v>
      </c>
      <c r="F6607" t="s">
        <v>23</v>
      </c>
      <c r="G6607">
        <v>-89.820228</v>
      </c>
      <c r="H6607">
        <v>1700</v>
      </c>
      <c r="I6607">
        <v>-26</v>
      </c>
      <c r="J6607">
        <v>-162</v>
      </c>
      <c r="K6607">
        <v>-128</v>
      </c>
      <c r="L6607">
        <v>1200</v>
      </c>
      <c r="M6607" t="str">
        <f t="shared" si="724"/>
        <v xml:space="preserve">N35DC   </v>
      </c>
      <c r="N6607">
        <v>1</v>
      </c>
      <c r="O6607">
        <v>1750</v>
      </c>
    </row>
    <row r="6608" spans="1:15" x14ac:dyDescent="0.25">
      <c r="A6608" t="str">
        <f>"10/21/2020 19:00:26.131"</f>
        <v>10/21/2020 19:00:26.131</v>
      </c>
      <c r="B6608" t="str">
        <f>"19:00:34.086"</f>
        <v>19:00:34.086</v>
      </c>
      <c r="C6608" t="str">
        <f>"19:00:33.986"</f>
        <v>19:00:33.986</v>
      </c>
      <c r="D6608" t="s">
        <v>671</v>
      </c>
      <c r="E6608">
        <v>30.534203000000002</v>
      </c>
      <c r="F6608" t="s">
        <v>23</v>
      </c>
      <c r="G6608">
        <v>-89.820228</v>
      </c>
      <c r="H6608">
        <v>1700</v>
      </c>
      <c r="I6608">
        <v>-26</v>
      </c>
      <c r="J6608">
        <v>-162</v>
      </c>
      <c r="K6608">
        <v>-128</v>
      </c>
      <c r="L6608">
        <v>1200</v>
      </c>
      <c r="M6608" t="str">
        <f t="shared" si="724"/>
        <v xml:space="preserve">N35DC   </v>
      </c>
      <c r="N6608">
        <v>1</v>
      </c>
      <c r="O6608">
        <v>1750</v>
      </c>
    </row>
    <row r="6609" spans="1:15" x14ac:dyDescent="0.25">
      <c r="A6609" t="str">
        <f>"10/21/2020 19:00:26.131"</f>
        <v>10/21/2020 19:00:26.131</v>
      </c>
      <c r="B6609" t="str">
        <f>"19:00:34.086"</f>
        <v>19:00:34.086</v>
      </c>
      <c r="C6609" t="str">
        <f>"19:00:33.986"</f>
        <v>19:00:33.986</v>
      </c>
      <c r="D6609" t="s">
        <v>671</v>
      </c>
      <c r="E6609">
        <v>30.534203000000002</v>
      </c>
      <c r="F6609" t="s">
        <v>23</v>
      </c>
      <c r="G6609">
        <v>-89.820228</v>
      </c>
      <c r="H6609">
        <v>1700</v>
      </c>
      <c r="I6609">
        <v>-26</v>
      </c>
      <c r="J6609">
        <v>-162</v>
      </c>
      <c r="K6609">
        <v>-128</v>
      </c>
      <c r="L6609">
        <v>1200</v>
      </c>
      <c r="M6609" t="str">
        <f t="shared" si="724"/>
        <v xml:space="preserve">N35DC   </v>
      </c>
      <c r="N6609">
        <v>1</v>
      </c>
      <c r="O6609">
        <v>1750</v>
      </c>
    </row>
    <row r="6610" spans="1:15" x14ac:dyDescent="0.25">
      <c r="A6610" t="str">
        <f>"10/21/2020 19:00:28.126"</f>
        <v>10/21/2020 19:00:28.126</v>
      </c>
      <c r="B6610" t="str">
        <f t="shared" ref="B6610:C6614" si="725">"19:00:36.078"</f>
        <v>19:00:36.078</v>
      </c>
      <c r="C6610" t="str">
        <f t="shared" si="725"/>
        <v>19:00:36.078</v>
      </c>
      <c r="D6610" t="s">
        <v>2751</v>
      </c>
      <c r="E6610">
        <v>30.532744000000001</v>
      </c>
      <c r="F6610" t="s">
        <v>392</v>
      </c>
      <c r="G6610">
        <v>-89.820507000000006</v>
      </c>
      <c r="H6610">
        <v>1700</v>
      </c>
      <c r="I6610">
        <v>-24</v>
      </c>
      <c r="J6610">
        <v>-163</v>
      </c>
      <c r="K6610">
        <v>-64</v>
      </c>
      <c r="L6610">
        <v>1200</v>
      </c>
      <c r="M6610" t="str">
        <f t="shared" si="724"/>
        <v xml:space="preserve">N35DC   </v>
      </c>
      <c r="N6610">
        <v>1</v>
      </c>
      <c r="O6610">
        <v>1725</v>
      </c>
    </row>
    <row r="6611" spans="1:15" x14ac:dyDescent="0.25">
      <c r="A6611" t="str">
        <f>"10/21/2020 19:00:28.126"</f>
        <v>10/21/2020 19:00:28.126</v>
      </c>
      <c r="B6611" t="str">
        <f t="shared" si="725"/>
        <v>19:00:36.078</v>
      </c>
      <c r="C6611" t="str">
        <f t="shared" si="725"/>
        <v>19:00:36.078</v>
      </c>
      <c r="D6611" t="s">
        <v>2751</v>
      </c>
      <c r="E6611">
        <v>30.532744000000001</v>
      </c>
      <c r="F6611" t="s">
        <v>392</v>
      </c>
      <c r="G6611">
        <v>-89.820507000000006</v>
      </c>
      <c r="H6611">
        <v>1700</v>
      </c>
      <c r="I6611">
        <v>-24</v>
      </c>
      <c r="J6611">
        <v>-163</v>
      </c>
      <c r="K6611">
        <v>-64</v>
      </c>
      <c r="L6611">
        <v>1200</v>
      </c>
      <c r="M6611" t="str">
        <f t="shared" si="724"/>
        <v xml:space="preserve">N35DC   </v>
      </c>
      <c r="N6611">
        <v>1</v>
      </c>
      <c r="O6611">
        <v>1725</v>
      </c>
    </row>
    <row r="6612" spans="1:15" x14ac:dyDescent="0.25">
      <c r="A6612" t="str">
        <f>"10/21/2020 19:00:28.126"</f>
        <v>10/21/2020 19:00:28.126</v>
      </c>
      <c r="B6612" t="str">
        <f t="shared" si="725"/>
        <v>19:00:36.078</v>
      </c>
      <c r="C6612" t="str">
        <f t="shared" si="725"/>
        <v>19:00:36.078</v>
      </c>
      <c r="D6612" t="s">
        <v>2751</v>
      </c>
      <c r="E6612">
        <v>30.532744000000001</v>
      </c>
      <c r="F6612" t="s">
        <v>392</v>
      </c>
      <c r="G6612">
        <v>-89.820507000000006</v>
      </c>
      <c r="H6612">
        <v>1700</v>
      </c>
      <c r="I6612">
        <v>-24</v>
      </c>
      <c r="J6612">
        <v>-163</v>
      </c>
      <c r="K6612">
        <v>-64</v>
      </c>
      <c r="L6612">
        <v>1200</v>
      </c>
      <c r="M6612" t="str">
        <f t="shared" si="724"/>
        <v xml:space="preserve">N35DC   </v>
      </c>
      <c r="N6612">
        <v>1</v>
      </c>
      <c r="O6612">
        <v>1725</v>
      </c>
    </row>
    <row r="6613" spans="1:15" x14ac:dyDescent="0.25">
      <c r="A6613" t="str">
        <f>"10/21/2020 19:00:28.126"</f>
        <v>10/21/2020 19:00:28.126</v>
      </c>
      <c r="B6613" t="str">
        <f t="shared" si="725"/>
        <v>19:00:36.078</v>
      </c>
      <c r="C6613" t="str">
        <f t="shared" si="725"/>
        <v>19:00:36.078</v>
      </c>
      <c r="D6613" t="s">
        <v>2751</v>
      </c>
      <c r="E6613">
        <v>30.532744000000001</v>
      </c>
      <c r="F6613" t="s">
        <v>392</v>
      </c>
      <c r="G6613">
        <v>-89.820507000000006</v>
      </c>
      <c r="H6613">
        <v>1700</v>
      </c>
      <c r="I6613">
        <v>-24</v>
      </c>
      <c r="J6613">
        <v>-163</v>
      </c>
      <c r="K6613">
        <v>-64</v>
      </c>
      <c r="L6613">
        <v>1200</v>
      </c>
      <c r="M6613" t="str">
        <f t="shared" si="724"/>
        <v xml:space="preserve">N35DC   </v>
      </c>
      <c r="N6613">
        <v>1</v>
      </c>
      <c r="O6613">
        <v>1725</v>
      </c>
    </row>
    <row r="6614" spans="1:15" x14ac:dyDescent="0.25">
      <c r="A6614" t="str">
        <f>"10/21/2020 19:00:28.126"</f>
        <v>10/21/2020 19:00:28.126</v>
      </c>
      <c r="B6614" t="str">
        <f t="shared" si="725"/>
        <v>19:00:36.078</v>
      </c>
      <c r="C6614" t="str">
        <f t="shared" si="725"/>
        <v>19:00:36.078</v>
      </c>
      <c r="D6614" t="s">
        <v>2751</v>
      </c>
      <c r="E6614">
        <v>30.532744000000001</v>
      </c>
      <c r="F6614" t="s">
        <v>392</v>
      </c>
      <c r="G6614">
        <v>-89.820507000000006</v>
      </c>
      <c r="H6614">
        <v>1700</v>
      </c>
      <c r="I6614">
        <v>-24</v>
      </c>
      <c r="J6614">
        <v>-163</v>
      </c>
      <c r="K6614">
        <v>-64</v>
      </c>
      <c r="L6614">
        <v>1200</v>
      </c>
      <c r="M6614" t="str">
        <f t="shared" si="724"/>
        <v xml:space="preserve">N35DC   </v>
      </c>
      <c r="N6614">
        <v>1</v>
      </c>
      <c r="O6614">
        <v>1725</v>
      </c>
    </row>
    <row r="6615" spans="1:15" x14ac:dyDescent="0.25">
      <c r="A6615" t="str">
        <f>"10/21/2020 19:00:28.974"</f>
        <v>10/21/2020 19:00:28.974</v>
      </c>
      <c r="B6615" t="str">
        <f>"19:00:36.938"</f>
        <v>19:00:36.938</v>
      </c>
      <c r="C6615" t="str">
        <f>"19:00:36.738"</f>
        <v>19:00:36.738</v>
      </c>
      <c r="D6615" t="s">
        <v>2752</v>
      </c>
      <c r="E6615">
        <v>30.532056999999998</v>
      </c>
      <c r="F6615" t="s">
        <v>2753</v>
      </c>
      <c r="G6615">
        <v>-89.820614000000006</v>
      </c>
      <c r="H6615">
        <v>1700</v>
      </c>
      <c r="I6615">
        <v>-24</v>
      </c>
      <c r="J6615">
        <v>-163</v>
      </c>
      <c r="K6615">
        <v>0</v>
      </c>
      <c r="L6615">
        <v>1200</v>
      </c>
      <c r="M6615" t="str">
        <f t="shared" si="724"/>
        <v xml:space="preserve">N35DC   </v>
      </c>
      <c r="N6615">
        <v>1</v>
      </c>
      <c r="O6615">
        <v>1725</v>
      </c>
    </row>
    <row r="6616" spans="1:15" x14ac:dyDescent="0.25">
      <c r="A6616" t="str">
        <f>"10/21/2020 19:00:28.974"</f>
        <v>10/21/2020 19:00:28.974</v>
      </c>
      <c r="B6616" t="str">
        <f>"19:00:36.938"</f>
        <v>19:00:36.938</v>
      </c>
      <c r="C6616" t="str">
        <f>"19:00:36.738"</f>
        <v>19:00:36.738</v>
      </c>
      <c r="D6616" t="s">
        <v>2752</v>
      </c>
      <c r="E6616">
        <v>30.532056999999998</v>
      </c>
      <c r="F6616" t="s">
        <v>2753</v>
      </c>
      <c r="G6616">
        <v>-89.820614000000006</v>
      </c>
      <c r="H6616">
        <v>1700</v>
      </c>
      <c r="I6616">
        <v>-24</v>
      </c>
      <c r="J6616">
        <v>-163</v>
      </c>
      <c r="K6616">
        <v>0</v>
      </c>
      <c r="L6616">
        <v>1200</v>
      </c>
      <c r="M6616" t="str">
        <f t="shared" si="724"/>
        <v xml:space="preserve">N35DC   </v>
      </c>
      <c r="N6616">
        <v>1</v>
      </c>
      <c r="O6616">
        <v>1725</v>
      </c>
    </row>
    <row r="6617" spans="1:15" x14ac:dyDescent="0.25">
      <c r="A6617" t="str">
        <f>"10/21/2020 19:00:28.974"</f>
        <v>10/21/2020 19:00:28.974</v>
      </c>
      <c r="B6617" t="str">
        <f>"19:00:36.938"</f>
        <v>19:00:36.938</v>
      </c>
      <c r="C6617" t="str">
        <f>"19:00:36.738"</f>
        <v>19:00:36.738</v>
      </c>
      <c r="D6617" t="s">
        <v>2752</v>
      </c>
      <c r="E6617">
        <v>30.532056999999998</v>
      </c>
      <c r="F6617" t="s">
        <v>2753</v>
      </c>
      <c r="G6617">
        <v>-89.820614000000006</v>
      </c>
      <c r="H6617">
        <v>1700</v>
      </c>
      <c r="I6617">
        <v>-24</v>
      </c>
      <c r="J6617">
        <v>-163</v>
      </c>
      <c r="K6617">
        <v>0</v>
      </c>
      <c r="L6617">
        <v>1200</v>
      </c>
      <c r="M6617" t="str">
        <f t="shared" si="724"/>
        <v xml:space="preserve">N35DC   </v>
      </c>
      <c r="N6617">
        <v>1</v>
      </c>
      <c r="O6617">
        <v>1725</v>
      </c>
    </row>
    <row r="6618" spans="1:15" x14ac:dyDescent="0.25">
      <c r="A6618" t="str">
        <f>"10/21/2020 19:00:28.974"</f>
        <v>10/21/2020 19:00:28.974</v>
      </c>
      <c r="B6618" t="str">
        <f>"19:00:36.938"</f>
        <v>19:00:36.938</v>
      </c>
      <c r="C6618" t="str">
        <f>"19:00:36.738"</f>
        <v>19:00:36.738</v>
      </c>
      <c r="D6618" t="s">
        <v>2752</v>
      </c>
      <c r="E6618">
        <v>30.532056999999998</v>
      </c>
      <c r="F6618" t="s">
        <v>2753</v>
      </c>
      <c r="G6618">
        <v>-89.820614000000006</v>
      </c>
      <c r="H6618">
        <v>1700</v>
      </c>
      <c r="I6618">
        <v>-24</v>
      </c>
      <c r="J6618">
        <v>-163</v>
      </c>
      <c r="K6618">
        <v>0</v>
      </c>
      <c r="L6618">
        <v>1200</v>
      </c>
      <c r="M6618" t="str">
        <f t="shared" si="724"/>
        <v xml:space="preserve">N35DC   </v>
      </c>
      <c r="N6618">
        <v>1</v>
      </c>
      <c r="O6618">
        <v>1725</v>
      </c>
    </row>
    <row r="6619" spans="1:15" x14ac:dyDescent="0.25">
      <c r="A6619" t="str">
        <f>"10/21/2020 19:00:28.974"</f>
        <v>10/21/2020 19:00:28.974</v>
      </c>
      <c r="B6619" t="str">
        <f>"19:00:36.938"</f>
        <v>19:00:36.938</v>
      </c>
      <c r="C6619" t="str">
        <f>"19:00:36.738"</f>
        <v>19:00:36.738</v>
      </c>
      <c r="D6619" t="s">
        <v>2752</v>
      </c>
      <c r="E6619">
        <v>30.532056999999998</v>
      </c>
      <c r="F6619" t="s">
        <v>2753</v>
      </c>
      <c r="G6619">
        <v>-89.820614000000006</v>
      </c>
      <c r="H6619">
        <v>1700</v>
      </c>
      <c r="I6619">
        <v>-24</v>
      </c>
      <c r="J6619">
        <v>-163</v>
      </c>
      <c r="K6619">
        <v>0</v>
      </c>
      <c r="L6619">
        <v>1200</v>
      </c>
      <c r="M6619" t="str">
        <f t="shared" si="724"/>
        <v xml:space="preserve">N35DC   </v>
      </c>
      <c r="N6619">
        <v>1</v>
      </c>
      <c r="O6619">
        <v>1725</v>
      </c>
    </row>
    <row r="6620" spans="1:15" x14ac:dyDescent="0.25">
      <c r="A6620" t="str">
        <f>"10/21/2020 19:00:30.152"</f>
        <v>10/21/2020 19:00:30.152</v>
      </c>
      <c r="B6620" t="str">
        <f>"19:00:38.102"</f>
        <v>19:00:38.102</v>
      </c>
      <c r="C6620" t="str">
        <f>"19:00:37.702"</f>
        <v>19:00:37.702</v>
      </c>
      <c r="D6620" t="s">
        <v>2754</v>
      </c>
      <c r="E6620">
        <v>30.531199000000001</v>
      </c>
      <c r="F6620" t="s">
        <v>2755</v>
      </c>
      <c r="G6620">
        <v>-89.820721000000006</v>
      </c>
      <c r="H6620">
        <v>1700</v>
      </c>
      <c r="I6620">
        <v>-23</v>
      </c>
      <c r="J6620">
        <v>-163</v>
      </c>
      <c r="K6620">
        <v>0</v>
      </c>
      <c r="L6620">
        <v>1200</v>
      </c>
      <c r="M6620" t="str">
        <f t="shared" si="724"/>
        <v xml:space="preserve">N35DC   </v>
      </c>
      <c r="N6620">
        <v>1</v>
      </c>
      <c r="O6620">
        <v>1725</v>
      </c>
    </row>
    <row r="6621" spans="1:15" x14ac:dyDescent="0.25">
      <c r="A6621" t="str">
        <f>"10/21/2020 19:00:30.152"</f>
        <v>10/21/2020 19:00:30.152</v>
      </c>
      <c r="B6621" t="str">
        <f>"19:00:38.102"</f>
        <v>19:00:38.102</v>
      </c>
      <c r="C6621" t="str">
        <f>"19:00:37.702"</f>
        <v>19:00:37.702</v>
      </c>
      <c r="D6621" t="s">
        <v>2754</v>
      </c>
      <c r="E6621">
        <v>30.531199000000001</v>
      </c>
      <c r="F6621" t="s">
        <v>2755</v>
      </c>
      <c r="G6621">
        <v>-89.820721000000006</v>
      </c>
      <c r="H6621">
        <v>1700</v>
      </c>
      <c r="I6621">
        <v>-23</v>
      </c>
      <c r="J6621">
        <v>-163</v>
      </c>
      <c r="K6621">
        <v>0</v>
      </c>
      <c r="L6621">
        <v>1200</v>
      </c>
      <c r="M6621" t="str">
        <f t="shared" si="724"/>
        <v xml:space="preserve">N35DC   </v>
      </c>
      <c r="N6621">
        <v>1</v>
      </c>
      <c r="O6621">
        <v>1725</v>
      </c>
    </row>
    <row r="6622" spans="1:15" x14ac:dyDescent="0.25">
      <c r="A6622" t="str">
        <f>"10/21/2020 19:00:30.152"</f>
        <v>10/21/2020 19:00:30.152</v>
      </c>
      <c r="B6622" t="str">
        <f>"19:00:38.102"</f>
        <v>19:00:38.102</v>
      </c>
      <c r="C6622" t="str">
        <f>"19:00:37.702"</f>
        <v>19:00:37.702</v>
      </c>
      <c r="D6622" t="s">
        <v>2754</v>
      </c>
      <c r="E6622">
        <v>30.531199000000001</v>
      </c>
      <c r="F6622" t="s">
        <v>2755</v>
      </c>
      <c r="G6622">
        <v>-89.820721000000006</v>
      </c>
      <c r="H6622">
        <v>1700</v>
      </c>
      <c r="I6622">
        <v>-23</v>
      </c>
      <c r="J6622">
        <v>-163</v>
      </c>
      <c r="K6622">
        <v>0</v>
      </c>
      <c r="L6622">
        <v>1200</v>
      </c>
      <c r="M6622" t="str">
        <f t="shared" si="724"/>
        <v xml:space="preserve">N35DC   </v>
      </c>
      <c r="N6622">
        <v>1</v>
      </c>
      <c r="O6622">
        <v>1725</v>
      </c>
    </row>
    <row r="6623" spans="1:15" x14ac:dyDescent="0.25">
      <c r="A6623" t="str">
        <f>"10/21/2020 19:00:30.152"</f>
        <v>10/21/2020 19:00:30.152</v>
      </c>
      <c r="B6623" t="str">
        <f>"19:00:38.102"</f>
        <v>19:00:38.102</v>
      </c>
      <c r="C6623" t="str">
        <f>"19:00:37.702"</f>
        <v>19:00:37.702</v>
      </c>
      <c r="D6623" t="s">
        <v>2754</v>
      </c>
      <c r="E6623">
        <v>30.531199000000001</v>
      </c>
      <c r="F6623" t="s">
        <v>2755</v>
      </c>
      <c r="G6623">
        <v>-89.820721000000006</v>
      </c>
      <c r="H6623">
        <v>1700</v>
      </c>
      <c r="I6623">
        <v>-23</v>
      </c>
      <c r="J6623">
        <v>-163</v>
      </c>
      <c r="K6623">
        <v>0</v>
      </c>
      <c r="L6623">
        <v>1200</v>
      </c>
      <c r="M6623" t="str">
        <f t="shared" si="724"/>
        <v xml:space="preserve">N35DC   </v>
      </c>
      <c r="N6623">
        <v>1</v>
      </c>
      <c r="O6623">
        <v>1725</v>
      </c>
    </row>
    <row r="6624" spans="1:15" x14ac:dyDescent="0.25">
      <c r="A6624" t="str">
        <f>"10/21/2020 19:00:30.152"</f>
        <v>10/21/2020 19:00:30.152</v>
      </c>
      <c r="B6624" t="str">
        <f>"19:00:38.102"</f>
        <v>19:00:38.102</v>
      </c>
      <c r="C6624" t="str">
        <f>"19:00:37.702"</f>
        <v>19:00:37.702</v>
      </c>
      <c r="D6624" t="s">
        <v>2754</v>
      </c>
      <c r="E6624">
        <v>30.531199000000001</v>
      </c>
      <c r="F6624" t="s">
        <v>2755</v>
      </c>
      <c r="G6624">
        <v>-89.820721000000006</v>
      </c>
      <c r="H6624">
        <v>1700</v>
      </c>
      <c r="I6624">
        <v>-23</v>
      </c>
      <c r="J6624">
        <v>-163</v>
      </c>
      <c r="K6624">
        <v>0</v>
      </c>
      <c r="L6624">
        <v>1200</v>
      </c>
      <c r="M6624" t="str">
        <f t="shared" si="724"/>
        <v xml:space="preserve">N35DC   </v>
      </c>
      <c r="N6624">
        <v>1</v>
      </c>
      <c r="O6624">
        <v>1725</v>
      </c>
    </row>
    <row r="6625" spans="1:15" x14ac:dyDescent="0.25">
      <c r="A6625" t="str">
        <f>"10/21/2020 19:00:33.011"</f>
        <v>10/21/2020 19:00:33.011</v>
      </c>
      <c r="B6625" t="str">
        <f>"19:00:40.953"</f>
        <v>19:00:40.953</v>
      </c>
      <c r="C6625" t="str">
        <f>"19:00:40.553"</f>
        <v>19:00:40.553</v>
      </c>
      <c r="D6625" t="s">
        <v>2756</v>
      </c>
      <c r="E6625">
        <v>30.529032000000001</v>
      </c>
      <c r="F6625" t="s">
        <v>2757</v>
      </c>
      <c r="G6625">
        <v>-89.821085999999994</v>
      </c>
      <c r="H6625">
        <v>1700</v>
      </c>
      <c r="I6625">
        <v>-21</v>
      </c>
      <c r="J6625">
        <v>-164</v>
      </c>
      <c r="K6625">
        <v>0</v>
      </c>
      <c r="L6625">
        <v>1200</v>
      </c>
      <c r="M6625" t="str">
        <f t="shared" si="724"/>
        <v xml:space="preserve">N35DC   </v>
      </c>
      <c r="N6625">
        <v>1</v>
      </c>
      <c r="O6625">
        <v>1725</v>
      </c>
    </row>
    <row r="6626" spans="1:15" x14ac:dyDescent="0.25">
      <c r="A6626" t="str">
        <f>"10/21/2020 19:00:33.011"</f>
        <v>10/21/2020 19:00:33.011</v>
      </c>
      <c r="B6626" t="str">
        <f>"19:00:40.953"</f>
        <v>19:00:40.953</v>
      </c>
      <c r="C6626" t="str">
        <f>"19:00:40.553"</f>
        <v>19:00:40.553</v>
      </c>
      <c r="D6626" t="s">
        <v>2756</v>
      </c>
      <c r="E6626">
        <v>30.529032000000001</v>
      </c>
      <c r="F6626" t="s">
        <v>2757</v>
      </c>
      <c r="G6626">
        <v>-89.821085999999994</v>
      </c>
      <c r="H6626">
        <v>1700</v>
      </c>
      <c r="I6626">
        <v>-21</v>
      </c>
      <c r="J6626">
        <v>-164</v>
      </c>
      <c r="K6626">
        <v>0</v>
      </c>
      <c r="L6626">
        <v>1200</v>
      </c>
      <c r="M6626" t="str">
        <f t="shared" si="724"/>
        <v xml:space="preserve">N35DC   </v>
      </c>
      <c r="N6626">
        <v>1</v>
      </c>
      <c r="O6626">
        <v>1725</v>
      </c>
    </row>
    <row r="6627" spans="1:15" x14ac:dyDescent="0.25">
      <c r="A6627" t="str">
        <f>"10/21/2020 19:00:33.011"</f>
        <v>10/21/2020 19:00:33.011</v>
      </c>
      <c r="B6627" t="str">
        <f>"19:00:40.953"</f>
        <v>19:00:40.953</v>
      </c>
      <c r="C6627" t="str">
        <f>"19:00:40.553"</f>
        <v>19:00:40.553</v>
      </c>
      <c r="D6627" t="s">
        <v>2756</v>
      </c>
      <c r="E6627">
        <v>30.529032000000001</v>
      </c>
      <c r="F6627" t="s">
        <v>2757</v>
      </c>
      <c r="G6627">
        <v>-89.821085999999994</v>
      </c>
      <c r="H6627">
        <v>1700</v>
      </c>
      <c r="I6627">
        <v>-21</v>
      </c>
      <c r="J6627">
        <v>-164</v>
      </c>
      <c r="K6627">
        <v>0</v>
      </c>
      <c r="L6627">
        <v>1200</v>
      </c>
      <c r="M6627" t="str">
        <f t="shared" si="724"/>
        <v xml:space="preserve">N35DC   </v>
      </c>
      <c r="N6627">
        <v>1</v>
      </c>
      <c r="O6627">
        <v>1725</v>
      </c>
    </row>
    <row r="6628" spans="1:15" x14ac:dyDescent="0.25">
      <c r="A6628" t="str">
        <f>"10/21/2020 19:00:33.011"</f>
        <v>10/21/2020 19:00:33.011</v>
      </c>
      <c r="B6628" t="str">
        <f>"19:00:40.953"</f>
        <v>19:00:40.953</v>
      </c>
      <c r="C6628" t="str">
        <f>"19:00:40.553"</f>
        <v>19:00:40.553</v>
      </c>
      <c r="D6628" t="s">
        <v>2756</v>
      </c>
      <c r="E6628">
        <v>30.529032000000001</v>
      </c>
      <c r="F6628" t="s">
        <v>2757</v>
      </c>
      <c r="G6628">
        <v>-89.821085999999994</v>
      </c>
      <c r="H6628">
        <v>1700</v>
      </c>
      <c r="I6628">
        <v>-21</v>
      </c>
      <c r="J6628">
        <v>-164</v>
      </c>
      <c r="K6628">
        <v>0</v>
      </c>
      <c r="L6628">
        <v>1200</v>
      </c>
      <c r="M6628" t="str">
        <f t="shared" si="724"/>
        <v xml:space="preserve">N35DC   </v>
      </c>
      <c r="N6628">
        <v>1</v>
      </c>
      <c r="O6628">
        <v>1725</v>
      </c>
    </row>
    <row r="6629" spans="1:15" x14ac:dyDescent="0.25">
      <c r="A6629" t="str">
        <f>"10/21/2020 19:00:33.011"</f>
        <v>10/21/2020 19:00:33.011</v>
      </c>
      <c r="B6629" t="str">
        <f>"19:00:40.953"</f>
        <v>19:00:40.953</v>
      </c>
      <c r="C6629" t="str">
        <f>"19:00:40.553"</f>
        <v>19:00:40.553</v>
      </c>
      <c r="D6629" t="s">
        <v>2756</v>
      </c>
      <c r="E6629">
        <v>30.529032000000001</v>
      </c>
      <c r="F6629" t="s">
        <v>2757</v>
      </c>
      <c r="G6629">
        <v>-89.821085999999994</v>
      </c>
      <c r="H6629">
        <v>1700</v>
      </c>
      <c r="I6629">
        <v>-21</v>
      </c>
      <c r="J6629">
        <v>-164</v>
      </c>
      <c r="K6629">
        <v>0</v>
      </c>
      <c r="L6629">
        <v>1200</v>
      </c>
      <c r="M6629" t="str">
        <f t="shared" si="724"/>
        <v xml:space="preserve">N35DC   </v>
      </c>
      <c r="N6629">
        <v>1</v>
      </c>
      <c r="O6629">
        <v>1725</v>
      </c>
    </row>
    <row r="6630" spans="1:15" x14ac:dyDescent="0.25">
      <c r="A6630" t="str">
        <f>"10/21/2020 19:00:37.106"</f>
        <v>10/21/2020 19:00:37.106</v>
      </c>
      <c r="B6630" t="str">
        <f>"19:00:45.063"</f>
        <v>19:00:45.063</v>
      </c>
      <c r="C6630" t="str">
        <f>"19:00:44.762"</f>
        <v>19:00:44.762</v>
      </c>
      <c r="D6630" t="s">
        <v>2758</v>
      </c>
      <c r="E6630">
        <v>30.525877000000001</v>
      </c>
      <c r="F6630" t="s">
        <v>2759</v>
      </c>
      <c r="G6630">
        <v>-89.821472</v>
      </c>
      <c r="H6630">
        <v>1700</v>
      </c>
      <c r="I6630">
        <v>-16</v>
      </c>
      <c r="J6630">
        <v>-165</v>
      </c>
      <c r="K6630">
        <v>0</v>
      </c>
      <c r="L6630">
        <v>1200</v>
      </c>
      <c r="M6630" t="str">
        <f t="shared" si="724"/>
        <v xml:space="preserve">N35DC   </v>
      </c>
      <c r="N6630">
        <v>1</v>
      </c>
      <c r="O6630">
        <v>1725</v>
      </c>
    </row>
    <row r="6631" spans="1:15" x14ac:dyDescent="0.25">
      <c r="A6631" t="str">
        <f>"10/21/2020 19:00:37.106"</f>
        <v>10/21/2020 19:00:37.106</v>
      </c>
      <c r="B6631" t="str">
        <f>"19:00:45.063"</f>
        <v>19:00:45.063</v>
      </c>
      <c r="C6631" t="str">
        <f>"19:00:44.762"</f>
        <v>19:00:44.762</v>
      </c>
      <c r="D6631" t="s">
        <v>2758</v>
      </c>
      <c r="E6631">
        <v>30.525877000000001</v>
      </c>
      <c r="F6631" t="s">
        <v>2759</v>
      </c>
      <c r="G6631">
        <v>-89.821472</v>
      </c>
      <c r="H6631">
        <v>1700</v>
      </c>
      <c r="I6631">
        <v>-16</v>
      </c>
      <c r="J6631">
        <v>-165</v>
      </c>
      <c r="K6631">
        <v>0</v>
      </c>
      <c r="L6631">
        <v>1200</v>
      </c>
      <c r="M6631" t="str">
        <f t="shared" si="724"/>
        <v xml:space="preserve">N35DC   </v>
      </c>
      <c r="N6631">
        <v>1</v>
      </c>
      <c r="O6631">
        <v>1725</v>
      </c>
    </row>
    <row r="6632" spans="1:15" x14ac:dyDescent="0.25">
      <c r="A6632" t="str">
        <f>"10/21/2020 19:00:37.106"</f>
        <v>10/21/2020 19:00:37.106</v>
      </c>
      <c r="B6632" t="str">
        <f>"19:00:45.063"</f>
        <v>19:00:45.063</v>
      </c>
      <c r="C6632" t="str">
        <f>"19:00:44.762"</f>
        <v>19:00:44.762</v>
      </c>
      <c r="D6632" t="s">
        <v>2758</v>
      </c>
      <c r="E6632">
        <v>30.525877000000001</v>
      </c>
      <c r="F6632" t="s">
        <v>2759</v>
      </c>
      <c r="G6632">
        <v>-89.821472</v>
      </c>
      <c r="H6632">
        <v>1700</v>
      </c>
      <c r="I6632">
        <v>-16</v>
      </c>
      <c r="J6632">
        <v>-165</v>
      </c>
      <c r="K6632">
        <v>0</v>
      </c>
      <c r="L6632">
        <v>1200</v>
      </c>
      <c r="M6632" t="str">
        <f t="shared" si="724"/>
        <v xml:space="preserve">N35DC   </v>
      </c>
      <c r="N6632">
        <v>1</v>
      </c>
      <c r="O6632">
        <v>1725</v>
      </c>
    </row>
    <row r="6633" spans="1:15" x14ac:dyDescent="0.25">
      <c r="A6633" t="str">
        <f>"10/21/2020 19:00:37.106"</f>
        <v>10/21/2020 19:00:37.106</v>
      </c>
      <c r="B6633" t="str">
        <f>"19:00:45.063"</f>
        <v>19:00:45.063</v>
      </c>
      <c r="C6633" t="str">
        <f>"19:00:44.762"</f>
        <v>19:00:44.762</v>
      </c>
      <c r="D6633" t="s">
        <v>2758</v>
      </c>
      <c r="E6633">
        <v>30.525877000000001</v>
      </c>
      <c r="F6633" t="s">
        <v>2759</v>
      </c>
      <c r="G6633">
        <v>-89.821472</v>
      </c>
      <c r="H6633">
        <v>1700</v>
      </c>
      <c r="I6633">
        <v>-16</v>
      </c>
      <c r="J6633">
        <v>-165</v>
      </c>
      <c r="K6633">
        <v>0</v>
      </c>
      <c r="L6633">
        <v>1200</v>
      </c>
      <c r="M6633" t="str">
        <f t="shared" si="724"/>
        <v xml:space="preserve">N35DC   </v>
      </c>
      <c r="N6633">
        <v>1</v>
      </c>
      <c r="O6633">
        <v>1725</v>
      </c>
    </row>
    <row r="6634" spans="1:15" x14ac:dyDescent="0.25">
      <c r="A6634" t="str">
        <f>"10/21/2020 19:00:37.106"</f>
        <v>10/21/2020 19:00:37.106</v>
      </c>
      <c r="B6634" t="str">
        <f>"19:00:45.063"</f>
        <v>19:00:45.063</v>
      </c>
      <c r="C6634" t="str">
        <f>"19:00:44.762"</f>
        <v>19:00:44.762</v>
      </c>
      <c r="D6634" t="s">
        <v>2758</v>
      </c>
      <c r="E6634">
        <v>30.525877000000001</v>
      </c>
      <c r="F6634" t="s">
        <v>2759</v>
      </c>
      <c r="G6634">
        <v>-89.821472</v>
      </c>
      <c r="H6634">
        <v>1700</v>
      </c>
      <c r="I6634">
        <v>-16</v>
      </c>
      <c r="J6634">
        <v>-165</v>
      </c>
      <c r="K6634">
        <v>0</v>
      </c>
      <c r="L6634">
        <v>1200</v>
      </c>
      <c r="M6634" t="str">
        <f t="shared" si="724"/>
        <v xml:space="preserve">N35DC   </v>
      </c>
      <c r="N6634">
        <v>1</v>
      </c>
      <c r="O6634">
        <v>1725</v>
      </c>
    </row>
    <row r="6635" spans="1:15" x14ac:dyDescent="0.25">
      <c r="A6635" t="str">
        <f>"10/21/2020 19:00:40.042"</f>
        <v>10/21/2020 19:00:40.042</v>
      </c>
      <c r="B6635" t="str">
        <f t="shared" ref="B6635:C6639" si="726">"19:00:48.000"</f>
        <v>19:00:48.000</v>
      </c>
      <c r="C6635" t="str">
        <f t="shared" si="726"/>
        <v>19:00:48.000</v>
      </c>
      <c r="D6635" t="s">
        <v>2760</v>
      </c>
      <c r="E6635">
        <v>30.523645999999999</v>
      </c>
      <c r="F6635" t="s">
        <v>2761</v>
      </c>
      <c r="G6635">
        <v>-89.821686999999997</v>
      </c>
      <c r="H6635">
        <v>1700</v>
      </c>
      <c r="I6635">
        <v>-16</v>
      </c>
      <c r="J6635">
        <v>-165</v>
      </c>
      <c r="K6635">
        <v>192</v>
      </c>
      <c r="L6635">
        <v>1200</v>
      </c>
      <c r="M6635" t="str">
        <f t="shared" si="724"/>
        <v xml:space="preserve">N35DC   </v>
      </c>
      <c r="N6635">
        <v>1</v>
      </c>
      <c r="O6635">
        <v>1750</v>
      </c>
    </row>
    <row r="6636" spans="1:15" x14ac:dyDescent="0.25">
      <c r="A6636" t="str">
        <f>"10/21/2020 19:00:40.042"</f>
        <v>10/21/2020 19:00:40.042</v>
      </c>
      <c r="B6636" t="str">
        <f t="shared" si="726"/>
        <v>19:00:48.000</v>
      </c>
      <c r="C6636" t="str">
        <f t="shared" si="726"/>
        <v>19:00:48.000</v>
      </c>
      <c r="D6636" t="s">
        <v>2760</v>
      </c>
      <c r="E6636">
        <v>30.523645999999999</v>
      </c>
      <c r="F6636" t="s">
        <v>2761</v>
      </c>
      <c r="G6636">
        <v>-89.821686999999997</v>
      </c>
      <c r="H6636">
        <v>1700</v>
      </c>
      <c r="I6636">
        <v>-16</v>
      </c>
      <c r="J6636">
        <v>-165</v>
      </c>
      <c r="K6636">
        <v>192</v>
      </c>
      <c r="L6636">
        <v>1200</v>
      </c>
      <c r="M6636" t="str">
        <f t="shared" si="724"/>
        <v xml:space="preserve">N35DC   </v>
      </c>
      <c r="N6636">
        <v>1</v>
      </c>
      <c r="O6636">
        <v>1750</v>
      </c>
    </row>
    <row r="6637" spans="1:15" x14ac:dyDescent="0.25">
      <c r="A6637" t="str">
        <f>"10/21/2020 19:00:40.042"</f>
        <v>10/21/2020 19:00:40.042</v>
      </c>
      <c r="B6637" t="str">
        <f t="shared" si="726"/>
        <v>19:00:48.000</v>
      </c>
      <c r="C6637" t="str">
        <f t="shared" si="726"/>
        <v>19:00:48.000</v>
      </c>
      <c r="D6637" t="s">
        <v>2760</v>
      </c>
      <c r="E6637">
        <v>30.523645999999999</v>
      </c>
      <c r="F6637" t="s">
        <v>2761</v>
      </c>
      <c r="G6637">
        <v>-89.821686999999997</v>
      </c>
      <c r="H6637">
        <v>1700</v>
      </c>
      <c r="I6637">
        <v>-16</v>
      </c>
      <c r="J6637">
        <v>-165</v>
      </c>
      <c r="K6637">
        <v>192</v>
      </c>
      <c r="L6637">
        <v>1200</v>
      </c>
      <c r="M6637" t="str">
        <f t="shared" si="724"/>
        <v xml:space="preserve">N35DC   </v>
      </c>
      <c r="N6637">
        <v>1</v>
      </c>
      <c r="O6637">
        <v>1750</v>
      </c>
    </row>
    <row r="6638" spans="1:15" x14ac:dyDescent="0.25">
      <c r="A6638" t="str">
        <f>"10/21/2020 19:00:40.042"</f>
        <v>10/21/2020 19:00:40.042</v>
      </c>
      <c r="B6638" t="str">
        <f t="shared" si="726"/>
        <v>19:00:48.000</v>
      </c>
      <c r="C6638" t="str">
        <f t="shared" si="726"/>
        <v>19:00:48.000</v>
      </c>
      <c r="D6638" t="s">
        <v>2760</v>
      </c>
      <c r="E6638">
        <v>30.523645999999999</v>
      </c>
      <c r="F6638" t="s">
        <v>2761</v>
      </c>
      <c r="G6638">
        <v>-89.821686999999997</v>
      </c>
      <c r="H6638">
        <v>1700</v>
      </c>
      <c r="I6638">
        <v>-16</v>
      </c>
      <c r="J6638">
        <v>-165</v>
      </c>
      <c r="K6638">
        <v>192</v>
      </c>
      <c r="L6638">
        <v>1200</v>
      </c>
      <c r="M6638" t="str">
        <f t="shared" si="724"/>
        <v xml:space="preserve">N35DC   </v>
      </c>
      <c r="N6638">
        <v>1</v>
      </c>
      <c r="O6638">
        <v>1750</v>
      </c>
    </row>
    <row r="6639" spans="1:15" x14ac:dyDescent="0.25">
      <c r="A6639" t="str">
        <f>"10/21/2020 19:00:40.042"</f>
        <v>10/21/2020 19:00:40.042</v>
      </c>
      <c r="B6639" t="str">
        <f t="shared" si="726"/>
        <v>19:00:48.000</v>
      </c>
      <c r="C6639" t="str">
        <f t="shared" si="726"/>
        <v>19:00:48.000</v>
      </c>
      <c r="D6639" t="s">
        <v>2760</v>
      </c>
      <c r="E6639">
        <v>30.523645999999999</v>
      </c>
      <c r="F6639" t="s">
        <v>2761</v>
      </c>
      <c r="G6639">
        <v>-89.821686999999997</v>
      </c>
      <c r="H6639">
        <v>1700</v>
      </c>
      <c r="I6639">
        <v>-16</v>
      </c>
      <c r="J6639">
        <v>-165</v>
      </c>
      <c r="K6639">
        <v>192</v>
      </c>
      <c r="L6639">
        <v>1200</v>
      </c>
      <c r="M6639" t="str">
        <f t="shared" si="724"/>
        <v xml:space="preserve">N35DC   </v>
      </c>
      <c r="N6639">
        <v>1</v>
      </c>
      <c r="O6639">
        <v>1750</v>
      </c>
    </row>
    <row r="6640" spans="1:15" x14ac:dyDescent="0.25">
      <c r="A6640" t="str">
        <f>"10/21/2020 19:00:41.112"</f>
        <v>10/21/2020 19:00:41.112</v>
      </c>
      <c r="B6640" t="str">
        <f>"19:00:49.070"</f>
        <v>19:00:49.070</v>
      </c>
      <c r="C6640" t="str">
        <f>"19:00:48.670"</f>
        <v>19:00:48.670</v>
      </c>
      <c r="D6640" t="s">
        <v>2762</v>
      </c>
      <c r="E6640">
        <v>30.522808999999999</v>
      </c>
      <c r="F6640" t="s">
        <v>2763</v>
      </c>
      <c r="G6640">
        <v>-89.821793999999997</v>
      </c>
      <c r="H6640">
        <v>1700</v>
      </c>
      <c r="I6640">
        <v>-17</v>
      </c>
      <c r="J6640">
        <v>-165</v>
      </c>
      <c r="K6640">
        <v>256</v>
      </c>
      <c r="L6640">
        <v>1200</v>
      </c>
      <c r="M6640" t="str">
        <f t="shared" si="724"/>
        <v xml:space="preserve">N35DC   </v>
      </c>
      <c r="N6640">
        <v>1</v>
      </c>
      <c r="O6640">
        <v>1750</v>
      </c>
    </row>
    <row r="6641" spans="1:15" x14ac:dyDescent="0.25">
      <c r="A6641" t="str">
        <f>"10/21/2020 19:00:41.112"</f>
        <v>10/21/2020 19:00:41.112</v>
      </c>
      <c r="B6641" t="str">
        <f>"19:00:49.070"</f>
        <v>19:00:49.070</v>
      </c>
      <c r="C6641" t="str">
        <f>"19:00:48.670"</f>
        <v>19:00:48.670</v>
      </c>
      <c r="D6641" t="s">
        <v>2762</v>
      </c>
      <c r="E6641">
        <v>30.522808999999999</v>
      </c>
      <c r="F6641" t="s">
        <v>2763</v>
      </c>
      <c r="G6641">
        <v>-89.821793999999997</v>
      </c>
      <c r="H6641">
        <v>1700</v>
      </c>
      <c r="I6641">
        <v>-17</v>
      </c>
      <c r="J6641">
        <v>-165</v>
      </c>
      <c r="K6641">
        <v>256</v>
      </c>
      <c r="L6641">
        <v>1200</v>
      </c>
      <c r="M6641" t="str">
        <f t="shared" si="724"/>
        <v xml:space="preserve">N35DC   </v>
      </c>
      <c r="N6641">
        <v>1</v>
      </c>
      <c r="O6641">
        <v>1750</v>
      </c>
    </row>
    <row r="6642" spans="1:15" x14ac:dyDescent="0.25">
      <c r="A6642" t="str">
        <f>"10/21/2020 19:00:41.112"</f>
        <v>10/21/2020 19:00:41.112</v>
      </c>
      <c r="B6642" t="str">
        <f>"19:00:49.070"</f>
        <v>19:00:49.070</v>
      </c>
      <c r="C6642" t="str">
        <f>"19:00:48.670"</f>
        <v>19:00:48.670</v>
      </c>
      <c r="D6642" t="s">
        <v>2762</v>
      </c>
      <c r="E6642">
        <v>30.522808999999999</v>
      </c>
      <c r="F6642" t="s">
        <v>2763</v>
      </c>
      <c r="G6642">
        <v>-89.821793999999997</v>
      </c>
      <c r="H6642">
        <v>1700</v>
      </c>
      <c r="I6642">
        <v>-17</v>
      </c>
      <c r="J6642">
        <v>-165</v>
      </c>
      <c r="K6642">
        <v>256</v>
      </c>
      <c r="L6642">
        <v>1200</v>
      </c>
      <c r="M6642" t="str">
        <f t="shared" si="724"/>
        <v xml:space="preserve">N35DC   </v>
      </c>
      <c r="N6642">
        <v>1</v>
      </c>
      <c r="O6642">
        <v>1750</v>
      </c>
    </row>
    <row r="6643" spans="1:15" x14ac:dyDescent="0.25">
      <c r="A6643" t="str">
        <f>"10/21/2020 19:00:41.112"</f>
        <v>10/21/2020 19:00:41.112</v>
      </c>
      <c r="B6643" t="str">
        <f>"19:00:49.070"</f>
        <v>19:00:49.070</v>
      </c>
      <c r="C6643" t="str">
        <f>"19:00:48.670"</f>
        <v>19:00:48.670</v>
      </c>
      <c r="D6643" t="s">
        <v>2762</v>
      </c>
      <c r="E6643">
        <v>30.522808999999999</v>
      </c>
      <c r="F6643" t="s">
        <v>2763</v>
      </c>
      <c r="G6643">
        <v>-89.821793999999997</v>
      </c>
      <c r="H6643">
        <v>1700</v>
      </c>
      <c r="I6643">
        <v>-17</v>
      </c>
      <c r="J6643">
        <v>-165</v>
      </c>
      <c r="K6643">
        <v>256</v>
      </c>
      <c r="L6643">
        <v>1200</v>
      </c>
      <c r="M6643" t="str">
        <f t="shared" si="724"/>
        <v xml:space="preserve">N35DC   </v>
      </c>
      <c r="N6643">
        <v>1</v>
      </c>
      <c r="O6643">
        <v>1750</v>
      </c>
    </row>
    <row r="6644" spans="1:15" x14ac:dyDescent="0.25">
      <c r="A6644" t="str">
        <f>"10/21/2020 19:00:41.112"</f>
        <v>10/21/2020 19:00:41.112</v>
      </c>
      <c r="B6644" t="str">
        <f>"19:00:49.070"</f>
        <v>19:00:49.070</v>
      </c>
      <c r="C6644" t="str">
        <f>"19:00:48.670"</f>
        <v>19:00:48.670</v>
      </c>
      <c r="D6644" t="s">
        <v>2762</v>
      </c>
      <c r="E6644">
        <v>30.522808999999999</v>
      </c>
      <c r="F6644" t="s">
        <v>2763</v>
      </c>
      <c r="G6644">
        <v>-89.821793999999997</v>
      </c>
      <c r="H6644">
        <v>1700</v>
      </c>
      <c r="I6644">
        <v>-17</v>
      </c>
      <c r="J6644">
        <v>-165</v>
      </c>
      <c r="K6644">
        <v>256</v>
      </c>
      <c r="L6644">
        <v>1200</v>
      </c>
      <c r="M6644" t="str">
        <f t="shared" si="724"/>
        <v xml:space="preserve">N35DC   </v>
      </c>
      <c r="N6644">
        <v>1</v>
      </c>
      <c r="O6644">
        <v>1750</v>
      </c>
    </row>
    <row r="6645" spans="1:15" x14ac:dyDescent="0.25">
      <c r="A6645" t="str">
        <f>"10/21/2020 19:00:47.132"</f>
        <v>10/21/2020 19:00:47.132</v>
      </c>
      <c r="B6645" t="str">
        <f>"19:00:55.078"</f>
        <v>19:00:55.078</v>
      </c>
      <c r="C6645" t="str">
        <f>"19:00:54.878"</f>
        <v>19:00:54.878</v>
      </c>
      <c r="D6645" t="s">
        <v>2764</v>
      </c>
      <c r="E6645">
        <v>30.518260000000001</v>
      </c>
      <c r="F6645" t="s">
        <v>2765</v>
      </c>
      <c r="G6645">
        <v>-89.822351999999995</v>
      </c>
      <c r="H6645">
        <v>1700</v>
      </c>
      <c r="I6645">
        <v>-15</v>
      </c>
      <c r="J6645">
        <v>-162</v>
      </c>
      <c r="K6645">
        <v>-64</v>
      </c>
      <c r="L6645">
        <v>1200</v>
      </c>
      <c r="M6645" t="str">
        <f t="shared" si="724"/>
        <v xml:space="preserve">N35DC   </v>
      </c>
      <c r="N6645">
        <v>1</v>
      </c>
      <c r="O6645">
        <v>1775</v>
      </c>
    </row>
    <row r="6646" spans="1:15" x14ac:dyDescent="0.25">
      <c r="A6646" t="str">
        <f>"10/21/2020 19:00:47.132"</f>
        <v>10/21/2020 19:00:47.132</v>
      </c>
      <c r="B6646" t="str">
        <f>"19:00:55.078"</f>
        <v>19:00:55.078</v>
      </c>
      <c r="C6646" t="str">
        <f>"19:00:54.878"</f>
        <v>19:00:54.878</v>
      </c>
      <c r="D6646" t="s">
        <v>2764</v>
      </c>
      <c r="E6646">
        <v>30.518260000000001</v>
      </c>
      <c r="F6646" t="s">
        <v>2765</v>
      </c>
      <c r="G6646">
        <v>-89.822351999999995</v>
      </c>
      <c r="H6646">
        <v>1700</v>
      </c>
      <c r="I6646">
        <v>-15</v>
      </c>
      <c r="J6646">
        <v>-162</v>
      </c>
      <c r="K6646">
        <v>-64</v>
      </c>
      <c r="L6646">
        <v>1200</v>
      </c>
      <c r="M6646" t="str">
        <f t="shared" si="724"/>
        <v xml:space="preserve">N35DC   </v>
      </c>
      <c r="N6646">
        <v>1</v>
      </c>
      <c r="O6646">
        <v>1775</v>
      </c>
    </row>
    <row r="6647" spans="1:15" x14ac:dyDescent="0.25">
      <c r="A6647" t="str">
        <f>"10/21/2020 19:00:47.132"</f>
        <v>10/21/2020 19:00:47.132</v>
      </c>
      <c r="B6647" t="str">
        <f>"19:00:55.078"</f>
        <v>19:00:55.078</v>
      </c>
      <c r="C6647" t="str">
        <f>"19:00:54.878"</f>
        <v>19:00:54.878</v>
      </c>
      <c r="D6647" t="s">
        <v>2764</v>
      </c>
      <c r="E6647">
        <v>30.518260000000001</v>
      </c>
      <c r="F6647" t="s">
        <v>2765</v>
      </c>
      <c r="G6647">
        <v>-89.822351999999995</v>
      </c>
      <c r="H6647">
        <v>1700</v>
      </c>
      <c r="I6647">
        <v>-15</v>
      </c>
      <c r="J6647">
        <v>-162</v>
      </c>
      <c r="K6647">
        <v>-64</v>
      </c>
      <c r="L6647">
        <v>1200</v>
      </c>
      <c r="M6647" t="str">
        <f t="shared" si="724"/>
        <v xml:space="preserve">N35DC   </v>
      </c>
      <c r="N6647">
        <v>1</v>
      </c>
      <c r="O6647">
        <v>1775</v>
      </c>
    </row>
    <row r="6648" spans="1:15" x14ac:dyDescent="0.25">
      <c r="A6648" t="str">
        <f>"10/21/2020 19:00:47.132"</f>
        <v>10/21/2020 19:00:47.132</v>
      </c>
      <c r="B6648" t="str">
        <f>"19:00:55.078"</f>
        <v>19:00:55.078</v>
      </c>
      <c r="C6648" t="str">
        <f>"19:00:54.878"</f>
        <v>19:00:54.878</v>
      </c>
      <c r="D6648" t="s">
        <v>2764</v>
      </c>
      <c r="E6648">
        <v>30.518260000000001</v>
      </c>
      <c r="F6648" t="s">
        <v>2765</v>
      </c>
      <c r="G6648">
        <v>-89.822351999999995</v>
      </c>
      <c r="H6648">
        <v>1700</v>
      </c>
      <c r="I6648">
        <v>-15</v>
      </c>
      <c r="J6648">
        <v>-162</v>
      </c>
      <c r="K6648">
        <v>-64</v>
      </c>
      <c r="L6648">
        <v>1200</v>
      </c>
      <c r="M6648" t="str">
        <f t="shared" si="724"/>
        <v xml:space="preserve">N35DC   </v>
      </c>
      <c r="N6648">
        <v>1</v>
      </c>
      <c r="O6648">
        <v>1775</v>
      </c>
    </row>
    <row r="6649" spans="1:15" x14ac:dyDescent="0.25">
      <c r="A6649" t="str">
        <f>"10/21/2020 19:00:47.132"</f>
        <v>10/21/2020 19:00:47.132</v>
      </c>
      <c r="B6649" t="str">
        <f>"19:00:55.078"</f>
        <v>19:00:55.078</v>
      </c>
      <c r="C6649" t="str">
        <f>"19:00:54.878"</f>
        <v>19:00:54.878</v>
      </c>
      <c r="D6649" t="s">
        <v>2764</v>
      </c>
      <c r="E6649">
        <v>30.518260000000001</v>
      </c>
      <c r="F6649" t="s">
        <v>2765</v>
      </c>
      <c r="G6649">
        <v>-89.822351999999995</v>
      </c>
      <c r="H6649">
        <v>1700</v>
      </c>
      <c r="I6649">
        <v>-15</v>
      </c>
      <c r="J6649">
        <v>-162</v>
      </c>
      <c r="K6649">
        <v>-64</v>
      </c>
      <c r="L6649">
        <v>1200</v>
      </c>
      <c r="M6649" t="str">
        <f t="shared" si="724"/>
        <v xml:space="preserve">N35DC   </v>
      </c>
      <c r="N6649">
        <v>1</v>
      </c>
      <c r="O6649">
        <v>1775</v>
      </c>
    </row>
    <row r="6650" spans="1:15" x14ac:dyDescent="0.25">
      <c r="A6650" t="str">
        <f>"10/21/2020 19:00:47.982"</f>
        <v>10/21/2020 19:00:47.982</v>
      </c>
      <c r="B6650" t="str">
        <f>"19:00:55.938"</f>
        <v>19:00:55.938</v>
      </c>
      <c r="C6650" t="str">
        <f>"19:00:55.738"</f>
        <v>19:00:55.738</v>
      </c>
      <c r="D6650" t="s">
        <v>2766</v>
      </c>
      <c r="E6650">
        <v>30.517638000000002</v>
      </c>
      <c r="F6650" t="s">
        <v>396</v>
      </c>
      <c r="G6650">
        <v>-89.822416000000004</v>
      </c>
      <c r="H6650">
        <v>1700</v>
      </c>
      <c r="I6650">
        <v>-17</v>
      </c>
      <c r="J6650">
        <v>-162</v>
      </c>
      <c r="K6650">
        <v>-192</v>
      </c>
      <c r="L6650">
        <v>1200</v>
      </c>
      <c r="M6650" t="str">
        <f t="shared" si="724"/>
        <v xml:space="preserve">N35DC   </v>
      </c>
      <c r="N6650">
        <v>1</v>
      </c>
      <c r="O6650">
        <v>1750</v>
      </c>
    </row>
    <row r="6651" spans="1:15" x14ac:dyDescent="0.25">
      <c r="A6651" t="str">
        <f>"10/21/2020 19:00:47.982"</f>
        <v>10/21/2020 19:00:47.982</v>
      </c>
      <c r="B6651" t="str">
        <f>"19:00:55.938"</f>
        <v>19:00:55.938</v>
      </c>
      <c r="C6651" t="str">
        <f>"19:00:55.738"</f>
        <v>19:00:55.738</v>
      </c>
      <c r="D6651" t="s">
        <v>2766</v>
      </c>
      <c r="E6651">
        <v>30.517638000000002</v>
      </c>
      <c r="F6651" t="s">
        <v>396</v>
      </c>
      <c r="G6651">
        <v>-89.822416000000004</v>
      </c>
      <c r="H6651">
        <v>1700</v>
      </c>
      <c r="I6651">
        <v>-17</v>
      </c>
      <c r="J6651">
        <v>-162</v>
      </c>
      <c r="K6651">
        <v>-192</v>
      </c>
      <c r="L6651">
        <v>1200</v>
      </c>
      <c r="M6651" t="str">
        <f t="shared" si="724"/>
        <v xml:space="preserve">N35DC   </v>
      </c>
      <c r="N6651">
        <v>1</v>
      </c>
      <c r="O6651">
        <v>1750</v>
      </c>
    </row>
    <row r="6652" spans="1:15" x14ac:dyDescent="0.25">
      <c r="A6652" t="str">
        <f>"10/21/2020 19:00:47.982"</f>
        <v>10/21/2020 19:00:47.982</v>
      </c>
      <c r="B6652" t="str">
        <f>"19:00:55.938"</f>
        <v>19:00:55.938</v>
      </c>
      <c r="C6652" t="str">
        <f>"19:00:55.738"</f>
        <v>19:00:55.738</v>
      </c>
      <c r="D6652" t="s">
        <v>2766</v>
      </c>
      <c r="E6652">
        <v>30.517638000000002</v>
      </c>
      <c r="F6652" t="s">
        <v>396</v>
      </c>
      <c r="G6652">
        <v>-89.822416000000004</v>
      </c>
      <c r="H6652">
        <v>1700</v>
      </c>
      <c r="I6652">
        <v>-17</v>
      </c>
      <c r="J6652">
        <v>-162</v>
      </c>
      <c r="K6652">
        <v>-192</v>
      </c>
      <c r="L6652">
        <v>1200</v>
      </c>
      <c r="M6652" t="str">
        <f t="shared" si="724"/>
        <v xml:space="preserve">N35DC   </v>
      </c>
      <c r="N6652">
        <v>1</v>
      </c>
      <c r="O6652">
        <v>1750</v>
      </c>
    </row>
    <row r="6653" spans="1:15" x14ac:dyDescent="0.25">
      <c r="A6653" t="str">
        <f>"10/21/2020 19:00:47.982"</f>
        <v>10/21/2020 19:00:47.982</v>
      </c>
      <c r="B6653" t="str">
        <f>"19:00:55.938"</f>
        <v>19:00:55.938</v>
      </c>
      <c r="C6653" t="str">
        <f>"19:00:55.738"</f>
        <v>19:00:55.738</v>
      </c>
      <c r="D6653" t="s">
        <v>2766</v>
      </c>
      <c r="E6653">
        <v>30.517638000000002</v>
      </c>
      <c r="F6653" t="s">
        <v>396</v>
      </c>
      <c r="G6653">
        <v>-89.822416000000004</v>
      </c>
      <c r="H6653">
        <v>1700</v>
      </c>
      <c r="I6653">
        <v>-17</v>
      </c>
      <c r="J6653">
        <v>-162</v>
      </c>
      <c r="K6653">
        <v>-192</v>
      </c>
      <c r="L6653">
        <v>1200</v>
      </c>
      <c r="M6653" t="str">
        <f t="shared" si="724"/>
        <v xml:space="preserve">N35DC   </v>
      </c>
      <c r="N6653">
        <v>1</v>
      </c>
      <c r="O6653">
        <v>1750</v>
      </c>
    </row>
    <row r="6654" spans="1:15" x14ac:dyDescent="0.25">
      <c r="A6654" t="str">
        <f>"10/21/2020 19:00:47.982"</f>
        <v>10/21/2020 19:00:47.982</v>
      </c>
      <c r="B6654" t="str">
        <f>"19:00:55.938"</f>
        <v>19:00:55.938</v>
      </c>
      <c r="C6654" t="str">
        <f>"19:00:55.738"</f>
        <v>19:00:55.738</v>
      </c>
      <c r="D6654" t="s">
        <v>2766</v>
      </c>
      <c r="E6654">
        <v>30.517638000000002</v>
      </c>
      <c r="F6654" t="s">
        <v>396</v>
      </c>
      <c r="G6654">
        <v>-89.822416000000004</v>
      </c>
      <c r="H6654">
        <v>1700</v>
      </c>
      <c r="I6654">
        <v>-17</v>
      </c>
      <c r="J6654">
        <v>-162</v>
      </c>
      <c r="K6654">
        <v>-192</v>
      </c>
      <c r="L6654">
        <v>1200</v>
      </c>
      <c r="M6654" t="str">
        <f t="shared" si="724"/>
        <v xml:space="preserve">N35DC   </v>
      </c>
      <c r="N6654">
        <v>1</v>
      </c>
      <c r="O6654">
        <v>1750</v>
      </c>
    </row>
    <row r="6655" spans="1:15" x14ac:dyDescent="0.25">
      <c r="A6655" t="str">
        <f>"10/21/2020 19:00:51.108"</f>
        <v>10/21/2020 19:00:51.108</v>
      </c>
      <c r="B6655" t="str">
        <f>"19:00:59.039"</f>
        <v>19:00:59.039</v>
      </c>
      <c r="C6655" t="str">
        <f>"19:00:58.839"</f>
        <v>19:00:58.839</v>
      </c>
      <c r="D6655" t="s">
        <v>2767</v>
      </c>
      <c r="E6655">
        <v>30.515277000000001</v>
      </c>
      <c r="F6655" t="s">
        <v>2768</v>
      </c>
      <c r="G6655">
        <v>-89.822674000000006</v>
      </c>
      <c r="H6655">
        <v>1700</v>
      </c>
      <c r="I6655">
        <v>-17</v>
      </c>
      <c r="J6655">
        <v>-162</v>
      </c>
      <c r="K6655">
        <v>-384</v>
      </c>
      <c r="L6655">
        <v>1200</v>
      </c>
      <c r="M6655" t="str">
        <f t="shared" si="724"/>
        <v xml:space="preserve">N35DC   </v>
      </c>
      <c r="N6655">
        <v>1</v>
      </c>
      <c r="O6655">
        <v>1750</v>
      </c>
    </row>
    <row r="6656" spans="1:15" x14ac:dyDescent="0.25">
      <c r="A6656" t="str">
        <f>"10/21/2020 19:00:51.108"</f>
        <v>10/21/2020 19:00:51.108</v>
      </c>
      <c r="B6656" t="str">
        <f>"19:00:59.039"</f>
        <v>19:00:59.039</v>
      </c>
      <c r="C6656" t="str">
        <f>"19:00:58.839"</f>
        <v>19:00:58.839</v>
      </c>
      <c r="D6656" t="s">
        <v>2767</v>
      </c>
      <c r="E6656">
        <v>30.515277000000001</v>
      </c>
      <c r="F6656" t="s">
        <v>2768</v>
      </c>
      <c r="G6656">
        <v>-89.822674000000006</v>
      </c>
      <c r="H6656">
        <v>1700</v>
      </c>
      <c r="I6656">
        <v>-17</v>
      </c>
      <c r="J6656">
        <v>-162</v>
      </c>
      <c r="K6656">
        <v>-384</v>
      </c>
      <c r="L6656">
        <v>1200</v>
      </c>
      <c r="M6656" t="str">
        <f t="shared" si="724"/>
        <v xml:space="preserve">N35DC   </v>
      </c>
      <c r="N6656">
        <v>1</v>
      </c>
      <c r="O6656">
        <v>1750</v>
      </c>
    </row>
    <row r="6657" spans="1:15" x14ac:dyDescent="0.25">
      <c r="A6657" t="str">
        <f>"10/21/2020 19:00:51.108"</f>
        <v>10/21/2020 19:00:51.108</v>
      </c>
      <c r="B6657" t="str">
        <f>"19:00:59.039"</f>
        <v>19:00:59.039</v>
      </c>
      <c r="C6657" t="str">
        <f>"19:00:58.839"</f>
        <v>19:00:58.839</v>
      </c>
      <c r="D6657" t="s">
        <v>2767</v>
      </c>
      <c r="E6657">
        <v>30.515277000000001</v>
      </c>
      <c r="F6657" t="s">
        <v>2768</v>
      </c>
      <c r="G6657">
        <v>-89.822674000000006</v>
      </c>
      <c r="H6657">
        <v>1700</v>
      </c>
      <c r="I6657">
        <v>-17</v>
      </c>
      <c r="J6657">
        <v>-162</v>
      </c>
      <c r="K6657">
        <v>-384</v>
      </c>
      <c r="L6657">
        <v>1200</v>
      </c>
      <c r="M6657" t="str">
        <f t="shared" si="724"/>
        <v xml:space="preserve">N35DC   </v>
      </c>
      <c r="N6657">
        <v>1</v>
      </c>
      <c r="O6657">
        <v>1750</v>
      </c>
    </row>
    <row r="6658" spans="1:15" x14ac:dyDescent="0.25">
      <c r="A6658" t="str">
        <f>"10/21/2020 19:00:51.108"</f>
        <v>10/21/2020 19:00:51.108</v>
      </c>
      <c r="B6658" t="str">
        <f>"19:00:59.039"</f>
        <v>19:00:59.039</v>
      </c>
      <c r="C6658" t="str">
        <f>"19:00:58.839"</f>
        <v>19:00:58.839</v>
      </c>
      <c r="D6658" t="s">
        <v>2767</v>
      </c>
      <c r="E6658">
        <v>30.515277000000001</v>
      </c>
      <c r="F6658" t="s">
        <v>2768</v>
      </c>
      <c r="G6658">
        <v>-89.822674000000006</v>
      </c>
      <c r="H6658">
        <v>1700</v>
      </c>
      <c r="I6658">
        <v>-17</v>
      </c>
      <c r="J6658">
        <v>-162</v>
      </c>
      <c r="K6658">
        <v>-384</v>
      </c>
      <c r="L6658">
        <v>1200</v>
      </c>
      <c r="M6658" t="str">
        <f t="shared" si="724"/>
        <v xml:space="preserve">N35DC   </v>
      </c>
      <c r="N6658">
        <v>1</v>
      </c>
      <c r="O6658">
        <v>1750</v>
      </c>
    </row>
    <row r="6659" spans="1:15" x14ac:dyDescent="0.25">
      <c r="A6659" t="str">
        <f>"10/21/2020 19:00:51.108"</f>
        <v>10/21/2020 19:00:51.108</v>
      </c>
      <c r="B6659" t="str">
        <f>"19:00:59.039"</f>
        <v>19:00:59.039</v>
      </c>
      <c r="C6659" t="str">
        <f>"19:00:58.839"</f>
        <v>19:00:58.839</v>
      </c>
      <c r="D6659" t="s">
        <v>2767</v>
      </c>
      <c r="E6659">
        <v>30.515277000000001</v>
      </c>
      <c r="F6659" t="s">
        <v>2768</v>
      </c>
      <c r="G6659">
        <v>-89.822674000000006</v>
      </c>
      <c r="H6659">
        <v>1700</v>
      </c>
      <c r="I6659">
        <v>-17</v>
      </c>
      <c r="J6659">
        <v>-162</v>
      </c>
      <c r="K6659">
        <v>-384</v>
      </c>
      <c r="L6659">
        <v>1200</v>
      </c>
      <c r="M6659" t="str">
        <f t="shared" si="724"/>
        <v xml:space="preserve">N35DC   </v>
      </c>
      <c r="N6659">
        <v>1</v>
      </c>
      <c r="O6659">
        <v>1750</v>
      </c>
    </row>
    <row r="6660" spans="1:15" x14ac:dyDescent="0.25">
      <c r="A6660" t="str">
        <f>"10/21/2020 19:00:51.967"</f>
        <v>10/21/2020 19:00:51.967</v>
      </c>
      <c r="B6660" t="str">
        <f t="shared" ref="B6660:C6664" si="727">"19:00:59.914"</f>
        <v>19:00:59.914</v>
      </c>
      <c r="C6660" t="str">
        <f t="shared" si="727"/>
        <v>19:00:59.914</v>
      </c>
      <c r="D6660" t="s">
        <v>2769</v>
      </c>
      <c r="E6660">
        <v>30.514676999999999</v>
      </c>
      <c r="F6660" t="s">
        <v>2770</v>
      </c>
      <c r="G6660">
        <v>-89.822738000000001</v>
      </c>
      <c r="H6660">
        <v>1700</v>
      </c>
      <c r="I6660">
        <v>-17</v>
      </c>
      <c r="J6660">
        <v>-162</v>
      </c>
      <c r="K6660">
        <v>-320</v>
      </c>
      <c r="L6660">
        <v>1200</v>
      </c>
      <c r="M6660" t="str">
        <f t="shared" si="724"/>
        <v xml:space="preserve">N35DC   </v>
      </c>
      <c r="N6660">
        <v>1</v>
      </c>
      <c r="O6660">
        <v>1750</v>
      </c>
    </row>
    <row r="6661" spans="1:15" x14ac:dyDescent="0.25">
      <c r="A6661" t="str">
        <f>"10/21/2020 19:00:51.967"</f>
        <v>10/21/2020 19:00:51.967</v>
      </c>
      <c r="B6661" t="str">
        <f t="shared" si="727"/>
        <v>19:00:59.914</v>
      </c>
      <c r="C6661" t="str">
        <f t="shared" si="727"/>
        <v>19:00:59.914</v>
      </c>
      <c r="D6661" t="s">
        <v>2769</v>
      </c>
      <c r="E6661">
        <v>30.514676999999999</v>
      </c>
      <c r="F6661" t="s">
        <v>2770</v>
      </c>
      <c r="G6661">
        <v>-89.822738000000001</v>
      </c>
      <c r="H6661">
        <v>1700</v>
      </c>
      <c r="I6661">
        <v>-17</v>
      </c>
      <c r="J6661">
        <v>-162</v>
      </c>
      <c r="K6661">
        <v>-320</v>
      </c>
      <c r="L6661">
        <v>1200</v>
      </c>
      <c r="M6661" t="str">
        <f t="shared" si="724"/>
        <v xml:space="preserve">N35DC   </v>
      </c>
      <c r="N6661">
        <v>1</v>
      </c>
      <c r="O6661">
        <v>1750</v>
      </c>
    </row>
    <row r="6662" spans="1:15" x14ac:dyDescent="0.25">
      <c r="A6662" t="str">
        <f>"10/21/2020 19:00:51.967"</f>
        <v>10/21/2020 19:00:51.967</v>
      </c>
      <c r="B6662" t="str">
        <f t="shared" si="727"/>
        <v>19:00:59.914</v>
      </c>
      <c r="C6662" t="str">
        <f t="shared" si="727"/>
        <v>19:00:59.914</v>
      </c>
      <c r="D6662" t="s">
        <v>2769</v>
      </c>
      <c r="E6662">
        <v>30.514676999999999</v>
      </c>
      <c r="F6662" t="s">
        <v>2770</v>
      </c>
      <c r="G6662">
        <v>-89.822738000000001</v>
      </c>
      <c r="H6662">
        <v>1700</v>
      </c>
      <c r="I6662">
        <v>-17</v>
      </c>
      <c r="J6662">
        <v>-162</v>
      </c>
      <c r="K6662">
        <v>-320</v>
      </c>
      <c r="L6662">
        <v>1200</v>
      </c>
      <c r="M6662" t="str">
        <f t="shared" si="724"/>
        <v xml:space="preserve">N35DC   </v>
      </c>
      <c r="N6662">
        <v>1</v>
      </c>
      <c r="O6662">
        <v>1750</v>
      </c>
    </row>
    <row r="6663" spans="1:15" x14ac:dyDescent="0.25">
      <c r="A6663" t="str">
        <f>"10/21/2020 19:00:51.967"</f>
        <v>10/21/2020 19:00:51.967</v>
      </c>
      <c r="B6663" t="str">
        <f t="shared" si="727"/>
        <v>19:00:59.914</v>
      </c>
      <c r="C6663" t="str">
        <f t="shared" si="727"/>
        <v>19:00:59.914</v>
      </c>
      <c r="D6663" t="s">
        <v>2769</v>
      </c>
      <c r="E6663">
        <v>30.514676999999999</v>
      </c>
      <c r="F6663" t="s">
        <v>2770</v>
      </c>
      <c r="G6663">
        <v>-89.822738000000001</v>
      </c>
      <c r="H6663">
        <v>1700</v>
      </c>
      <c r="I6663">
        <v>-17</v>
      </c>
      <c r="J6663">
        <v>-162</v>
      </c>
      <c r="K6663">
        <v>-320</v>
      </c>
      <c r="L6663">
        <v>1200</v>
      </c>
      <c r="M6663" t="str">
        <f t="shared" ref="M6663:M6726" si="728">"N35DC   "</f>
        <v xml:space="preserve">N35DC   </v>
      </c>
      <c r="N6663">
        <v>1</v>
      </c>
      <c r="O6663">
        <v>1750</v>
      </c>
    </row>
    <row r="6664" spans="1:15" x14ac:dyDescent="0.25">
      <c r="A6664" t="str">
        <f>"10/21/2020 19:00:51.967"</f>
        <v>10/21/2020 19:00:51.967</v>
      </c>
      <c r="B6664" t="str">
        <f t="shared" si="727"/>
        <v>19:00:59.914</v>
      </c>
      <c r="C6664" t="str">
        <f t="shared" si="727"/>
        <v>19:00:59.914</v>
      </c>
      <c r="D6664" t="s">
        <v>2769</v>
      </c>
      <c r="E6664">
        <v>30.514676999999999</v>
      </c>
      <c r="F6664" t="s">
        <v>2770</v>
      </c>
      <c r="G6664">
        <v>-89.822738000000001</v>
      </c>
      <c r="H6664">
        <v>1700</v>
      </c>
      <c r="I6664">
        <v>-17</v>
      </c>
      <c r="J6664">
        <v>-162</v>
      </c>
      <c r="K6664">
        <v>-320</v>
      </c>
      <c r="L6664">
        <v>1200</v>
      </c>
      <c r="M6664" t="str">
        <f t="shared" si="728"/>
        <v xml:space="preserve">N35DC   </v>
      </c>
      <c r="N6664">
        <v>1</v>
      </c>
      <c r="O6664">
        <v>1750</v>
      </c>
    </row>
    <row r="6665" spans="1:15" x14ac:dyDescent="0.25">
      <c r="A6665" t="str">
        <f>"10/21/2020 19:00:52.927"</f>
        <v>10/21/2020 19:00:52.927</v>
      </c>
      <c r="B6665" t="str">
        <f>"19:01:00.875"</f>
        <v>19:01:00.875</v>
      </c>
      <c r="C6665" t="str">
        <f>"19:01:00.775"</f>
        <v>19:01:00.775</v>
      </c>
      <c r="D6665" t="s">
        <v>2771</v>
      </c>
      <c r="E6665">
        <v>30.513926000000001</v>
      </c>
      <c r="F6665" t="s">
        <v>2772</v>
      </c>
      <c r="G6665">
        <v>-89.822867000000002</v>
      </c>
      <c r="H6665">
        <v>1700</v>
      </c>
      <c r="I6665">
        <v>-18</v>
      </c>
      <c r="J6665">
        <v>-162</v>
      </c>
      <c r="K6665">
        <v>-384</v>
      </c>
      <c r="L6665">
        <v>1200</v>
      </c>
      <c r="M6665" t="str">
        <f t="shared" si="728"/>
        <v xml:space="preserve">N35DC   </v>
      </c>
      <c r="N6665">
        <v>1</v>
      </c>
      <c r="O6665">
        <v>1725</v>
      </c>
    </row>
    <row r="6666" spans="1:15" x14ac:dyDescent="0.25">
      <c r="A6666" t="str">
        <f>"10/21/2020 19:00:52.927"</f>
        <v>10/21/2020 19:00:52.927</v>
      </c>
      <c r="B6666" t="str">
        <f>"19:01:00.875"</f>
        <v>19:01:00.875</v>
      </c>
      <c r="C6666" t="str">
        <f>"19:01:00.775"</f>
        <v>19:01:00.775</v>
      </c>
      <c r="D6666" t="s">
        <v>2771</v>
      </c>
      <c r="E6666">
        <v>30.513926000000001</v>
      </c>
      <c r="F6666" t="s">
        <v>2772</v>
      </c>
      <c r="G6666">
        <v>-89.822867000000002</v>
      </c>
      <c r="H6666">
        <v>1700</v>
      </c>
      <c r="I6666">
        <v>-18</v>
      </c>
      <c r="J6666">
        <v>-162</v>
      </c>
      <c r="K6666">
        <v>-384</v>
      </c>
      <c r="L6666">
        <v>1200</v>
      </c>
      <c r="M6666" t="str">
        <f t="shared" si="728"/>
        <v xml:space="preserve">N35DC   </v>
      </c>
      <c r="N6666">
        <v>1</v>
      </c>
      <c r="O6666">
        <v>1725</v>
      </c>
    </row>
    <row r="6667" spans="1:15" x14ac:dyDescent="0.25">
      <c r="A6667" t="str">
        <f>"10/21/2020 19:00:52.927"</f>
        <v>10/21/2020 19:00:52.927</v>
      </c>
      <c r="B6667" t="str">
        <f>"19:01:00.875"</f>
        <v>19:01:00.875</v>
      </c>
      <c r="C6667" t="str">
        <f>"19:01:00.775"</f>
        <v>19:01:00.775</v>
      </c>
      <c r="D6667" t="s">
        <v>2771</v>
      </c>
      <c r="E6667">
        <v>30.513926000000001</v>
      </c>
      <c r="F6667" t="s">
        <v>2772</v>
      </c>
      <c r="G6667">
        <v>-89.822867000000002</v>
      </c>
      <c r="H6667">
        <v>1700</v>
      </c>
      <c r="I6667">
        <v>-18</v>
      </c>
      <c r="J6667">
        <v>-162</v>
      </c>
      <c r="K6667">
        <v>-384</v>
      </c>
      <c r="L6667">
        <v>1200</v>
      </c>
      <c r="M6667" t="str">
        <f t="shared" si="728"/>
        <v xml:space="preserve">N35DC   </v>
      </c>
      <c r="N6667">
        <v>1</v>
      </c>
      <c r="O6667">
        <v>1725</v>
      </c>
    </row>
    <row r="6668" spans="1:15" x14ac:dyDescent="0.25">
      <c r="A6668" t="str">
        <f>"10/21/2020 19:00:52.927"</f>
        <v>10/21/2020 19:00:52.927</v>
      </c>
      <c r="B6668" t="str">
        <f>"19:01:00.875"</f>
        <v>19:01:00.875</v>
      </c>
      <c r="C6668" t="str">
        <f>"19:01:00.775"</f>
        <v>19:01:00.775</v>
      </c>
      <c r="D6668" t="s">
        <v>2771</v>
      </c>
      <c r="E6668">
        <v>30.513926000000001</v>
      </c>
      <c r="F6668" t="s">
        <v>2772</v>
      </c>
      <c r="G6668">
        <v>-89.822867000000002</v>
      </c>
      <c r="H6668">
        <v>1700</v>
      </c>
      <c r="I6668">
        <v>-18</v>
      </c>
      <c r="J6668">
        <v>-162</v>
      </c>
      <c r="K6668">
        <v>-384</v>
      </c>
      <c r="L6668">
        <v>1200</v>
      </c>
      <c r="M6668" t="str">
        <f t="shared" si="728"/>
        <v xml:space="preserve">N35DC   </v>
      </c>
      <c r="N6668">
        <v>1</v>
      </c>
      <c r="O6668">
        <v>1725</v>
      </c>
    </row>
    <row r="6669" spans="1:15" x14ac:dyDescent="0.25">
      <c r="A6669" t="str">
        <f>"10/21/2020 19:00:52.927"</f>
        <v>10/21/2020 19:00:52.927</v>
      </c>
      <c r="B6669" t="str">
        <f>"19:01:00.875"</f>
        <v>19:01:00.875</v>
      </c>
      <c r="C6669" t="str">
        <f>"19:01:00.775"</f>
        <v>19:01:00.775</v>
      </c>
      <c r="D6669" t="s">
        <v>2771</v>
      </c>
      <c r="E6669">
        <v>30.513926000000001</v>
      </c>
      <c r="F6669" t="s">
        <v>2772</v>
      </c>
      <c r="G6669">
        <v>-89.822867000000002</v>
      </c>
      <c r="H6669">
        <v>1700</v>
      </c>
      <c r="I6669">
        <v>-18</v>
      </c>
      <c r="J6669">
        <v>-162</v>
      </c>
      <c r="K6669">
        <v>-384</v>
      </c>
      <c r="L6669">
        <v>1200</v>
      </c>
      <c r="M6669" t="str">
        <f t="shared" si="728"/>
        <v xml:space="preserve">N35DC   </v>
      </c>
      <c r="N6669">
        <v>1</v>
      </c>
      <c r="O6669">
        <v>1725</v>
      </c>
    </row>
    <row r="6670" spans="1:15" x14ac:dyDescent="0.25">
      <c r="A6670" t="str">
        <f>"10/21/2020 19:00:56.053"</f>
        <v>10/21/2020 19:00:56.053</v>
      </c>
      <c r="B6670" t="str">
        <f>"19:01:03.977"</f>
        <v>19:01:03.977</v>
      </c>
      <c r="C6670" t="str">
        <f>"19:01:03.777"</f>
        <v>19:01:03.777</v>
      </c>
      <c r="D6670" t="s">
        <v>2773</v>
      </c>
      <c r="E6670">
        <v>30.511586999999999</v>
      </c>
      <c r="F6670" t="s">
        <v>2774</v>
      </c>
      <c r="G6670">
        <v>-89.823166999999998</v>
      </c>
      <c r="H6670">
        <v>1700</v>
      </c>
      <c r="I6670">
        <v>-19</v>
      </c>
      <c r="J6670">
        <v>-161</v>
      </c>
      <c r="K6670">
        <v>-448</v>
      </c>
      <c r="L6670">
        <v>1200</v>
      </c>
      <c r="M6670" t="str">
        <f t="shared" si="728"/>
        <v xml:space="preserve">N35DC   </v>
      </c>
      <c r="N6670">
        <v>1</v>
      </c>
      <c r="O6670">
        <v>1725</v>
      </c>
    </row>
    <row r="6671" spans="1:15" x14ac:dyDescent="0.25">
      <c r="A6671" t="str">
        <f>"10/21/2020 19:00:56.053"</f>
        <v>10/21/2020 19:00:56.053</v>
      </c>
      <c r="B6671" t="str">
        <f>"19:01:03.977"</f>
        <v>19:01:03.977</v>
      </c>
      <c r="C6671" t="str">
        <f>"19:01:03.777"</f>
        <v>19:01:03.777</v>
      </c>
      <c r="D6671" t="s">
        <v>2773</v>
      </c>
      <c r="E6671">
        <v>30.511586999999999</v>
      </c>
      <c r="F6671" t="s">
        <v>2774</v>
      </c>
      <c r="G6671">
        <v>-89.823166999999998</v>
      </c>
      <c r="H6671">
        <v>1700</v>
      </c>
      <c r="I6671">
        <v>-19</v>
      </c>
      <c r="J6671">
        <v>-161</v>
      </c>
      <c r="K6671">
        <v>-448</v>
      </c>
      <c r="L6671">
        <v>1200</v>
      </c>
      <c r="M6671" t="str">
        <f t="shared" si="728"/>
        <v xml:space="preserve">N35DC   </v>
      </c>
      <c r="N6671">
        <v>1</v>
      </c>
      <c r="O6671">
        <v>1725</v>
      </c>
    </row>
    <row r="6672" spans="1:15" x14ac:dyDescent="0.25">
      <c r="A6672" t="str">
        <f>"10/21/2020 19:00:56.053"</f>
        <v>10/21/2020 19:00:56.053</v>
      </c>
      <c r="B6672" t="str">
        <f>"19:01:03.977"</f>
        <v>19:01:03.977</v>
      </c>
      <c r="C6672" t="str">
        <f>"19:01:03.777"</f>
        <v>19:01:03.777</v>
      </c>
      <c r="D6672" t="s">
        <v>2773</v>
      </c>
      <c r="E6672">
        <v>30.511586999999999</v>
      </c>
      <c r="F6672" t="s">
        <v>2774</v>
      </c>
      <c r="G6672">
        <v>-89.823166999999998</v>
      </c>
      <c r="H6672">
        <v>1700</v>
      </c>
      <c r="I6672">
        <v>-19</v>
      </c>
      <c r="J6672">
        <v>-161</v>
      </c>
      <c r="K6672">
        <v>-448</v>
      </c>
      <c r="L6672">
        <v>1200</v>
      </c>
      <c r="M6672" t="str">
        <f t="shared" si="728"/>
        <v xml:space="preserve">N35DC   </v>
      </c>
      <c r="N6672">
        <v>1</v>
      </c>
      <c r="O6672">
        <v>1725</v>
      </c>
    </row>
    <row r="6673" spans="1:15" x14ac:dyDescent="0.25">
      <c r="A6673" t="str">
        <f>"10/21/2020 19:00:56.053"</f>
        <v>10/21/2020 19:00:56.053</v>
      </c>
      <c r="B6673" t="str">
        <f>"19:01:03.977"</f>
        <v>19:01:03.977</v>
      </c>
      <c r="C6673" t="str">
        <f>"19:01:03.777"</f>
        <v>19:01:03.777</v>
      </c>
      <c r="D6673" t="s">
        <v>2773</v>
      </c>
      <c r="E6673">
        <v>30.511586999999999</v>
      </c>
      <c r="F6673" t="s">
        <v>2774</v>
      </c>
      <c r="G6673">
        <v>-89.823166999999998</v>
      </c>
      <c r="H6673">
        <v>1700</v>
      </c>
      <c r="I6673">
        <v>-19</v>
      </c>
      <c r="J6673">
        <v>-161</v>
      </c>
      <c r="K6673">
        <v>-448</v>
      </c>
      <c r="L6673">
        <v>1200</v>
      </c>
      <c r="M6673" t="str">
        <f t="shared" si="728"/>
        <v xml:space="preserve">N35DC   </v>
      </c>
      <c r="N6673">
        <v>1</v>
      </c>
      <c r="O6673">
        <v>1725</v>
      </c>
    </row>
    <row r="6674" spans="1:15" x14ac:dyDescent="0.25">
      <c r="A6674" t="str">
        <f>"10/21/2020 19:00:56.053"</f>
        <v>10/21/2020 19:00:56.053</v>
      </c>
      <c r="B6674" t="str">
        <f>"19:01:03.977"</f>
        <v>19:01:03.977</v>
      </c>
      <c r="C6674" t="str">
        <f>"19:01:03.777"</f>
        <v>19:01:03.777</v>
      </c>
      <c r="D6674" t="s">
        <v>2773</v>
      </c>
      <c r="E6674">
        <v>30.511586999999999</v>
      </c>
      <c r="F6674" t="s">
        <v>2774</v>
      </c>
      <c r="G6674">
        <v>-89.823166999999998</v>
      </c>
      <c r="H6674">
        <v>1700</v>
      </c>
      <c r="I6674">
        <v>-19</v>
      </c>
      <c r="J6674">
        <v>-161</v>
      </c>
      <c r="K6674">
        <v>-448</v>
      </c>
      <c r="L6674">
        <v>1200</v>
      </c>
      <c r="M6674" t="str">
        <f t="shared" si="728"/>
        <v xml:space="preserve">N35DC   </v>
      </c>
      <c r="N6674">
        <v>1</v>
      </c>
      <c r="O6674">
        <v>1725</v>
      </c>
    </row>
    <row r="6675" spans="1:15" x14ac:dyDescent="0.25">
      <c r="A6675" t="str">
        <f>"10/21/2020 19:00:57.174"</f>
        <v>10/21/2020 19:00:57.174</v>
      </c>
      <c r="B6675" t="str">
        <f>"19:01:05.133"</f>
        <v>19:01:05.133</v>
      </c>
      <c r="C6675" t="str">
        <f>"19:01:04.733"</f>
        <v>19:01:04.733</v>
      </c>
      <c r="D6675" t="s">
        <v>2775</v>
      </c>
      <c r="E6675">
        <v>30.510750000000002</v>
      </c>
      <c r="F6675" t="s">
        <v>2776</v>
      </c>
      <c r="G6675">
        <v>-89.823274999999995</v>
      </c>
      <c r="H6675">
        <v>1600</v>
      </c>
      <c r="I6675">
        <v>-19</v>
      </c>
      <c r="J6675">
        <v>-161</v>
      </c>
      <c r="K6675">
        <v>-512</v>
      </c>
      <c r="L6675">
        <v>1200</v>
      </c>
      <c r="M6675" t="str">
        <f t="shared" si="728"/>
        <v xml:space="preserve">N35DC   </v>
      </c>
      <c r="N6675">
        <v>1</v>
      </c>
      <c r="O6675">
        <v>1700</v>
      </c>
    </row>
    <row r="6676" spans="1:15" x14ac:dyDescent="0.25">
      <c r="A6676" t="str">
        <f>"10/21/2020 19:00:57.174"</f>
        <v>10/21/2020 19:00:57.174</v>
      </c>
      <c r="B6676" t="str">
        <f>"19:01:05.133"</f>
        <v>19:01:05.133</v>
      </c>
      <c r="C6676" t="str">
        <f>"19:01:04.733"</f>
        <v>19:01:04.733</v>
      </c>
      <c r="D6676" t="s">
        <v>2775</v>
      </c>
      <c r="E6676">
        <v>30.510750000000002</v>
      </c>
      <c r="F6676" t="s">
        <v>2776</v>
      </c>
      <c r="G6676">
        <v>-89.823274999999995</v>
      </c>
      <c r="H6676">
        <v>1600</v>
      </c>
      <c r="I6676">
        <v>-19</v>
      </c>
      <c r="J6676">
        <v>-161</v>
      </c>
      <c r="K6676">
        <v>-512</v>
      </c>
      <c r="L6676">
        <v>1200</v>
      </c>
      <c r="M6676" t="str">
        <f t="shared" si="728"/>
        <v xml:space="preserve">N35DC   </v>
      </c>
      <c r="N6676">
        <v>1</v>
      </c>
      <c r="O6676">
        <v>1700</v>
      </c>
    </row>
    <row r="6677" spans="1:15" x14ac:dyDescent="0.25">
      <c r="A6677" t="str">
        <f>"10/21/2020 19:00:57.174"</f>
        <v>10/21/2020 19:00:57.174</v>
      </c>
      <c r="B6677" t="str">
        <f>"19:01:05.133"</f>
        <v>19:01:05.133</v>
      </c>
      <c r="C6677" t="str">
        <f>"19:01:04.733"</f>
        <v>19:01:04.733</v>
      </c>
      <c r="D6677" t="s">
        <v>2775</v>
      </c>
      <c r="E6677">
        <v>30.510750000000002</v>
      </c>
      <c r="F6677" t="s">
        <v>2776</v>
      </c>
      <c r="G6677">
        <v>-89.823274999999995</v>
      </c>
      <c r="H6677">
        <v>1600</v>
      </c>
      <c r="I6677">
        <v>-19</v>
      </c>
      <c r="J6677">
        <v>-161</v>
      </c>
      <c r="K6677">
        <v>-512</v>
      </c>
      <c r="L6677">
        <v>1200</v>
      </c>
      <c r="M6677" t="str">
        <f t="shared" si="728"/>
        <v xml:space="preserve">N35DC   </v>
      </c>
      <c r="N6677">
        <v>1</v>
      </c>
      <c r="O6677">
        <v>1700</v>
      </c>
    </row>
    <row r="6678" spans="1:15" x14ac:dyDescent="0.25">
      <c r="A6678" t="str">
        <f>"10/21/2020 19:00:57.174"</f>
        <v>10/21/2020 19:00:57.174</v>
      </c>
      <c r="B6678" t="str">
        <f>"19:01:05.133"</f>
        <v>19:01:05.133</v>
      </c>
      <c r="C6678" t="str">
        <f>"19:01:04.733"</f>
        <v>19:01:04.733</v>
      </c>
      <c r="D6678" t="s">
        <v>2775</v>
      </c>
      <c r="E6678">
        <v>30.510750000000002</v>
      </c>
      <c r="F6678" t="s">
        <v>2776</v>
      </c>
      <c r="G6678">
        <v>-89.823274999999995</v>
      </c>
      <c r="H6678">
        <v>1600</v>
      </c>
      <c r="I6678">
        <v>-19</v>
      </c>
      <c r="J6678">
        <v>-161</v>
      </c>
      <c r="K6678">
        <v>-512</v>
      </c>
      <c r="L6678">
        <v>1200</v>
      </c>
      <c r="M6678" t="str">
        <f t="shared" si="728"/>
        <v xml:space="preserve">N35DC   </v>
      </c>
      <c r="N6678">
        <v>1</v>
      </c>
      <c r="O6678">
        <v>1700</v>
      </c>
    </row>
    <row r="6679" spans="1:15" x14ac:dyDescent="0.25">
      <c r="A6679" t="str">
        <f>"10/21/2020 19:00:57.174"</f>
        <v>10/21/2020 19:00:57.174</v>
      </c>
      <c r="B6679" t="str">
        <f>"19:01:05.133"</f>
        <v>19:01:05.133</v>
      </c>
      <c r="C6679" t="str">
        <f>"19:01:04.733"</f>
        <v>19:01:04.733</v>
      </c>
      <c r="D6679" t="s">
        <v>2775</v>
      </c>
      <c r="E6679">
        <v>30.510750000000002</v>
      </c>
      <c r="F6679" t="s">
        <v>2776</v>
      </c>
      <c r="G6679">
        <v>-89.823274999999995</v>
      </c>
      <c r="H6679">
        <v>1600</v>
      </c>
      <c r="I6679">
        <v>-19</v>
      </c>
      <c r="J6679">
        <v>-161</v>
      </c>
      <c r="K6679">
        <v>-512</v>
      </c>
      <c r="L6679">
        <v>1200</v>
      </c>
      <c r="M6679" t="str">
        <f t="shared" si="728"/>
        <v xml:space="preserve">N35DC   </v>
      </c>
      <c r="N6679">
        <v>1</v>
      </c>
      <c r="O6679">
        <v>1700</v>
      </c>
    </row>
    <row r="6680" spans="1:15" x14ac:dyDescent="0.25">
      <c r="A6680" t="str">
        <f>"10/21/2020 19:01:00.209"</f>
        <v>10/21/2020 19:01:00.209</v>
      </c>
      <c r="B6680" t="str">
        <f t="shared" ref="B6680:C6683" si="729">"19:01:08.172"</f>
        <v>19:01:08.172</v>
      </c>
      <c r="C6680" t="str">
        <f t="shared" si="729"/>
        <v>19:01:08.172</v>
      </c>
      <c r="D6680" t="s">
        <v>300</v>
      </c>
      <c r="E6680">
        <v>30.508431999999999</v>
      </c>
      <c r="F6680" t="s">
        <v>2777</v>
      </c>
      <c r="G6680">
        <v>-89.823617999999996</v>
      </c>
      <c r="H6680">
        <v>1600</v>
      </c>
      <c r="I6680">
        <v>-16</v>
      </c>
      <c r="J6680">
        <v>-163</v>
      </c>
      <c r="K6680">
        <v>-768</v>
      </c>
      <c r="L6680">
        <v>1200</v>
      </c>
      <c r="M6680" t="str">
        <f t="shared" si="728"/>
        <v xml:space="preserve">N35DC   </v>
      </c>
      <c r="N6680">
        <v>1</v>
      </c>
      <c r="O6680">
        <v>1675</v>
      </c>
    </row>
    <row r="6681" spans="1:15" x14ac:dyDescent="0.25">
      <c r="A6681" t="str">
        <f>"10/21/2020 19:01:00.209"</f>
        <v>10/21/2020 19:01:00.209</v>
      </c>
      <c r="B6681" t="str">
        <f t="shared" si="729"/>
        <v>19:01:08.172</v>
      </c>
      <c r="C6681" t="str">
        <f t="shared" si="729"/>
        <v>19:01:08.172</v>
      </c>
      <c r="D6681" t="s">
        <v>300</v>
      </c>
      <c r="E6681">
        <v>30.508431999999999</v>
      </c>
      <c r="F6681" t="s">
        <v>2777</v>
      </c>
      <c r="G6681">
        <v>-89.823617999999996</v>
      </c>
      <c r="H6681">
        <v>1600</v>
      </c>
      <c r="I6681">
        <v>-16</v>
      </c>
      <c r="J6681">
        <v>-163</v>
      </c>
      <c r="K6681">
        <v>-768</v>
      </c>
      <c r="L6681">
        <v>1200</v>
      </c>
      <c r="M6681" t="str">
        <f t="shared" si="728"/>
        <v xml:space="preserve">N35DC   </v>
      </c>
      <c r="N6681">
        <v>1</v>
      </c>
      <c r="O6681">
        <v>1675</v>
      </c>
    </row>
    <row r="6682" spans="1:15" x14ac:dyDescent="0.25">
      <c r="A6682" t="str">
        <f>"10/21/2020 19:01:00.209"</f>
        <v>10/21/2020 19:01:00.209</v>
      </c>
      <c r="B6682" t="str">
        <f t="shared" si="729"/>
        <v>19:01:08.172</v>
      </c>
      <c r="C6682" t="str">
        <f t="shared" si="729"/>
        <v>19:01:08.172</v>
      </c>
      <c r="D6682" t="s">
        <v>300</v>
      </c>
      <c r="E6682">
        <v>30.508431999999999</v>
      </c>
      <c r="F6682" t="s">
        <v>2777</v>
      </c>
      <c r="G6682">
        <v>-89.823617999999996</v>
      </c>
      <c r="H6682">
        <v>1600</v>
      </c>
      <c r="I6682">
        <v>-16</v>
      </c>
      <c r="J6682">
        <v>-163</v>
      </c>
      <c r="K6682">
        <v>-768</v>
      </c>
      <c r="L6682">
        <v>1200</v>
      </c>
      <c r="M6682" t="str">
        <f t="shared" si="728"/>
        <v xml:space="preserve">N35DC   </v>
      </c>
      <c r="N6682">
        <v>1</v>
      </c>
      <c r="O6682">
        <v>1675</v>
      </c>
    </row>
    <row r="6683" spans="1:15" x14ac:dyDescent="0.25">
      <c r="A6683" t="str">
        <f>"10/21/2020 19:01:00.209"</f>
        <v>10/21/2020 19:01:00.209</v>
      </c>
      <c r="B6683" t="str">
        <f t="shared" si="729"/>
        <v>19:01:08.172</v>
      </c>
      <c r="C6683" t="str">
        <f t="shared" si="729"/>
        <v>19:01:08.172</v>
      </c>
      <c r="D6683" t="s">
        <v>300</v>
      </c>
      <c r="E6683">
        <v>30.508431999999999</v>
      </c>
      <c r="F6683" t="s">
        <v>2777</v>
      </c>
      <c r="G6683">
        <v>-89.823617999999996</v>
      </c>
      <c r="H6683">
        <v>1600</v>
      </c>
      <c r="I6683">
        <v>-16</v>
      </c>
      <c r="J6683">
        <v>-163</v>
      </c>
      <c r="K6683">
        <v>-768</v>
      </c>
      <c r="L6683">
        <v>1200</v>
      </c>
      <c r="M6683" t="str">
        <f t="shared" si="728"/>
        <v xml:space="preserve">N35DC   </v>
      </c>
      <c r="N6683">
        <v>1</v>
      </c>
      <c r="O6683">
        <v>1675</v>
      </c>
    </row>
    <row r="6684" spans="1:15" x14ac:dyDescent="0.25">
      <c r="A6684" t="str">
        <f>"10/21/2020 19:01:00.209"</f>
        <v>10/21/2020 19:01:00.209</v>
      </c>
      <c r="B6684" t="str">
        <f>"19:01:08.180"</f>
        <v>19:01:08.180</v>
      </c>
      <c r="C6684" t="str">
        <f>"19:01:08.180"</f>
        <v>19:01:08.180</v>
      </c>
      <c r="D6684" t="s">
        <v>300</v>
      </c>
      <c r="E6684">
        <v>30.508431999999999</v>
      </c>
      <c r="F6684" t="s">
        <v>2777</v>
      </c>
      <c r="G6684">
        <v>-89.823617999999996</v>
      </c>
      <c r="H6684">
        <v>1600</v>
      </c>
      <c r="I6684">
        <v>-16</v>
      </c>
      <c r="J6684">
        <v>-163</v>
      </c>
      <c r="K6684">
        <v>-768</v>
      </c>
      <c r="L6684">
        <v>1200</v>
      </c>
      <c r="M6684" t="str">
        <f t="shared" si="728"/>
        <v xml:space="preserve">N35DC   </v>
      </c>
      <c r="N6684">
        <v>1</v>
      </c>
      <c r="O6684">
        <v>1675</v>
      </c>
    </row>
    <row r="6685" spans="1:15" x14ac:dyDescent="0.25">
      <c r="A6685" t="str">
        <f>"10/21/2020 19:01:01.276"</f>
        <v>10/21/2020 19:01:01.276</v>
      </c>
      <c r="B6685" t="str">
        <f>"19:01:09.242"</f>
        <v>19:01:09.242</v>
      </c>
      <c r="C6685" t="str">
        <f>"19:01:09.042"</f>
        <v>19:01:09.042</v>
      </c>
      <c r="D6685" t="s">
        <v>2778</v>
      </c>
      <c r="E6685">
        <v>30.507617</v>
      </c>
      <c r="F6685" t="s">
        <v>2779</v>
      </c>
      <c r="G6685">
        <v>-89.823682000000005</v>
      </c>
      <c r="H6685">
        <v>1600</v>
      </c>
      <c r="I6685">
        <v>-14</v>
      </c>
      <c r="J6685">
        <v>-163</v>
      </c>
      <c r="K6685">
        <v>-704</v>
      </c>
      <c r="L6685">
        <v>1200</v>
      </c>
      <c r="M6685" t="str">
        <f t="shared" si="728"/>
        <v xml:space="preserve">N35DC   </v>
      </c>
      <c r="N6685">
        <v>1</v>
      </c>
      <c r="O6685">
        <v>1650</v>
      </c>
    </row>
    <row r="6686" spans="1:15" x14ac:dyDescent="0.25">
      <c r="A6686" t="str">
        <f>"10/21/2020 19:01:01.276"</f>
        <v>10/21/2020 19:01:01.276</v>
      </c>
      <c r="B6686" t="str">
        <f>"19:01:09.242"</f>
        <v>19:01:09.242</v>
      </c>
      <c r="C6686" t="str">
        <f>"19:01:09.042"</f>
        <v>19:01:09.042</v>
      </c>
      <c r="D6686" t="s">
        <v>2778</v>
      </c>
      <c r="E6686">
        <v>30.507617</v>
      </c>
      <c r="F6686" t="s">
        <v>2779</v>
      </c>
      <c r="G6686">
        <v>-89.823682000000005</v>
      </c>
      <c r="H6686">
        <v>1600</v>
      </c>
      <c r="I6686">
        <v>-14</v>
      </c>
      <c r="J6686">
        <v>-163</v>
      </c>
      <c r="K6686">
        <v>-704</v>
      </c>
      <c r="L6686">
        <v>1200</v>
      </c>
      <c r="M6686" t="str">
        <f t="shared" si="728"/>
        <v xml:space="preserve">N35DC   </v>
      </c>
      <c r="N6686">
        <v>1</v>
      </c>
      <c r="O6686">
        <v>1650</v>
      </c>
    </row>
    <row r="6687" spans="1:15" x14ac:dyDescent="0.25">
      <c r="A6687" t="str">
        <f>"10/21/2020 19:01:01.276"</f>
        <v>10/21/2020 19:01:01.276</v>
      </c>
      <c r="B6687" t="str">
        <f>"19:01:09.242"</f>
        <v>19:01:09.242</v>
      </c>
      <c r="C6687" t="str">
        <f>"19:01:09.042"</f>
        <v>19:01:09.042</v>
      </c>
      <c r="D6687" t="s">
        <v>2778</v>
      </c>
      <c r="E6687">
        <v>30.507617</v>
      </c>
      <c r="F6687" t="s">
        <v>2779</v>
      </c>
      <c r="G6687">
        <v>-89.823682000000005</v>
      </c>
      <c r="H6687">
        <v>1600</v>
      </c>
      <c r="I6687">
        <v>-14</v>
      </c>
      <c r="J6687">
        <v>-163</v>
      </c>
      <c r="K6687">
        <v>-704</v>
      </c>
      <c r="L6687">
        <v>1200</v>
      </c>
      <c r="M6687" t="str">
        <f t="shared" si="728"/>
        <v xml:space="preserve">N35DC   </v>
      </c>
      <c r="N6687">
        <v>1</v>
      </c>
      <c r="O6687">
        <v>1650</v>
      </c>
    </row>
    <row r="6688" spans="1:15" x14ac:dyDescent="0.25">
      <c r="A6688" t="str">
        <f>"10/21/2020 19:01:01.276"</f>
        <v>10/21/2020 19:01:01.276</v>
      </c>
      <c r="B6688" t="str">
        <f>"19:01:09.242"</f>
        <v>19:01:09.242</v>
      </c>
      <c r="C6688" t="str">
        <f>"19:01:09.042"</f>
        <v>19:01:09.042</v>
      </c>
      <c r="D6688" t="s">
        <v>2778</v>
      </c>
      <c r="E6688">
        <v>30.507617</v>
      </c>
      <c r="F6688" t="s">
        <v>2779</v>
      </c>
      <c r="G6688">
        <v>-89.823682000000005</v>
      </c>
      <c r="H6688">
        <v>1600</v>
      </c>
      <c r="I6688">
        <v>-14</v>
      </c>
      <c r="J6688">
        <v>-163</v>
      </c>
      <c r="K6688">
        <v>-704</v>
      </c>
      <c r="L6688">
        <v>1200</v>
      </c>
      <c r="M6688" t="str">
        <f t="shared" si="728"/>
        <v xml:space="preserve">N35DC   </v>
      </c>
      <c r="N6688">
        <v>1</v>
      </c>
      <c r="O6688">
        <v>1650</v>
      </c>
    </row>
    <row r="6689" spans="1:15" x14ac:dyDescent="0.25">
      <c r="A6689" t="str">
        <f>"10/21/2020 19:01:01.276"</f>
        <v>10/21/2020 19:01:01.276</v>
      </c>
      <c r="B6689" t="str">
        <f>"19:01:09.242"</f>
        <v>19:01:09.242</v>
      </c>
      <c r="C6689" t="str">
        <f>"19:01:09.042"</f>
        <v>19:01:09.042</v>
      </c>
      <c r="D6689" t="s">
        <v>2778</v>
      </c>
      <c r="E6689">
        <v>30.507617</v>
      </c>
      <c r="F6689" t="s">
        <v>2779</v>
      </c>
      <c r="G6689">
        <v>-89.823682000000005</v>
      </c>
      <c r="H6689">
        <v>1600</v>
      </c>
      <c r="I6689">
        <v>-14</v>
      </c>
      <c r="J6689">
        <v>-163</v>
      </c>
      <c r="K6689">
        <v>-704</v>
      </c>
      <c r="L6689">
        <v>1200</v>
      </c>
      <c r="M6689" t="str">
        <f t="shared" si="728"/>
        <v xml:space="preserve">N35DC   </v>
      </c>
      <c r="N6689">
        <v>1</v>
      </c>
      <c r="O6689">
        <v>1650</v>
      </c>
    </row>
    <row r="6690" spans="1:15" x14ac:dyDescent="0.25">
      <c r="A6690" t="str">
        <f>"10/21/2020 19:01:03.241"</f>
        <v>10/21/2020 19:01:03.241</v>
      </c>
      <c r="B6690" t="str">
        <f>"19:01:11.188"</f>
        <v>19:01:11.188</v>
      </c>
      <c r="C6690" t="str">
        <f>"19:01:10.788"</f>
        <v>19:01:10.788</v>
      </c>
      <c r="D6690" t="s">
        <v>2780</v>
      </c>
      <c r="E6690">
        <v>30.506157999999999</v>
      </c>
      <c r="F6690" t="s">
        <v>2781</v>
      </c>
      <c r="G6690">
        <v>-89.823790000000002</v>
      </c>
      <c r="H6690">
        <v>1600</v>
      </c>
      <c r="I6690">
        <v>-10</v>
      </c>
      <c r="J6690">
        <v>-164</v>
      </c>
      <c r="K6690">
        <v>-832</v>
      </c>
      <c r="L6690">
        <v>1200</v>
      </c>
      <c r="M6690" t="str">
        <f t="shared" si="728"/>
        <v xml:space="preserve">N35DC   </v>
      </c>
      <c r="N6690">
        <v>1</v>
      </c>
      <c r="O6690">
        <v>1650</v>
      </c>
    </row>
    <row r="6691" spans="1:15" x14ac:dyDescent="0.25">
      <c r="A6691" t="str">
        <f>"10/21/2020 19:01:03.241"</f>
        <v>10/21/2020 19:01:03.241</v>
      </c>
      <c r="B6691" t="str">
        <f>"19:01:11.188"</f>
        <v>19:01:11.188</v>
      </c>
      <c r="C6691" t="str">
        <f>"19:01:10.788"</f>
        <v>19:01:10.788</v>
      </c>
      <c r="D6691" t="s">
        <v>2780</v>
      </c>
      <c r="E6691">
        <v>30.506157999999999</v>
      </c>
      <c r="F6691" t="s">
        <v>2781</v>
      </c>
      <c r="G6691">
        <v>-89.823790000000002</v>
      </c>
      <c r="H6691">
        <v>1600</v>
      </c>
      <c r="I6691">
        <v>-10</v>
      </c>
      <c r="J6691">
        <v>-164</v>
      </c>
      <c r="K6691">
        <v>-832</v>
      </c>
      <c r="L6691">
        <v>1200</v>
      </c>
      <c r="M6691" t="str">
        <f t="shared" si="728"/>
        <v xml:space="preserve">N35DC   </v>
      </c>
      <c r="N6691">
        <v>1</v>
      </c>
      <c r="O6691">
        <v>1650</v>
      </c>
    </row>
    <row r="6692" spans="1:15" x14ac:dyDescent="0.25">
      <c r="A6692" t="str">
        <f>"10/21/2020 19:01:03.241"</f>
        <v>10/21/2020 19:01:03.241</v>
      </c>
      <c r="B6692" t="str">
        <f>"19:01:11.188"</f>
        <v>19:01:11.188</v>
      </c>
      <c r="C6692" t="str">
        <f>"19:01:10.788"</f>
        <v>19:01:10.788</v>
      </c>
      <c r="D6692" t="s">
        <v>2780</v>
      </c>
      <c r="E6692">
        <v>30.506157999999999</v>
      </c>
      <c r="F6692" t="s">
        <v>2781</v>
      </c>
      <c r="G6692">
        <v>-89.823790000000002</v>
      </c>
      <c r="H6692">
        <v>1600</v>
      </c>
      <c r="I6692">
        <v>-10</v>
      </c>
      <c r="J6692">
        <v>-164</v>
      </c>
      <c r="K6692">
        <v>-832</v>
      </c>
      <c r="L6692">
        <v>1200</v>
      </c>
      <c r="M6692" t="str">
        <f t="shared" si="728"/>
        <v xml:space="preserve">N35DC   </v>
      </c>
      <c r="N6692">
        <v>1</v>
      </c>
      <c r="O6692">
        <v>1650</v>
      </c>
    </row>
    <row r="6693" spans="1:15" x14ac:dyDescent="0.25">
      <c r="A6693" t="str">
        <f>"10/21/2020 19:01:03.241"</f>
        <v>10/21/2020 19:01:03.241</v>
      </c>
      <c r="B6693" t="str">
        <f>"19:01:11.188"</f>
        <v>19:01:11.188</v>
      </c>
      <c r="C6693" t="str">
        <f>"19:01:10.788"</f>
        <v>19:01:10.788</v>
      </c>
      <c r="D6693" t="s">
        <v>2780</v>
      </c>
      <c r="E6693">
        <v>30.506157999999999</v>
      </c>
      <c r="F6693" t="s">
        <v>2781</v>
      </c>
      <c r="G6693">
        <v>-89.823790000000002</v>
      </c>
      <c r="H6693">
        <v>1600</v>
      </c>
      <c r="I6693">
        <v>-10</v>
      </c>
      <c r="J6693">
        <v>-164</v>
      </c>
      <c r="K6693">
        <v>-832</v>
      </c>
      <c r="L6693">
        <v>1200</v>
      </c>
      <c r="M6693" t="str">
        <f t="shared" si="728"/>
        <v xml:space="preserve">N35DC   </v>
      </c>
      <c r="N6693">
        <v>1</v>
      </c>
      <c r="O6693">
        <v>1650</v>
      </c>
    </row>
    <row r="6694" spans="1:15" x14ac:dyDescent="0.25">
      <c r="A6694" t="str">
        <f>"10/21/2020 19:01:03.241"</f>
        <v>10/21/2020 19:01:03.241</v>
      </c>
      <c r="B6694" t="str">
        <f>"19:01:11.188"</f>
        <v>19:01:11.188</v>
      </c>
      <c r="C6694" t="str">
        <f>"19:01:10.788"</f>
        <v>19:01:10.788</v>
      </c>
      <c r="D6694" t="s">
        <v>2780</v>
      </c>
      <c r="E6694">
        <v>30.506157999999999</v>
      </c>
      <c r="F6694" t="s">
        <v>2781</v>
      </c>
      <c r="G6694">
        <v>-89.823790000000002</v>
      </c>
      <c r="H6694">
        <v>1600</v>
      </c>
      <c r="I6694">
        <v>-10</v>
      </c>
      <c r="J6694">
        <v>-164</v>
      </c>
      <c r="K6694">
        <v>-832</v>
      </c>
      <c r="L6694">
        <v>1200</v>
      </c>
      <c r="M6694" t="str">
        <f t="shared" si="728"/>
        <v xml:space="preserve">N35DC   </v>
      </c>
      <c r="N6694">
        <v>1</v>
      </c>
      <c r="O6694">
        <v>1650</v>
      </c>
    </row>
    <row r="6695" spans="1:15" x14ac:dyDescent="0.25">
      <c r="A6695" t="str">
        <f>"10/21/2020 19:01:04.350"</f>
        <v>10/21/2020 19:01:04.350</v>
      </c>
      <c r="B6695" t="str">
        <f t="shared" ref="B6695:C6699" si="730">"19:01:12.289"</f>
        <v>19:01:12.289</v>
      </c>
      <c r="C6695" t="str">
        <f t="shared" si="730"/>
        <v>19:01:12.289</v>
      </c>
      <c r="D6695" t="s">
        <v>2782</v>
      </c>
      <c r="E6695">
        <v>30.505299999999998</v>
      </c>
      <c r="F6695" t="s">
        <v>2783</v>
      </c>
      <c r="G6695">
        <v>-89.823832999999993</v>
      </c>
      <c r="H6695">
        <v>1600</v>
      </c>
      <c r="I6695">
        <v>-5</v>
      </c>
      <c r="J6695">
        <v>-164</v>
      </c>
      <c r="K6695">
        <v>-896</v>
      </c>
      <c r="L6695">
        <v>1200</v>
      </c>
      <c r="M6695" t="str">
        <f t="shared" si="728"/>
        <v xml:space="preserve">N35DC   </v>
      </c>
      <c r="N6695">
        <v>1</v>
      </c>
      <c r="O6695">
        <v>1625</v>
      </c>
    </row>
    <row r="6696" spans="1:15" x14ac:dyDescent="0.25">
      <c r="A6696" t="str">
        <f>"10/21/2020 19:01:04.350"</f>
        <v>10/21/2020 19:01:04.350</v>
      </c>
      <c r="B6696" t="str">
        <f t="shared" si="730"/>
        <v>19:01:12.289</v>
      </c>
      <c r="C6696" t="str">
        <f t="shared" si="730"/>
        <v>19:01:12.289</v>
      </c>
      <c r="D6696" t="s">
        <v>2782</v>
      </c>
      <c r="E6696">
        <v>30.505299999999998</v>
      </c>
      <c r="F6696" t="s">
        <v>2783</v>
      </c>
      <c r="G6696">
        <v>-89.823832999999993</v>
      </c>
      <c r="H6696">
        <v>1600</v>
      </c>
      <c r="I6696">
        <v>-5</v>
      </c>
      <c r="J6696">
        <v>-164</v>
      </c>
      <c r="K6696">
        <v>-896</v>
      </c>
      <c r="L6696">
        <v>1200</v>
      </c>
      <c r="M6696" t="str">
        <f t="shared" si="728"/>
        <v xml:space="preserve">N35DC   </v>
      </c>
      <c r="N6696">
        <v>1</v>
      </c>
      <c r="O6696">
        <v>1625</v>
      </c>
    </row>
    <row r="6697" spans="1:15" x14ac:dyDescent="0.25">
      <c r="A6697" t="str">
        <f>"10/21/2020 19:01:04.350"</f>
        <v>10/21/2020 19:01:04.350</v>
      </c>
      <c r="B6697" t="str">
        <f t="shared" si="730"/>
        <v>19:01:12.289</v>
      </c>
      <c r="C6697" t="str">
        <f t="shared" si="730"/>
        <v>19:01:12.289</v>
      </c>
      <c r="D6697" t="s">
        <v>2782</v>
      </c>
      <c r="E6697">
        <v>30.505299999999998</v>
      </c>
      <c r="F6697" t="s">
        <v>2783</v>
      </c>
      <c r="G6697">
        <v>-89.823832999999993</v>
      </c>
      <c r="H6697">
        <v>1600</v>
      </c>
      <c r="I6697">
        <v>-5</v>
      </c>
      <c r="J6697">
        <v>-164</v>
      </c>
      <c r="K6697">
        <v>-896</v>
      </c>
      <c r="L6697">
        <v>1200</v>
      </c>
      <c r="M6697" t="str">
        <f t="shared" si="728"/>
        <v xml:space="preserve">N35DC   </v>
      </c>
      <c r="N6697">
        <v>1</v>
      </c>
      <c r="O6697">
        <v>1625</v>
      </c>
    </row>
    <row r="6698" spans="1:15" x14ac:dyDescent="0.25">
      <c r="A6698" t="str">
        <f>"10/21/2020 19:01:04.350"</f>
        <v>10/21/2020 19:01:04.350</v>
      </c>
      <c r="B6698" t="str">
        <f t="shared" si="730"/>
        <v>19:01:12.289</v>
      </c>
      <c r="C6698" t="str">
        <f t="shared" si="730"/>
        <v>19:01:12.289</v>
      </c>
      <c r="D6698" t="s">
        <v>2782</v>
      </c>
      <c r="E6698">
        <v>30.505299999999998</v>
      </c>
      <c r="F6698" t="s">
        <v>2783</v>
      </c>
      <c r="G6698">
        <v>-89.823832999999993</v>
      </c>
      <c r="H6698">
        <v>1600</v>
      </c>
      <c r="I6698">
        <v>-5</v>
      </c>
      <c r="J6698">
        <v>-164</v>
      </c>
      <c r="K6698">
        <v>-896</v>
      </c>
      <c r="L6698">
        <v>1200</v>
      </c>
      <c r="M6698" t="str">
        <f t="shared" si="728"/>
        <v xml:space="preserve">N35DC   </v>
      </c>
      <c r="N6698">
        <v>1</v>
      </c>
      <c r="O6698">
        <v>1625</v>
      </c>
    </row>
    <row r="6699" spans="1:15" x14ac:dyDescent="0.25">
      <c r="A6699" t="str">
        <f>"10/21/2020 19:01:04.350"</f>
        <v>10/21/2020 19:01:04.350</v>
      </c>
      <c r="B6699" t="str">
        <f t="shared" si="730"/>
        <v>19:01:12.289</v>
      </c>
      <c r="C6699" t="str">
        <f t="shared" si="730"/>
        <v>19:01:12.289</v>
      </c>
      <c r="D6699" t="s">
        <v>2782</v>
      </c>
      <c r="E6699">
        <v>30.505299999999998</v>
      </c>
      <c r="F6699" t="s">
        <v>2783</v>
      </c>
      <c r="G6699">
        <v>-89.823832999999993</v>
      </c>
      <c r="H6699">
        <v>1600</v>
      </c>
      <c r="I6699">
        <v>-5</v>
      </c>
      <c r="J6699">
        <v>-164</v>
      </c>
      <c r="K6699">
        <v>-896</v>
      </c>
      <c r="L6699">
        <v>1200</v>
      </c>
      <c r="M6699" t="str">
        <f t="shared" si="728"/>
        <v xml:space="preserve">N35DC   </v>
      </c>
      <c r="N6699">
        <v>1</v>
      </c>
      <c r="O6699">
        <v>1625</v>
      </c>
    </row>
    <row r="6700" spans="1:15" x14ac:dyDescent="0.25">
      <c r="A6700" t="str">
        <f>"10/21/2020 19:01:07.132"</f>
        <v>10/21/2020 19:01:07.132</v>
      </c>
      <c r="B6700" t="str">
        <f>"19:01:15.094"</f>
        <v>19:01:15.094</v>
      </c>
      <c r="C6700" t="str">
        <f>"19:01:14.794"</f>
        <v>19:01:14.794</v>
      </c>
      <c r="D6700" t="s">
        <v>2784</v>
      </c>
      <c r="E6700">
        <v>30.503174999999999</v>
      </c>
      <c r="F6700" t="s">
        <v>2781</v>
      </c>
      <c r="G6700">
        <v>-89.823790000000002</v>
      </c>
      <c r="H6700">
        <v>1500</v>
      </c>
      <c r="I6700">
        <v>6</v>
      </c>
      <c r="J6700">
        <v>-165</v>
      </c>
      <c r="K6700">
        <v>-960</v>
      </c>
      <c r="L6700">
        <v>1200</v>
      </c>
      <c r="M6700" t="str">
        <f t="shared" si="728"/>
        <v xml:space="preserve">N35DC   </v>
      </c>
      <c r="N6700">
        <v>1</v>
      </c>
      <c r="O6700">
        <v>1575</v>
      </c>
    </row>
    <row r="6701" spans="1:15" x14ac:dyDescent="0.25">
      <c r="A6701" t="str">
        <f>"10/21/2020 19:01:07.132"</f>
        <v>10/21/2020 19:01:07.132</v>
      </c>
      <c r="B6701" t="str">
        <f>"19:01:15.094"</f>
        <v>19:01:15.094</v>
      </c>
      <c r="C6701" t="str">
        <f>"19:01:14.794"</f>
        <v>19:01:14.794</v>
      </c>
      <c r="D6701" t="s">
        <v>2784</v>
      </c>
      <c r="E6701">
        <v>30.503174999999999</v>
      </c>
      <c r="F6701" t="s">
        <v>2781</v>
      </c>
      <c r="G6701">
        <v>-89.823790000000002</v>
      </c>
      <c r="H6701">
        <v>1500</v>
      </c>
      <c r="I6701">
        <v>6</v>
      </c>
      <c r="J6701">
        <v>-165</v>
      </c>
      <c r="K6701">
        <v>-960</v>
      </c>
      <c r="L6701">
        <v>1200</v>
      </c>
      <c r="M6701" t="str">
        <f t="shared" si="728"/>
        <v xml:space="preserve">N35DC   </v>
      </c>
      <c r="N6701">
        <v>1</v>
      </c>
      <c r="O6701">
        <v>1575</v>
      </c>
    </row>
    <row r="6702" spans="1:15" x14ac:dyDescent="0.25">
      <c r="A6702" t="str">
        <f>"10/21/2020 19:01:07.132"</f>
        <v>10/21/2020 19:01:07.132</v>
      </c>
      <c r="B6702" t="str">
        <f>"19:01:15.094"</f>
        <v>19:01:15.094</v>
      </c>
      <c r="C6702" t="str">
        <f>"19:01:14.794"</f>
        <v>19:01:14.794</v>
      </c>
      <c r="D6702" t="s">
        <v>2784</v>
      </c>
      <c r="E6702">
        <v>30.503174999999999</v>
      </c>
      <c r="F6702" t="s">
        <v>2781</v>
      </c>
      <c r="G6702">
        <v>-89.823790000000002</v>
      </c>
      <c r="H6702">
        <v>1500</v>
      </c>
      <c r="I6702">
        <v>6</v>
      </c>
      <c r="J6702">
        <v>-165</v>
      </c>
      <c r="K6702">
        <v>-960</v>
      </c>
      <c r="L6702">
        <v>1200</v>
      </c>
      <c r="M6702" t="str">
        <f t="shared" si="728"/>
        <v xml:space="preserve">N35DC   </v>
      </c>
      <c r="N6702">
        <v>1</v>
      </c>
      <c r="O6702">
        <v>1575</v>
      </c>
    </row>
    <row r="6703" spans="1:15" x14ac:dyDescent="0.25">
      <c r="A6703" t="str">
        <f>"10/21/2020 19:01:07.132"</f>
        <v>10/21/2020 19:01:07.132</v>
      </c>
      <c r="B6703" t="str">
        <f>"19:01:15.094"</f>
        <v>19:01:15.094</v>
      </c>
      <c r="C6703" t="str">
        <f>"19:01:14.794"</f>
        <v>19:01:14.794</v>
      </c>
      <c r="D6703" t="s">
        <v>2784</v>
      </c>
      <c r="E6703">
        <v>30.503174999999999</v>
      </c>
      <c r="F6703" t="s">
        <v>2781</v>
      </c>
      <c r="G6703">
        <v>-89.823790000000002</v>
      </c>
      <c r="H6703">
        <v>1500</v>
      </c>
      <c r="I6703">
        <v>6</v>
      </c>
      <c r="J6703">
        <v>-165</v>
      </c>
      <c r="K6703">
        <v>-960</v>
      </c>
      <c r="L6703">
        <v>1200</v>
      </c>
      <c r="M6703" t="str">
        <f t="shared" si="728"/>
        <v xml:space="preserve">N35DC   </v>
      </c>
      <c r="N6703">
        <v>1</v>
      </c>
      <c r="O6703">
        <v>1575</v>
      </c>
    </row>
    <row r="6704" spans="1:15" x14ac:dyDescent="0.25">
      <c r="A6704" t="str">
        <f>"10/21/2020 19:01:07.132"</f>
        <v>10/21/2020 19:01:07.132</v>
      </c>
      <c r="B6704" t="str">
        <f>"19:01:15.094"</f>
        <v>19:01:15.094</v>
      </c>
      <c r="C6704" t="str">
        <f>"19:01:14.794"</f>
        <v>19:01:14.794</v>
      </c>
      <c r="D6704" t="s">
        <v>2784</v>
      </c>
      <c r="E6704">
        <v>30.503174999999999</v>
      </c>
      <c r="F6704" t="s">
        <v>2781</v>
      </c>
      <c r="G6704">
        <v>-89.823790000000002</v>
      </c>
      <c r="H6704">
        <v>1500</v>
      </c>
      <c r="I6704">
        <v>6</v>
      </c>
      <c r="J6704">
        <v>-165</v>
      </c>
      <c r="K6704">
        <v>-960</v>
      </c>
      <c r="L6704">
        <v>1200</v>
      </c>
      <c r="M6704" t="str">
        <f t="shared" si="728"/>
        <v xml:space="preserve">N35DC   </v>
      </c>
      <c r="N6704">
        <v>1</v>
      </c>
      <c r="O6704">
        <v>1575</v>
      </c>
    </row>
    <row r="6705" spans="1:15" x14ac:dyDescent="0.25">
      <c r="A6705" t="str">
        <f>"10/21/2020 19:01:10.090"</f>
        <v>10/21/2020 19:01:10.090</v>
      </c>
      <c r="B6705" t="str">
        <f>"19:01:18.063"</f>
        <v>19:01:18.063</v>
      </c>
      <c r="C6705" t="str">
        <f>"19:01:17.863"</f>
        <v>19:01:17.863</v>
      </c>
      <c r="D6705" t="s">
        <v>2785</v>
      </c>
      <c r="E6705">
        <v>30.500879000000001</v>
      </c>
      <c r="F6705" t="s">
        <v>2786</v>
      </c>
      <c r="G6705">
        <v>-89.823468000000005</v>
      </c>
      <c r="H6705">
        <v>1500</v>
      </c>
      <c r="I6705">
        <v>23</v>
      </c>
      <c r="J6705">
        <v>-164</v>
      </c>
      <c r="K6705">
        <v>-1088</v>
      </c>
      <c r="L6705">
        <v>1200</v>
      </c>
      <c r="M6705" t="str">
        <f t="shared" si="728"/>
        <v xml:space="preserve">N35DC   </v>
      </c>
      <c r="N6705">
        <v>1</v>
      </c>
      <c r="O6705">
        <v>1525</v>
      </c>
    </row>
    <row r="6706" spans="1:15" x14ac:dyDescent="0.25">
      <c r="A6706" t="str">
        <f>"10/21/2020 19:01:10.090"</f>
        <v>10/21/2020 19:01:10.090</v>
      </c>
      <c r="B6706" t="str">
        <f>"19:01:18.063"</f>
        <v>19:01:18.063</v>
      </c>
      <c r="C6706" t="str">
        <f>"19:01:17.863"</f>
        <v>19:01:17.863</v>
      </c>
      <c r="D6706" t="s">
        <v>2785</v>
      </c>
      <c r="E6706">
        <v>30.500879000000001</v>
      </c>
      <c r="F6706" t="s">
        <v>2786</v>
      </c>
      <c r="G6706">
        <v>-89.823468000000005</v>
      </c>
      <c r="H6706">
        <v>1500</v>
      </c>
      <c r="I6706">
        <v>23</v>
      </c>
      <c r="J6706">
        <v>-164</v>
      </c>
      <c r="K6706">
        <v>-1088</v>
      </c>
      <c r="L6706">
        <v>1200</v>
      </c>
      <c r="M6706" t="str">
        <f t="shared" si="728"/>
        <v xml:space="preserve">N35DC   </v>
      </c>
      <c r="N6706">
        <v>1</v>
      </c>
      <c r="O6706">
        <v>1525</v>
      </c>
    </row>
    <row r="6707" spans="1:15" x14ac:dyDescent="0.25">
      <c r="A6707" t="str">
        <f>"10/21/2020 19:01:10.090"</f>
        <v>10/21/2020 19:01:10.090</v>
      </c>
      <c r="B6707" t="str">
        <f>"19:01:18.063"</f>
        <v>19:01:18.063</v>
      </c>
      <c r="C6707" t="str">
        <f>"19:01:17.863"</f>
        <v>19:01:17.863</v>
      </c>
      <c r="D6707" t="s">
        <v>2785</v>
      </c>
      <c r="E6707">
        <v>30.500879000000001</v>
      </c>
      <c r="F6707" t="s">
        <v>2786</v>
      </c>
      <c r="G6707">
        <v>-89.823468000000005</v>
      </c>
      <c r="H6707">
        <v>1500</v>
      </c>
      <c r="I6707">
        <v>23</v>
      </c>
      <c r="J6707">
        <v>-164</v>
      </c>
      <c r="K6707">
        <v>-1088</v>
      </c>
      <c r="L6707">
        <v>1200</v>
      </c>
      <c r="M6707" t="str">
        <f t="shared" si="728"/>
        <v xml:space="preserve">N35DC   </v>
      </c>
      <c r="N6707">
        <v>1</v>
      </c>
      <c r="O6707">
        <v>1525</v>
      </c>
    </row>
    <row r="6708" spans="1:15" x14ac:dyDescent="0.25">
      <c r="A6708" t="str">
        <f>"10/21/2020 19:01:10.090"</f>
        <v>10/21/2020 19:01:10.090</v>
      </c>
      <c r="B6708" t="str">
        <f>"19:01:18.063"</f>
        <v>19:01:18.063</v>
      </c>
      <c r="C6708" t="str">
        <f>"19:01:17.863"</f>
        <v>19:01:17.863</v>
      </c>
      <c r="D6708" t="s">
        <v>2785</v>
      </c>
      <c r="E6708">
        <v>30.500879000000001</v>
      </c>
      <c r="F6708" t="s">
        <v>2786</v>
      </c>
      <c r="G6708">
        <v>-89.823468000000005</v>
      </c>
      <c r="H6708">
        <v>1500</v>
      </c>
      <c r="I6708">
        <v>23</v>
      </c>
      <c r="J6708">
        <v>-164</v>
      </c>
      <c r="K6708">
        <v>-1088</v>
      </c>
      <c r="L6708">
        <v>1200</v>
      </c>
      <c r="M6708" t="str">
        <f t="shared" si="728"/>
        <v xml:space="preserve">N35DC   </v>
      </c>
      <c r="N6708">
        <v>1</v>
      </c>
      <c r="O6708">
        <v>1525</v>
      </c>
    </row>
    <row r="6709" spans="1:15" x14ac:dyDescent="0.25">
      <c r="A6709" t="str">
        <f>"10/21/2020 19:01:10.090"</f>
        <v>10/21/2020 19:01:10.090</v>
      </c>
      <c r="B6709" t="str">
        <f>"19:01:18.063"</f>
        <v>19:01:18.063</v>
      </c>
      <c r="C6709" t="str">
        <f>"19:01:17.863"</f>
        <v>19:01:17.863</v>
      </c>
      <c r="D6709" t="s">
        <v>2785</v>
      </c>
      <c r="E6709">
        <v>30.500879000000001</v>
      </c>
      <c r="F6709" t="s">
        <v>2786</v>
      </c>
      <c r="G6709">
        <v>-89.823468000000005</v>
      </c>
      <c r="H6709">
        <v>1500</v>
      </c>
      <c r="I6709">
        <v>23</v>
      </c>
      <c r="J6709">
        <v>-164</v>
      </c>
      <c r="K6709">
        <v>-1088</v>
      </c>
      <c r="L6709">
        <v>1200</v>
      </c>
      <c r="M6709" t="str">
        <f t="shared" si="728"/>
        <v xml:space="preserve">N35DC   </v>
      </c>
      <c r="N6709">
        <v>1</v>
      </c>
      <c r="O6709">
        <v>1525</v>
      </c>
    </row>
    <row r="6710" spans="1:15" x14ac:dyDescent="0.25">
      <c r="A6710" t="str">
        <f>"10/21/2020 19:01:13.198"</f>
        <v>10/21/2020 19:01:13.198</v>
      </c>
      <c r="B6710" t="str">
        <f>"19:01:21.148"</f>
        <v>19:01:21.148</v>
      </c>
      <c r="C6710" t="str">
        <f>"19:01:20.848"</f>
        <v>19:01:20.848</v>
      </c>
      <c r="D6710" t="s">
        <v>2787</v>
      </c>
      <c r="E6710">
        <v>30.498562</v>
      </c>
      <c r="F6710" t="s">
        <v>2788</v>
      </c>
      <c r="G6710">
        <v>-89.822952999999998</v>
      </c>
      <c r="H6710">
        <v>1400</v>
      </c>
      <c r="I6710">
        <v>39</v>
      </c>
      <c r="J6710">
        <v>-162</v>
      </c>
      <c r="K6710">
        <v>-960</v>
      </c>
      <c r="L6710">
        <v>1200</v>
      </c>
      <c r="M6710" t="str">
        <f t="shared" si="728"/>
        <v xml:space="preserve">N35DC   </v>
      </c>
      <c r="N6710">
        <v>1</v>
      </c>
      <c r="O6710">
        <v>1475</v>
      </c>
    </row>
    <row r="6711" spans="1:15" x14ac:dyDescent="0.25">
      <c r="A6711" t="str">
        <f>"10/21/2020 19:01:13.198"</f>
        <v>10/21/2020 19:01:13.198</v>
      </c>
      <c r="B6711" t="str">
        <f>"19:01:21.148"</f>
        <v>19:01:21.148</v>
      </c>
      <c r="C6711" t="str">
        <f>"19:01:20.848"</f>
        <v>19:01:20.848</v>
      </c>
      <c r="D6711" t="s">
        <v>2787</v>
      </c>
      <c r="E6711">
        <v>30.498562</v>
      </c>
      <c r="F6711" t="s">
        <v>2788</v>
      </c>
      <c r="G6711">
        <v>-89.822952999999998</v>
      </c>
      <c r="H6711">
        <v>1400</v>
      </c>
      <c r="I6711">
        <v>39</v>
      </c>
      <c r="J6711">
        <v>-162</v>
      </c>
      <c r="K6711">
        <v>-960</v>
      </c>
      <c r="L6711">
        <v>1200</v>
      </c>
      <c r="M6711" t="str">
        <f t="shared" si="728"/>
        <v xml:space="preserve">N35DC   </v>
      </c>
      <c r="N6711">
        <v>1</v>
      </c>
      <c r="O6711">
        <v>1475</v>
      </c>
    </row>
    <row r="6712" spans="1:15" x14ac:dyDescent="0.25">
      <c r="A6712" t="str">
        <f>"10/21/2020 19:01:13.198"</f>
        <v>10/21/2020 19:01:13.198</v>
      </c>
      <c r="B6712" t="str">
        <f>"19:01:21.148"</f>
        <v>19:01:21.148</v>
      </c>
      <c r="C6712" t="str">
        <f>"19:01:20.848"</f>
        <v>19:01:20.848</v>
      </c>
      <c r="D6712" t="s">
        <v>2787</v>
      </c>
      <c r="E6712">
        <v>30.498562</v>
      </c>
      <c r="F6712" t="s">
        <v>2788</v>
      </c>
      <c r="G6712">
        <v>-89.822952999999998</v>
      </c>
      <c r="H6712">
        <v>1400</v>
      </c>
      <c r="I6712">
        <v>39</v>
      </c>
      <c r="J6712">
        <v>-162</v>
      </c>
      <c r="K6712">
        <v>-960</v>
      </c>
      <c r="L6712">
        <v>1200</v>
      </c>
      <c r="M6712" t="str">
        <f t="shared" si="728"/>
        <v xml:space="preserve">N35DC   </v>
      </c>
      <c r="N6712">
        <v>1</v>
      </c>
      <c r="O6712">
        <v>1475</v>
      </c>
    </row>
    <row r="6713" spans="1:15" x14ac:dyDescent="0.25">
      <c r="A6713" t="str">
        <f>"10/21/2020 19:01:13.198"</f>
        <v>10/21/2020 19:01:13.198</v>
      </c>
      <c r="B6713" t="str">
        <f>"19:01:21.148"</f>
        <v>19:01:21.148</v>
      </c>
      <c r="C6713" t="str">
        <f>"19:01:20.848"</f>
        <v>19:01:20.848</v>
      </c>
      <c r="D6713" t="s">
        <v>2787</v>
      </c>
      <c r="E6713">
        <v>30.498562</v>
      </c>
      <c r="F6713" t="s">
        <v>2788</v>
      </c>
      <c r="G6713">
        <v>-89.822952999999998</v>
      </c>
      <c r="H6713">
        <v>1400</v>
      </c>
      <c r="I6713">
        <v>39</v>
      </c>
      <c r="J6713">
        <v>-162</v>
      </c>
      <c r="K6713">
        <v>-960</v>
      </c>
      <c r="L6713">
        <v>1200</v>
      </c>
      <c r="M6713" t="str">
        <f t="shared" si="728"/>
        <v xml:space="preserve">N35DC   </v>
      </c>
      <c r="N6713">
        <v>1</v>
      </c>
      <c r="O6713">
        <v>1475</v>
      </c>
    </row>
    <row r="6714" spans="1:15" x14ac:dyDescent="0.25">
      <c r="A6714" t="str">
        <f>"10/21/2020 19:01:13.198"</f>
        <v>10/21/2020 19:01:13.198</v>
      </c>
      <c r="B6714" t="str">
        <f>"19:01:21.148"</f>
        <v>19:01:21.148</v>
      </c>
      <c r="C6714" t="str">
        <f>"19:01:20.848"</f>
        <v>19:01:20.848</v>
      </c>
      <c r="D6714" t="s">
        <v>2787</v>
      </c>
      <c r="E6714">
        <v>30.498562</v>
      </c>
      <c r="F6714" t="s">
        <v>2788</v>
      </c>
      <c r="G6714">
        <v>-89.822952999999998</v>
      </c>
      <c r="H6714">
        <v>1400</v>
      </c>
      <c r="I6714">
        <v>39</v>
      </c>
      <c r="J6714">
        <v>-162</v>
      </c>
      <c r="K6714">
        <v>-960</v>
      </c>
      <c r="L6714">
        <v>1200</v>
      </c>
      <c r="M6714" t="str">
        <f t="shared" si="728"/>
        <v xml:space="preserve">N35DC   </v>
      </c>
      <c r="N6714">
        <v>1</v>
      </c>
      <c r="O6714">
        <v>1475</v>
      </c>
    </row>
    <row r="6715" spans="1:15" x14ac:dyDescent="0.25">
      <c r="A6715" t="str">
        <f>"10/21/2020 19:01:14.133"</f>
        <v>10/21/2020 19:01:14.133</v>
      </c>
      <c r="B6715" t="str">
        <f>"19:01:22.078"</f>
        <v>19:01:22.078</v>
      </c>
      <c r="C6715" t="str">
        <f>"19:01:21.778"</f>
        <v>19:01:21.778</v>
      </c>
      <c r="D6715" t="s">
        <v>2789</v>
      </c>
      <c r="E6715">
        <v>30.497854</v>
      </c>
      <c r="F6715" t="s">
        <v>2790</v>
      </c>
      <c r="G6715">
        <v>-89.822716999999997</v>
      </c>
      <c r="H6715">
        <v>1400</v>
      </c>
      <c r="I6715">
        <v>43</v>
      </c>
      <c r="J6715">
        <v>-161</v>
      </c>
      <c r="K6715">
        <v>-896</v>
      </c>
      <c r="L6715">
        <v>1200</v>
      </c>
      <c r="M6715" t="str">
        <f t="shared" si="728"/>
        <v xml:space="preserve">N35DC   </v>
      </c>
      <c r="N6715">
        <v>1</v>
      </c>
      <c r="O6715">
        <v>1450</v>
      </c>
    </row>
    <row r="6716" spans="1:15" x14ac:dyDescent="0.25">
      <c r="A6716" t="str">
        <f>"10/21/2020 19:01:14.133"</f>
        <v>10/21/2020 19:01:14.133</v>
      </c>
      <c r="B6716" t="str">
        <f>"19:01:22.078"</f>
        <v>19:01:22.078</v>
      </c>
      <c r="C6716" t="str">
        <f>"19:01:21.778"</f>
        <v>19:01:21.778</v>
      </c>
      <c r="D6716" t="s">
        <v>2789</v>
      </c>
      <c r="E6716">
        <v>30.497854</v>
      </c>
      <c r="F6716" t="s">
        <v>2790</v>
      </c>
      <c r="G6716">
        <v>-89.822716999999997</v>
      </c>
      <c r="H6716">
        <v>1400</v>
      </c>
      <c r="I6716">
        <v>43</v>
      </c>
      <c r="J6716">
        <v>-161</v>
      </c>
      <c r="K6716">
        <v>-896</v>
      </c>
      <c r="L6716">
        <v>1200</v>
      </c>
      <c r="M6716" t="str">
        <f t="shared" si="728"/>
        <v xml:space="preserve">N35DC   </v>
      </c>
      <c r="N6716">
        <v>1</v>
      </c>
      <c r="O6716">
        <v>1450</v>
      </c>
    </row>
    <row r="6717" spans="1:15" x14ac:dyDescent="0.25">
      <c r="A6717" t="str">
        <f>"10/21/2020 19:01:14.133"</f>
        <v>10/21/2020 19:01:14.133</v>
      </c>
      <c r="B6717" t="str">
        <f>"19:01:22.078"</f>
        <v>19:01:22.078</v>
      </c>
      <c r="C6717" t="str">
        <f>"19:01:21.278"</f>
        <v>19:01:21.278</v>
      </c>
      <c r="D6717" t="s">
        <v>2789</v>
      </c>
      <c r="E6717">
        <v>30.497854</v>
      </c>
      <c r="F6717" t="s">
        <v>2790</v>
      </c>
      <c r="G6717">
        <v>-89.822716999999997</v>
      </c>
      <c r="H6717">
        <v>1400</v>
      </c>
      <c r="I6717">
        <v>42</v>
      </c>
      <c r="J6717">
        <v>-161</v>
      </c>
      <c r="K6717">
        <v>-960</v>
      </c>
      <c r="L6717">
        <v>1200</v>
      </c>
      <c r="M6717" t="str">
        <f t="shared" si="728"/>
        <v xml:space="preserve">N35DC   </v>
      </c>
      <c r="N6717">
        <v>1</v>
      </c>
      <c r="O6717">
        <v>1475</v>
      </c>
    </row>
    <row r="6718" spans="1:15" x14ac:dyDescent="0.25">
      <c r="A6718" t="str">
        <f>"10/21/2020 19:01:14.133"</f>
        <v>10/21/2020 19:01:14.133</v>
      </c>
      <c r="B6718" t="str">
        <f>"19:01:22.078"</f>
        <v>19:01:22.078</v>
      </c>
      <c r="C6718" t="str">
        <f>"19:01:21.778"</f>
        <v>19:01:21.778</v>
      </c>
      <c r="D6718" t="s">
        <v>2789</v>
      </c>
      <c r="E6718">
        <v>30.497854</v>
      </c>
      <c r="F6718" t="s">
        <v>2790</v>
      </c>
      <c r="G6718">
        <v>-89.822716999999997</v>
      </c>
      <c r="H6718">
        <v>1400</v>
      </c>
      <c r="I6718">
        <v>43</v>
      </c>
      <c r="J6718">
        <v>-161</v>
      </c>
      <c r="K6718">
        <v>-896</v>
      </c>
      <c r="L6718">
        <v>1200</v>
      </c>
      <c r="M6718" t="str">
        <f t="shared" si="728"/>
        <v xml:space="preserve">N35DC   </v>
      </c>
      <c r="N6718">
        <v>1</v>
      </c>
      <c r="O6718">
        <v>1450</v>
      </c>
    </row>
    <row r="6719" spans="1:15" x14ac:dyDescent="0.25">
      <c r="A6719" t="str">
        <f>"10/21/2020 19:01:14.133"</f>
        <v>10/21/2020 19:01:14.133</v>
      </c>
      <c r="B6719" t="str">
        <f>"19:01:22.078"</f>
        <v>19:01:22.078</v>
      </c>
      <c r="C6719" t="str">
        <f>"19:01:21.778"</f>
        <v>19:01:21.778</v>
      </c>
      <c r="D6719" t="s">
        <v>2789</v>
      </c>
      <c r="E6719">
        <v>30.497854</v>
      </c>
      <c r="F6719" t="s">
        <v>2790</v>
      </c>
      <c r="G6719">
        <v>-89.822716999999997</v>
      </c>
      <c r="H6719">
        <v>1400</v>
      </c>
      <c r="I6719">
        <v>43</v>
      </c>
      <c r="J6719">
        <v>-161</v>
      </c>
      <c r="K6719">
        <v>-896</v>
      </c>
      <c r="L6719">
        <v>1200</v>
      </c>
      <c r="M6719" t="str">
        <f t="shared" si="728"/>
        <v xml:space="preserve">N35DC   </v>
      </c>
      <c r="N6719">
        <v>1</v>
      </c>
      <c r="O6719">
        <v>1450</v>
      </c>
    </row>
    <row r="6720" spans="1:15" x14ac:dyDescent="0.25">
      <c r="A6720" t="str">
        <f>"10/21/2020 19:01:17.310"</f>
        <v>10/21/2020 19:01:17.310</v>
      </c>
      <c r="B6720" t="str">
        <f>"19:01:25.258"</f>
        <v>19:01:25.258</v>
      </c>
      <c r="C6720" t="str">
        <f>"19:01:24.858"</f>
        <v>19:01:24.858</v>
      </c>
      <c r="D6720" t="s">
        <v>2791</v>
      </c>
      <c r="E6720">
        <v>30.495536000000001</v>
      </c>
      <c r="F6720" t="s">
        <v>394</v>
      </c>
      <c r="G6720">
        <v>-89.821858000000006</v>
      </c>
      <c r="H6720">
        <v>1400</v>
      </c>
      <c r="I6720">
        <v>53</v>
      </c>
      <c r="J6720">
        <v>-158</v>
      </c>
      <c r="K6720">
        <v>-640</v>
      </c>
      <c r="L6720">
        <v>1200</v>
      </c>
      <c r="M6720" t="str">
        <f t="shared" si="728"/>
        <v xml:space="preserve">N35DC   </v>
      </c>
      <c r="N6720">
        <v>1</v>
      </c>
      <c r="O6720">
        <v>1425</v>
      </c>
    </row>
    <row r="6721" spans="1:15" x14ac:dyDescent="0.25">
      <c r="A6721" t="str">
        <f>"10/21/2020 19:01:17.310"</f>
        <v>10/21/2020 19:01:17.310</v>
      </c>
      <c r="B6721" t="str">
        <f>"19:01:25.258"</f>
        <v>19:01:25.258</v>
      </c>
      <c r="C6721" t="str">
        <f>"19:01:24.858"</f>
        <v>19:01:24.858</v>
      </c>
      <c r="D6721" t="s">
        <v>2791</v>
      </c>
      <c r="E6721">
        <v>30.495536000000001</v>
      </c>
      <c r="F6721" t="s">
        <v>394</v>
      </c>
      <c r="G6721">
        <v>-89.821858000000006</v>
      </c>
      <c r="H6721">
        <v>1400</v>
      </c>
      <c r="I6721">
        <v>53</v>
      </c>
      <c r="J6721">
        <v>-158</v>
      </c>
      <c r="K6721">
        <v>-640</v>
      </c>
      <c r="L6721">
        <v>1200</v>
      </c>
      <c r="M6721" t="str">
        <f t="shared" si="728"/>
        <v xml:space="preserve">N35DC   </v>
      </c>
      <c r="N6721">
        <v>1</v>
      </c>
      <c r="O6721">
        <v>1425</v>
      </c>
    </row>
    <row r="6722" spans="1:15" x14ac:dyDescent="0.25">
      <c r="A6722" t="str">
        <f>"10/21/2020 19:01:17.310"</f>
        <v>10/21/2020 19:01:17.310</v>
      </c>
      <c r="B6722" t="str">
        <f>"19:01:25.258"</f>
        <v>19:01:25.258</v>
      </c>
      <c r="C6722" t="str">
        <f>"19:01:24.858"</f>
        <v>19:01:24.858</v>
      </c>
      <c r="D6722" t="s">
        <v>2791</v>
      </c>
      <c r="E6722">
        <v>30.495536000000001</v>
      </c>
      <c r="F6722" t="s">
        <v>394</v>
      </c>
      <c r="G6722">
        <v>-89.821858000000006</v>
      </c>
      <c r="H6722">
        <v>1400</v>
      </c>
      <c r="I6722">
        <v>53</v>
      </c>
      <c r="J6722">
        <v>-158</v>
      </c>
      <c r="K6722">
        <v>-640</v>
      </c>
      <c r="L6722">
        <v>1200</v>
      </c>
      <c r="M6722" t="str">
        <f t="shared" si="728"/>
        <v xml:space="preserve">N35DC   </v>
      </c>
      <c r="N6722">
        <v>1</v>
      </c>
      <c r="O6722">
        <v>1425</v>
      </c>
    </row>
    <row r="6723" spans="1:15" x14ac:dyDescent="0.25">
      <c r="A6723" t="str">
        <f>"10/21/2020 19:01:17.310"</f>
        <v>10/21/2020 19:01:17.310</v>
      </c>
      <c r="B6723" t="str">
        <f>"19:01:25.258"</f>
        <v>19:01:25.258</v>
      </c>
      <c r="C6723" t="str">
        <f>"19:01:24.858"</f>
        <v>19:01:24.858</v>
      </c>
      <c r="D6723" t="s">
        <v>2791</v>
      </c>
      <c r="E6723">
        <v>30.495536000000001</v>
      </c>
      <c r="F6723" t="s">
        <v>394</v>
      </c>
      <c r="G6723">
        <v>-89.821858000000006</v>
      </c>
      <c r="H6723">
        <v>1400</v>
      </c>
      <c r="I6723">
        <v>53</v>
      </c>
      <c r="J6723">
        <v>-158</v>
      </c>
      <c r="K6723">
        <v>-640</v>
      </c>
      <c r="L6723">
        <v>1200</v>
      </c>
      <c r="M6723" t="str">
        <f t="shared" si="728"/>
        <v xml:space="preserve">N35DC   </v>
      </c>
      <c r="N6723">
        <v>1</v>
      </c>
      <c r="O6723">
        <v>1425</v>
      </c>
    </row>
    <row r="6724" spans="1:15" x14ac:dyDescent="0.25">
      <c r="A6724" t="str">
        <f>"10/21/2020 19:01:17.310"</f>
        <v>10/21/2020 19:01:17.310</v>
      </c>
      <c r="B6724" t="str">
        <f>"19:01:25.258"</f>
        <v>19:01:25.258</v>
      </c>
      <c r="C6724" t="str">
        <f>"19:01:24.858"</f>
        <v>19:01:24.858</v>
      </c>
      <c r="D6724" t="s">
        <v>2791</v>
      </c>
      <c r="E6724">
        <v>30.495536000000001</v>
      </c>
      <c r="F6724" t="s">
        <v>394</v>
      </c>
      <c r="G6724">
        <v>-89.821858000000006</v>
      </c>
      <c r="H6724">
        <v>1400</v>
      </c>
      <c r="I6724">
        <v>53</v>
      </c>
      <c r="J6724">
        <v>-158</v>
      </c>
      <c r="K6724">
        <v>-640</v>
      </c>
      <c r="L6724">
        <v>1200</v>
      </c>
      <c r="M6724" t="str">
        <f t="shared" si="728"/>
        <v xml:space="preserve">N35DC   </v>
      </c>
      <c r="N6724">
        <v>1</v>
      </c>
      <c r="O6724">
        <v>1425</v>
      </c>
    </row>
    <row r="6725" spans="1:15" x14ac:dyDescent="0.25">
      <c r="A6725" t="str">
        <f>"10/21/2020 19:01:18.258"</f>
        <v>10/21/2020 19:01:18.258</v>
      </c>
      <c r="B6725" t="str">
        <f>"19:01:26.234"</f>
        <v>19:01:26.234</v>
      </c>
      <c r="C6725" t="str">
        <f>"19:01:25.934"</f>
        <v>19:01:25.934</v>
      </c>
      <c r="D6725" t="s">
        <v>2792</v>
      </c>
      <c r="E6725">
        <v>30.494827999999998</v>
      </c>
      <c r="F6725" t="s">
        <v>2793</v>
      </c>
      <c r="G6725">
        <v>-89.821579</v>
      </c>
      <c r="H6725">
        <v>1400</v>
      </c>
      <c r="I6725">
        <v>54</v>
      </c>
      <c r="J6725">
        <v>-157</v>
      </c>
      <c r="K6725">
        <v>-576</v>
      </c>
      <c r="L6725">
        <v>1200</v>
      </c>
      <c r="M6725" t="str">
        <f t="shared" si="728"/>
        <v xml:space="preserve">N35DC   </v>
      </c>
      <c r="N6725">
        <v>1</v>
      </c>
      <c r="O6725">
        <v>1400</v>
      </c>
    </row>
    <row r="6726" spans="1:15" x14ac:dyDescent="0.25">
      <c r="A6726" t="str">
        <f>"10/21/2020 19:01:18.258"</f>
        <v>10/21/2020 19:01:18.258</v>
      </c>
      <c r="B6726" t="str">
        <f>"19:01:26.234"</f>
        <v>19:01:26.234</v>
      </c>
      <c r="C6726" t="str">
        <f>"19:01:25.934"</f>
        <v>19:01:25.934</v>
      </c>
      <c r="D6726" t="s">
        <v>2792</v>
      </c>
      <c r="E6726">
        <v>30.494827999999998</v>
      </c>
      <c r="F6726" t="s">
        <v>2793</v>
      </c>
      <c r="G6726">
        <v>-89.821579</v>
      </c>
      <c r="H6726">
        <v>1400</v>
      </c>
      <c r="I6726">
        <v>54</v>
      </c>
      <c r="J6726">
        <v>-157</v>
      </c>
      <c r="K6726">
        <v>-576</v>
      </c>
      <c r="L6726">
        <v>1200</v>
      </c>
      <c r="M6726" t="str">
        <f t="shared" si="728"/>
        <v xml:space="preserve">N35DC   </v>
      </c>
      <c r="N6726">
        <v>1</v>
      </c>
      <c r="O6726">
        <v>1400</v>
      </c>
    </row>
    <row r="6727" spans="1:15" x14ac:dyDescent="0.25">
      <c r="A6727" t="str">
        <f>"10/21/2020 19:01:18.258"</f>
        <v>10/21/2020 19:01:18.258</v>
      </c>
      <c r="B6727" t="str">
        <f>"19:01:26.234"</f>
        <v>19:01:26.234</v>
      </c>
      <c r="C6727" t="str">
        <f>"19:01:25.934"</f>
        <v>19:01:25.934</v>
      </c>
      <c r="D6727" t="s">
        <v>2792</v>
      </c>
      <c r="E6727">
        <v>30.494827999999998</v>
      </c>
      <c r="F6727" t="s">
        <v>2793</v>
      </c>
      <c r="G6727">
        <v>-89.821579</v>
      </c>
      <c r="H6727">
        <v>1400</v>
      </c>
      <c r="I6727">
        <v>54</v>
      </c>
      <c r="J6727">
        <v>-157</v>
      </c>
      <c r="K6727">
        <v>-576</v>
      </c>
      <c r="L6727">
        <v>1200</v>
      </c>
      <c r="M6727" t="str">
        <f t="shared" ref="M6727:M6790" si="731">"N35DC   "</f>
        <v xml:space="preserve">N35DC   </v>
      </c>
      <c r="N6727">
        <v>1</v>
      </c>
      <c r="O6727">
        <v>1400</v>
      </c>
    </row>
    <row r="6728" spans="1:15" x14ac:dyDescent="0.25">
      <c r="A6728" t="str">
        <f>"10/21/2020 19:01:18.258"</f>
        <v>10/21/2020 19:01:18.258</v>
      </c>
      <c r="B6728" t="str">
        <f>"19:01:26.234"</f>
        <v>19:01:26.234</v>
      </c>
      <c r="C6728" t="str">
        <f>"19:01:25.934"</f>
        <v>19:01:25.934</v>
      </c>
      <c r="D6728" t="s">
        <v>2792</v>
      </c>
      <c r="E6728">
        <v>30.494827999999998</v>
      </c>
      <c r="F6728" t="s">
        <v>2793</v>
      </c>
      <c r="G6728">
        <v>-89.821579</v>
      </c>
      <c r="H6728">
        <v>1400</v>
      </c>
      <c r="I6728">
        <v>54</v>
      </c>
      <c r="J6728">
        <v>-157</v>
      </c>
      <c r="K6728">
        <v>-576</v>
      </c>
      <c r="L6728">
        <v>1200</v>
      </c>
      <c r="M6728" t="str">
        <f t="shared" si="731"/>
        <v xml:space="preserve">N35DC   </v>
      </c>
      <c r="N6728">
        <v>1</v>
      </c>
      <c r="O6728">
        <v>1400</v>
      </c>
    </row>
    <row r="6729" spans="1:15" x14ac:dyDescent="0.25">
      <c r="A6729" t="str">
        <f>"10/21/2020 19:01:18.258"</f>
        <v>10/21/2020 19:01:18.258</v>
      </c>
      <c r="B6729" t="str">
        <f>"19:01:26.234"</f>
        <v>19:01:26.234</v>
      </c>
      <c r="C6729" t="str">
        <f>"19:01:25.934"</f>
        <v>19:01:25.934</v>
      </c>
      <c r="D6729" t="s">
        <v>2792</v>
      </c>
      <c r="E6729">
        <v>30.494827999999998</v>
      </c>
      <c r="F6729" t="s">
        <v>2793</v>
      </c>
      <c r="G6729">
        <v>-89.821579</v>
      </c>
      <c r="H6729">
        <v>1400</v>
      </c>
      <c r="I6729">
        <v>54</v>
      </c>
      <c r="J6729">
        <v>-157</v>
      </c>
      <c r="K6729">
        <v>-576</v>
      </c>
      <c r="L6729">
        <v>1200</v>
      </c>
      <c r="M6729" t="str">
        <f t="shared" si="731"/>
        <v xml:space="preserve">N35DC   </v>
      </c>
      <c r="N6729">
        <v>1</v>
      </c>
      <c r="O6729">
        <v>1400</v>
      </c>
    </row>
    <row r="6730" spans="1:15" x14ac:dyDescent="0.25">
      <c r="A6730" t="str">
        <f>"10/21/2020 19:01:20.472"</f>
        <v>10/21/2020 19:01:20.472</v>
      </c>
      <c r="B6730" t="str">
        <f t="shared" ref="B6730:C6734" si="732">"19:01:28.391"</f>
        <v>19:01:28.391</v>
      </c>
      <c r="C6730" t="str">
        <f t="shared" si="732"/>
        <v>19:01:28.391</v>
      </c>
      <c r="D6730" t="s">
        <v>2794</v>
      </c>
      <c r="E6730">
        <v>30.49324</v>
      </c>
      <c r="F6730" t="s">
        <v>2795</v>
      </c>
      <c r="G6730">
        <v>-89.820936000000003</v>
      </c>
      <c r="H6730">
        <v>1300</v>
      </c>
      <c r="I6730">
        <v>56</v>
      </c>
      <c r="J6730">
        <v>-156</v>
      </c>
      <c r="K6730">
        <v>-512</v>
      </c>
      <c r="L6730">
        <v>1200</v>
      </c>
      <c r="M6730" t="str">
        <f t="shared" si="731"/>
        <v xml:space="preserve">N35DC   </v>
      </c>
      <c r="N6730">
        <v>1</v>
      </c>
      <c r="O6730">
        <v>1475</v>
      </c>
    </row>
    <row r="6731" spans="1:15" x14ac:dyDescent="0.25">
      <c r="A6731" t="str">
        <f>"10/21/2020 19:01:20.472"</f>
        <v>10/21/2020 19:01:20.472</v>
      </c>
      <c r="B6731" t="str">
        <f t="shared" si="732"/>
        <v>19:01:28.391</v>
      </c>
      <c r="C6731" t="str">
        <f t="shared" si="732"/>
        <v>19:01:28.391</v>
      </c>
      <c r="D6731" t="s">
        <v>2794</v>
      </c>
      <c r="E6731">
        <v>30.49324</v>
      </c>
      <c r="F6731" t="s">
        <v>2795</v>
      </c>
      <c r="G6731">
        <v>-89.820936000000003</v>
      </c>
      <c r="H6731">
        <v>1300</v>
      </c>
      <c r="I6731">
        <v>56</v>
      </c>
      <c r="J6731">
        <v>-156</v>
      </c>
      <c r="K6731">
        <v>-512</v>
      </c>
      <c r="L6731">
        <v>1200</v>
      </c>
      <c r="M6731" t="str">
        <f t="shared" si="731"/>
        <v xml:space="preserve">N35DC   </v>
      </c>
      <c r="N6731">
        <v>1</v>
      </c>
      <c r="O6731">
        <v>1475</v>
      </c>
    </row>
    <row r="6732" spans="1:15" x14ac:dyDescent="0.25">
      <c r="A6732" t="str">
        <f>"10/21/2020 19:01:20.472"</f>
        <v>10/21/2020 19:01:20.472</v>
      </c>
      <c r="B6732" t="str">
        <f t="shared" si="732"/>
        <v>19:01:28.391</v>
      </c>
      <c r="C6732" t="str">
        <f t="shared" si="732"/>
        <v>19:01:28.391</v>
      </c>
      <c r="D6732" t="s">
        <v>2794</v>
      </c>
      <c r="E6732">
        <v>30.49324</v>
      </c>
      <c r="F6732" t="s">
        <v>2795</v>
      </c>
      <c r="G6732">
        <v>-89.820936000000003</v>
      </c>
      <c r="H6732">
        <v>1300</v>
      </c>
      <c r="I6732">
        <v>56</v>
      </c>
      <c r="J6732">
        <v>-156</v>
      </c>
      <c r="K6732">
        <v>-512</v>
      </c>
      <c r="L6732">
        <v>1200</v>
      </c>
      <c r="M6732" t="str">
        <f t="shared" si="731"/>
        <v xml:space="preserve">N35DC   </v>
      </c>
      <c r="N6732">
        <v>1</v>
      </c>
      <c r="O6732">
        <v>1475</v>
      </c>
    </row>
    <row r="6733" spans="1:15" x14ac:dyDescent="0.25">
      <c r="A6733" t="str">
        <f>"10/21/2020 19:01:20.472"</f>
        <v>10/21/2020 19:01:20.472</v>
      </c>
      <c r="B6733" t="str">
        <f t="shared" si="732"/>
        <v>19:01:28.391</v>
      </c>
      <c r="C6733" t="str">
        <f t="shared" si="732"/>
        <v>19:01:28.391</v>
      </c>
      <c r="D6733" t="s">
        <v>2794</v>
      </c>
      <c r="E6733">
        <v>30.49324</v>
      </c>
      <c r="F6733" t="s">
        <v>2795</v>
      </c>
      <c r="G6733">
        <v>-89.820936000000003</v>
      </c>
      <c r="H6733">
        <v>1300</v>
      </c>
      <c r="I6733">
        <v>56</v>
      </c>
      <c r="J6733">
        <v>-156</v>
      </c>
      <c r="K6733">
        <v>-512</v>
      </c>
      <c r="L6733">
        <v>1200</v>
      </c>
      <c r="M6733" t="str">
        <f t="shared" si="731"/>
        <v xml:space="preserve">N35DC   </v>
      </c>
      <c r="N6733">
        <v>1</v>
      </c>
      <c r="O6733">
        <v>1475</v>
      </c>
    </row>
    <row r="6734" spans="1:15" x14ac:dyDescent="0.25">
      <c r="A6734" t="str">
        <f>"10/21/2020 19:01:20.472"</f>
        <v>10/21/2020 19:01:20.472</v>
      </c>
      <c r="B6734" t="str">
        <f t="shared" si="732"/>
        <v>19:01:28.391</v>
      </c>
      <c r="C6734" t="str">
        <f t="shared" si="732"/>
        <v>19:01:28.391</v>
      </c>
      <c r="D6734" t="s">
        <v>2794</v>
      </c>
      <c r="E6734">
        <v>30.49324</v>
      </c>
      <c r="F6734" t="s">
        <v>2795</v>
      </c>
      <c r="G6734">
        <v>-89.820936000000003</v>
      </c>
      <c r="H6734">
        <v>1300</v>
      </c>
      <c r="I6734">
        <v>56</v>
      </c>
      <c r="J6734">
        <v>-156</v>
      </c>
      <c r="K6734">
        <v>-512</v>
      </c>
      <c r="L6734">
        <v>1200</v>
      </c>
      <c r="M6734" t="str">
        <f t="shared" si="731"/>
        <v xml:space="preserve">N35DC   </v>
      </c>
      <c r="N6734">
        <v>1</v>
      </c>
      <c r="O6734">
        <v>1475</v>
      </c>
    </row>
    <row r="6735" spans="1:15" x14ac:dyDescent="0.25">
      <c r="A6735" t="str">
        <f>"10/21/2020 19:01:21.488"</f>
        <v>10/21/2020 19:01:21.488</v>
      </c>
      <c r="B6735" t="str">
        <f>"19:01:29.461"</f>
        <v>19:01:29.461</v>
      </c>
      <c r="C6735" t="str">
        <f>"19:01:28.961"</f>
        <v>19:01:28.961</v>
      </c>
      <c r="D6735" t="s">
        <v>2796</v>
      </c>
      <c r="E6735">
        <v>30.492511</v>
      </c>
      <c r="F6735" t="s">
        <v>2797</v>
      </c>
      <c r="G6735">
        <v>-89.820592000000005</v>
      </c>
      <c r="H6735">
        <v>1300</v>
      </c>
      <c r="I6735">
        <v>57</v>
      </c>
      <c r="J6735">
        <v>-155</v>
      </c>
      <c r="K6735">
        <v>-512</v>
      </c>
      <c r="L6735">
        <v>1200</v>
      </c>
      <c r="M6735" t="str">
        <f t="shared" si="731"/>
        <v xml:space="preserve">N35DC   </v>
      </c>
      <c r="N6735">
        <v>1</v>
      </c>
      <c r="O6735">
        <v>1375</v>
      </c>
    </row>
    <row r="6736" spans="1:15" x14ac:dyDescent="0.25">
      <c r="A6736" t="str">
        <f>"10/21/2020 19:01:21.488"</f>
        <v>10/21/2020 19:01:21.488</v>
      </c>
      <c r="B6736" t="str">
        <f>"19:01:29.461"</f>
        <v>19:01:29.461</v>
      </c>
      <c r="C6736" t="str">
        <f>"19:01:28.961"</f>
        <v>19:01:28.961</v>
      </c>
      <c r="D6736" t="s">
        <v>2796</v>
      </c>
      <c r="E6736">
        <v>30.492511</v>
      </c>
      <c r="F6736" t="s">
        <v>2797</v>
      </c>
      <c r="G6736">
        <v>-89.820592000000005</v>
      </c>
      <c r="H6736">
        <v>1300</v>
      </c>
      <c r="I6736">
        <v>57</v>
      </c>
      <c r="J6736">
        <v>-155</v>
      </c>
      <c r="K6736">
        <v>-512</v>
      </c>
      <c r="L6736">
        <v>1200</v>
      </c>
      <c r="M6736" t="str">
        <f t="shared" si="731"/>
        <v xml:space="preserve">N35DC   </v>
      </c>
      <c r="N6736">
        <v>1</v>
      </c>
      <c r="O6736">
        <v>1375</v>
      </c>
    </row>
    <row r="6737" spans="1:15" x14ac:dyDescent="0.25">
      <c r="A6737" t="str">
        <f>"10/21/2020 19:01:21.488"</f>
        <v>10/21/2020 19:01:21.488</v>
      </c>
      <c r="B6737" t="str">
        <f>"19:01:29.461"</f>
        <v>19:01:29.461</v>
      </c>
      <c r="C6737" t="str">
        <f>"19:01:28.961"</f>
        <v>19:01:28.961</v>
      </c>
      <c r="D6737" t="s">
        <v>2796</v>
      </c>
      <c r="E6737">
        <v>30.492511</v>
      </c>
      <c r="F6737" t="s">
        <v>2797</v>
      </c>
      <c r="G6737">
        <v>-89.820592000000005</v>
      </c>
      <c r="H6737">
        <v>1300</v>
      </c>
      <c r="I6737">
        <v>57</v>
      </c>
      <c r="J6737">
        <v>-155</v>
      </c>
      <c r="K6737">
        <v>-512</v>
      </c>
      <c r="L6737">
        <v>1200</v>
      </c>
      <c r="M6737" t="str">
        <f t="shared" si="731"/>
        <v xml:space="preserve">N35DC   </v>
      </c>
      <c r="N6737">
        <v>1</v>
      </c>
      <c r="O6737">
        <v>1375</v>
      </c>
    </row>
    <row r="6738" spans="1:15" x14ac:dyDescent="0.25">
      <c r="A6738" t="str">
        <f>"10/21/2020 19:01:21.488"</f>
        <v>10/21/2020 19:01:21.488</v>
      </c>
      <c r="B6738" t="str">
        <f>"19:01:29.461"</f>
        <v>19:01:29.461</v>
      </c>
      <c r="C6738" t="str">
        <f>"19:01:28.961"</f>
        <v>19:01:28.961</v>
      </c>
      <c r="D6738" t="s">
        <v>2796</v>
      </c>
      <c r="E6738">
        <v>30.492511</v>
      </c>
      <c r="F6738" t="s">
        <v>2797</v>
      </c>
      <c r="G6738">
        <v>-89.820592000000005</v>
      </c>
      <c r="H6738">
        <v>1300</v>
      </c>
      <c r="I6738">
        <v>57</v>
      </c>
      <c r="J6738">
        <v>-155</v>
      </c>
      <c r="K6738">
        <v>-512</v>
      </c>
      <c r="L6738">
        <v>1200</v>
      </c>
      <c r="M6738" t="str">
        <f t="shared" si="731"/>
        <v xml:space="preserve">N35DC   </v>
      </c>
      <c r="N6738">
        <v>1</v>
      </c>
      <c r="O6738">
        <v>1375</v>
      </c>
    </row>
    <row r="6739" spans="1:15" x14ac:dyDescent="0.25">
      <c r="A6739" t="str">
        <f>"10/21/2020 19:01:21.488"</f>
        <v>10/21/2020 19:01:21.488</v>
      </c>
      <c r="B6739" t="str">
        <f>"19:01:29.461"</f>
        <v>19:01:29.461</v>
      </c>
      <c r="C6739" t="str">
        <f>"19:01:28.961"</f>
        <v>19:01:28.961</v>
      </c>
      <c r="D6739" t="s">
        <v>2796</v>
      </c>
      <c r="E6739">
        <v>30.492511</v>
      </c>
      <c r="F6739" t="s">
        <v>2797</v>
      </c>
      <c r="G6739">
        <v>-89.820592000000005</v>
      </c>
      <c r="H6739">
        <v>1300</v>
      </c>
      <c r="I6739">
        <v>57</v>
      </c>
      <c r="J6739">
        <v>-155</v>
      </c>
      <c r="K6739">
        <v>-512</v>
      </c>
      <c r="L6739">
        <v>1200</v>
      </c>
      <c r="M6739" t="str">
        <f t="shared" si="731"/>
        <v xml:space="preserve">N35DC   </v>
      </c>
      <c r="N6739">
        <v>1</v>
      </c>
      <c r="O6739">
        <v>1375</v>
      </c>
    </row>
    <row r="6740" spans="1:15" x14ac:dyDescent="0.25">
      <c r="A6740" t="str">
        <f>"10/21/2020 19:01:24.320"</f>
        <v>10/21/2020 19:01:24.320</v>
      </c>
      <c r="B6740" t="str">
        <f>"19:01:32.281"</f>
        <v>19:01:32.281</v>
      </c>
      <c r="C6740" t="str">
        <f>"19:01:31.781"</f>
        <v>19:01:31.781</v>
      </c>
      <c r="D6740" t="s">
        <v>2798</v>
      </c>
      <c r="E6740">
        <v>30.490451</v>
      </c>
      <c r="F6740" t="s">
        <v>2799</v>
      </c>
      <c r="G6740">
        <v>-89.819712999999993</v>
      </c>
      <c r="H6740">
        <v>1300</v>
      </c>
      <c r="I6740">
        <v>59</v>
      </c>
      <c r="J6740">
        <v>-154</v>
      </c>
      <c r="K6740">
        <v>-448</v>
      </c>
      <c r="L6740">
        <v>1200</v>
      </c>
      <c r="M6740" t="str">
        <f t="shared" si="731"/>
        <v xml:space="preserve">N35DC   </v>
      </c>
      <c r="N6740">
        <v>1</v>
      </c>
      <c r="O6740">
        <v>1350</v>
      </c>
    </row>
    <row r="6741" spans="1:15" x14ac:dyDescent="0.25">
      <c r="A6741" t="str">
        <f>"10/21/2020 19:01:24.320"</f>
        <v>10/21/2020 19:01:24.320</v>
      </c>
      <c r="B6741" t="str">
        <f>"19:01:32.281"</f>
        <v>19:01:32.281</v>
      </c>
      <c r="C6741" t="str">
        <f>"19:01:31.781"</f>
        <v>19:01:31.781</v>
      </c>
      <c r="D6741" t="s">
        <v>2798</v>
      </c>
      <c r="E6741">
        <v>30.490451</v>
      </c>
      <c r="F6741" t="s">
        <v>2799</v>
      </c>
      <c r="G6741">
        <v>-89.819712999999993</v>
      </c>
      <c r="H6741">
        <v>1300</v>
      </c>
      <c r="I6741">
        <v>59</v>
      </c>
      <c r="J6741">
        <v>-154</v>
      </c>
      <c r="K6741">
        <v>-448</v>
      </c>
      <c r="L6741">
        <v>1200</v>
      </c>
      <c r="M6741" t="str">
        <f t="shared" si="731"/>
        <v xml:space="preserve">N35DC   </v>
      </c>
      <c r="N6741">
        <v>1</v>
      </c>
      <c r="O6741">
        <v>1350</v>
      </c>
    </row>
    <row r="6742" spans="1:15" x14ac:dyDescent="0.25">
      <c r="A6742" t="str">
        <f>"10/21/2020 19:01:24.320"</f>
        <v>10/21/2020 19:01:24.320</v>
      </c>
      <c r="B6742" t="str">
        <f>"19:01:32.281"</f>
        <v>19:01:32.281</v>
      </c>
      <c r="C6742" t="str">
        <f>"19:01:31.781"</f>
        <v>19:01:31.781</v>
      </c>
      <c r="D6742" t="s">
        <v>2798</v>
      </c>
      <c r="E6742">
        <v>30.490451</v>
      </c>
      <c r="F6742" t="s">
        <v>2799</v>
      </c>
      <c r="G6742">
        <v>-89.819712999999993</v>
      </c>
      <c r="H6742">
        <v>1300</v>
      </c>
      <c r="I6742">
        <v>59</v>
      </c>
      <c r="J6742">
        <v>-154</v>
      </c>
      <c r="K6742">
        <v>-448</v>
      </c>
      <c r="L6742">
        <v>1200</v>
      </c>
      <c r="M6742" t="str">
        <f t="shared" si="731"/>
        <v xml:space="preserve">N35DC   </v>
      </c>
      <c r="N6742">
        <v>1</v>
      </c>
      <c r="O6742">
        <v>1350</v>
      </c>
    </row>
    <row r="6743" spans="1:15" x14ac:dyDescent="0.25">
      <c r="A6743" t="str">
        <f>"10/21/2020 19:01:24.320"</f>
        <v>10/21/2020 19:01:24.320</v>
      </c>
      <c r="B6743" t="str">
        <f>"19:01:32.281"</f>
        <v>19:01:32.281</v>
      </c>
      <c r="C6743" t="str">
        <f>"19:01:31.781"</f>
        <v>19:01:31.781</v>
      </c>
      <c r="D6743" t="s">
        <v>2798</v>
      </c>
      <c r="E6743">
        <v>30.490451</v>
      </c>
      <c r="F6743" t="s">
        <v>2799</v>
      </c>
      <c r="G6743">
        <v>-89.819712999999993</v>
      </c>
      <c r="H6743">
        <v>1300</v>
      </c>
      <c r="I6743">
        <v>59</v>
      </c>
      <c r="J6743">
        <v>-154</v>
      </c>
      <c r="K6743">
        <v>-448</v>
      </c>
      <c r="L6743">
        <v>1200</v>
      </c>
      <c r="M6743" t="str">
        <f t="shared" si="731"/>
        <v xml:space="preserve">N35DC   </v>
      </c>
      <c r="N6743">
        <v>1</v>
      </c>
      <c r="O6743">
        <v>1350</v>
      </c>
    </row>
    <row r="6744" spans="1:15" x14ac:dyDescent="0.25">
      <c r="A6744" t="str">
        <f>"10/21/2020 19:01:24.320"</f>
        <v>10/21/2020 19:01:24.320</v>
      </c>
      <c r="B6744" t="str">
        <f>"19:01:32.281"</f>
        <v>19:01:32.281</v>
      </c>
      <c r="C6744" t="str">
        <f>"19:01:31.781"</f>
        <v>19:01:31.781</v>
      </c>
      <c r="D6744" t="s">
        <v>2798</v>
      </c>
      <c r="E6744">
        <v>30.490451</v>
      </c>
      <c r="F6744" t="s">
        <v>2799</v>
      </c>
      <c r="G6744">
        <v>-89.819712999999993</v>
      </c>
      <c r="H6744">
        <v>1300</v>
      </c>
      <c r="I6744">
        <v>59</v>
      </c>
      <c r="J6744">
        <v>-154</v>
      </c>
      <c r="K6744">
        <v>-448</v>
      </c>
      <c r="L6744">
        <v>1200</v>
      </c>
      <c r="M6744" t="str">
        <f t="shared" si="731"/>
        <v xml:space="preserve">N35DC   </v>
      </c>
      <c r="N6744">
        <v>1</v>
      </c>
      <c r="O6744">
        <v>1350</v>
      </c>
    </row>
    <row r="6745" spans="1:15" x14ac:dyDescent="0.25">
      <c r="A6745" t="str">
        <f>"10/21/2020 19:01:27.286"</f>
        <v>10/21/2020 19:01:27.286</v>
      </c>
      <c r="B6745" t="str">
        <f t="shared" ref="B6745:C6749" si="733">"19:01:35.250"</f>
        <v>19:01:35.250</v>
      </c>
      <c r="C6745" t="str">
        <f t="shared" si="733"/>
        <v>19:01:35.250</v>
      </c>
      <c r="D6745" t="s">
        <v>2800</v>
      </c>
      <c r="E6745">
        <v>30.488391</v>
      </c>
      <c r="F6745" t="s">
        <v>2801</v>
      </c>
      <c r="G6745">
        <v>-89.818725999999998</v>
      </c>
      <c r="H6745">
        <v>1300</v>
      </c>
      <c r="I6745">
        <v>61</v>
      </c>
      <c r="J6745">
        <v>-152</v>
      </c>
      <c r="K6745">
        <v>-448</v>
      </c>
      <c r="L6745">
        <v>1200</v>
      </c>
      <c r="M6745" t="str">
        <f t="shared" si="731"/>
        <v xml:space="preserve">N35DC   </v>
      </c>
      <c r="N6745">
        <v>1</v>
      </c>
      <c r="O6745">
        <v>1325</v>
      </c>
    </row>
    <row r="6746" spans="1:15" x14ac:dyDescent="0.25">
      <c r="A6746" t="str">
        <f>"10/21/2020 19:01:27.286"</f>
        <v>10/21/2020 19:01:27.286</v>
      </c>
      <c r="B6746" t="str">
        <f t="shared" si="733"/>
        <v>19:01:35.250</v>
      </c>
      <c r="C6746" t="str">
        <f t="shared" si="733"/>
        <v>19:01:35.250</v>
      </c>
      <c r="D6746" t="s">
        <v>2800</v>
      </c>
      <c r="E6746">
        <v>30.488391</v>
      </c>
      <c r="F6746" t="s">
        <v>2801</v>
      </c>
      <c r="G6746">
        <v>-89.818725999999998</v>
      </c>
      <c r="H6746">
        <v>1300</v>
      </c>
      <c r="I6746">
        <v>61</v>
      </c>
      <c r="J6746">
        <v>-152</v>
      </c>
      <c r="K6746">
        <v>-448</v>
      </c>
      <c r="L6746">
        <v>1200</v>
      </c>
      <c r="M6746" t="str">
        <f t="shared" si="731"/>
        <v xml:space="preserve">N35DC   </v>
      </c>
      <c r="N6746">
        <v>1</v>
      </c>
      <c r="O6746">
        <v>1325</v>
      </c>
    </row>
    <row r="6747" spans="1:15" x14ac:dyDescent="0.25">
      <c r="A6747" t="str">
        <f>"10/21/2020 19:01:27.286"</f>
        <v>10/21/2020 19:01:27.286</v>
      </c>
      <c r="B6747" t="str">
        <f t="shared" si="733"/>
        <v>19:01:35.250</v>
      </c>
      <c r="C6747" t="str">
        <f t="shared" si="733"/>
        <v>19:01:35.250</v>
      </c>
      <c r="D6747" t="s">
        <v>2800</v>
      </c>
      <c r="E6747">
        <v>30.488391</v>
      </c>
      <c r="F6747" t="s">
        <v>2801</v>
      </c>
      <c r="G6747">
        <v>-89.818725999999998</v>
      </c>
      <c r="H6747">
        <v>1300</v>
      </c>
      <c r="I6747">
        <v>61</v>
      </c>
      <c r="J6747">
        <v>-152</v>
      </c>
      <c r="K6747">
        <v>-448</v>
      </c>
      <c r="L6747">
        <v>1200</v>
      </c>
      <c r="M6747" t="str">
        <f t="shared" si="731"/>
        <v xml:space="preserve">N35DC   </v>
      </c>
      <c r="N6747">
        <v>1</v>
      </c>
      <c r="O6747">
        <v>1325</v>
      </c>
    </row>
    <row r="6748" spans="1:15" x14ac:dyDescent="0.25">
      <c r="A6748" t="str">
        <f>"10/21/2020 19:01:27.286"</f>
        <v>10/21/2020 19:01:27.286</v>
      </c>
      <c r="B6748" t="str">
        <f t="shared" si="733"/>
        <v>19:01:35.250</v>
      </c>
      <c r="C6748" t="str">
        <f t="shared" si="733"/>
        <v>19:01:35.250</v>
      </c>
      <c r="D6748" t="s">
        <v>2800</v>
      </c>
      <c r="E6748">
        <v>30.488391</v>
      </c>
      <c r="F6748" t="s">
        <v>2801</v>
      </c>
      <c r="G6748">
        <v>-89.818725999999998</v>
      </c>
      <c r="H6748">
        <v>1300</v>
      </c>
      <c r="I6748">
        <v>61</v>
      </c>
      <c r="J6748">
        <v>-152</v>
      </c>
      <c r="K6748">
        <v>-448</v>
      </c>
      <c r="L6748">
        <v>1200</v>
      </c>
      <c r="M6748" t="str">
        <f t="shared" si="731"/>
        <v xml:space="preserve">N35DC   </v>
      </c>
      <c r="N6748">
        <v>1</v>
      </c>
      <c r="O6748">
        <v>1325</v>
      </c>
    </row>
    <row r="6749" spans="1:15" x14ac:dyDescent="0.25">
      <c r="A6749" t="str">
        <f>"10/21/2020 19:01:27.286"</f>
        <v>10/21/2020 19:01:27.286</v>
      </c>
      <c r="B6749" t="str">
        <f t="shared" si="733"/>
        <v>19:01:35.250</v>
      </c>
      <c r="C6749" t="str">
        <f t="shared" si="733"/>
        <v>19:01:35.250</v>
      </c>
      <c r="D6749" t="s">
        <v>2800</v>
      </c>
      <c r="E6749">
        <v>30.488391</v>
      </c>
      <c r="F6749" t="s">
        <v>2801</v>
      </c>
      <c r="G6749">
        <v>-89.818725999999998</v>
      </c>
      <c r="H6749">
        <v>1300</v>
      </c>
      <c r="I6749">
        <v>61</v>
      </c>
      <c r="J6749">
        <v>-152</v>
      </c>
      <c r="K6749">
        <v>-448</v>
      </c>
      <c r="L6749">
        <v>1200</v>
      </c>
      <c r="M6749" t="str">
        <f t="shared" si="731"/>
        <v xml:space="preserve">N35DC   </v>
      </c>
      <c r="N6749">
        <v>1</v>
      </c>
      <c r="O6749">
        <v>1325</v>
      </c>
    </row>
    <row r="6750" spans="1:15" x14ac:dyDescent="0.25">
      <c r="A6750" t="str">
        <f>"10/21/2020 19:01:28.238"</f>
        <v>10/21/2020 19:01:28.238</v>
      </c>
      <c r="B6750" t="str">
        <f>"19:01:36.195"</f>
        <v>19:01:36.195</v>
      </c>
      <c r="C6750" t="str">
        <f>"19:01:35.795"</f>
        <v>19:01:35.795</v>
      </c>
      <c r="D6750" t="s">
        <v>2802</v>
      </c>
      <c r="E6750">
        <v>30.487704000000001</v>
      </c>
      <c r="F6750" t="s">
        <v>53</v>
      </c>
      <c r="G6750">
        <v>-89.818404000000001</v>
      </c>
      <c r="H6750">
        <v>1300</v>
      </c>
      <c r="I6750">
        <v>61</v>
      </c>
      <c r="J6750">
        <v>-152</v>
      </c>
      <c r="K6750">
        <v>-512</v>
      </c>
      <c r="L6750">
        <v>1200</v>
      </c>
      <c r="M6750" t="str">
        <f t="shared" si="731"/>
        <v xml:space="preserve">N35DC   </v>
      </c>
      <c r="N6750">
        <v>1</v>
      </c>
      <c r="O6750">
        <v>1325</v>
      </c>
    </row>
    <row r="6751" spans="1:15" x14ac:dyDescent="0.25">
      <c r="A6751" t="str">
        <f>"10/21/2020 19:01:28.238"</f>
        <v>10/21/2020 19:01:28.238</v>
      </c>
      <c r="B6751" t="str">
        <f>"19:01:36.195"</f>
        <v>19:01:36.195</v>
      </c>
      <c r="C6751" t="str">
        <f>"19:01:35.795"</f>
        <v>19:01:35.795</v>
      </c>
      <c r="D6751" t="s">
        <v>2802</v>
      </c>
      <c r="E6751">
        <v>30.487704000000001</v>
      </c>
      <c r="F6751" t="s">
        <v>53</v>
      </c>
      <c r="G6751">
        <v>-89.818404000000001</v>
      </c>
      <c r="H6751">
        <v>1300</v>
      </c>
      <c r="I6751">
        <v>61</v>
      </c>
      <c r="J6751">
        <v>-152</v>
      </c>
      <c r="K6751">
        <v>-512</v>
      </c>
      <c r="L6751">
        <v>1200</v>
      </c>
      <c r="M6751" t="str">
        <f t="shared" si="731"/>
        <v xml:space="preserve">N35DC   </v>
      </c>
      <c r="N6751">
        <v>1</v>
      </c>
      <c r="O6751">
        <v>1325</v>
      </c>
    </row>
    <row r="6752" spans="1:15" x14ac:dyDescent="0.25">
      <c r="A6752" t="str">
        <f>"10/21/2020 19:01:28.238"</f>
        <v>10/21/2020 19:01:28.238</v>
      </c>
      <c r="B6752" t="str">
        <f>"19:01:36.195"</f>
        <v>19:01:36.195</v>
      </c>
      <c r="C6752" t="str">
        <f>"19:01:35.795"</f>
        <v>19:01:35.795</v>
      </c>
      <c r="D6752" t="s">
        <v>2802</v>
      </c>
      <c r="E6752">
        <v>30.487704000000001</v>
      </c>
      <c r="F6752" t="s">
        <v>53</v>
      </c>
      <c r="G6752">
        <v>-89.818404000000001</v>
      </c>
      <c r="H6752">
        <v>1300</v>
      </c>
      <c r="I6752">
        <v>61</v>
      </c>
      <c r="J6752">
        <v>-152</v>
      </c>
      <c r="K6752">
        <v>-512</v>
      </c>
      <c r="L6752">
        <v>1200</v>
      </c>
      <c r="M6752" t="str">
        <f t="shared" si="731"/>
        <v xml:space="preserve">N35DC   </v>
      </c>
      <c r="N6752">
        <v>1</v>
      </c>
      <c r="O6752">
        <v>1325</v>
      </c>
    </row>
    <row r="6753" spans="1:15" x14ac:dyDescent="0.25">
      <c r="A6753" t="str">
        <f>"10/21/2020 19:01:28.238"</f>
        <v>10/21/2020 19:01:28.238</v>
      </c>
      <c r="B6753" t="str">
        <f>"19:01:36.195"</f>
        <v>19:01:36.195</v>
      </c>
      <c r="C6753" t="str">
        <f>"19:01:35.795"</f>
        <v>19:01:35.795</v>
      </c>
      <c r="D6753" t="s">
        <v>2802</v>
      </c>
      <c r="E6753">
        <v>30.487704000000001</v>
      </c>
      <c r="F6753" t="s">
        <v>53</v>
      </c>
      <c r="G6753">
        <v>-89.818404000000001</v>
      </c>
      <c r="H6753">
        <v>1300</v>
      </c>
      <c r="I6753">
        <v>61</v>
      </c>
      <c r="J6753">
        <v>-152</v>
      </c>
      <c r="K6753">
        <v>-512</v>
      </c>
      <c r="L6753">
        <v>1200</v>
      </c>
      <c r="M6753" t="str">
        <f t="shared" si="731"/>
        <v xml:space="preserve">N35DC   </v>
      </c>
      <c r="N6753">
        <v>1</v>
      </c>
      <c r="O6753">
        <v>1325</v>
      </c>
    </row>
    <row r="6754" spans="1:15" x14ac:dyDescent="0.25">
      <c r="A6754" t="str">
        <f>"10/21/2020 19:01:28.238"</f>
        <v>10/21/2020 19:01:28.238</v>
      </c>
      <c r="B6754" t="str">
        <f>"19:01:36.195"</f>
        <v>19:01:36.195</v>
      </c>
      <c r="C6754" t="str">
        <f>"19:01:35.795"</f>
        <v>19:01:35.795</v>
      </c>
      <c r="D6754" t="s">
        <v>2802</v>
      </c>
      <c r="E6754">
        <v>30.487704000000001</v>
      </c>
      <c r="F6754" t="s">
        <v>53</v>
      </c>
      <c r="G6754">
        <v>-89.818404000000001</v>
      </c>
      <c r="H6754">
        <v>1300</v>
      </c>
      <c r="I6754">
        <v>61</v>
      </c>
      <c r="J6754">
        <v>-152</v>
      </c>
      <c r="K6754">
        <v>-512</v>
      </c>
      <c r="L6754">
        <v>1200</v>
      </c>
      <c r="M6754" t="str">
        <f t="shared" si="731"/>
        <v xml:space="preserve">N35DC   </v>
      </c>
      <c r="N6754">
        <v>1</v>
      </c>
      <c r="O6754">
        <v>1325</v>
      </c>
    </row>
    <row r="6755" spans="1:15" x14ac:dyDescent="0.25">
      <c r="A6755" t="str">
        <f>"10/21/2020 19:01:30.320"</f>
        <v>10/21/2020 19:01:30.320</v>
      </c>
      <c r="B6755" t="str">
        <f>"19:01:38.266"</f>
        <v>19:01:38.266</v>
      </c>
      <c r="C6755" t="str">
        <f>"19:01:37.866"</f>
        <v>19:01:37.866</v>
      </c>
      <c r="D6755" t="s">
        <v>2803</v>
      </c>
      <c r="E6755">
        <v>30.486224</v>
      </c>
      <c r="F6755" t="s">
        <v>2804</v>
      </c>
      <c r="G6755">
        <v>-89.817780999999997</v>
      </c>
      <c r="H6755">
        <v>1300</v>
      </c>
      <c r="I6755">
        <v>59</v>
      </c>
      <c r="J6755">
        <v>-153</v>
      </c>
      <c r="K6755">
        <v>-576</v>
      </c>
      <c r="L6755">
        <v>1200</v>
      </c>
      <c r="M6755" t="str">
        <f t="shared" si="731"/>
        <v xml:space="preserve">N35DC   </v>
      </c>
      <c r="N6755">
        <v>1</v>
      </c>
      <c r="O6755">
        <v>1325</v>
      </c>
    </row>
    <row r="6756" spans="1:15" x14ac:dyDescent="0.25">
      <c r="A6756" t="str">
        <f>"10/21/2020 19:01:30.320"</f>
        <v>10/21/2020 19:01:30.320</v>
      </c>
      <c r="B6756" t="str">
        <f>"19:01:38.266"</f>
        <v>19:01:38.266</v>
      </c>
      <c r="C6756" t="str">
        <f>"19:01:37.866"</f>
        <v>19:01:37.866</v>
      </c>
      <c r="D6756" t="s">
        <v>2803</v>
      </c>
      <c r="E6756">
        <v>30.486224</v>
      </c>
      <c r="F6756" t="s">
        <v>2804</v>
      </c>
      <c r="G6756">
        <v>-89.817780999999997</v>
      </c>
      <c r="H6756">
        <v>1300</v>
      </c>
      <c r="I6756">
        <v>59</v>
      </c>
      <c r="J6756">
        <v>-153</v>
      </c>
      <c r="K6756">
        <v>-576</v>
      </c>
      <c r="L6756">
        <v>1200</v>
      </c>
      <c r="M6756" t="str">
        <f t="shared" si="731"/>
        <v xml:space="preserve">N35DC   </v>
      </c>
      <c r="N6756">
        <v>1</v>
      </c>
      <c r="O6756">
        <v>1325</v>
      </c>
    </row>
    <row r="6757" spans="1:15" x14ac:dyDescent="0.25">
      <c r="A6757" t="str">
        <f>"10/21/2020 19:01:30.320"</f>
        <v>10/21/2020 19:01:30.320</v>
      </c>
      <c r="B6757" t="str">
        <f>"19:01:38.266"</f>
        <v>19:01:38.266</v>
      </c>
      <c r="C6757" t="str">
        <f>"19:01:37.866"</f>
        <v>19:01:37.866</v>
      </c>
      <c r="D6757" t="s">
        <v>2803</v>
      </c>
      <c r="E6757">
        <v>30.486224</v>
      </c>
      <c r="F6757" t="s">
        <v>2804</v>
      </c>
      <c r="G6757">
        <v>-89.817780999999997</v>
      </c>
      <c r="H6757">
        <v>1300</v>
      </c>
      <c r="I6757">
        <v>59</v>
      </c>
      <c r="J6757">
        <v>-153</v>
      </c>
      <c r="K6757">
        <v>-576</v>
      </c>
      <c r="L6757">
        <v>1200</v>
      </c>
      <c r="M6757" t="str">
        <f t="shared" si="731"/>
        <v xml:space="preserve">N35DC   </v>
      </c>
      <c r="N6757">
        <v>1</v>
      </c>
      <c r="O6757">
        <v>1325</v>
      </c>
    </row>
    <row r="6758" spans="1:15" x14ac:dyDescent="0.25">
      <c r="A6758" t="str">
        <f>"10/21/2020 19:01:30.320"</f>
        <v>10/21/2020 19:01:30.320</v>
      </c>
      <c r="B6758" t="str">
        <f>"19:01:38.266"</f>
        <v>19:01:38.266</v>
      </c>
      <c r="C6758" t="str">
        <f>"19:01:37.866"</f>
        <v>19:01:37.866</v>
      </c>
      <c r="D6758" t="s">
        <v>2803</v>
      </c>
      <c r="E6758">
        <v>30.486224</v>
      </c>
      <c r="F6758" t="s">
        <v>2804</v>
      </c>
      <c r="G6758">
        <v>-89.817780999999997</v>
      </c>
      <c r="H6758">
        <v>1300</v>
      </c>
      <c r="I6758">
        <v>59</v>
      </c>
      <c r="J6758">
        <v>-153</v>
      </c>
      <c r="K6758">
        <v>-576</v>
      </c>
      <c r="L6758">
        <v>1200</v>
      </c>
      <c r="M6758" t="str">
        <f t="shared" si="731"/>
        <v xml:space="preserve">N35DC   </v>
      </c>
      <c r="N6758">
        <v>1</v>
      </c>
      <c r="O6758">
        <v>1325</v>
      </c>
    </row>
    <row r="6759" spans="1:15" x14ac:dyDescent="0.25">
      <c r="A6759" t="str">
        <f>"10/21/2020 19:01:30.320"</f>
        <v>10/21/2020 19:01:30.320</v>
      </c>
      <c r="B6759" t="str">
        <f>"19:01:38.266"</f>
        <v>19:01:38.266</v>
      </c>
      <c r="C6759" t="str">
        <f>"19:01:37.866"</f>
        <v>19:01:37.866</v>
      </c>
      <c r="D6759" t="s">
        <v>2803</v>
      </c>
      <c r="E6759">
        <v>30.486224</v>
      </c>
      <c r="F6759" t="s">
        <v>2804</v>
      </c>
      <c r="G6759">
        <v>-89.817780999999997</v>
      </c>
      <c r="H6759">
        <v>1300</v>
      </c>
      <c r="I6759">
        <v>59</v>
      </c>
      <c r="J6759">
        <v>-153</v>
      </c>
      <c r="K6759">
        <v>-576</v>
      </c>
      <c r="L6759">
        <v>1200</v>
      </c>
      <c r="M6759" t="str">
        <f t="shared" si="731"/>
        <v xml:space="preserve">N35DC   </v>
      </c>
      <c r="N6759">
        <v>1</v>
      </c>
      <c r="O6759">
        <v>1325</v>
      </c>
    </row>
    <row r="6760" spans="1:15" x14ac:dyDescent="0.25">
      <c r="A6760" t="str">
        <f>"10/21/2020 19:01:31.230"</f>
        <v>10/21/2020 19:01:31.230</v>
      </c>
      <c r="B6760" t="str">
        <f>"19:01:39.195"</f>
        <v>19:01:39.195</v>
      </c>
      <c r="C6760" t="str">
        <f>"19:01:38.895"</f>
        <v>19:01:38.895</v>
      </c>
      <c r="D6760" t="s">
        <v>2805</v>
      </c>
      <c r="E6760">
        <v>30.485558999999999</v>
      </c>
      <c r="F6760" t="s">
        <v>2806</v>
      </c>
      <c r="G6760">
        <v>-89.817481000000001</v>
      </c>
      <c r="H6760">
        <v>1300</v>
      </c>
      <c r="I6760">
        <v>59</v>
      </c>
      <c r="J6760">
        <v>-153</v>
      </c>
      <c r="K6760">
        <v>-576</v>
      </c>
      <c r="L6760">
        <v>1200</v>
      </c>
      <c r="M6760" t="str">
        <f t="shared" si="731"/>
        <v xml:space="preserve">N35DC   </v>
      </c>
      <c r="N6760">
        <v>1</v>
      </c>
      <c r="O6760">
        <v>1300</v>
      </c>
    </row>
    <row r="6761" spans="1:15" x14ac:dyDescent="0.25">
      <c r="A6761" t="str">
        <f>"10/21/2020 19:01:31.230"</f>
        <v>10/21/2020 19:01:31.230</v>
      </c>
      <c r="B6761" t="str">
        <f>"19:01:39.195"</f>
        <v>19:01:39.195</v>
      </c>
      <c r="C6761" t="str">
        <f>"19:01:38.895"</f>
        <v>19:01:38.895</v>
      </c>
      <c r="D6761" t="s">
        <v>2805</v>
      </c>
      <c r="E6761">
        <v>30.485558999999999</v>
      </c>
      <c r="F6761" t="s">
        <v>2806</v>
      </c>
      <c r="G6761">
        <v>-89.817481000000001</v>
      </c>
      <c r="H6761">
        <v>1300</v>
      </c>
      <c r="I6761">
        <v>59</v>
      </c>
      <c r="J6761">
        <v>-153</v>
      </c>
      <c r="K6761">
        <v>-576</v>
      </c>
      <c r="L6761">
        <v>1200</v>
      </c>
      <c r="M6761" t="str">
        <f t="shared" si="731"/>
        <v xml:space="preserve">N35DC   </v>
      </c>
      <c r="N6761">
        <v>1</v>
      </c>
      <c r="O6761">
        <v>1300</v>
      </c>
    </row>
    <row r="6762" spans="1:15" x14ac:dyDescent="0.25">
      <c r="A6762" t="str">
        <f>"10/21/2020 19:01:31.230"</f>
        <v>10/21/2020 19:01:31.230</v>
      </c>
      <c r="B6762" t="str">
        <f>"19:01:39.195"</f>
        <v>19:01:39.195</v>
      </c>
      <c r="C6762" t="str">
        <f>"19:01:38.895"</f>
        <v>19:01:38.895</v>
      </c>
      <c r="D6762" t="s">
        <v>2805</v>
      </c>
      <c r="E6762">
        <v>30.485558999999999</v>
      </c>
      <c r="F6762" t="s">
        <v>2806</v>
      </c>
      <c r="G6762">
        <v>-89.817481000000001</v>
      </c>
      <c r="H6762">
        <v>1300</v>
      </c>
      <c r="I6762">
        <v>59</v>
      </c>
      <c r="J6762">
        <v>-153</v>
      </c>
      <c r="K6762">
        <v>-576</v>
      </c>
      <c r="L6762">
        <v>1200</v>
      </c>
      <c r="M6762" t="str">
        <f t="shared" si="731"/>
        <v xml:space="preserve">N35DC   </v>
      </c>
      <c r="N6762">
        <v>1</v>
      </c>
      <c r="O6762">
        <v>1300</v>
      </c>
    </row>
    <row r="6763" spans="1:15" x14ac:dyDescent="0.25">
      <c r="A6763" t="str">
        <f>"10/21/2020 19:01:31.230"</f>
        <v>10/21/2020 19:01:31.230</v>
      </c>
      <c r="B6763" t="str">
        <f>"19:01:39.195"</f>
        <v>19:01:39.195</v>
      </c>
      <c r="C6763" t="str">
        <f>"19:01:38.895"</f>
        <v>19:01:38.895</v>
      </c>
      <c r="D6763" t="s">
        <v>2805</v>
      </c>
      <c r="E6763">
        <v>30.485558999999999</v>
      </c>
      <c r="F6763" t="s">
        <v>2806</v>
      </c>
      <c r="G6763">
        <v>-89.817481000000001</v>
      </c>
      <c r="H6763">
        <v>1300</v>
      </c>
      <c r="I6763">
        <v>59</v>
      </c>
      <c r="J6763">
        <v>-153</v>
      </c>
      <c r="K6763">
        <v>-576</v>
      </c>
      <c r="L6763">
        <v>1200</v>
      </c>
      <c r="M6763" t="str">
        <f t="shared" si="731"/>
        <v xml:space="preserve">N35DC   </v>
      </c>
      <c r="N6763">
        <v>1</v>
      </c>
      <c r="O6763">
        <v>1300</v>
      </c>
    </row>
    <row r="6764" spans="1:15" x14ac:dyDescent="0.25">
      <c r="A6764" t="str">
        <f>"10/21/2020 19:01:31.230"</f>
        <v>10/21/2020 19:01:31.230</v>
      </c>
      <c r="B6764" t="str">
        <f>"19:01:39.195"</f>
        <v>19:01:39.195</v>
      </c>
      <c r="C6764" t="str">
        <f>"19:01:38.895"</f>
        <v>19:01:38.895</v>
      </c>
      <c r="D6764" t="s">
        <v>2805</v>
      </c>
      <c r="E6764">
        <v>30.485558999999999</v>
      </c>
      <c r="F6764" t="s">
        <v>2806</v>
      </c>
      <c r="G6764">
        <v>-89.817481000000001</v>
      </c>
      <c r="H6764">
        <v>1300</v>
      </c>
      <c r="I6764">
        <v>59</v>
      </c>
      <c r="J6764">
        <v>-153</v>
      </c>
      <c r="K6764">
        <v>-576</v>
      </c>
      <c r="L6764">
        <v>1200</v>
      </c>
      <c r="M6764" t="str">
        <f t="shared" si="731"/>
        <v xml:space="preserve">N35DC   </v>
      </c>
      <c r="N6764">
        <v>1</v>
      </c>
      <c r="O6764">
        <v>1300</v>
      </c>
    </row>
    <row r="6765" spans="1:15" x14ac:dyDescent="0.25">
      <c r="A6765" t="str">
        <f>"10/21/2020 19:01:33.455"</f>
        <v>10/21/2020 19:01:33.455</v>
      </c>
      <c r="B6765" t="str">
        <f t="shared" ref="B6765:C6769" si="734">"19:01:41.430"</f>
        <v>19:01:41.430</v>
      </c>
      <c r="C6765" t="str">
        <f t="shared" si="734"/>
        <v>19:01:41.430</v>
      </c>
      <c r="D6765" t="s">
        <v>2807</v>
      </c>
      <c r="E6765">
        <v>30.483992000000001</v>
      </c>
      <c r="F6765" t="s">
        <v>2808</v>
      </c>
      <c r="G6765">
        <v>-89.816750999999996</v>
      </c>
      <c r="H6765">
        <v>1300</v>
      </c>
      <c r="I6765">
        <v>57</v>
      </c>
      <c r="J6765">
        <v>-153</v>
      </c>
      <c r="K6765">
        <v>-576</v>
      </c>
      <c r="L6765">
        <v>1200</v>
      </c>
      <c r="M6765" t="str">
        <f t="shared" si="731"/>
        <v xml:space="preserve">N35DC   </v>
      </c>
      <c r="N6765">
        <v>1</v>
      </c>
      <c r="O6765">
        <v>1375</v>
      </c>
    </row>
    <row r="6766" spans="1:15" x14ac:dyDescent="0.25">
      <c r="A6766" t="str">
        <f>"10/21/2020 19:01:33.455"</f>
        <v>10/21/2020 19:01:33.455</v>
      </c>
      <c r="B6766" t="str">
        <f t="shared" si="734"/>
        <v>19:01:41.430</v>
      </c>
      <c r="C6766" t="str">
        <f t="shared" si="734"/>
        <v>19:01:41.430</v>
      </c>
      <c r="D6766" t="s">
        <v>2807</v>
      </c>
      <c r="E6766">
        <v>30.483992000000001</v>
      </c>
      <c r="F6766" t="s">
        <v>2808</v>
      </c>
      <c r="G6766">
        <v>-89.816750999999996</v>
      </c>
      <c r="H6766">
        <v>1300</v>
      </c>
      <c r="I6766">
        <v>57</v>
      </c>
      <c r="J6766">
        <v>-153</v>
      </c>
      <c r="K6766">
        <v>-576</v>
      </c>
      <c r="L6766">
        <v>1200</v>
      </c>
      <c r="M6766" t="str">
        <f t="shared" si="731"/>
        <v xml:space="preserve">N35DC   </v>
      </c>
      <c r="N6766">
        <v>1</v>
      </c>
      <c r="O6766">
        <v>1375</v>
      </c>
    </row>
    <row r="6767" spans="1:15" x14ac:dyDescent="0.25">
      <c r="A6767" t="str">
        <f>"10/21/2020 19:01:33.455"</f>
        <v>10/21/2020 19:01:33.455</v>
      </c>
      <c r="B6767" t="str">
        <f t="shared" si="734"/>
        <v>19:01:41.430</v>
      </c>
      <c r="C6767" t="str">
        <f t="shared" si="734"/>
        <v>19:01:41.430</v>
      </c>
      <c r="D6767" t="s">
        <v>2807</v>
      </c>
      <c r="E6767">
        <v>30.483992000000001</v>
      </c>
      <c r="F6767" t="s">
        <v>2808</v>
      </c>
      <c r="G6767">
        <v>-89.816750999999996</v>
      </c>
      <c r="H6767">
        <v>1300</v>
      </c>
      <c r="I6767">
        <v>57</v>
      </c>
      <c r="J6767">
        <v>-153</v>
      </c>
      <c r="K6767">
        <v>-576</v>
      </c>
      <c r="L6767">
        <v>1200</v>
      </c>
      <c r="M6767" t="str">
        <f t="shared" si="731"/>
        <v xml:space="preserve">N35DC   </v>
      </c>
      <c r="N6767">
        <v>1</v>
      </c>
      <c r="O6767">
        <v>1375</v>
      </c>
    </row>
    <row r="6768" spans="1:15" x14ac:dyDescent="0.25">
      <c r="A6768" t="str">
        <f>"10/21/2020 19:01:33.455"</f>
        <v>10/21/2020 19:01:33.455</v>
      </c>
      <c r="B6768" t="str">
        <f t="shared" si="734"/>
        <v>19:01:41.430</v>
      </c>
      <c r="C6768" t="str">
        <f t="shared" si="734"/>
        <v>19:01:41.430</v>
      </c>
      <c r="D6768" t="s">
        <v>2807</v>
      </c>
      <c r="E6768">
        <v>30.483992000000001</v>
      </c>
      <c r="F6768" t="s">
        <v>2808</v>
      </c>
      <c r="G6768">
        <v>-89.816750999999996</v>
      </c>
      <c r="H6768">
        <v>1300</v>
      </c>
      <c r="I6768">
        <v>57</v>
      </c>
      <c r="J6768">
        <v>-153</v>
      </c>
      <c r="K6768">
        <v>-576</v>
      </c>
      <c r="L6768">
        <v>1200</v>
      </c>
      <c r="M6768" t="str">
        <f t="shared" si="731"/>
        <v xml:space="preserve">N35DC   </v>
      </c>
      <c r="N6768">
        <v>1</v>
      </c>
      <c r="O6768">
        <v>1375</v>
      </c>
    </row>
    <row r="6769" spans="1:15" x14ac:dyDescent="0.25">
      <c r="A6769" t="str">
        <f>"10/21/2020 19:01:33.455"</f>
        <v>10/21/2020 19:01:33.455</v>
      </c>
      <c r="B6769" t="str">
        <f t="shared" si="734"/>
        <v>19:01:41.430</v>
      </c>
      <c r="C6769" t="str">
        <f t="shared" si="734"/>
        <v>19:01:41.430</v>
      </c>
      <c r="D6769" t="s">
        <v>2807</v>
      </c>
      <c r="E6769">
        <v>30.483992000000001</v>
      </c>
      <c r="F6769" t="s">
        <v>2808</v>
      </c>
      <c r="G6769">
        <v>-89.816750999999996</v>
      </c>
      <c r="H6769">
        <v>1300</v>
      </c>
      <c r="I6769">
        <v>57</v>
      </c>
      <c r="J6769">
        <v>-153</v>
      </c>
      <c r="K6769">
        <v>-576</v>
      </c>
      <c r="L6769">
        <v>1200</v>
      </c>
      <c r="M6769" t="str">
        <f t="shared" si="731"/>
        <v xml:space="preserve">N35DC   </v>
      </c>
      <c r="N6769">
        <v>1</v>
      </c>
      <c r="O6769">
        <v>1375</v>
      </c>
    </row>
    <row r="6770" spans="1:15" x14ac:dyDescent="0.25">
      <c r="A6770" t="str">
        <f>"10/21/2020 19:01:34.620"</f>
        <v>10/21/2020 19:01:34.620</v>
      </c>
      <c r="B6770" t="str">
        <f>"19:01:42.570"</f>
        <v>19:01:42.570</v>
      </c>
      <c r="C6770" t="str">
        <f>"19:01:42.470"</f>
        <v>19:01:42.470</v>
      </c>
      <c r="D6770" t="s">
        <v>2809</v>
      </c>
      <c r="E6770">
        <v>30.483177000000001</v>
      </c>
      <c r="F6770" t="s">
        <v>2810</v>
      </c>
      <c r="G6770">
        <v>-89.816473000000002</v>
      </c>
      <c r="H6770">
        <v>1200</v>
      </c>
      <c r="I6770">
        <v>56</v>
      </c>
      <c r="J6770">
        <v>-154</v>
      </c>
      <c r="K6770">
        <v>-704</v>
      </c>
      <c r="L6770">
        <v>1200</v>
      </c>
      <c r="M6770" t="str">
        <f t="shared" si="731"/>
        <v xml:space="preserve">N35DC   </v>
      </c>
      <c r="N6770">
        <v>1</v>
      </c>
      <c r="O6770">
        <v>1275</v>
      </c>
    </row>
    <row r="6771" spans="1:15" x14ac:dyDescent="0.25">
      <c r="A6771" t="str">
        <f>"10/21/2020 19:01:34.620"</f>
        <v>10/21/2020 19:01:34.620</v>
      </c>
      <c r="B6771" t="str">
        <f>"19:01:42.570"</f>
        <v>19:01:42.570</v>
      </c>
      <c r="C6771" t="str">
        <f>"19:01:42.470"</f>
        <v>19:01:42.470</v>
      </c>
      <c r="D6771" t="s">
        <v>2809</v>
      </c>
      <c r="E6771">
        <v>30.483177000000001</v>
      </c>
      <c r="F6771" t="s">
        <v>2810</v>
      </c>
      <c r="G6771">
        <v>-89.816473000000002</v>
      </c>
      <c r="H6771">
        <v>1200</v>
      </c>
      <c r="I6771">
        <v>56</v>
      </c>
      <c r="J6771">
        <v>-154</v>
      </c>
      <c r="K6771">
        <v>-704</v>
      </c>
      <c r="L6771">
        <v>1200</v>
      </c>
      <c r="M6771" t="str">
        <f t="shared" si="731"/>
        <v xml:space="preserve">N35DC   </v>
      </c>
      <c r="N6771">
        <v>1</v>
      </c>
      <c r="O6771">
        <v>1275</v>
      </c>
    </row>
    <row r="6772" spans="1:15" x14ac:dyDescent="0.25">
      <c r="A6772" t="str">
        <f>"10/21/2020 19:01:34.620"</f>
        <v>10/21/2020 19:01:34.620</v>
      </c>
      <c r="B6772" t="str">
        <f>"19:01:42.570"</f>
        <v>19:01:42.570</v>
      </c>
      <c r="C6772" t="str">
        <f>"19:01:42.470"</f>
        <v>19:01:42.470</v>
      </c>
      <c r="D6772" t="s">
        <v>2809</v>
      </c>
      <c r="E6772">
        <v>30.483177000000001</v>
      </c>
      <c r="F6772" t="s">
        <v>2810</v>
      </c>
      <c r="G6772">
        <v>-89.816473000000002</v>
      </c>
      <c r="H6772">
        <v>1200</v>
      </c>
      <c r="I6772">
        <v>56</v>
      </c>
      <c r="J6772">
        <v>-154</v>
      </c>
      <c r="K6772">
        <v>-704</v>
      </c>
      <c r="L6772">
        <v>1200</v>
      </c>
      <c r="M6772" t="str">
        <f t="shared" si="731"/>
        <v xml:space="preserve">N35DC   </v>
      </c>
      <c r="N6772">
        <v>1</v>
      </c>
      <c r="O6772">
        <v>1275</v>
      </c>
    </row>
    <row r="6773" spans="1:15" x14ac:dyDescent="0.25">
      <c r="A6773" t="str">
        <f>"10/21/2020 19:01:34.620"</f>
        <v>10/21/2020 19:01:34.620</v>
      </c>
      <c r="B6773" t="str">
        <f>"19:01:42.570"</f>
        <v>19:01:42.570</v>
      </c>
      <c r="C6773" t="str">
        <f>"19:01:42.470"</f>
        <v>19:01:42.470</v>
      </c>
      <c r="D6773" t="s">
        <v>2809</v>
      </c>
      <c r="E6773">
        <v>30.483177000000001</v>
      </c>
      <c r="F6773" t="s">
        <v>2810</v>
      </c>
      <c r="G6773">
        <v>-89.816473000000002</v>
      </c>
      <c r="H6773">
        <v>1200</v>
      </c>
      <c r="I6773">
        <v>56</v>
      </c>
      <c r="J6773">
        <v>-154</v>
      </c>
      <c r="K6773">
        <v>-704</v>
      </c>
      <c r="L6773">
        <v>1200</v>
      </c>
      <c r="M6773" t="str">
        <f t="shared" si="731"/>
        <v xml:space="preserve">N35DC   </v>
      </c>
      <c r="N6773">
        <v>1</v>
      </c>
      <c r="O6773">
        <v>1275</v>
      </c>
    </row>
    <row r="6774" spans="1:15" x14ac:dyDescent="0.25">
      <c r="A6774" t="str">
        <f>"10/21/2020 19:01:34.620"</f>
        <v>10/21/2020 19:01:34.620</v>
      </c>
      <c r="B6774" t="str">
        <f>"19:01:42.570"</f>
        <v>19:01:42.570</v>
      </c>
      <c r="C6774" t="str">
        <f>"19:01:42.470"</f>
        <v>19:01:42.470</v>
      </c>
      <c r="D6774" t="s">
        <v>2809</v>
      </c>
      <c r="E6774">
        <v>30.483177000000001</v>
      </c>
      <c r="F6774" t="s">
        <v>2810</v>
      </c>
      <c r="G6774">
        <v>-89.816473000000002</v>
      </c>
      <c r="H6774">
        <v>1200</v>
      </c>
      <c r="I6774">
        <v>56</v>
      </c>
      <c r="J6774">
        <v>-154</v>
      </c>
      <c r="K6774">
        <v>-704</v>
      </c>
      <c r="L6774">
        <v>1200</v>
      </c>
      <c r="M6774" t="str">
        <f t="shared" si="731"/>
        <v xml:space="preserve">N35DC   </v>
      </c>
      <c r="N6774">
        <v>1</v>
      </c>
      <c r="O6774">
        <v>1275</v>
      </c>
    </row>
    <row r="6775" spans="1:15" x14ac:dyDescent="0.25">
      <c r="A6775" t="str">
        <f>"10/21/2020 19:01:37.398"</f>
        <v>10/21/2020 19:01:37.398</v>
      </c>
      <c r="B6775" t="str">
        <f>"19:01:45.344"</f>
        <v>19:01:45.344</v>
      </c>
      <c r="C6775" t="str">
        <f>"19:01:45.044"</f>
        <v>19:01:45.044</v>
      </c>
      <c r="D6775" t="s">
        <v>2811</v>
      </c>
      <c r="E6775">
        <v>30.481159999999999</v>
      </c>
      <c r="F6775" t="s">
        <v>384</v>
      </c>
      <c r="G6775">
        <v>-89.815657000000002</v>
      </c>
      <c r="H6775">
        <v>1200</v>
      </c>
      <c r="I6775">
        <v>54</v>
      </c>
      <c r="J6775">
        <v>-155</v>
      </c>
      <c r="K6775">
        <v>-640</v>
      </c>
      <c r="L6775">
        <v>1200</v>
      </c>
      <c r="M6775" t="str">
        <f t="shared" si="731"/>
        <v xml:space="preserve">N35DC   </v>
      </c>
      <c r="N6775">
        <v>1</v>
      </c>
      <c r="O6775">
        <v>1250</v>
      </c>
    </row>
    <row r="6776" spans="1:15" x14ac:dyDescent="0.25">
      <c r="A6776" t="str">
        <f>"10/21/2020 19:01:37.398"</f>
        <v>10/21/2020 19:01:37.398</v>
      </c>
      <c r="B6776" t="str">
        <f>"19:01:45.344"</f>
        <v>19:01:45.344</v>
      </c>
      <c r="C6776" t="str">
        <f>"19:01:45.044"</f>
        <v>19:01:45.044</v>
      </c>
      <c r="D6776" t="s">
        <v>2811</v>
      </c>
      <c r="E6776">
        <v>30.481159999999999</v>
      </c>
      <c r="F6776" t="s">
        <v>384</v>
      </c>
      <c r="G6776">
        <v>-89.815657000000002</v>
      </c>
      <c r="H6776">
        <v>1200</v>
      </c>
      <c r="I6776">
        <v>54</v>
      </c>
      <c r="J6776">
        <v>-155</v>
      </c>
      <c r="K6776">
        <v>-640</v>
      </c>
      <c r="L6776">
        <v>1200</v>
      </c>
      <c r="M6776" t="str">
        <f t="shared" si="731"/>
        <v xml:space="preserve">N35DC   </v>
      </c>
      <c r="N6776">
        <v>1</v>
      </c>
      <c r="O6776">
        <v>1250</v>
      </c>
    </row>
    <row r="6777" spans="1:15" x14ac:dyDescent="0.25">
      <c r="A6777" t="str">
        <f>"10/21/2020 19:01:37.398"</f>
        <v>10/21/2020 19:01:37.398</v>
      </c>
      <c r="B6777" t="str">
        <f>"19:01:45.344"</f>
        <v>19:01:45.344</v>
      </c>
      <c r="C6777" t="str">
        <f>"19:01:45.044"</f>
        <v>19:01:45.044</v>
      </c>
      <c r="D6777" t="s">
        <v>2811</v>
      </c>
      <c r="E6777">
        <v>30.481159999999999</v>
      </c>
      <c r="F6777" t="s">
        <v>384</v>
      </c>
      <c r="G6777">
        <v>-89.815657000000002</v>
      </c>
      <c r="H6777">
        <v>1200</v>
      </c>
      <c r="I6777">
        <v>54</v>
      </c>
      <c r="J6777">
        <v>-155</v>
      </c>
      <c r="K6777">
        <v>-640</v>
      </c>
      <c r="L6777">
        <v>1200</v>
      </c>
      <c r="M6777" t="str">
        <f t="shared" si="731"/>
        <v xml:space="preserve">N35DC   </v>
      </c>
      <c r="N6777">
        <v>1</v>
      </c>
      <c r="O6777">
        <v>1250</v>
      </c>
    </row>
    <row r="6778" spans="1:15" x14ac:dyDescent="0.25">
      <c r="A6778" t="str">
        <f>"10/21/2020 19:01:37.398"</f>
        <v>10/21/2020 19:01:37.398</v>
      </c>
      <c r="B6778" t="str">
        <f>"19:01:45.344"</f>
        <v>19:01:45.344</v>
      </c>
      <c r="C6778" t="str">
        <f>"19:01:45.044"</f>
        <v>19:01:45.044</v>
      </c>
      <c r="D6778" t="s">
        <v>2811</v>
      </c>
      <c r="E6778">
        <v>30.481159999999999</v>
      </c>
      <c r="F6778" t="s">
        <v>384</v>
      </c>
      <c r="G6778">
        <v>-89.815657000000002</v>
      </c>
      <c r="H6778">
        <v>1200</v>
      </c>
      <c r="I6778">
        <v>54</v>
      </c>
      <c r="J6778">
        <v>-155</v>
      </c>
      <c r="K6778">
        <v>-640</v>
      </c>
      <c r="L6778">
        <v>1200</v>
      </c>
      <c r="M6778" t="str">
        <f t="shared" si="731"/>
        <v xml:space="preserve">N35DC   </v>
      </c>
      <c r="N6778">
        <v>1</v>
      </c>
      <c r="O6778">
        <v>1250</v>
      </c>
    </row>
    <row r="6779" spans="1:15" x14ac:dyDescent="0.25">
      <c r="A6779" t="str">
        <f>"10/21/2020 19:01:37.398"</f>
        <v>10/21/2020 19:01:37.398</v>
      </c>
      <c r="B6779" t="str">
        <f>"19:01:45.344"</f>
        <v>19:01:45.344</v>
      </c>
      <c r="C6779" t="str">
        <f>"19:01:45.044"</f>
        <v>19:01:45.044</v>
      </c>
      <c r="D6779" t="s">
        <v>2811</v>
      </c>
      <c r="E6779">
        <v>30.481159999999999</v>
      </c>
      <c r="F6779" t="s">
        <v>384</v>
      </c>
      <c r="G6779">
        <v>-89.815657000000002</v>
      </c>
      <c r="H6779">
        <v>1200</v>
      </c>
      <c r="I6779">
        <v>54</v>
      </c>
      <c r="J6779">
        <v>-155</v>
      </c>
      <c r="K6779">
        <v>-640</v>
      </c>
      <c r="L6779">
        <v>1200</v>
      </c>
      <c r="M6779" t="str">
        <f t="shared" si="731"/>
        <v xml:space="preserve">N35DC   </v>
      </c>
      <c r="N6779">
        <v>1</v>
      </c>
      <c r="O6779">
        <v>1250</v>
      </c>
    </row>
    <row r="6780" spans="1:15" x14ac:dyDescent="0.25">
      <c r="A6780" t="str">
        <f>"10/21/2020 19:01:38.407"</f>
        <v>10/21/2020 19:01:38.407</v>
      </c>
      <c r="B6780" t="str">
        <f>"19:01:46.328"</f>
        <v>19:01:46.328</v>
      </c>
      <c r="C6780" t="str">
        <f>"19:01:46.028"</f>
        <v>19:01:46.028</v>
      </c>
      <c r="D6780" t="s">
        <v>2812</v>
      </c>
      <c r="E6780">
        <v>30.480452</v>
      </c>
      <c r="F6780" t="s">
        <v>2813</v>
      </c>
      <c r="G6780">
        <v>-89.815377999999995</v>
      </c>
      <c r="H6780">
        <v>1200</v>
      </c>
      <c r="I6780">
        <v>52</v>
      </c>
      <c r="J6780">
        <v>-156</v>
      </c>
      <c r="K6780">
        <v>-640</v>
      </c>
      <c r="L6780">
        <v>1200</v>
      </c>
      <c r="M6780" t="str">
        <f t="shared" si="731"/>
        <v xml:space="preserve">N35DC   </v>
      </c>
      <c r="N6780">
        <v>1</v>
      </c>
      <c r="O6780">
        <v>1225</v>
      </c>
    </row>
    <row r="6781" spans="1:15" x14ac:dyDescent="0.25">
      <c r="A6781" t="str">
        <f>"10/21/2020 19:01:38.407"</f>
        <v>10/21/2020 19:01:38.407</v>
      </c>
      <c r="B6781" t="str">
        <f>"19:01:46.328"</f>
        <v>19:01:46.328</v>
      </c>
      <c r="C6781" t="str">
        <f>"19:01:46.028"</f>
        <v>19:01:46.028</v>
      </c>
      <c r="D6781" t="s">
        <v>2812</v>
      </c>
      <c r="E6781">
        <v>30.480452</v>
      </c>
      <c r="F6781" t="s">
        <v>2813</v>
      </c>
      <c r="G6781">
        <v>-89.815377999999995</v>
      </c>
      <c r="H6781">
        <v>1200</v>
      </c>
      <c r="I6781">
        <v>52</v>
      </c>
      <c r="J6781">
        <v>-156</v>
      </c>
      <c r="K6781">
        <v>-640</v>
      </c>
      <c r="L6781">
        <v>1200</v>
      </c>
      <c r="M6781" t="str">
        <f t="shared" si="731"/>
        <v xml:space="preserve">N35DC   </v>
      </c>
      <c r="N6781">
        <v>1</v>
      </c>
      <c r="O6781">
        <v>1225</v>
      </c>
    </row>
    <row r="6782" spans="1:15" x14ac:dyDescent="0.25">
      <c r="A6782" t="str">
        <f>"10/21/2020 19:01:38.407"</f>
        <v>10/21/2020 19:01:38.407</v>
      </c>
      <c r="B6782" t="str">
        <f>"19:01:46.328"</f>
        <v>19:01:46.328</v>
      </c>
      <c r="C6782" t="str">
        <f>"19:01:46.028"</f>
        <v>19:01:46.028</v>
      </c>
      <c r="D6782" t="s">
        <v>2812</v>
      </c>
      <c r="E6782">
        <v>30.480452</v>
      </c>
      <c r="F6782" t="s">
        <v>2813</v>
      </c>
      <c r="G6782">
        <v>-89.815377999999995</v>
      </c>
      <c r="H6782">
        <v>1200</v>
      </c>
      <c r="I6782">
        <v>52</v>
      </c>
      <c r="J6782">
        <v>-156</v>
      </c>
      <c r="K6782">
        <v>-640</v>
      </c>
      <c r="L6782">
        <v>1200</v>
      </c>
      <c r="M6782" t="str">
        <f t="shared" si="731"/>
        <v xml:space="preserve">N35DC   </v>
      </c>
      <c r="N6782">
        <v>1</v>
      </c>
      <c r="O6782">
        <v>1225</v>
      </c>
    </row>
    <row r="6783" spans="1:15" x14ac:dyDescent="0.25">
      <c r="A6783" t="str">
        <f>"10/21/2020 19:01:38.407"</f>
        <v>10/21/2020 19:01:38.407</v>
      </c>
      <c r="B6783" t="str">
        <f>"19:01:46.328"</f>
        <v>19:01:46.328</v>
      </c>
      <c r="C6783" t="str">
        <f>"19:01:46.028"</f>
        <v>19:01:46.028</v>
      </c>
      <c r="D6783" t="s">
        <v>2812</v>
      </c>
      <c r="E6783">
        <v>30.480452</v>
      </c>
      <c r="F6783" t="s">
        <v>2813</v>
      </c>
      <c r="G6783">
        <v>-89.815377999999995</v>
      </c>
      <c r="H6783">
        <v>1200</v>
      </c>
      <c r="I6783">
        <v>52</v>
      </c>
      <c r="J6783">
        <v>-156</v>
      </c>
      <c r="K6783">
        <v>-640</v>
      </c>
      <c r="L6783">
        <v>1200</v>
      </c>
      <c r="M6783" t="str">
        <f t="shared" si="731"/>
        <v xml:space="preserve">N35DC   </v>
      </c>
      <c r="N6783">
        <v>1</v>
      </c>
      <c r="O6783">
        <v>1225</v>
      </c>
    </row>
    <row r="6784" spans="1:15" x14ac:dyDescent="0.25">
      <c r="A6784" t="str">
        <f>"10/21/2020 19:01:38.407"</f>
        <v>10/21/2020 19:01:38.407</v>
      </c>
      <c r="B6784" t="str">
        <f>"19:01:46.328"</f>
        <v>19:01:46.328</v>
      </c>
      <c r="C6784" t="str">
        <f>"19:01:46.028"</f>
        <v>19:01:46.028</v>
      </c>
      <c r="D6784" t="s">
        <v>2812</v>
      </c>
      <c r="E6784">
        <v>30.480452</v>
      </c>
      <c r="F6784" t="s">
        <v>2813</v>
      </c>
      <c r="G6784">
        <v>-89.815377999999995</v>
      </c>
      <c r="H6784">
        <v>1200</v>
      </c>
      <c r="I6784">
        <v>52</v>
      </c>
      <c r="J6784">
        <v>-156</v>
      </c>
      <c r="K6784">
        <v>-640</v>
      </c>
      <c r="L6784">
        <v>1200</v>
      </c>
      <c r="M6784" t="str">
        <f t="shared" si="731"/>
        <v xml:space="preserve">N35DC   </v>
      </c>
      <c r="N6784">
        <v>1</v>
      </c>
      <c r="O6784">
        <v>1225</v>
      </c>
    </row>
    <row r="6785" spans="1:15" x14ac:dyDescent="0.25">
      <c r="A6785" t="str">
        <f>"10/21/2020 19:01:41.240"</f>
        <v>10/21/2020 19:01:41.240</v>
      </c>
      <c r="B6785" t="str">
        <f>"19:01:49.195"</f>
        <v>19:01:49.195</v>
      </c>
      <c r="C6785" t="str">
        <f>"19:01:48.995"</f>
        <v>19:01:48.995</v>
      </c>
      <c r="D6785" t="s">
        <v>2814</v>
      </c>
      <c r="E6785">
        <v>30.478370000000002</v>
      </c>
      <c r="F6785" t="s">
        <v>2815</v>
      </c>
      <c r="G6785">
        <v>-89.814583999999996</v>
      </c>
      <c r="H6785">
        <v>1200</v>
      </c>
      <c r="I6785">
        <v>49</v>
      </c>
      <c r="J6785">
        <v>-158</v>
      </c>
      <c r="K6785">
        <v>-640</v>
      </c>
      <c r="L6785">
        <v>1200</v>
      </c>
      <c r="M6785" t="str">
        <f t="shared" si="731"/>
        <v xml:space="preserve">N35DC   </v>
      </c>
      <c r="N6785">
        <v>1</v>
      </c>
      <c r="O6785">
        <v>1200</v>
      </c>
    </row>
    <row r="6786" spans="1:15" x14ac:dyDescent="0.25">
      <c r="A6786" t="str">
        <f>"10/21/2020 19:01:41.240"</f>
        <v>10/21/2020 19:01:41.240</v>
      </c>
      <c r="B6786" t="str">
        <f>"19:01:49.195"</f>
        <v>19:01:49.195</v>
      </c>
      <c r="C6786" t="str">
        <f>"19:01:48.995"</f>
        <v>19:01:48.995</v>
      </c>
      <c r="D6786" t="s">
        <v>2814</v>
      </c>
      <c r="E6786">
        <v>30.478370000000002</v>
      </c>
      <c r="F6786" t="s">
        <v>2815</v>
      </c>
      <c r="G6786">
        <v>-89.814583999999996</v>
      </c>
      <c r="H6786">
        <v>1200</v>
      </c>
      <c r="I6786">
        <v>49</v>
      </c>
      <c r="J6786">
        <v>-158</v>
      </c>
      <c r="K6786">
        <v>-640</v>
      </c>
      <c r="L6786">
        <v>1200</v>
      </c>
      <c r="M6786" t="str">
        <f t="shared" si="731"/>
        <v xml:space="preserve">N35DC   </v>
      </c>
      <c r="N6786">
        <v>1</v>
      </c>
      <c r="O6786">
        <v>1200</v>
      </c>
    </row>
    <row r="6787" spans="1:15" x14ac:dyDescent="0.25">
      <c r="A6787" t="str">
        <f>"10/21/2020 19:01:41.240"</f>
        <v>10/21/2020 19:01:41.240</v>
      </c>
      <c r="B6787" t="str">
        <f>"19:01:49.195"</f>
        <v>19:01:49.195</v>
      </c>
      <c r="C6787" t="str">
        <f>"19:01:48.995"</f>
        <v>19:01:48.995</v>
      </c>
      <c r="D6787" t="s">
        <v>2814</v>
      </c>
      <c r="E6787">
        <v>30.478370000000002</v>
      </c>
      <c r="F6787" t="s">
        <v>2815</v>
      </c>
      <c r="G6787">
        <v>-89.814583999999996</v>
      </c>
      <c r="H6787">
        <v>1200</v>
      </c>
      <c r="I6787">
        <v>49</v>
      </c>
      <c r="J6787">
        <v>-158</v>
      </c>
      <c r="K6787">
        <v>-640</v>
      </c>
      <c r="L6787">
        <v>1200</v>
      </c>
      <c r="M6787" t="str">
        <f t="shared" si="731"/>
        <v xml:space="preserve">N35DC   </v>
      </c>
      <c r="N6787">
        <v>1</v>
      </c>
      <c r="O6787">
        <v>1200</v>
      </c>
    </row>
    <row r="6788" spans="1:15" x14ac:dyDescent="0.25">
      <c r="A6788" t="str">
        <f>"10/21/2020 19:01:41.240"</f>
        <v>10/21/2020 19:01:41.240</v>
      </c>
      <c r="B6788" t="str">
        <f>"19:01:49.195"</f>
        <v>19:01:49.195</v>
      </c>
      <c r="C6788" t="str">
        <f>"19:01:48.995"</f>
        <v>19:01:48.995</v>
      </c>
      <c r="D6788" t="s">
        <v>2814</v>
      </c>
      <c r="E6788">
        <v>30.478370000000002</v>
      </c>
      <c r="F6788" t="s">
        <v>2815</v>
      </c>
      <c r="G6788">
        <v>-89.814583999999996</v>
      </c>
      <c r="H6788">
        <v>1200</v>
      </c>
      <c r="I6788">
        <v>49</v>
      </c>
      <c r="J6788">
        <v>-158</v>
      </c>
      <c r="K6788">
        <v>-640</v>
      </c>
      <c r="L6788">
        <v>1200</v>
      </c>
      <c r="M6788" t="str">
        <f t="shared" si="731"/>
        <v xml:space="preserve">N35DC   </v>
      </c>
      <c r="N6788">
        <v>1</v>
      </c>
      <c r="O6788">
        <v>1200</v>
      </c>
    </row>
    <row r="6789" spans="1:15" x14ac:dyDescent="0.25">
      <c r="A6789" t="str">
        <f>"10/21/2020 19:01:41.240"</f>
        <v>10/21/2020 19:01:41.240</v>
      </c>
      <c r="B6789" t="str">
        <f>"19:01:49.195"</f>
        <v>19:01:49.195</v>
      </c>
      <c r="C6789" t="str">
        <f>"19:01:48.995"</f>
        <v>19:01:48.995</v>
      </c>
      <c r="D6789" t="s">
        <v>2814</v>
      </c>
      <c r="E6789">
        <v>30.478370000000002</v>
      </c>
      <c r="F6789" t="s">
        <v>2815</v>
      </c>
      <c r="G6789">
        <v>-89.814583999999996</v>
      </c>
      <c r="H6789">
        <v>1200</v>
      </c>
      <c r="I6789">
        <v>49</v>
      </c>
      <c r="J6789">
        <v>-158</v>
      </c>
      <c r="K6789">
        <v>-640</v>
      </c>
      <c r="L6789">
        <v>1200</v>
      </c>
      <c r="M6789" t="str">
        <f t="shared" si="731"/>
        <v xml:space="preserve">N35DC   </v>
      </c>
      <c r="N6789">
        <v>1</v>
      </c>
      <c r="O6789">
        <v>1200</v>
      </c>
    </row>
    <row r="6790" spans="1:15" x14ac:dyDescent="0.25">
      <c r="A6790" t="str">
        <f>"10/21/2020 19:01:44.376"</f>
        <v>10/21/2020 19:01:44.376</v>
      </c>
      <c r="B6790" t="str">
        <f>"19:01:52.344"</f>
        <v>19:01:52.344</v>
      </c>
      <c r="C6790" t="str">
        <f>"19:01:51.944"</f>
        <v>19:01:51.944</v>
      </c>
      <c r="D6790" t="s">
        <v>2816</v>
      </c>
      <c r="E6790">
        <v>30.476030999999999</v>
      </c>
      <c r="F6790" t="s">
        <v>2817</v>
      </c>
      <c r="G6790">
        <v>-89.813833000000002</v>
      </c>
      <c r="H6790">
        <v>1100</v>
      </c>
      <c r="I6790">
        <v>45</v>
      </c>
      <c r="J6790">
        <v>-161</v>
      </c>
      <c r="K6790">
        <v>-640</v>
      </c>
      <c r="L6790">
        <v>1200</v>
      </c>
      <c r="M6790" t="str">
        <f t="shared" si="731"/>
        <v xml:space="preserve">N35DC   </v>
      </c>
      <c r="N6790">
        <v>1</v>
      </c>
      <c r="O6790">
        <v>1175</v>
      </c>
    </row>
    <row r="6791" spans="1:15" x14ac:dyDescent="0.25">
      <c r="A6791" t="str">
        <f>"10/21/2020 19:01:44.376"</f>
        <v>10/21/2020 19:01:44.376</v>
      </c>
      <c r="B6791" t="str">
        <f>"19:01:52.344"</f>
        <v>19:01:52.344</v>
      </c>
      <c r="C6791" t="str">
        <f>"19:01:51.944"</f>
        <v>19:01:51.944</v>
      </c>
      <c r="D6791" t="s">
        <v>2816</v>
      </c>
      <c r="E6791">
        <v>30.476030999999999</v>
      </c>
      <c r="F6791" t="s">
        <v>2817</v>
      </c>
      <c r="G6791">
        <v>-89.813833000000002</v>
      </c>
      <c r="H6791">
        <v>1100</v>
      </c>
      <c r="I6791">
        <v>45</v>
      </c>
      <c r="J6791">
        <v>-161</v>
      </c>
      <c r="K6791">
        <v>-640</v>
      </c>
      <c r="L6791">
        <v>1200</v>
      </c>
      <c r="M6791" t="str">
        <f t="shared" ref="M6791:M6854" si="735">"N35DC   "</f>
        <v xml:space="preserve">N35DC   </v>
      </c>
      <c r="N6791">
        <v>1</v>
      </c>
      <c r="O6791">
        <v>1175</v>
      </c>
    </row>
    <row r="6792" spans="1:15" x14ac:dyDescent="0.25">
      <c r="A6792" t="str">
        <f>"10/21/2020 19:01:44.376"</f>
        <v>10/21/2020 19:01:44.376</v>
      </c>
      <c r="B6792" t="str">
        <f>"19:01:52.344"</f>
        <v>19:01:52.344</v>
      </c>
      <c r="C6792" t="str">
        <f>"19:01:51.944"</f>
        <v>19:01:51.944</v>
      </c>
      <c r="D6792" t="s">
        <v>2816</v>
      </c>
      <c r="E6792">
        <v>30.476030999999999</v>
      </c>
      <c r="F6792" t="s">
        <v>2817</v>
      </c>
      <c r="G6792">
        <v>-89.813833000000002</v>
      </c>
      <c r="H6792">
        <v>1100</v>
      </c>
      <c r="I6792">
        <v>45</v>
      </c>
      <c r="J6792">
        <v>-161</v>
      </c>
      <c r="K6792">
        <v>-640</v>
      </c>
      <c r="L6792">
        <v>1200</v>
      </c>
      <c r="M6792" t="str">
        <f t="shared" si="735"/>
        <v xml:space="preserve">N35DC   </v>
      </c>
      <c r="N6792">
        <v>1</v>
      </c>
      <c r="O6792">
        <v>1175</v>
      </c>
    </row>
    <row r="6793" spans="1:15" x14ac:dyDescent="0.25">
      <c r="A6793" t="str">
        <f>"10/21/2020 19:01:44.376"</f>
        <v>10/21/2020 19:01:44.376</v>
      </c>
      <c r="B6793" t="str">
        <f>"19:01:52.344"</f>
        <v>19:01:52.344</v>
      </c>
      <c r="C6793" t="str">
        <f>"19:01:51.944"</f>
        <v>19:01:51.944</v>
      </c>
      <c r="D6793" t="s">
        <v>2816</v>
      </c>
      <c r="E6793">
        <v>30.476030999999999</v>
      </c>
      <c r="F6793" t="s">
        <v>2817</v>
      </c>
      <c r="G6793">
        <v>-89.813833000000002</v>
      </c>
      <c r="H6793">
        <v>1100</v>
      </c>
      <c r="I6793">
        <v>45</v>
      </c>
      <c r="J6793">
        <v>-161</v>
      </c>
      <c r="K6793">
        <v>-640</v>
      </c>
      <c r="L6793">
        <v>1200</v>
      </c>
      <c r="M6793" t="str">
        <f t="shared" si="735"/>
        <v xml:space="preserve">N35DC   </v>
      </c>
      <c r="N6793">
        <v>1</v>
      </c>
      <c r="O6793">
        <v>1175</v>
      </c>
    </row>
    <row r="6794" spans="1:15" x14ac:dyDescent="0.25">
      <c r="A6794" t="str">
        <f>"10/21/2020 19:01:44.376"</f>
        <v>10/21/2020 19:01:44.376</v>
      </c>
      <c r="B6794" t="str">
        <f>"19:01:52.344"</f>
        <v>19:01:52.344</v>
      </c>
      <c r="C6794" t="str">
        <f>"19:01:51.944"</f>
        <v>19:01:51.944</v>
      </c>
      <c r="D6794" t="s">
        <v>2816</v>
      </c>
      <c r="E6794">
        <v>30.476030999999999</v>
      </c>
      <c r="F6794" t="s">
        <v>2817</v>
      </c>
      <c r="G6794">
        <v>-89.813833000000002</v>
      </c>
      <c r="H6794">
        <v>1100</v>
      </c>
      <c r="I6794">
        <v>45</v>
      </c>
      <c r="J6794">
        <v>-161</v>
      </c>
      <c r="K6794">
        <v>-640</v>
      </c>
      <c r="L6794">
        <v>1200</v>
      </c>
      <c r="M6794" t="str">
        <f t="shared" si="735"/>
        <v xml:space="preserve">N35DC   </v>
      </c>
      <c r="N6794">
        <v>1</v>
      </c>
      <c r="O6794">
        <v>1175</v>
      </c>
    </row>
    <row r="6795" spans="1:15" x14ac:dyDescent="0.25">
      <c r="A6795" t="str">
        <f>"10/21/2020 19:01:45.491"</f>
        <v>10/21/2020 19:01:45.491</v>
      </c>
      <c r="B6795" t="str">
        <f>"19:01:53.430"</f>
        <v>19:01:53.430</v>
      </c>
      <c r="C6795" t="str">
        <f>"19:01:52.930"</f>
        <v>19:01:52.930</v>
      </c>
      <c r="D6795" t="s">
        <v>2818</v>
      </c>
      <c r="E6795">
        <v>30.475193999999998</v>
      </c>
      <c r="F6795" t="s">
        <v>2341</v>
      </c>
      <c r="G6795">
        <v>-89.813553999999996</v>
      </c>
      <c r="H6795">
        <v>1100</v>
      </c>
      <c r="I6795">
        <v>44</v>
      </c>
      <c r="J6795">
        <v>-161</v>
      </c>
      <c r="K6795">
        <v>-512</v>
      </c>
      <c r="L6795">
        <v>1200</v>
      </c>
      <c r="M6795" t="str">
        <f t="shared" si="735"/>
        <v xml:space="preserve">N35DC   </v>
      </c>
      <c r="N6795">
        <v>1</v>
      </c>
      <c r="O6795">
        <v>1150</v>
      </c>
    </row>
    <row r="6796" spans="1:15" x14ac:dyDescent="0.25">
      <c r="A6796" t="str">
        <f>"10/21/2020 19:01:45.491"</f>
        <v>10/21/2020 19:01:45.491</v>
      </c>
      <c r="B6796" t="str">
        <f>"19:01:53.430"</f>
        <v>19:01:53.430</v>
      </c>
      <c r="C6796" t="str">
        <f>"19:01:52.930"</f>
        <v>19:01:52.930</v>
      </c>
      <c r="D6796" t="s">
        <v>2818</v>
      </c>
      <c r="E6796">
        <v>30.475193999999998</v>
      </c>
      <c r="F6796" t="s">
        <v>2341</v>
      </c>
      <c r="G6796">
        <v>-89.813553999999996</v>
      </c>
      <c r="H6796">
        <v>1100</v>
      </c>
      <c r="I6796">
        <v>44</v>
      </c>
      <c r="J6796">
        <v>-161</v>
      </c>
      <c r="K6796">
        <v>-512</v>
      </c>
      <c r="L6796">
        <v>1200</v>
      </c>
      <c r="M6796" t="str">
        <f t="shared" si="735"/>
        <v xml:space="preserve">N35DC   </v>
      </c>
      <c r="N6796">
        <v>1</v>
      </c>
      <c r="O6796">
        <v>1150</v>
      </c>
    </row>
    <row r="6797" spans="1:15" x14ac:dyDescent="0.25">
      <c r="A6797" t="str">
        <f>"10/21/2020 19:01:45.491"</f>
        <v>10/21/2020 19:01:45.491</v>
      </c>
      <c r="B6797" t="str">
        <f>"19:01:53.430"</f>
        <v>19:01:53.430</v>
      </c>
      <c r="C6797" t="str">
        <f>"19:01:52.930"</f>
        <v>19:01:52.930</v>
      </c>
      <c r="D6797" t="s">
        <v>2818</v>
      </c>
      <c r="E6797">
        <v>30.475193999999998</v>
      </c>
      <c r="F6797" t="s">
        <v>2341</v>
      </c>
      <c r="G6797">
        <v>-89.813553999999996</v>
      </c>
      <c r="H6797">
        <v>1100</v>
      </c>
      <c r="I6797">
        <v>44</v>
      </c>
      <c r="J6797">
        <v>-161</v>
      </c>
      <c r="K6797">
        <v>-512</v>
      </c>
      <c r="L6797">
        <v>1200</v>
      </c>
      <c r="M6797" t="str">
        <f t="shared" si="735"/>
        <v xml:space="preserve">N35DC   </v>
      </c>
      <c r="N6797">
        <v>1</v>
      </c>
      <c r="O6797">
        <v>1150</v>
      </c>
    </row>
    <row r="6798" spans="1:15" x14ac:dyDescent="0.25">
      <c r="A6798" t="str">
        <f>"10/21/2020 19:01:45.491"</f>
        <v>10/21/2020 19:01:45.491</v>
      </c>
      <c r="B6798" t="str">
        <f>"19:01:53.430"</f>
        <v>19:01:53.430</v>
      </c>
      <c r="C6798" t="str">
        <f>"19:01:52.930"</f>
        <v>19:01:52.930</v>
      </c>
      <c r="D6798" t="s">
        <v>2818</v>
      </c>
      <c r="E6798">
        <v>30.475193999999998</v>
      </c>
      <c r="F6798" t="s">
        <v>2341</v>
      </c>
      <c r="G6798">
        <v>-89.813553999999996</v>
      </c>
      <c r="H6798">
        <v>1100</v>
      </c>
      <c r="I6798">
        <v>44</v>
      </c>
      <c r="J6798">
        <v>-161</v>
      </c>
      <c r="K6798">
        <v>-512</v>
      </c>
      <c r="L6798">
        <v>1200</v>
      </c>
      <c r="M6798" t="str">
        <f t="shared" si="735"/>
        <v xml:space="preserve">N35DC   </v>
      </c>
      <c r="N6798">
        <v>1</v>
      </c>
      <c r="O6798">
        <v>1150</v>
      </c>
    </row>
    <row r="6799" spans="1:15" x14ac:dyDescent="0.25">
      <c r="A6799" t="str">
        <f>"10/21/2020 19:01:45.491"</f>
        <v>10/21/2020 19:01:45.491</v>
      </c>
      <c r="B6799" t="str">
        <f>"19:01:53.430"</f>
        <v>19:01:53.430</v>
      </c>
      <c r="C6799" t="str">
        <f>"19:01:52.930"</f>
        <v>19:01:52.930</v>
      </c>
      <c r="D6799" t="s">
        <v>2818</v>
      </c>
      <c r="E6799">
        <v>30.475193999999998</v>
      </c>
      <c r="F6799" t="s">
        <v>2341</v>
      </c>
      <c r="G6799">
        <v>-89.813553999999996</v>
      </c>
      <c r="H6799">
        <v>1100</v>
      </c>
      <c r="I6799">
        <v>44</v>
      </c>
      <c r="J6799">
        <v>-161</v>
      </c>
      <c r="K6799">
        <v>-512</v>
      </c>
      <c r="L6799">
        <v>1200</v>
      </c>
      <c r="M6799" t="str">
        <f t="shared" si="735"/>
        <v xml:space="preserve">N35DC   </v>
      </c>
      <c r="N6799">
        <v>1</v>
      </c>
      <c r="O6799">
        <v>1150</v>
      </c>
    </row>
    <row r="6800" spans="1:15" x14ac:dyDescent="0.25">
      <c r="A6800" t="str">
        <f>"10/21/2020 19:01:46.423"</f>
        <v>10/21/2020 19:01:46.423</v>
      </c>
      <c r="B6800" t="str">
        <f>"19:01:54.383"</f>
        <v>19:01:54.383</v>
      </c>
      <c r="C6800" t="str">
        <f>"19:01:53.983"</f>
        <v>19:01:53.983</v>
      </c>
      <c r="D6800" t="s">
        <v>2819</v>
      </c>
      <c r="E6800">
        <v>30.474485999999999</v>
      </c>
      <c r="F6800" t="s">
        <v>2820</v>
      </c>
      <c r="G6800">
        <v>-89.813339999999997</v>
      </c>
      <c r="H6800">
        <v>1100</v>
      </c>
      <c r="I6800">
        <v>43</v>
      </c>
      <c r="J6800">
        <v>-162</v>
      </c>
      <c r="K6800">
        <v>-640</v>
      </c>
      <c r="L6800">
        <v>1200</v>
      </c>
      <c r="M6800" t="str">
        <f t="shared" si="735"/>
        <v xml:space="preserve">N35DC   </v>
      </c>
      <c r="N6800">
        <v>1</v>
      </c>
      <c r="O6800">
        <v>1150</v>
      </c>
    </row>
    <row r="6801" spans="1:15" x14ac:dyDescent="0.25">
      <c r="A6801" t="str">
        <f>"10/21/2020 19:01:46.423"</f>
        <v>10/21/2020 19:01:46.423</v>
      </c>
      <c r="B6801" t="str">
        <f>"19:01:54.383"</f>
        <v>19:01:54.383</v>
      </c>
      <c r="C6801" t="str">
        <f>"19:01:53.983"</f>
        <v>19:01:53.983</v>
      </c>
      <c r="D6801" t="s">
        <v>2819</v>
      </c>
      <c r="E6801">
        <v>30.474485999999999</v>
      </c>
      <c r="F6801" t="s">
        <v>2820</v>
      </c>
      <c r="G6801">
        <v>-89.813339999999997</v>
      </c>
      <c r="H6801">
        <v>1100</v>
      </c>
      <c r="I6801">
        <v>43</v>
      </c>
      <c r="J6801">
        <v>-162</v>
      </c>
      <c r="K6801">
        <v>-640</v>
      </c>
      <c r="L6801">
        <v>1200</v>
      </c>
      <c r="M6801" t="str">
        <f t="shared" si="735"/>
        <v xml:space="preserve">N35DC   </v>
      </c>
      <c r="N6801">
        <v>1</v>
      </c>
      <c r="O6801">
        <v>1150</v>
      </c>
    </row>
    <row r="6802" spans="1:15" x14ac:dyDescent="0.25">
      <c r="A6802" t="str">
        <f>"10/21/2020 19:01:46.423"</f>
        <v>10/21/2020 19:01:46.423</v>
      </c>
      <c r="B6802" t="str">
        <f>"19:01:54.383"</f>
        <v>19:01:54.383</v>
      </c>
      <c r="C6802" t="str">
        <f>"19:01:53.983"</f>
        <v>19:01:53.983</v>
      </c>
      <c r="D6802" t="s">
        <v>2819</v>
      </c>
      <c r="E6802">
        <v>30.474485999999999</v>
      </c>
      <c r="F6802" t="s">
        <v>2820</v>
      </c>
      <c r="G6802">
        <v>-89.813339999999997</v>
      </c>
      <c r="H6802">
        <v>1100</v>
      </c>
      <c r="I6802">
        <v>43</v>
      </c>
      <c r="J6802">
        <v>-162</v>
      </c>
      <c r="K6802">
        <v>-640</v>
      </c>
      <c r="L6802">
        <v>1200</v>
      </c>
      <c r="M6802" t="str">
        <f t="shared" si="735"/>
        <v xml:space="preserve">N35DC   </v>
      </c>
      <c r="N6802">
        <v>1</v>
      </c>
      <c r="O6802">
        <v>1150</v>
      </c>
    </row>
    <row r="6803" spans="1:15" x14ac:dyDescent="0.25">
      <c r="A6803" t="str">
        <f>"10/21/2020 19:01:46.423"</f>
        <v>10/21/2020 19:01:46.423</v>
      </c>
      <c r="B6803" t="str">
        <f>"19:01:54.383"</f>
        <v>19:01:54.383</v>
      </c>
      <c r="C6803" t="str">
        <f>"19:01:53.983"</f>
        <v>19:01:53.983</v>
      </c>
      <c r="D6803" t="s">
        <v>2819</v>
      </c>
      <c r="E6803">
        <v>30.474485999999999</v>
      </c>
      <c r="F6803" t="s">
        <v>2820</v>
      </c>
      <c r="G6803">
        <v>-89.813339999999997</v>
      </c>
      <c r="H6803">
        <v>1100</v>
      </c>
      <c r="I6803">
        <v>43</v>
      </c>
      <c r="J6803">
        <v>-162</v>
      </c>
      <c r="K6803">
        <v>-640</v>
      </c>
      <c r="L6803">
        <v>1200</v>
      </c>
      <c r="M6803" t="str">
        <f t="shared" si="735"/>
        <v xml:space="preserve">N35DC   </v>
      </c>
      <c r="N6803">
        <v>1</v>
      </c>
      <c r="O6803">
        <v>1150</v>
      </c>
    </row>
    <row r="6804" spans="1:15" x14ac:dyDescent="0.25">
      <c r="A6804" t="str">
        <f>"10/21/2020 19:01:46.423"</f>
        <v>10/21/2020 19:01:46.423</v>
      </c>
      <c r="B6804" t="str">
        <f>"19:01:54.383"</f>
        <v>19:01:54.383</v>
      </c>
      <c r="C6804" t="str">
        <f>"19:01:53.983"</f>
        <v>19:01:53.983</v>
      </c>
      <c r="D6804" t="s">
        <v>2819</v>
      </c>
      <c r="E6804">
        <v>30.474485999999999</v>
      </c>
      <c r="F6804" t="s">
        <v>2820</v>
      </c>
      <c r="G6804">
        <v>-89.813339999999997</v>
      </c>
      <c r="H6804">
        <v>1100</v>
      </c>
      <c r="I6804">
        <v>43</v>
      </c>
      <c r="J6804">
        <v>-162</v>
      </c>
      <c r="K6804">
        <v>-640</v>
      </c>
      <c r="L6804">
        <v>1200</v>
      </c>
      <c r="M6804" t="str">
        <f t="shared" si="735"/>
        <v xml:space="preserve">N35DC   </v>
      </c>
      <c r="N6804">
        <v>1</v>
      </c>
      <c r="O6804">
        <v>1150</v>
      </c>
    </row>
    <row r="6805" spans="1:15" x14ac:dyDescent="0.25">
      <c r="A6805" t="str">
        <f>"10/21/2020 19:01:49.422"</f>
        <v>10/21/2020 19:01:49.422</v>
      </c>
      <c r="B6805" t="str">
        <f>"19:01:57.367"</f>
        <v>19:01:57.367</v>
      </c>
      <c r="C6805" t="str">
        <f>"19:01:57.167"</f>
        <v>19:01:57.167</v>
      </c>
      <c r="D6805" t="s">
        <v>2821</v>
      </c>
      <c r="E6805">
        <v>30.472232999999999</v>
      </c>
      <c r="F6805" t="s">
        <v>2822</v>
      </c>
      <c r="G6805">
        <v>-89.812696000000003</v>
      </c>
      <c r="H6805">
        <v>1100</v>
      </c>
      <c r="I6805">
        <v>39</v>
      </c>
      <c r="J6805">
        <v>-163</v>
      </c>
      <c r="K6805">
        <v>-640</v>
      </c>
      <c r="L6805">
        <v>1200</v>
      </c>
      <c r="M6805" t="str">
        <f t="shared" si="735"/>
        <v xml:space="preserve">N35DC   </v>
      </c>
      <c r="N6805">
        <v>1</v>
      </c>
      <c r="O6805">
        <v>1125</v>
      </c>
    </row>
    <row r="6806" spans="1:15" x14ac:dyDescent="0.25">
      <c r="A6806" t="str">
        <f>"10/21/2020 19:01:49.422"</f>
        <v>10/21/2020 19:01:49.422</v>
      </c>
      <c r="B6806" t="str">
        <f>"19:01:57.367"</f>
        <v>19:01:57.367</v>
      </c>
      <c r="C6806" t="str">
        <f>"19:01:57.167"</f>
        <v>19:01:57.167</v>
      </c>
      <c r="D6806" t="s">
        <v>2821</v>
      </c>
      <c r="E6806">
        <v>30.472232999999999</v>
      </c>
      <c r="F6806" t="s">
        <v>2822</v>
      </c>
      <c r="G6806">
        <v>-89.812696000000003</v>
      </c>
      <c r="H6806">
        <v>1100</v>
      </c>
      <c r="I6806">
        <v>39</v>
      </c>
      <c r="J6806">
        <v>-163</v>
      </c>
      <c r="K6806">
        <v>-640</v>
      </c>
      <c r="L6806">
        <v>1200</v>
      </c>
      <c r="M6806" t="str">
        <f t="shared" si="735"/>
        <v xml:space="preserve">N35DC   </v>
      </c>
      <c r="N6806">
        <v>1</v>
      </c>
      <c r="O6806">
        <v>1125</v>
      </c>
    </row>
    <row r="6807" spans="1:15" x14ac:dyDescent="0.25">
      <c r="A6807" t="str">
        <f>"10/21/2020 19:01:49.422"</f>
        <v>10/21/2020 19:01:49.422</v>
      </c>
      <c r="B6807" t="str">
        <f>"19:01:57.367"</f>
        <v>19:01:57.367</v>
      </c>
      <c r="C6807" t="str">
        <f>"19:01:57.167"</f>
        <v>19:01:57.167</v>
      </c>
      <c r="D6807" t="s">
        <v>2821</v>
      </c>
      <c r="E6807">
        <v>30.472232999999999</v>
      </c>
      <c r="F6807" t="s">
        <v>2822</v>
      </c>
      <c r="G6807">
        <v>-89.812696000000003</v>
      </c>
      <c r="H6807">
        <v>1100</v>
      </c>
      <c r="I6807">
        <v>39</v>
      </c>
      <c r="J6807">
        <v>-163</v>
      </c>
      <c r="K6807">
        <v>-640</v>
      </c>
      <c r="L6807">
        <v>1200</v>
      </c>
      <c r="M6807" t="str">
        <f t="shared" si="735"/>
        <v xml:space="preserve">N35DC   </v>
      </c>
      <c r="N6807">
        <v>1</v>
      </c>
      <c r="O6807">
        <v>1125</v>
      </c>
    </row>
    <row r="6808" spans="1:15" x14ac:dyDescent="0.25">
      <c r="A6808" t="str">
        <f>"10/21/2020 19:01:49.422"</f>
        <v>10/21/2020 19:01:49.422</v>
      </c>
      <c r="B6808" t="str">
        <f>"19:01:57.367"</f>
        <v>19:01:57.367</v>
      </c>
      <c r="C6808" t="str">
        <f>"19:01:57.167"</f>
        <v>19:01:57.167</v>
      </c>
      <c r="D6808" t="s">
        <v>2821</v>
      </c>
      <c r="E6808">
        <v>30.472232999999999</v>
      </c>
      <c r="F6808" t="s">
        <v>2822</v>
      </c>
      <c r="G6808">
        <v>-89.812696000000003</v>
      </c>
      <c r="H6808">
        <v>1100</v>
      </c>
      <c r="I6808">
        <v>39</v>
      </c>
      <c r="J6808">
        <v>-163</v>
      </c>
      <c r="K6808">
        <v>-640</v>
      </c>
      <c r="L6808">
        <v>1200</v>
      </c>
      <c r="M6808" t="str">
        <f t="shared" si="735"/>
        <v xml:space="preserve">N35DC   </v>
      </c>
      <c r="N6808">
        <v>1</v>
      </c>
      <c r="O6808">
        <v>1125</v>
      </c>
    </row>
    <row r="6809" spans="1:15" x14ac:dyDescent="0.25">
      <c r="A6809" t="str">
        <f>"10/21/2020 19:01:49.422"</f>
        <v>10/21/2020 19:01:49.422</v>
      </c>
      <c r="B6809" t="str">
        <f>"19:01:57.367"</f>
        <v>19:01:57.367</v>
      </c>
      <c r="C6809" t="str">
        <f>"19:01:57.167"</f>
        <v>19:01:57.167</v>
      </c>
      <c r="D6809" t="s">
        <v>2821</v>
      </c>
      <c r="E6809">
        <v>30.472232999999999</v>
      </c>
      <c r="F6809" t="s">
        <v>2822</v>
      </c>
      <c r="G6809">
        <v>-89.812696000000003</v>
      </c>
      <c r="H6809">
        <v>1100</v>
      </c>
      <c r="I6809">
        <v>39</v>
      </c>
      <c r="J6809">
        <v>-163</v>
      </c>
      <c r="K6809">
        <v>-640</v>
      </c>
      <c r="L6809">
        <v>1200</v>
      </c>
      <c r="M6809" t="str">
        <f t="shared" si="735"/>
        <v xml:space="preserve">N35DC   </v>
      </c>
      <c r="N6809">
        <v>1</v>
      </c>
      <c r="O6809">
        <v>1125</v>
      </c>
    </row>
    <row r="6810" spans="1:15" x14ac:dyDescent="0.25">
      <c r="A6810" t="str">
        <f>"10/21/2020 19:01:50.457"</f>
        <v>10/21/2020 19:01:50.457</v>
      </c>
      <c r="B6810" t="str">
        <f>"19:01:58.406"</f>
        <v>19:01:58.406</v>
      </c>
      <c r="C6810" t="str">
        <f>"19:01:58.006"</f>
        <v>19:01:58.006</v>
      </c>
      <c r="D6810" t="s">
        <v>2823</v>
      </c>
      <c r="E6810">
        <v>30.471461000000001</v>
      </c>
      <c r="F6810" t="s">
        <v>2824</v>
      </c>
      <c r="G6810">
        <v>-89.812481000000005</v>
      </c>
      <c r="H6810">
        <v>1100</v>
      </c>
      <c r="I6810">
        <v>37</v>
      </c>
      <c r="J6810">
        <v>-163</v>
      </c>
      <c r="K6810">
        <v>-640</v>
      </c>
      <c r="L6810">
        <v>1200</v>
      </c>
      <c r="M6810" t="str">
        <f t="shared" si="735"/>
        <v xml:space="preserve">N35DC   </v>
      </c>
      <c r="N6810">
        <v>1</v>
      </c>
      <c r="O6810">
        <v>1100</v>
      </c>
    </row>
    <row r="6811" spans="1:15" x14ac:dyDescent="0.25">
      <c r="A6811" t="str">
        <f>"10/21/2020 19:01:50.457"</f>
        <v>10/21/2020 19:01:50.457</v>
      </c>
      <c r="B6811" t="str">
        <f>"19:01:58.406"</f>
        <v>19:01:58.406</v>
      </c>
      <c r="C6811" t="str">
        <f>"19:01:58.106"</f>
        <v>19:01:58.106</v>
      </c>
      <c r="D6811" t="s">
        <v>2823</v>
      </c>
      <c r="E6811">
        <v>30.471461000000001</v>
      </c>
      <c r="F6811" t="s">
        <v>2824</v>
      </c>
      <c r="G6811">
        <v>-89.812481000000005</v>
      </c>
      <c r="H6811">
        <v>1100</v>
      </c>
      <c r="I6811">
        <v>37</v>
      </c>
      <c r="J6811">
        <v>-163</v>
      </c>
      <c r="K6811">
        <v>-640</v>
      </c>
      <c r="L6811">
        <v>1200</v>
      </c>
      <c r="M6811" t="str">
        <f t="shared" si="735"/>
        <v xml:space="preserve">N35DC   </v>
      </c>
      <c r="N6811">
        <v>1</v>
      </c>
      <c r="O6811">
        <v>1100</v>
      </c>
    </row>
    <row r="6812" spans="1:15" x14ac:dyDescent="0.25">
      <c r="A6812" t="str">
        <f>"10/21/2020 19:01:50.457"</f>
        <v>10/21/2020 19:01:50.457</v>
      </c>
      <c r="B6812" t="str">
        <f>"19:01:58.406"</f>
        <v>19:01:58.406</v>
      </c>
      <c r="C6812" t="str">
        <f>"19:01:58.006"</f>
        <v>19:01:58.006</v>
      </c>
      <c r="D6812" t="s">
        <v>2823</v>
      </c>
      <c r="E6812">
        <v>30.471461000000001</v>
      </c>
      <c r="F6812" t="s">
        <v>2824</v>
      </c>
      <c r="G6812">
        <v>-89.812481000000005</v>
      </c>
      <c r="H6812">
        <v>1100</v>
      </c>
      <c r="I6812">
        <v>37</v>
      </c>
      <c r="J6812">
        <v>-163</v>
      </c>
      <c r="K6812">
        <v>-640</v>
      </c>
      <c r="L6812">
        <v>1200</v>
      </c>
      <c r="M6812" t="str">
        <f t="shared" si="735"/>
        <v xml:space="preserve">N35DC   </v>
      </c>
      <c r="N6812">
        <v>1</v>
      </c>
      <c r="O6812">
        <v>1100</v>
      </c>
    </row>
    <row r="6813" spans="1:15" x14ac:dyDescent="0.25">
      <c r="A6813" t="str">
        <f>"10/21/2020 19:01:50.457"</f>
        <v>10/21/2020 19:01:50.457</v>
      </c>
      <c r="B6813" t="str">
        <f>"19:01:58.406"</f>
        <v>19:01:58.406</v>
      </c>
      <c r="C6813" t="str">
        <f>"19:01:58.106"</f>
        <v>19:01:58.106</v>
      </c>
      <c r="D6813" t="s">
        <v>2823</v>
      </c>
      <c r="E6813">
        <v>30.471461000000001</v>
      </c>
      <c r="F6813" t="s">
        <v>2824</v>
      </c>
      <c r="G6813">
        <v>-89.812481000000005</v>
      </c>
      <c r="H6813">
        <v>1100</v>
      </c>
      <c r="I6813">
        <v>37</v>
      </c>
      <c r="J6813">
        <v>-163</v>
      </c>
      <c r="K6813">
        <v>-640</v>
      </c>
      <c r="L6813">
        <v>1200</v>
      </c>
      <c r="M6813" t="str">
        <f t="shared" si="735"/>
        <v xml:space="preserve">N35DC   </v>
      </c>
      <c r="N6813">
        <v>1</v>
      </c>
      <c r="O6813">
        <v>1100</v>
      </c>
    </row>
    <row r="6814" spans="1:15" x14ac:dyDescent="0.25">
      <c r="A6814" t="str">
        <f>"10/21/2020 19:01:50.457"</f>
        <v>10/21/2020 19:01:50.457</v>
      </c>
      <c r="B6814" t="str">
        <f>"19:01:58.406"</f>
        <v>19:01:58.406</v>
      </c>
      <c r="C6814" t="str">
        <f>"19:01:58.006"</f>
        <v>19:01:58.006</v>
      </c>
      <c r="D6814" t="s">
        <v>2823</v>
      </c>
      <c r="E6814">
        <v>30.471461000000001</v>
      </c>
      <c r="F6814" t="s">
        <v>2824</v>
      </c>
      <c r="G6814">
        <v>-89.812481000000005</v>
      </c>
      <c r="H6814">
        <v>1100</v>
      </c>
      <c r="I6814">
        <v>37</v>
      </c>
      <c r="J6814">
        <v>-163</v>
      </c>
      <c r="K6814">
        <v>-640</v>
      </c>
      <c r="L6814">
        <v>1200</v>
      </c>
      <c r="M6814" t="str">
        <f t="shared" si="735"/>
        <v xml:space="preserve">N35DC   </v>
      </c>
      <c r="N6814">
        <v>1</v>
      </c>
      <c r="O6814">
        <v>1100</v>
      </c>
    </row>
    <row r="6815" spans="1:15" x14ac:dyDescent="0.25">
      <c r="A6815" t="str">
        <f>"10/21/2020 19:01:53.479"</f>
        <v>10/21/2020 19:01:53.479</v>
      </c>
      <c r="B6815" t="str">
        <f>"19:02:01.438"</f>
        <v>19:02:01.438</v>
      </c>
      <c r="C6815" t="str">
        <f>"19:02:01.137"</f>
        <v>19:02:01.137</v>
      </c>
      <c r="D6815" t="s">
        <v>2825</v>
      </c>
      <c r="E6815">
        <v>30.469186000000001</v>
      </c>
      <c r="F6815" t="s">
        <v>2346</v>
      </c>
      <c r="G6815">
        <v>-89.811965999999998</v>
      </c>
      <c r="H6815">
        <v>1000</v>
      </c>
      <c r="I6815">
        <v>32</v>
      </c>
      <c r="J6815">
        <v>-165</v>
      </c>
      <c r="K6815">
        <v>-512</v>
      </c>
      <c r="L6815">
        <v>1200</v>
      </c>
      <c r="M6815" t="str">
        <f t="shared" si="735"/>
        <v xml:space="preserve">N35DC   </v>
      </c>
      <c r="N6815">
        <v>1</v>
      </c>
      <c r="O6815">
        <v>1075</v>
      </c>
    </row>
    <row r="6816" spans="1:15" x14ac:dyDescent="0.25">
      <c r="A6816" t="str">
        <f>"10/21/2020 19:01:53.479"</f>
        <v>10/21/2020 19:01:53.479</v>
      </c>
      <c r="B6816" t="str">
        <f>"19:02:01.438"</f>
        <v>19:02:01.438</v>
      </c>
      <c r="C6816" t="str">
        <f>"19:02:01.137"</f>
        <v>19:02:01.137</v>
      </c>
      <c r="D6816" t="s">
        <v>2825</v>
      </c>
      <c r="E6816">
        <v>30.469186000000001</v>
      </c>
      <c r="F6816" t="s">
        <v>2346</v>
      </c>
      <c r="G6816">
        <v>-89.811965999999998</v>
      </c>
      <c r="H6816">
        <v>1000</v>
      </c>
      <c r="I6816">
        <v>32</v>
      </c>
      <c r="J6816">
        <v>-165</v>
      </c>
      <c r="K6816">
        <v>-512</v>
      </c>
      <c r="L6816">
        <v>1200</v>
      </c>
      <c r="M6816" t="str">
        <f t="shared" si="735"/>
        <v xml:space="preserve">N35DC   </v>
      </c>
      <c r="N6816">
        <v>1</v>
      </c>
      <c r="O6816">
        <v>1075</v>
      </c>
    </row>
    <row r="6817" spans="1:15" x14ac:dyDescent="0.25">
      <c r="A6817" t="str">
        <f>"10/21/2020 19:01:53.479"</f>
        <v>10/21/2020 19:01:53.479</v>
      </c>
      <c r="B6817" t="str">
        <f>"19:02:01.438"</f>
        <v>19:02:01.438</v>
      </c>
      <c r="C6817" t="str">
        <f>"19:02:01.137"</f>
        <v>19:02:01.137</v>
      </c>
      <c r="D6817" t="s">
        <v>2825</v>
      </c>
      <c r="E6817">
        <v>30.469186000000001</v>
      </c>
      <c r="F6817" t="s">
        <v>2346</v>
      </c>
      <c r="G6817">
        <v>-89.811965999999998</v>
      </c>
      <c r="H6817">
        <v>1000</v>
      </c>
      <c r="I6817">
        <v>32</v>
      </c>
      <c r="J6817">
        <v>-165</v>
      </c>
      <c r="K6817">
        <v>-512</v>
      </c>
      <c r="L6817">
        <v>1200</v>
      </c>
      <c r="M6817" t="str">
        <f t="shared" si="735"/>
        <v xml:space="preserve">N35DC   </v>
      </c>
      <c r="N6817">
        <v>1</v>
      </c>
      <c r="O6817">
        <v>1075</v>
      </c>
    </row>
    <row r="6818" spans="1:15" x14ac:dyDescent="0.25">
      <c r="A6818" t="str">
        <f>"10/21/2020 19:01:53.479"</f>
        <v>10/21/2020 19:01:53.479</v>
      </c>
      <c r="B6818" t="str">
        <f>"19:02:01.438"</f>
        <v>19:02:01.438</v>
      </c>
      <c r="C6818" t="str">
        <f>"19:02:01.137"</f>
        <v>19:02:01.137</v>
      </c>
      <c r="D6818" t="s">
        <v>2825</v>
      </c>
      <c r="E6818">
        <v>30.469186000000001</v>
      </c>
      <c r="F6818" t="s">
        <v>2346</v>
      </c>
      <c r="G6818">
        <v>-89.811965999999998</v>
      </c>
      <c r="H6818">
        <v>1000</v>
      </c>
      <c r="I6818">
        <v>32</v>
      </c>
      <c r="J6818">
        <v>-165</v>
      </c>
      <c r="K6818">
        <v>-512</v>
      </c>
      <c r="L6818">
        <v>1200</v>
      </c>
      <c r="M6818" t="str">
        <f t="shared" si="735"/>
        <v xml:space="preserve">N35DC   </v>
      </c>
      <c r="N6818">
        <v>1</v>
      </c>
      <c r="O6818">
        <v>1075</v>
      </c>
    </row>
    <row r="6819" spans="1:15" x14ac:dyDescent="0.25">
      <c r="A6819" t="str">
        <f>"10/21/2020 19:01:53.479"</f>
        <v>10/21/2020 19:01:53.479</v>
      </c>
      <c r="B6819" t="str">
        <f>"19:02:01.438"</f>
        <v>19:02:01.438</v>
      </c>
      <c r="C6819" t="str">
        <f>"19:02:01.137"</f>
        <v>19:02:01.137</v>
      </c>
      <c r="D6819" t="s">
        <v>2825</v>
      </c>
      <c r="E6819">
        <v>30.469186000000001</v>
      </c>
      <c r="F6819" t="s">
        <v>2346</v>
      </c>
      <c r="G6819">
        <v>-89.811965999999998</v>
      </c>
      <c r="H6819">
        <v>1000</v>
      </c>
      <c r="I6819">
        <v>32</v>
      </c>
      <c r="J6819">
        <v>-165</v>
      </c>
      <c r="K6819">
        <v>-512</v>
      </c>
      <c r="L6819">
        <v>1200</v>
      </c>
      <c r="M6819" t="str">
        <f t="shared" si="735"/>
        <v xml:space="preserve">N35DC   </v>
      </c>
      <c r="N6819">
        <v>1</v>
      </c>
      <c r="O6819">
        <v>1075</v>
      </c>
    </row>
    <row r="6820" spans="1:15" x14ac:dyDescent="0.25">
      <c r="A6820" t="str">
        <f>"10/21/2020 19:01:54.388"</f>
        <v>10/21/2020 19:01:54.388</v>
      </c>
      <c r="B6820" t="str">
        <f>"19:02:02.352"</f>
        <v>19:02:02.352</v>
      </c>
      <c r="C6820" t="str">
        <f>"19:02:02.152"</f>
        <v>19:02:02.152</v>
      </c>
      <c r="D6820" t="s">
        <v>2826</v>
      </c>
      <c r="E6820">
        <v>30.468434999999999</v>
      </c>
      <c r="F6820" t="s">
        <v>2827</v>
      </c>
      <c r="G6820">
        <v>-89.811795000000004</v>
      </c>
      <c r="H6820">
        <v>1000</v>
      </c>
      <c r="I6820">
        <v>30</v>
      </c>
      <c r="J6820">
        <v>-165</v>
      </c>
      <c r="K6820">
        <v>-704</v>
      </c>
      <c r="L6820">
        <v>1200</v>
      </c>
      <c r="M6820" t="str">
        <f t="shared" si="735"/>
        <v xml:space="preserve">N35DC   </v>
      </c>
      <c r="N6820">
        <v>1</v>
      </c>
      <c r="O6820">
        <v>1050</v>
      </c>
    </row>
    <row r="6821" spans="1:15" x14ac:dyDescent="0.25">
      <c r="A6821" t="str">
        <f>"10/21/2020 19:01:54.388"</f>
        <v>10/21/2020 19:01:54.388</v>
      </c>
      <c r="B6821" t="str">
        <f>"19:02:02.352"</f>
        <v>19:02:02.352</v>
      </c>
      <c r="C6821" t="str">
        <f>"19:02:02.152"</f>
        <v>19:02:02.152</v>
      </c>
      <c r="D6821" t="s">
        <v>2826</v>
      </c>
      <c r="E6821">
        <v>30.468434999999999</v>
      </c>
      <c r="F6821" t="s">
        <v>2827</v>
      </c>
      <c r="G6821">
        <v>-89.811795000000004</v>
      </c>
      <c r="H6821">
        <v>1000</v>
      </c>
      <c r="I6821">
        <v>30</v>
      </c>
      <c r="J6821">
        <v>-165</v>
      </c>
      <c r="K6821">
        <v>-704</v>
      </c>
      <c r="L6821">
        <v>1200</v>
      </c>
      <c r="M6821" t="str">
        <f t="shared" si="735"/>
        <v xml:space="preserve">N35DC   </v>
      </c>
      <c r="N6821">
        <v>1</v>
      </c>
      <c r="O6821">
        <v>1050</v>
      </c>
    </row>
    <row r="6822" spans="1:15" x14ac:dyDescent="0.25">
      <c r="A6822" t="str">
        <f>"10/21/2020 19:01:54.388"</f>
        <v>10/21/2020 19:01:54.388</v>
      </c>
      <c r="B6822" t="str">
        <f>"19:02:02.352"</f>
        <v>19:02:02.352</v>
      </c>
      <c r="C6822" t="str">
        <f>"19:02:02.152"</f>
        <v>19:02:02.152</v>
      </c>
      <c r="D6822" t="s">
        <v>2826</v>
      </c>
      <c r="E6822">
        <v>30.468434999999999</v>
      </c>
      <c r="F6822" t="s">
        <v>2827</v>
      </c>
      <c r="G6822">
        <v>-89.811795000000004</v>
      </c>
      <c r="H6822">
        <v>1000</v>
      </c>
      <c r="I6822">
        <v>30</v>
      </c>
      <c r="J6822">
        <v>-165</v>
      </c>
      <c r="K6822">
        <v>-704</v>
      </c>
      <c r="L6822">
        <v>1200</v>
      </c>
      <c r="M6822" t="str">
        <f t="shared" si="735"/>
        <v xml:space="preserve">N35DC   </v>
      </c>
      <c r="N6822">
        <v>1</v>
      </c>
      <c r="O6822">
        <v>1050</v>
      </c>
    </row>
    <row r="6823" spans="1:15" x14ac:dyDescent="0.25">
      <c r="A6823" t="str">
        <f>"10/21/2020 19:01:54.388"</f>
        <v>10/21/2020 19:01:54.388</v>
      </c>
      <c r="B6823" t="str">
        <f>"19:02:02.352"</f>
        <v>19:02:02.352</v>
      </c>
      <c r="C6823" t="str">
        <f>"19:02:02.152"</f>
        <v>19:02:02.152</v>
      </c>
      <c r="D6823" t="s">
        <v>2826</v>
      </c>
      <c r="E6823">
        <v>30.468434999999999</v>
      </c>
      <c r="F6823" t="s">
        <v>2827</v>
      </c>
      <c r="G6823">
        <v>-89.811795000000004</v>
      </c>
      <c r="H6823">
        <v>1000</v>
      </c>
      <c r="I6823">
        <v>30</v>
      </c>
      <c r="J6823">
        <v>-165</v>
      </c>
      <c r="K6823">
        <v>-704</v>
      </c>
      <c r="L6823">
        <v>1200</v>
      </c>
      <c r="M6823" t="str">
        <f t="shared" si="735"/>
        <v xml:space="preserve">N35DC   </v>
      </c>
      <c r="N6823">
        <v>1</v>
      </c>
      <c r="O6823">
        <v>1050</v>
      </c>
    </row>
    <row r="6824" spans="1:15" x14ac:dyDescent="0.25">
      <c r="A6824" t="str">
        <f>"10/21/2020 19:01:54.388"</f>
        <v>10/21/2020 19:01:54.388</v>
      </c>
      <c r="B6824" t="str">
        <f>"19:02:02.352"</f>
        <v>19:02:02.352</v>
      </c>
      <c r="C6824" t="str">
        <f>"19:02:02.152"</f>
        <v>19:02:02.152</v>
      </c>
      <c r="D6824" t="s">
        <v>2826</v>
      </c>
      <c r="E6824">
        <v>30.468434999999999</v>
      </c>
      <c r="F6824" t="s">
        <v>2827</v>
      </c>
      <c r="G6824">
        <v>-89.811795000000004</v>
      </c>
      <c r="H6824">
        <v>1000</v>
      </c>
      <c r="I6824">
        <v>30</v>
      </c>
      <c r="J6824">
        <v>-165</v>
      </c>
      <c r="K6824">
        <v>-704</v>
      </c>
      <c r="L6824">
        <v>1200</v>
      </c>
      <c r="M6824" t="str">
        <f t="shared" si="735"/>
        <v xml:space="preserve">N35DC   </v>
      </c>
      <c r="N6824">
        <v>1</v>
      </c>
      <c r="O6824">
        <v>1050</v>
      </c>
    </row>
    <row r="6825" spans="1:15" x14ac:dyDescent="0.25">
      <c r="A6825" t="str">
        <f>"10/21/2020 19:01:58.441"</f>
        <v>10/21/2020 19:01:58.441</v>
      </c>
      <c r="B6825" t="str">
        <f>"19:02:06.414"</f>
        <v>19:02:06.414</v>
      </c>
      <c r="C6825" t="str">
        <f>"19:02:06.014"</f>
        <v>19:02:06.014</v>
      </c>
      <c r="D6825" t="s">
        <v>2828</v>
      </c>
      <c r="E6825">
        <v>30.465323999999999</v>
      </c>
      <c r="F6825" t="s">
        <v>2829</v>
      </c>
      <c r="G6825">
        <v>-89.811130000000006</v>
      </c>
      <c r="H6825">
        <v>1000</v>
      </c>
      <c r="I6825">
        <v>28</v>
      </c>
      <c r="J6825">
        <v>-165</v>
      </c>
      <c r="K6825">
        <v>-192</v>
      </c>
      <c r="L6825">
        <v>1200</v>
      </c>
      <c r="M6825" t="str">
        <f t="shared" si="735"/>
        <v xml:space="preserve">N35DC   </v>
      </c>
      <c r="N6825">
        <v>1</v>
      </c>
      <c r="O6825">
        <v>1025</v>
      </c>
    </row>
    <row r="6826" spans="1:15" x14ac:dyDescent="0.25">
      <c r="A6826" t="str">
        <f>"10/21/2020 19:01:58.441"</f>
        <v>10/21/2020 19:01:58.441</v>
      </c>
      <c r="B6826" t="str">
        <f>"19:02:06.414"</f>
        <v>19:02:06.414</v>
      </c>
      <c r="C6826" t="str">
        <f>"19:02:06.014"</f>
        <v>19:02:06.014</v>
      </c>
      <c r="D6826" t="s">
        <v>2828</v>
      </c>
      <c r="E6826">
        <v>30.465323999999999</v>
      </c>
      <c r="F6826" t="s">
        <v>2829</v>
      </c>
      <c r="G6826">
        <v>-89.811130000000006</v>
      </c>
      <c r="H6826">
        <v>1000</v>
      </c>
      <c r="I6826">
        <v>28</v>
      </c>
      <c r="J6826">
        <v>-165</v>
      </c>
      <c r="K6826">
        <v>-192</v>
      </c>
      <c r="L6826">
        <v>1200</v>
      </c>
      <c r="M6826" t="str">
        <f t="shared" si="735"/>
        <v xml:space="preserve">N35DC   </v>
      </c>
      <c r="N6826">
        <v>1</v>
      </c>
      <c r="O6826">
        <v>1025</v>
      </c>
    </row>
    <row r="6827" spans="1:15" x14ac:dyDescent="0.25">
      <c r="A6827" t="str">
        <f>"10/21/2020 19:01:58.441"</f>
        <v>10/21/2020 19:01:58.441</v>
      </c>
      <c r="B6827" t="str">
        <f>"19:02:06.414"</f>
        <v>19:02:06.414</v>
      </c>
      <c r="C6827" t="str">
        <f>"19:02:06.014"</f>
        <v>19:02:06.014</v>
      </c>
      <c r="D6827" t="s">
        <v>2828</v>
      </c>
      <c r="E6827">
        <v>30.465323999999999</v>
      </c>
      <c r="F6827" t="s">
        <v>2829</v>
      </c>
      <c r="G6827">
        <v>-89.811130000000006</v>
      </c>
      <c r="H6827">
        <v>1000</v>
      </c>
      <c r="I6827">
        <v>28</v>
      </c>
      <c r="J6827">
        <v>-165</v>
      </c>
      <c r="K6827">
        <v>-192</v>
      </c>
      <c r="L6827">
        <v>1200</v>
      </c>
      <c r="M6827" t="str">
        <f t="shared" si="735"/>
        <v xml:space="preserve">N35DC   </v>
      </c>
      <c r="N6827">
        <v>1</v>
      </c>
      <c r="O6827">
        <v>1025</v>
      </c>
    </row>
    <row r="6828" spans="1:15" x14ac:dyDescent="0.25">
      <c r="A6828" t="str">
        <f>"10/21/2020 19:01:58.441"</f>
        <v>10/21/2020 19:01:58.441</v>
      </c>
      <c r="B6828" t="str">
        <f>"19:02:06.414"</f>
        <v>19:02:06.414</v>
      </c>
      <c r="C6828" t="str">
        <f>"19:02:06.014"</f>
        <v>19:02:06.014</v>
      </c>
      <c r="D6828" t="s">
        <v>2828</v>
      </c>
      <c r="E6828">
        <v>30.465323999999999</v>
      </c>
      <c r="F6828" t="s">
        <v>2829</v>
      </c>
      <c r="G6828">
        <v>-89.811130000000006</v>
      </c>
      <c r="H6828">
        <v>1000</v>
      </c>
      <c r="I6828">
        <v>28</v>
      </c>
      <c r="J6828">
        <v>-165</v>
      </c>
      <c r="K6828">
        <v>-192</v>
      </c>
      <c r="L6828">
        <v>1200</v>
      </c>
      <c r="M6828" t="str">
        <f t="shared" si="735"/>
        <v xml:space="preserve">N35DC   </v>
      </c>
      <c r="N6828">
        <v>1</v>
      </c>
      <c r="O6828">
        <v>1025</v>
      </c>
    </row>
    <row r="6829" spans="1:15" x14ac:dyDescent="0.25">
      <c r="A6829" t="str">
        <f>"10/21/2020 19:01:58.441"</f>
        <v>10/21/2020 19:01:58.441</v>
      </c>
      <c r="B6829" t="str">
        <f>"19:02:06.414"</f>
        <v>19:02:06.414</v>
      </c>
      <c r="C6829" t="str">
        <f>"19:02:06.014"</f>
        <v>19:02:06.014</v>
      </c>
      <c r="D6829" t="s">
        <v>2828</v>
      </c>
      <c r="E6829">
        <v>30.465323999999999</v>
      </c>
      <c r="F6829" t="s">
        <v>2829</v>
      </c>
      <c r="G6829">
        <v>-89.811130000000006</v>
      </c>
      <c r="H6829">
        <v>1000</v>
      </c>
      <c r="I6829">
        <v>28</v>
      </c>
      <c r="J6829">
        <v>-165</v>
      </c>
      <c r="K6829">
        <v>-192</v>
      </c>
      <c r="L6829">
        <v>1200</v>
      </c>
      <c r="M6829" t="str">
        <f t="shared" si="735"/>
        <v xml:space="preserve">N35DC   </v>
      </c>
      <c r="N6829">
        <v>1</v>
      </c>
      <c r="O6829">
        <v>1025</v>
      </c>
    </row>
    <row r="6830" spans="1:15" x14ac:dyDescent="0.25">
      <c r="A6830" t="str">
        <f>"10/21/2020 19:02:00.581"</f>
        <v>10/21/2020 19:02:00.581</v>
      </c>
      <c r="B6830" t="str">
        <f>"19:02:08.531"</f>
        <v>19:02:08.531</v>
      </c>
      <c r="C6830" t="str">
        <f>"19:02:08.231"</f>
        <v>19:02:08.231</v>
      </c>
      <c r="D6830" t="s">
        <v>2830</v>
      </c>
      <c r="E6830">
        <v>30.463715000000001</v>
      </c>
      <c r="F6830" t="s">
        <v>79</v>
      </c>
      <c r="G6830">
        <v>-89.810872000000003</v>
      </c>
      <c r="H6830">
        <v>1000</v>
      </c>
      <c r="I6830">
        <v>24</v>
      </c>
      <c r="J6830">
        <v>-164</v>
      </c>
      <c r="K6830">
        <v>320</v>
      </c>
      <c r="L6830">
        <v>1200</v>
      </c>
      <c r="M6830" t="str">
        <f t="shared" si="735"/>
        <v xml:space="preserve">N35DC   </v>
      </c>
      <c r="N6830">
        <v>1</v>
      </c>
      <c r="O6830">
        <v>1025</v>
      </c>
    </row>
    <row r="6831" spans="1:15" x14ac:dyDescent="0.25">
      <c r="A6831" t="str">
        <f>"10/21/2020 19:02:00.581"</f>
        <v>10/21/2020 19:02:00.581</v>
      </c>
      <c r="B6831" t="str">
        <f>"19:02:08.531"</f>
        <v>19:02:08.531</v>
      </c>
      <c r="C6831" t="str">
        <f>"19:02:08.231"</f>
        <v>19:02:08.231</v>
      </c>
      <c r="D6831" t="s">
        <v>2830</v>
      </c>
      <c r="E6831">
        <v>30.463715000000001</v>
      </c>
      <c r="F6831" t="s">
        <v>79</v>
      </c>
      <c r="G6831">
        <v>-89.810872000000003</v>
      </c>
      <c r="H6831">
        <v>1000</v>
      </c>
      <c r="I6831">
        <v>24</v>
      </c>
      <c r="J6831">
        <v>-164</v>
      </c>
      <c r="K6831">
        <v>320</v>
      </c>
      <c r="L6831">
        <v>1200</v>
      </c>
      <c r="M6831" t="str">
        <f t="shared" si="735"/>
        <v xml:space="preserve">N35DC   </v>
      </c>
      <c r="N6831">
        <v>1</v>
      </c>
      <c r="O6831">
        <v>1025</v>
      </c>
    </row>
    <row r="6832" spans="1:15" x14ac:dyDescent="0.25">
      <c r="A6832" t="str">
        <f>"10/21/2020 19:02:00.581"</f>
        <v>10/21/2020 19:02:00.581</v>
      </c>
      <c r="B6832" t="str">
        <f>"19:02:08.531"</f>
        <v>19:02:08.531</v>
      </c>
      <c r="C6832" t="str">
        <f>"19:02:08.231"</f>
        <v>19:02:08.231</v>
      </c>
      <c r="D6832" t="s">
        <v>2830</v>
      </c>
      <c r="E6832">
        <v>30.463715000000001</v>
      </c>
      <c r="F6832" t="s">
        <v>79</v>
      </c>
      <c r="G6832">
        <v>-89.810872000000003</v>
      </c>
      <c r="H6832">
        <v>1000</v>
      </c>
      <c r="I6832">
        <v>24</v>
      </c>
      <c r="J6832">
        <v>-164</v>
      </c>
      <c r="K6832">
        <v>320</v>
      </c>
      <c r="L6832">
        <v>1200</v>
      </c>
      <c r="M6832" t="str">
        <f t="shared" si="735"/>
        <v xml:space="preserve">N35DC   </v>
      </c>
      <c r="N6832">
        <v>1</v>
      </c>
      <c r="O6832">
        <v>1025</v>
      </c>
    </row>
    <row r="6833" spans="1:15" x14ac:dyDescent="0.25">
      <c r="A6833" t="str">
        <f>"10/21/2020 19:02:00.581"</f>
        <v>10/21/2020 19:02:00.581</v>
      </c>
      <c r="B6833" t="str">
        <f>"19:02:08.531"</f>
        <v>19:02:08.531</v>
      </c>
      <c r="C6833" t="str">
        <f>"19:02:08.231"</f>
        <v>19:02:08.231</v>
      </c>
      <c r="D6833" t="s">
        <v>2830</v>
      </c>
      <c r="E6833">
        <v>30.463715000000001</v>
      </c>
      <c r="F6833" t="s">
        <v>79</v>
      </c>
      <c r="G6833">
        <v>-89.810872000000003</v>
      </c>
      <c r="H6833">
        <v>1000</v>
      </c>
      <c r="I6833">
        <v>24</v>
      </c>
      <c r="J6833">
        <v>-164</v>
      </c>
      <c r="K6833">
        <v>320</v>
      </c>
      <c r="L6833">
        <v>1200</v>
      </c>
      <c r="M6833" t="str">
        <f t="shared" si="735"/>
        <v xml:space="preserve">N35DC   </v>
      </c>
      <c r="N6833">
        <v>1</v>
      </c>
      <c r="O6833">
        <v>1025</v>
      </c>
    </row>
    <row r="6834" spans="1:15" x14ac:dyDescent="0.25">
      <c r="A6834" t="str">
        <f>"10/21/2020 19:02:00.581"</f>
        <v>10/21/2020 19:02:00.581</v>
      </c>
      <c r="B6834" t="str">
        <f>"19:02:08.531"</f>
        <v>19:02:08.531</v>
      </c>
      <c r="C6834" t="str">
        <f>"19:02:08.231"</f>
        <v>19:02:08.231</v>
      </c>
      <c r="D6834" t="s">
        <v>2830</v>
      </c>
      <c r="E6834">
        <v>30.463715000000001</v>
      </c>
      <c r="F6834" t="s">
        <v>79</v>
      </c>
      <c r="G6834">
        <v>-89.810872000000003</v>
      </c>
      <c r="H6834">
        <v>1000</v>
      </c>
      <c r="I6834">
        <v>24</v>
      </c>
      <c r="J6834">
        <v>-164</v>
      </c>
      <c r="K6834">
        <v>320</v>
      </c>
      <c r="L6834">
        <v>1200</v>
      </c>
      <c r="M6834" t="str">
        <f t="shared" si="735"/>
        <v xml:space="preserve">N35DC   </v>
      </c>
      <c r="N6834">
        <v>1</v>
      </c>
      <c r="O6834">
        <v>1025</v>
      </c>
    </row>
    <row r="6835" spans="1:15" x14ac:dyDescent="0.25">
      <c r="A6835" t="str">
        <f>"10/21/2020 19:02:01.608"</f>
        <v>10/21/2020 19:02:01.608</v>
      </c>
      <c r="B6835" t="str">
        <f t="shared" ref="B6835:C6839" si="736">"19:02:09.563"</f>
        <v>19:02:09.563</v>
      </c>
      <c r="C6835" t="str">
        <f t="shared" si="736"/>
        <v>19:02:09.563</v>
      </c>
      <c r="D6835" t="s">
        <v>2831</v>
      </c>
      <c r="E6835">
        <v>30.462942000000002</v>
      </c>
      <c r="F6835" t="s">
        <v>2832</v>
      </c>
      <c r="G6835">
        <v>-89.810699999999997</v>
      </c>
      <c r="H6835">
        <v>1000</v>
      </c>
      <c r="I6835">
        <v>22</v>
      </c>
      <c r="J6835">
        <v>-163</v>
      </c>
      <c r="K6835">
        <v>320</v>
      </c>
      <c r="L6835">
        <v>1200</v>
      </c>
      <c r="M6835" t="str">
        <f t="shared" si="735"/>
        <v xml:space="preserve">N35DC   </v>
      </c>
      <c r="N6835">
        <v>1</v>
      </c>
      <c r="O6835">
        <v>1050</v>
      </c>
    </row>
    <row r="6836" spans="1:15" x14ac:dyDescent="0.25">
      <c r="A6836" t="str">
        <f>"10/21/2020 19:02:01.608"</f>
        <v>10/21/2020 19:02:01.608</v>
      </c>
      <c r="B6836" t="str">
        <f t="shared" si="736"/>
        <v>19:02:09.563</v>
      </c>
      <c r="C6836" t="str">
        <f t="shared" si="736"/>
        <v>19:02:09.563</v>
      </c>
      <c r="D6836" t="s">
        <v>2831</v>
      </c>
      <c r="E6836">
        <v>30.462942000000002</v>
      </c>
      <c r="F6836" t="s">
        <v>2832</v>
      </c>
      <c r="G6836">
        <v>-89.810699999999997</v>
      </c>
      <c r="H6836">
        <v>1000</v>
      </c>
      <c r="I6836">
        <v>22</v>
      </c>
      <c r="J6836">
        <v>-163</v>
      </c>
      <c r="K6836">
        <v>320</v>
      </c>
      <c r="L6836">
        <v>1200</v>
      </c>
      <c r="M6836" t="str">
        <f t="shared" si="735"/>
        <v xml:space="preserve">N35DC   </v>
      </c>
      <c r="N6836">
        <v>1</v>
      </c>
      <c r="O6836">
        <v>1050</v>
      </c>
    </row>
    <row r="6837" spans="1:15" x14ac:dyDescent="0.25">
      <c r="A6837" t="str">
        <f>"10/21/2020 19:02:01.608"</f>
        <v>10/21/2020 19:02:01.608</v>
      </c>
      <c r="B6837" t="str">
        <f t="shared" si="736"/>
        <v>19:02:09.563</v>
      </c>
      <c r="C6837" t="str">
        <f t="shared" si="736"/>
        <v>19:02:09.563</v>
      </c>
      <c r="D6837" t="s">
        <v>2831</v>
      </c>
      <c r="E6837">
        <v>30.462942000000002</v>
      </c>
      <c r="F6837" t="s">
        <v>2832</v>
      </c>
      <c r="G6837">
        <v>-89.810699999999997</v>
      </c>
      <c r="H6837">
        <v>1000</v>
      </c>
      <c r="I6837">
        <v>22</v>
      </c>
      <c r="J6837">
        <v>-163</v>
      </c>
      <c r="K6837">
        <v>320</v>
      </c>
      <c r="L6837">
        <v>1200</v>
      </c>
      <c r="M6837" t="str">
        <f t="shared" si="735"/>
        <v xml:space="preserve">N35DC   </v>
      </c>
      <c r="N6837">
        <v>1</v>
      </c>
      <c r="O6837">
        <v>1050</v>
      </c>
    </row>
    <row r="6838" spans="1:15" x14ac:dyDescent="0.25">
      <c r="A6838" t="str">
        <f>"10/21/2020 19:02:01.608"</f>
        <v>10/21/2020 19:02:01.608</v>
      </c>
      <c r="B6838" t="str">
        <f t="shared" si="736"/>
        <v>19:02:09.563</v>
      </c>
      <c r="C6838" t="str">
        <f t="shared" si="736"/>
        <v>19:02:09.563</v>
      </c>
      <c r="D6838" t="s">
        <v>2831</v>
      </c>
      <c r="E6838">
        <v>30.462942000000002</v>
      </c>
      <c r="F6838" t="s">
        <v>2832</v>
      </c>
      <c r="G6838">
        <v>-89.810699999999997</v>
      </c>
      <c r="H6838">
        <v>1000</v>
      </c>
      <c r="I6838">
        <v>22</v>
      </c>
      <c r="J6838">
        <v>-163</v>
      </c>
      <c r="K6838">
        <v>320</v>
      </c>
      <c r="L6838">
        <v>1200</v>
      </c>
      <c r="M6838" t="str">
        <f t="shared" si="735"/>
        <v xml:space="preserve">N35DC   </v>
      </c>
      <c r="N6838">
        <v>1</v>
      </c>
      <c r="O6838">
        <v>1050</v>
      </c>
    </row>
    <row r="6839" spans="1:15" x14ac:dyDescent="0.25">
      <c r="A6839" t="str">
        <f>"10/21/2020 19:02:01.608"</f>
        <v>10/21/2020 19:02:01.608</v>
      </c>
      <c r="B6839" t="str">
        <f t="shared" si="736"/>
        <v>19:02:09.563</v>
      </c>
      <c r="C6839" t="str">
        <f t="shared" si="736"/>
        <v>19:02:09.563</v>
      </c>
      <c r="D6839" t="s">
        <v>2831</v>
      </c>
      <c r="E6839">
        <v>30.462942000000002</v>
      </c>
      <c r="F6839" t="s">
        <v>2832</v>
      </c>
      <c r="G6839">
        <v>-89.810699999999997</v>
      </c>
      <c r="H6839">
        <v>1000</v>
      </c>
      <c r="I6839">
        <v>22</v>
      </c>
      <c r="J6839">
        <v>-163</v>
      </c>
      <c r="K6839">
        <v>320</v>
      </c>
      <c r="L6839">
        <v>1200</v>
      </c>
      <c r="M6839" t="str">
        <f t="shared" si="735"/>
        <v xml:space="preserve">N35DC   </v>
      </c>
      <c r="N6839">
        <v>1</v>
      </c>
      <c r="O6839">
        <v>1050</v>
      </c>
    </row>
    <row r="6840" spans="1:15" x14ac:dyDescent="0.25">
      <c r="A6840" t="str">
        <f>"10/21/2020 19:02:04.301"</f>
        <v>10/21/2020 19:02:04.301</v>
      </c>
      <c r="B6840" t="str">
        <f>"19:02:12.266"</f>
        <v>19:02:12.266</v>
      </c>
      <c r="C6840" t="str">
        <f>"19:02:11.966"</f>
        <v>19:02:11.966</v>
      </c>
      <c r="D6840" t="s">
        <v>2833</v>
      </c>
      <c r="E6840">
        <v>30.460947000000001</v>
      </c>
      <c r="F6840" t="s">
        <v>81</v>
      </c>
      <c r="G6840">
        <v>-89.810485999999997</v>
      </c>
      <c r="H6840">
        <v>1000</v>
      </c>
      <c r="I6840">
        <v>16</v>
      </c>
      <c r="J6840">
        <v>-161</v>
      </c>
      <c r="K6840">
        <v>448</v>
      </c>
      <c r="L6840">
        <v>1200</v>
      </c>
      <c r="M6840" t="str">
        <f t="shared" si="735"/>
        <v xml:space="preserve">N35DC   </v>
      </c>
      <c r="N6840">
        <v>1</v>
      </c>
      <c r="O6840">
        <v>1050</v>
      </c>
    </row>
    <row r="6841" spans="1:15" x14ac:dyDescent="0.25">
      <c r="A6841" t="str">
        <f>"10/21/2020 19:02:04.301"</f>
        <v>10/21/2020 19:02:04.301</v>
      </c>
      <c r="B6841" t="str">
        <f>"19:02:12.266"</f>
        <v>19:02:12.266</v>
      </c>
      <c r="C6841" t="str">
        <f>"19:02:11.966"</f>
        <v>19:02:11.966</v>
      </c>
      <c r="D6841" t="s">
        <v>2833</v>
      </c>
      <c r="E6841">
        <v>30.460947000000001</v>
      </c>
      <c r="F6841" t="s">
        <v>81</v>
      </c>
      <c r="G6841">
        <v>-89.810485999999997</v>
      </c>
      <c r="H6841">
        <v>1000</v>
      </c>
      <c r="I6841">
        <v>16</v>
      </c>
      <c r="J6841">
        <v>-161</v>
      </c>
      <c r="K6841">
        <v>448</v>
      </c>
      <c r="L6841">
        <v>1200</v>
      </c>
      <c r="M6841" t="str">
        <f t="shared" si="735"/>
        <v xml:space="preserve">N35DC   </v>
      </c>
      <c r="N6841">
        <v>1</v>
      </c>
      <c r="O6841">
        <v>1050</v>
      </c>
    </row>
    <row r="6842" spans="1:15" x14ac:dyDescent="0.25">
      <c r="A6842" t="str">
        <f>"10/21/2020 19:02:04.301"</f>
        <v>10/21/2020 19:02:04.301</v>
      </c>
      <c r="B6842" t="str">
        <f>"19:02:12.266"</f>
        <v>19:02:12.266</v>
      </c>
      <c r="C6842" t="str">
        <f>"19:02:11.966"</f>
        <v>19:02:11.966</v>
      </c>
      <c r="D6842" t="s">
        <v>2833</v>
      </c>
      <c r="E6842">
        <v>30.460947000000001</v>
      </c>
      <c r="F6842" t="s">
        <v>81</v>
      </c>
      <c r="G6842">
        <v>-89.810485999999997</v>
      </c>
      <c r="H6842">
        <v>1000</v>
      </c>
      <c r="I6842">
        <v>16</v>
      </c>
      <c r="J6842">
        <v>-161</v>
      </c>
      <c r="K6842">
        <v>448</v>
      </c>
      <c r="L6842">
        <v>1200</v>
      </c>
      <c r="M6842" t="str">
        <f t="shared" si="735"/>
        <v xml:space="preserve">N35DC   </v>
      </c>
      <c r="N6842">
        <v>1</v>
      </c>
      <c r="O6842">
        <v>1050</v>
      </c>
    </row>
    <row r="6843" spans="1:15" x14ac:dyDescent="0.25">
      <c r="A6843" t="str">
        <f>"10/21/2020 19:02:04.301"</f>
        <v>10/21/2020 19:02:04.301</v>
      </c>
      <c r="B6843" t="str">
        <f>"19:02:12.266"</f>
        <v>19:02:12.266</v>
      </c>
      <c r="C6843" t="str">
        <f>"19:02:11.966"</f>
        <v>19:02:11.966</v>
      </c>
      <c r="D6843" t="s">
        <v>2833</v>
      </c>
      <c r="E6843">
        <v>30.460947000000001</v>
      </c>
      <c r="F6843" t="s">
        <v>81</v>
      </c>
      <c r="G6843">
        <v>-89.810485999999997</v>
      </c>
      <c r="H6843">
        <v>1000</v>
      </c>
      <c r="I6843">
        <v>16</v>
      </c>
      <c r="J6843">
        <v>-161</v>
      </c>
      <c r="K6843">
        <v>448</v>
      </c>
      <c r="L6843">
        <v>1200</v>
      </c>
      <c r="M6843" t="str">
        <f t="shared" si="735"/>
        <v xml:space="preserve">N35DC   </v>
      </c>
      <c r="N6843">
        <v>1</v>
      </c>
      <c r="O6843">
        <v>1050</v>
      </c>
    </row>
    <row r="6844" spans="1:15" x14ac:dyDescent="0.25">
      <c r="A6844" t="str">
        <f>"10/21/2020 19:02:04.301"</f>
        <v>10/21/2020 19:02:04.301</v>
      </c>
      <c r="B6844" t="str">
        <f>"19:02:12.266"</f>
        <v>19:02:12.266</v>
      </c>
      <c r="C6844" t="str">
        <f>"19:02:11.966"</f>
        <v>19:02:11.966</v>
      </c>
      <c r="D6844" t="s">
        <v>2833</v>
      </c>
      <c r="E6844">
        <v>30.460947000000001</v>
      </c>
      <c r="F6844" t="s">
        <v>81</v>
      </c>
      <c r="G6844">
        <v>-89.810485999999997</v>
      </c>
      <c r="H6844">
        <v>1000</v>
      </c>
      <c r="I6844">
        <v>16</v>
      </c>
      <c r="J6844">
        <v>-161</v>
      </c>
      <c r="K6844">
        <v>448</v>
      </c>
      <c r="L6844">
        <v>1200</v>
      </c>
      <c r="M6844" t="str">
        <f t="shared" si="735"/>
        <v xml:space="preserve">N35DC   </v>
      </c>
      <c r="N6844">
        <v>1</v>
      </c>
      <c r="O6844">
        <v>1050</v>
      </c>
    </row>
    <row r="6845" spans="1:15" x14ac:dyDescent="0.25">
      <c r="A6845" t="str">
        <f>"10/21/2020 19:02:05.298"</f>
        <v>10/21/2020 19:02:05.298</v>
      </c>
      <c r="B6845" t="str">
        <f>"19:02:13.258"</f>
        <v>19:02:13.258</v>
      </c>
      <c r="C6845" t="str">
        <f>"19:02:12.958"</f>
        <v>19:02:12.958</v>
      </c>
      <c r="D6845" t="s">
        <v>2834</v>
      </c>
      <c r="E6845">
        <v>30.460196</v>
      </c>
      <c r="F6845" t="s">
        <v>2835</v>
      </c>
      <c r="G6845">
        <v>-89.810421000000005</v>
      </c>
      <c r="H6845">
        <v>1000</v>
      </c>
      <c r="I6845">
        <v>14</v>
      </c>
      <c r="J6845">
        <v>-161</v>
      </c>
      <c r="K6845">
        <v>384</v>
      </c>
      <c r="L6845">
        <v>1200</v>
      </c>
      <c r="M6845" t="str">
        <f t="shared" si="735"/>
        <v xml:space="preserve">N35DC   </v>
      </c>
      <c r="N6845">
        <v>1</v>
      </c>
      <c r="O6845">
        <v>1075</v>
      </c>
    </row>
    <row r="6846" spans="1:15" x14ac:dyDescent="0.25">
      <c r="A6846" t="str">
        <f>"10/21/2020 19:02:05.298"</f>
        <v>10/21/2020 19:02:05.298</v>
      </c>
      <c r="B6846" t="str">
        <f>"19:02:13.258"</f>
        <v>19:02:13.258</v>
      </c>
      <c r="C6846" t="str">
        <f>"19:02:12.958"</f>
        <v>19:02:12.958</v>
      </c>
      <c r="D6846" t="s">
        <v>2834</v>
      </c>
      <c r="E6846">
        <v>30.460196</v>
      </c>
      <c r="F6846" t="s">
        <v>2835</v>
      </c>
      <c r="G6846">
        <v>-89.810421000000005</v>
      </c>
      <c r="H6846">
        <v>1000</v>
      </c>
      <c r="I6846">
        <v>14</v>
      </c>
      <c r="J6846">
        <v>-161</v>
      </c>
      <c r="K6846">
        <v>384</v>
      </c>
      <c r="L6846">
        <v>1200</v>
      </c>
      <c r="M6846" t="str">
        <f t="shared" si="735"/>
        <v xml:space="preserve">N35DC   </v>
      </c>
      <c r="N6846">
        <v>1</v>
      </c>
      <c r="O6846">
        <v>1075</v>
      </c>
    </row>
    <row r="6847" spans="1:15" x14ac:dyDescent="0.25">
      <c r="A6847" t="str">
        <f>"10/21/2020 19:02:05.298"</f>
        <v>10/21/2020 19:02:05.298</v>
      </c>
      <c r="B6847" t="str">
        <f>"19:02:13.258"</f>
        <v>19:02:13.258</v>
      </c>
      <c r="C6847" t="str">
        <f>"19:02:12.958"</f>
        <v>19:02:12.958</v>
      </c>
      <c r="D6847" t="s">
        <v>2834</v>
      </c>
      <c r="E6847">
        <v>30.460196</v>
      </c>
      <c r="F6847" t="s">
        <v>2835</v>
      </c>
      <c r="G6847">
        <v>-89.810421000000005</v>
      </c>
      <c r="H6847">
        <v>1000</v>
      </c>
      <c r="I6847">
        <v>14</v>
      </c>
      <c r="J6847">
        <v>-161</v>
      </c>
      <c r="K6847">
        <v>384</v>
      </c>
      <c r="L6847">
        <v>1200</v>
      </c>
      <c r="M6847" t="str">
        <f t="shared" si="735"/>
        <v xml:space="preserve">N35DC   </v>
      </c>
      <c r="N6847">
        <v>1</v>
      </c>
      <c r="O6847">
        <v>1075</v>
      </c>
    </row>
    <row r="6848" spans="1:15" x14ac:dyDescent="0.25">
      <c r="A6848" t="str">
        <f>"10/21/2020 19:02:05.298"</f>
        <v>10/21/2020 19:02:05.298</v>
      </c>
      <c r="B6848" t="str">
        <f>"19:02:13.258"</f>
        <v>19:02:13.258</v>
      </c>
      <c r="C6848" t="str">
        <f>"19:02:12.958"</f>
        <v>19:02:12.958</v>
      </c>
      <c r="D6848" t="s">
        <v>2834</v>
      </c>
      <c r="E6848">
        <v>30.460196</v>
      </c>
      <c r="F6848" t="s">
        <v>2835</v>
      </c>
      <c r="G6848">
        <v>-89.810421000000005</v>
      </c>
      <c r="H6848">
        <v>1000</v>
      </c>
      <c r="I6848">
        <v>14</v>
      </c>
      <c r="J6848">
        <v>-161</v>
      </c>
      <c r="K6848">
        <v>384</v>
      </c>
      <c r="L6848">
        <v>1200</v>
      </c>
      <c r="M6848" t="str">
        <f t="shared" si="735"/>
        <v xml:space="preserve">N35DC   </v>
      </c>
      <c r="N6848">
        <v>1</v>
      </c>
      <c r="O6848">
        <v>1075</v>
      </c>
    </row>
    <row r="6849" spans="1:15" x14ac:dyDescent="0.25">
      <c r="A6849" t="str">
        <f>"10/21/2020 19:02:05.298"</f>
        <v>10/21/2020 19:02:05.298</v>
      </c>
      <c r="B6849" t="str">
        <f>"19:02:13.258"</f>
        <v>19:02:13.258</v>
      </c>
      <c r="C6849" t="str">
        <f>"19:02:12.958"</f>
        <v>19:02:12.958</v>
      </c>
      <c r="D6849" t="s">
        <v>2834</v>
      </c>
      <c r="E6849">
        <v>30.460196</v>
      </c>
      <c r="F6849" t="s">
        <v>2835</v>
      </c>
      <c r="G6849">
        <v>-89.810421000000005</v>
      </c>
      <c r="H6849">
        <v>1000</v>
      </c>
      <c r="I6849">
        <v>14</v>
      </c>
      <c r="J6849">
        <v>-161</v>
      </c>
      <c r="K6849">
        <v>384</v>
      </c>
      <c r="L6849">
        <v>1200</v>
      </c>
      <c r="M6849" t="str">
        <f t="shared" si="735"/>
        <v xml:space="preserve">N35DC   </v>
      </c>
      <c r="N6849">
        <v>1</v>
      </c>
      <c r="O6849">
        <v>1075</v>
      </c>
    </row>
    <row r="6850" spans="1:15" x14ac:dyDescent="0.25">
      <c r="A6850" t="str">
        <f>"10/21/2020 19:02:08.626"</f>
        <v>10/21/2020 19:02:08.626</v>
      </c>
      <c r="B6850" t="str">
        <f>"19:02:16.570"</f>
        <v>19:02:16.570</v>
      </c>
      <c r="C6850" t="str">
        <f>"19:02:16.170"</f>
        <v>19:02:16.170</v>
      </c>
      <c r="D6850" t="s">
        <v>2836</v>
      </c>
      <c r="E6850">
        <v>30.457727999999999</v>
      </c>
      <c r="F6850" t="s">
        <v>2837</v>
      </c>
      <c r="G6850">
        <v>-89.810314000000005</v>
      </c>
      <c r="H6850">
        <v>1100</v>
      </c>
      <c r="I6850">
        <v>4</v>
      </c>
      <c r="J6850">
        <v>-158</v>
      </c>
      <c r="K6850">
        <v>320</v>
      </c>
      <c r="L6850">
        <v>1200</v>
      </c>
      <c r="M6850" t="str">
        <f t="shared" si="735"/>
        <v xml:space="preserve">N35DC   </v>
      </c>
      <c r="N6850">
        <v>1</v>
      </c>
      <c r="O6850">
        <v>1075</v>
      </c>
    </row>
    <row r="6851" spans="1:15" x14ac:dyDescent="0.25">
      <c r="A6851" t="str">
        <f>"10/21/2020 19:02:08.626"</f>
        <v>10/21/2020 19:02:08.626</v>
      </c>
      <c r="B6851" t="str">
        <f>"19:02:16.570"</f>
        <v>19:02:16.570</v>
      </c>
      <c r="C6851" t="str">
        <f>"19:02:16.170"</f>
        <v>19:02:16.170</v>
      </c>
      <c r="D6851" t="s">
        <v>2836</v>
      </c>
      <c r="E6851">
        <v>30.457727999999999</v>
      </c>
      <c r="F6851" t="s">
        <v>2837</v>
      </c>
      <c r="G6851">
        <v>-89.810314000000005</v>
      </c>
      <c r="H6851">
        <v>1100</v>
      </c>
      <c r="I6851">
        <v>4</v>
      </c>
      <c r="J6851">
        <v>-158</v>
      </c>
      <c r="K6851">
        <v>320</v>
      </c>
      <c r="L6851">
        <v>1200</v>
      </c>
      <c r="M6851" t="str">
        <f t="shared" si="735"/>
        <v xml:space="preserve">N35DC   </v>
      </c>
      <c r="N6851">
        <v>1</v>
      </c>
      <c r="O6851">
        <v>1075</v>
      </c>
    </row>
    <row r="6852" spans="1:15" x14ac:dyDescent="0.25">
      <c r="A6852" t="str">
        <f>"10/21/2020 19:02:08.626"</f>
        <v>10/21/2020 19:02:08.626</v>
      </c>
      <c r="B6852" t="str">
        <f>"19:02:16.570"</f>
        <v>19:02:16.570</v>
      </c>
      <c r="C6852" t="str">
        <f>"19:02:16.170"</f>
        <v>19:02:16.170</v>
      </c>
      <c r="D6852" t="s">
        <v>2836</v>
      </c>
      <c r="E6852">
        <v>30.457727999999999</v>
      </c>
      <c r="F6852" t="s">
        <v>2837</v>
      </c>
      <c r="G6852">
        <v>-89.810314000000005</v>
      </c>
      <c r="H6852">
        <v>1100</v>
      </c>
      <c r="I6852">
        <v>4</v>
      </c>
      <c r="J6852">
        <v>-158</v>
      </c>
      <c r="K6852">
        <v>320</v>
      </c>
      <c r="L6852">
        <v>1200</v>
      </c>
      <c r="M6852" t="str">
        <f t="shared" si="735"/>
        <v xml:space="preserve">N35DC   </v>
      </c>
      <c r="N6852">
        <v>1</v>
      </c>
      <c r="O6852">
        <v>1075</v>
      </c>
    </row>
    <row r="6853" spans="1:15" x14ac:dyDescent="0.25">
      <c r="A6853" t="str">
        <f>"10/21/2020 19:02:08.626"</f>
        <v>10/21/2020 19:02:08.626</v>
      </c>
      <c r="B6853" t="str">
        <f>"19:02:16.570"</f>
        <v>19:02:16.570</v>
      </c>
      <c r="C6853" t="str">
        <f>"19:02:16.170"</f>
        <v>19:02:16.170</v>
      </c>
      <c r="D6853" t="s">
        <v>2836</v>
      </c>
      <c r="E6853">
        <v>30.457727999999999</v>
      </c>
      <c r="F6853" t="s">
        <v>2837</v>
      </c>
      <c r="G6853">
        <v>-89.810314000000005</v>
      </c>
      <c r="H6853">
        <v>1100</v>
      </c>
      <c r="I6853">
        <v>4</v>
      </c>
      <c r="J6853">
        <v>-158</v>
      </c>
      <c r="K6853">
        <v>320</v>
      </c>
      <c r="L6853">
        <v>1200</v>
      </c>
      <c r="M6853" t="str">
        <f t="shared" si="735"/>
        <v xml:space="preserve">N35DC   </v>
      </c>
      <c r="N6853">
        <v>1</v>
      </c>
      <c r="O6853">
        <v>1075</v>
      </c>
    </row>
    <row r="6854" spans="1:15" x14ac:dyDescent="0.25">
      <c r="A6854" t="str">
        <f>"10/21/2020 19:02:08.626"</f>
        <v>10/21/2020 19:02:08.626</v>
      </c>
      <c r="B6854" t="str">
        <f>"19:02:16.570"</f>
        <v>19:02:16.570</v>
      </c>
      <c r="C6854" t="str">
        <f>"19:02:16.170"</f>
        <v>19:02:16.170</v>
      </c>
      <c r="D6854" t="s">
        <v>2836</v>
      </c>
      <c r="E6854">
        <v>30.457727999999999</v>
      </c>
      <c r="F6854" t="s">
        <v>2837</v>
      </c>
      <c r="G6854">
        <v>-89.810314000000005</v>
      </c>
      <c r="H6854">
        <v>1100</v>
      </c>
      <c r="I6854">
        <v>4</v>
      </c>
      <c r="J6854">
        <v>-158</v>
      </c>
      <c r="K6854">
        <v>320</v>
      </c>
      <c r="L6854">
        <v>1200</v>
      </c>
      <c r="M6854" t="str">
        <f t="shared" si="735"/>
        <v xml:space="preserve">N35DC   </v>
      </c>
      <c r="N6854">
        <v>1</v>
      </c>
      <c r="O6854">
        <v>1075</v>
      </c>
    </row>
    <row r="6855" spans="1:15" x14ac:dyDescent="0.25">
      <c r="A6855" t="str">
        <f>"10/21/2020 19:02:09.559"</f>
        <v>10/21/2020 19:02:09.559</v>
      </c>
      <c r="B6855" t="str">
        <f>"19:02:17.500"</f>
        <v>19:02:17.500</v>
      </c>
      <c r="C6855" t="str">
        <f>"19:02:17.200"</f>
        <v>19:02:17.200</v>
      </c>
      <c r="D6855" t="s">
        <v>2838</v>
      </c>
      <c r="E6855">
        <v>30.457041</v>
      </c>
      <c r="F6855" t="s">
        <v>2837</v>
      </c>
      <c r="G6855">
        <v>-89.810314000000005</v>
      </c>
      <c r="H6855">
        <v>1100</v>
      </c>
      <c r="I6855">
        <v>1</v>
      </c>
      <c r="J6855">
        <v>-158</v>
      </c>
      <c r="K6855">
        <v>128</v>
      </c>
      <c r="L6855">
        <v>1200</v>
      </c>
      <c r="M6855" t="str">
        <f t="shared" ref="M6855:M6918" si="737">"N35DC   "</f>
        <v xml:space="preserve">N35DC   </v>
      </c>
      <c r="N6855">
        <v>1</v>
      </c>
      <c r="O6855">
        <v>1100</v>
      </c>
    </row>
    <row r="6856" spans="1:15" x14ac:dyDescent="0.25">
      <c r="A6856" t="str">
        <f>"10/21/2020 19:02:09.559"</f>
        <v>10/21/2020 19:02:09.559</v>
      </c>
      <c r="B6856" t="str">
        <f>"19:02:17.500"</f>
        <v>19:02:17.500</v>
      </c>
      <c r="C6856" t="str">
        <f>"19:02:17.200"</f>
        <v>19:02:17.200</v>
      </c>
      <c r="D6856" t="s">
        <v>2838</v>
      </c>
      <c r="E6856">
        <v>30.457041</v>
      </c>
      <c r="F6856" t="s">
        <v>2837</v>
      </c>
      <c r="G6856">
        <v>-89.810314000000005</v>
      </c>
      <c r="H6856">
        <v>1100</v>
      </c>
      <c r="I6856">
        <v>1</v>
      </c>
      <c r="J6856">
        <v>-158</v>
      </c>
      <c r="K6856">
        <v>128</v>
      </c>
      <c r="L6856">
        <v>1200</v>
      </c>
      <c r="M6856" t="str">
        <f t="shared" si="737"/>
        <v xml:space="preserve">N35DC   </v>
      </c>
      <c r="N6856">
        <v>1</v>
      </c>
      <c r="O6856">
        <v>1100</v>
      </c>
    </row>
    <row r="6857" spans="1:15" x14ac:dyDescent="0.25">
      <c r="A6857" t="str">
        <f>"10/21/2020 19:02:09.559"</f>
        <v>10/21/2020 19:02:09.559</v>
      </c>
      <c r="B6857" t="str">
        <f>"19:02:17.500"</f>
        <v>19:02:17.500</v>
      </c>
      <c r="C6857" t="str">
        <f>"19:02:17.200"</f>
        <v>19:02:17.200</v>
      </c>
      <c r="D6857" t="s">
        <v>2838</v>
      </c>
      <c r="E6857">
        <v>30.457041</v>
      </c>
      <c r="F6857" t="s">
        <v>2837</v>
      </c>
      <c r="G6857">
        <v>-89.810314000000005</v>
      </c>
      <c r="H6857">
        <v>1100</v>
      </c>
      <c r="I6857">
        <v>1</v>
      </c>
      <c r="J6857">
        <v>-158</v>
      </c>
      <c r="K6857">
        <v>128</v>
      </c>
      <c r="L6857">
        <v>1200</v>
      </c>
      <c r="M6857" t="str">
        <f t="shared" si="737"/>
        <v xml:space="preserve">N35DC   </v>
      </c>
      <c r="N6857">
        <v>1</v>
      </c>
      <c r="O6857">
        <v>1100</v>
      </c>
    </row>
    <row r="6858" spans="1:15" x14ac:dyDescent="0.25">
      <c r="A6858" t="str">
        <f>"10/21/2020 19:02:09.559"</f>
        <v>10/21/2020 19:02:09.559</v>
      </c>
      <c r="B6858" t="str">
        <f>"19:02:17.500"</f>
        <v>19:02:17.500</v>
      </c>
      <c r="C6858" t="str">
        <f>"19:02:17.200"</f>
        <v>19:02:17.200</v>
      </c>
      <c r="D6858" t="s">
        <v>2838</v>
      </c>
      <c r="E6858">
        <v>30.457041</v>
      </c>
      <c r="F6858" t="s">
        <v>2837</v>
      </c>
      <c r="G6858">
        <v>-89.810314000000005</v>
      </c>
      <c r="H6858">
        <v>1100</v>
      </c>
      <c r="I6858">
        <v>1</v>
      </c>
      <c r="J6858">
        <v>-158</v>
      </c>
      <c r="K6858">
        <v>128</v>
      </c>
      <c r="L6858">
        <v>1200</v>
      </c>
      <c r="M6858" t="str">
        <f t="shared" si="737"/>
        <v xml:space="preserve">N35DC   </v>
      </c>
      <c r="N6858">
        <v>1</v>
      </c>
      <c r="O6858">
        <v>1100</v>
      </c>
    </row>
    <row r="6859" spans="1:15" x14ac:dyDescent="0.25">
      <c r="A6859" t="str">
        <f>"10/21/2020 19:02:09.559"</f>
        <v>10/21/2020 19:02:09.559</v>
      </c>
      <c r="B6859" t="str">
        <f>"19:02:17.500"</f>
        <v>19:02:17.500</v>
      </c>
      <c r="C6859" t="str">
        <f>"19:02:17.200"</f>
        <v>19:02:17.200</v>
      </c>
      <c r="D6859" t="s">
        <v>2838</v>
      </c>
      <c r="E6859">
        <v>30.457041</v>
      </c>
      <c r="F6859" t="s">
        <v>2837</v>
      </c>
      <c r="G6859">
        <v>-89.810314000000005</v>
      </c>
      <c r="H6859">
        <v>1100</v>
      </c>
      <c r="I6859">
        <v>1</v>
      </c>
      <c r="J6859">
        <v>-158</v>
      </c>
      <c r="K6859">
        <v>128</v>
      </c>
      <c r="L6859">
        <v>1200</v>
      </c>
      <c r="M6859" t="str">
        <f t="shared" si="737"/>
        <v xml:space="preserve">N35DC   </v>
      </c>
      <c r="N6859">
        <v>1</v>
      </c>
      <c r="O6859">
        <v>1100</v>
      </c>
    </row>
    <row r="6860" spans="1:15" x14ac:dyDescent="0.25">
      <c r="A6860" t="str">
        <f>"10/21/2020 19:02:12.464"</f>
        <v>10/21/2020 19:02:12.464</v>
      </c>
      <c r="B6860" t="str">
        <f>"19:02:20.406"</f>
        <v>19:02:20.406</v>
      </c>
      <c r="C6860" t="str">
        <f>"19:02:20.206"</f>
        <v>19:02:20.206</v>
      </c>
      <c r="D6860" t="s">
        <v>2839</v>
      </c>
      <c r="E6860">
        <v>30.454916999999998</v>
      </c>
      <c r="F6860" t="s">
        <v>2840</v>
      </c>
      <c r="G6860">
        <v>-89.810378999999998</v>
      </c>
      <c r="H6860">
        <v>1100</v>
      </c>
      <c r="I6860">
        <v>-7</v>
      </c>
      <c r="J6860">
        <v>-157</v>
      </c>
      <c r="K6860">
        <v>-128</v>
      </c>
      <c r="L6860">
        <v>1200</v>
      </c>
      <c r="M6860" t="str">
        <f t="shared" si="737"/>
        <v xml:space="preserve">N35DC   </v>
      </c>
      <c r="N6860">
        <v>1</v>
      </c>
      <c r="O6860">
        <v>1100</v>
      </c>
    </row>
    <row r="6861" spans="1:15" x14ac:dyDescent="0.25">
      <c r="A6861" t="str">
        <f>"10/21/2020 19:02:12.464"</f>
        <v>10/21/2020 19:02:12.464</v>
      </c>
      <c r="B6861" t="str">
        <f>"19:02:20.406"</f>
        <v>19:02:20.406</v>
      </c>
      <c r="C6861" t="str">
        <f>"19:02:20.206"</f>
        <v>19:02:20.206</v>
      </c>
      <c r="D6861" t="s">
        <v>2839</v>
      </c>
      <c r="E6861">
        <v>30.454916999999998</v>
      </c>
      <c r="F6861" t="s">
        <v>2840</v>
      </c>
      <c r="G6861">
        <v>-89.810378999999998</v>
      </c>
      <c r="H6861">
        <v>1100</v>
      </c>
      <c r="I6861">
        <v>-7</v>
      </c>
      <c r="J6861">
        <v>-157</v>
      </c>
      <c r="K6861">
        <v>-128</v>
      </c>
      <c r="L6861">
        <v>1200</v>
      </c>
      <c r="M6861" t="str">
        <f t="shared" si="737"/>
        <v xml:space="preserve">N35DC   </v>
      </c>
      <c r="N6861">
        <v>1</v>
      </c>
      <c r="O6861">
        <v>1100</v>
      </c>
    </row>
    <row r="6862" spans="1:15" x14ac:dyDescent="0.25">
      <c r="A6862" t="str">
        <f>"10/21/2020 19:02:12.464"</f>
        <v>10/21/2020 19:02:12.464</v>
      </c>
      <c r="B6862" t="str">
        <f>"19:02:20.406"</f>
        <v>19:02:20.406</v>
      </c>
      <c r="C6862" t="str">
        <f>"19:02:20.206"</f>
        <v>19:02:20.206</v>
      </c>
      <c r="D6862" t="s">
        <v>2839</v>
      </c>
      <c r="E6862">
        <v>30.454916999999998</v>
      </c>
      <c r="F6862" t="s">
        <v>2840</v>
      </c>
      <c r="G6862">
        <v>-89.810378999999998</v>
      </c>
      <c r="H6862">
        <v>1100</v>
      </c>
      <c r="I6862">
        <v>-7</v>
      </c>
      <c r="J6862">
        <v>-157</v>
      </c>
      <c r="K6862">
        <v>-128</v>
      </c>
      <c r="L6862">
        <v>1200</v>
      </c>
      <c r="M6862" t="str">
        <f t="shared" si="737"/>
        <v xml:space="preserve">N35DC   </v>
      </c>
      <c r="N6862">
        <v>1</v>
      </c>
      <c r="O6862">
        <v>1100</v>
      </c>
    </row>
    <row r="6863" spans="1:15" x14ac:dyDescent="0.25">
      <c r="A6863" t="str">
        <f>"10/21/2020 19:02:12.464"</f>
        <v>10/21/2020 19:02:12.464</v>
      </c>
      <c r="B6863" t="str">
        <f>"19:02:20.406"</f>
        <v>19:02:20.406</v>
      </c>
      <c r="C6863" t="str">
        <f>"19:02:20.206"</f>
        <v>19:02:20.206</v>
      </c>
      <c r="D6863" t="s">
        <v>2839</v>
      </c>
      <c r="E6863">
        <v>30.454916999999998</v>
      </c>
      <c r="F6863" t="s">
        <v>2840</v>
      </c>
      <c r="G6863">
        <v>-89.810378999999998</v>
      </c>
      <c r="H6863">
        <v>1100</v>
      </c>
      <c r="I6863">
        <v>-7</v>
      </c>
      <c r="J6863">
        <v>-157</v>
      </c>
      <c r="K6863">
        <v>-128</v>
      </c>
      <c r="L6863">
        <v>1200</v>
      </c>
      <c r="M6863" t="str">
        <f t="shared" si="737"/>
        <v xml:space="preserve">N35DC   </v>
      </c>
      <c r="N6863">
        <v>1</v>
      </c>
      <c r="O6863">
        <v>1100</v>
      </c>
    </row>
    <row r="6864" spans="1:15" x14ac:dyDescent="0.25">
      <c r="A6864" t="str">
        <f>"10/21/2020 19:02:12.464"</f>
        <v>10/21/2020 19:02:12.464</v>
      </c>
      <c r="B6864" t="str">
        <f>"19:02:20.406"</f>
        <v>19:02:20.406</v>
      </c>
      <c r="C6864" t="str">
        <f>"19:02:20.206"</f>
        <v>19:02:20.206</v>
      </c>
      <c r="D6864" t="s">
        <v>2839</v>
      </c>
      <c r="E6864">
        <v>30.454916999999998</v>
      </c>
      <c r="F6864" t="s">
        <v>2840</v>
      </c>
      <c r="G6864">
        <v>-89.810378999999998</v>
      </c>
      <c r="H6864">
        <v>1100</v>
      </c>
      <c r="I6864">
        <v>-7</v>
      </c>
      <c r="J6864">
        <v>-157</v>
      </c>
      <c r="K6864">
        <v>-128</v>
      </c>
      <c r="L6864">
        <v>1200</v>
      </c>
      <c r="M6864" t="str">
        <f t="shared" si="737"/>
        <v xml:space="preserve">N35DC   </v>
      </c>
      <c r="N6864">
        <v>1</v>
      </c>
      <c r="O6864">
        <v>1100</v>
      </c>
    </row>
    <row r="6865" spans="1:15" x14ac:dyDescent="0.25">
      <c r="A6865" t="str">
        <f>"10/21/2020 19:02:14.026"</f>
        <v>10/21/2020 19:02:14.026</v>
      </c>
      <c r="B6865" t="str">
        <f>"19:02:21.984"</f>
        <v>19:02:21.984</v>
      </c>
      <c r="C6865" t="str">
        <f>"19:02:21.684"</f>
        <v>19:02:21.684</v>
      </c>
      <c r="D6865" t="s">
        <v>2841</v>
      </c>
      <c r="E6865">
        <v>30.453779999999998</v>
      </c>
      <c r="F6865" t="s">
        <v>81</v>
      </c>
      <c r="G6865">
        <v>-89.810485999999997</v>
      </c>
      <c r="H6865">
        <v>1000</v>
      </c>
      <c r="I6865">
        <v>-11</v>
      </c>
      <c r="J6865">
        <v>-157</v>
      </c>
      <c r="K6865">
        <v>-192</v>
      </c>
      <c r="L6865">
        <v>1200</v>
      </c>
      <c r="M6865" t="str">
        <f t="shared" si="737"/>
        <v xml:space="preserve">N35DC   </v>
      </c>
      <c r="N6865">
        <v>1</v>
      </c>
      <c r="O6865">
        <v>1075</v>
      </c>
    </row>
    <row r="6866" spans="1:15" x14ac:dyDescent="0.25">
      <c r="A6866" t="str">
        <f>"10/21/2020 19:02:14.026"</f>
        <v>10/21/2020 19:02:14.026</v>
      </c>
      <c r="B6866" t="str">
        <f>"19:02:21.984"</f>
        <v>19:02:21.984</v>
      </c>
      <c r="C6866" t="str">
        <f>"19:02:21.684"</f>
        <v>19:02:21.684</v>
      </c>
      <c r="D6866" t="s">
        <v>2841</v>
      </c>
      <c r="E6866">
        <v>30.453779999999998</v>
      </c>
      <c r="F6866" t="s">
        <v>81</v>
      </c>
      <c r="G6866">
        <v>-89.810485999999997</v>
      </c>
      <c r="H6866">
        <v>1000</v>
      </c>
      <c r="I6866">
        <v>-11</v>
      </c>
      <c r="J6866">
        <v>-157</v>
      </c>
      <c r="K6866">
        <v>-192</v>
      </c>
      <c r="L6866">
        <v>1200</v>
      </c>
      <c r="M6866" t="str">
        <f t="shared" si="737"/>
        <v xml:space="preserve">N35DC   </v>
      </c>
      <c r="N6866">
        <v>1</v>
      </c>
      <c r="O6866">
        <v>1075</v>
      </c>
    </row>
    <row r="6867" spans="1:15" x14ac:dyDescent="0.25">
      <c r="A6867" t="str">
        <f>"10/21/2020 19:02:14.026"</f>
        <v>10/21/2020 19:02:14.026</v>
      </c>
      <c r="B6867" t="str">
        <f>"19:02:21.984"</f>
        <v>19:02:21.984</v>
      </c>
      <c r="C6867" t="str">
        <f>"19:02:21.684"</f>
        <v>19:02:21.684</v>
      </c>
      <c r="D6867" t="s">
        <v>2841</v>
      </c>
      <c r="E6867">
        <v>30.453779999999998</v>
      </c>
      <c r="F6867" t="s">
        <v>81</v>
      </c>
      <c r="G6867">
        <v>-89.810485999999997</v>
      </c>
      <c r="H6867">
        <v>1000</v>
      </c>
      <c r="I6867">
        <v>-11</v>
      </c>
      <c r="J6867">
        <v>-157</v>
      </c>
      <c r="K6867">
        <v>-192</v>
      </c>
      <c r="L6867">
        <v>1200</v>
      </c>
      <c r="M6867" t="str">
        <f t="shared" si="737"/>
        <v xml:space="preserve">N35DC   </v>
      </c>
      <c r="N6867">
        <v>1</v>
      </c>
      <c r="O6867">
        <v>1075</v>
      </c>
    </row>
    <row r="6868" spans="1:15" x14ac:dyDescent="0.25">
      <c r="A6868" t="str">
        <f>"10/21/2020 19:02:14.026"</f>
        <v>10/21/2020 19:02:14.026</v>
      </c>
      <c r="B6868" t="str">
        <f>"19:02:21.984"</f>
        <v>19:02:21.984</v>
      </c>
      <c r="C6868" t="str">
        <f>"19:02:21.684"</f>
        <v>19:02:21.684</v>
      </c>
      <c r="D6868" t="s">
        <v>2841</v>
      </c>
      <c r="E6868">
        <v>30.453779999999998</v>
      </c>
      <c r="F6868" t="s">
        <v>81</v>
      </c>
      <c r="G6868">
        <v>-89.810485999999997</v>
      </c>
      <c r="H6868">
        <v>1000</v>
      </c>
      <c r="I6868">
        <v>-11</v>
      </c>
      <c r="J6868">
        <v>-157</v>
      </c>
      <c r="K6868">
        <v>-192</v>
      </c>
      <c r="L6868">
        <v>1200</v>
      </c>
      <c r="M6868" t="str">
        <f t="shared" si="737"/>
        <v xml:space="preserve">N35DC   </v>
      </c>
      <c r="N6868">
        <v>1</v>
      </c>
      <c r="O6868">
        <v>1075</v>
      </c>
    </row>
    <row r="6869" spans="1:15" x14ac:dyDescent="0.25">
      <c r="A6869" t="str">
        <f>"10/21/2020 19:02:14.026"</f>
        <v>10/21/2020 19:02:14.026</v>
      </c>
      <c r="B6869" t="str">
        <f>"19:02:21.984"</f>
        <v>19:02:21.984</v>
      </c>
      <c r="C6869" t="str">
        <f>"19:02:21.684"</f>
        <v>19:02:21.684</v>
      </c>
      <c r="D6869" t="s">
        <v>2841</v>
      </c>
      <c r="E6869">
        <v>30.453779999999998</v>
      </c>
      <c r="F6869" t="s">
        <v>81</v>
      </c>
      <c r="G6869">
        <v>-89.810485999999997</v>
      </c>
      <c r="H6869">
        <v>1000</v>
      </c>
      <c r="I6869">
        <v>-11</v>
      </c>
      <c r="J6869">
        <v>-157</v>
      </c>
      <c r="K6869">
        <v>-192</v>
      </c>
      <c r="L6869">
        <v>1200</v>
      </c>
      <c r="M6869" t="str">
        <f t="shared" si="737"/>
        <v xml:space="preserve">N35DC   </v>
      </c>
      <c r="N6869">
        <v>1</v>
      </c>
      <c r="O6869">
        <v>1075</v>
      </c>
    </row>
    <row r="6870" spans="1:15" x14ac:dyDescent="0.25">
      <c r="A6870" t="str">
        <f>"10/21/2020 19:02:16.869"</f>
        <v>10/21/2020 19:02:16.869</v>
      </c>
      <c r="B6870" t="str">
        <f t="shared" ref="B6870:C6874" si="738">"19:02:24.820"</f>
        <v>19:02:24.820</v>
      </c>
      <c r="C6870" t="str">
        <f t="shared" si="738"/>
        <v>19:02:24.820</v>
      </c>
      <c r="D6870" t="s">
        <v>2842</v>
      </c>
      <c r="E6870">
        <v>30.451720000000002</v>
      </c>
      <c r="F6870" t="s">
        <v>2832</v>
      </c>
      <c r="G6870">
        <v>-89.810699999999997</v>
      </c>
      <c r="H6870">
        <v>1000</v>
      </c>
      <c r="I6870">
        <v>-18</v>
      </c>
      <c r="J6870">
        <v>-156</v>
      </c>
      <c r="K6870">
        <v>-64</v>
      </c>
      <c r="L6870">
        <v>1200</v>
      </c>
      <c r="M6870" t="str">
        <f t="shared" si="737"/>
        <v xml:space="preserve">N35DC   </v>
      </c>
      <c r="N6870">
        <v>1</v>
      </c>
      <c r="O6870">
        <v>1075</v>
      </c>
    </row>
    <row r="6871" spans="1:15" x14ac:dyDescent="0.25">
      <c r="A6871" t="str">
        <f>"10/21/2020 19:02:16.869"</f>
        <v>10/21/2020 19:02:16.869</v>
      </c>
      <c r="B6871" t="str">
        <f t="shared" si="738"/>
        <v>19:02:24.820</v>
      </c>
      <c r="C6871" t="str">
        <f t="shared" si="738"/>
        <v>19:02:24.820</v>
      </c>
      <c r="D6871" t="s">
        <v>2842</v>
      </c>
      <c r="E6871">
        <v>30.451720000000002</v>
      </c>
      <c r="F6871" t="s">
        <v>2832</v>
      </c>
      <c r="G6871">
        <v>-89.810699999999997</v>
      </c>
      <c r="H6871">
        <v>1000</v>
      </c>
      <c r="I6871">
        <v>-18</v>
      </c>
      <c r="J6871">
        <v>-156</v>
      </c>
      <c r="K6871">
        <v>-64</v>
      </c>
      <c r="L6871">
        <v>1200</v>
      </c>
      <c r="M6871" t="str">
        <f t="shared" si="737"/>
        <v xml:space="preserve">N35DC   </v>
      </c>
      <c r="N6871">
        <v>1</v>
      </c>
      <c r="O6871">
        <v>1075</v>
      </c>
    </row>
    <row r="6872" spans="1:15" x14ac:dyDescent="0.25">
      <c r="A6872" t="str">
        <f>"10/21/2020 19:02:16.869"</f>
        <v>10/21/2020 19:02:16.869</v>
      </c>
      <c r="B6872" t="str">
        <f t="shared" si="738"/>
        <v>19:02:24.820</v>
      </c>
      <c r="C6872" t="str">
        <f t="shared" si="738"/>
        <v>19:02:24.820</v>
      </c>
      <c r="D6872" t="s">
        <v>2842</v>
      </c>
      <c r="E6872">
        <v>30.451720000000002</v>
      </c>
      <c r="F6872" t="s">
        <v>2832</v>
      </c>
      <c r="G6872">
        <v>-89.810699999999997</v>
      </c>
      <c r="H6872">
        <v>1000</v>
      </c>
      <c r="I6872">
        <v>-18</v>
      </c>
      <c r="J6872">
        <v>-156</v>
      </c>
      <c r="K6872">
        <v>-64</v>
      </c>
      <c r="L6872">
        <v>1200</v>
      </c>
      <c r="M6872" t="str">
        <f t="shared" si="737"/>
        <v xml:space="preserve">N35DC   </v>
      </c>
      <c r="N6872">
        <v>1</v>
      </c>
      <c r="O6872">
        <v>1075</v>
      </c>
    </row>
    <row r="6873" spans="1:15" x14ac:dyDescent="0.25">
      <c r="A6873" t="str">
        <f>"10/21/2020 19:02:16.869"</f>
        <v>10/21/2020 19:02:16.869</v>
      </c>
      <c r="B6873" t="str">
        <f t="shared" si="738"/>
        <v>19:02:24.820</v>
      </c>
      <c r="C6873" t="str">
        <f t="shared" si="738"/>
        <v>19:02:24.820</v>
      </c>
      <c r="D6873" t="s">
        <v>2842</v>
      </c>
      <c r="E6873">
        <v>30.451720000000002</v>
      </c>
      <c r="F6873" t="s">
        <v>2832</v>
      </c>
      <c r="G6873">
        <v>-89.810699999999997</v>
      </c>
      <c r="H6873">
        <v>1000</v>
      </c>
      <c r="I6873">
        <v>-18</v>
      </c>
      <c r="J6873">
        <v>-156</v>
      </c>
      <c r="K6873">
        <v>-64</v>
      </c>
      <c r="L6873">
        <v>1200</v>
      </c>
      <c r="M6873" t="str">
        <f t="shared" si="737"/>
        <v xml:space="preserve">N35DC   </v>
      </c>
      <c r="N6873">
        <v>1</v>
      </c>
      <c r="O6873">
        <v>1075</v>
      </c>
    </row>
    <row r="6874" spans="1:15" x14ac:dyDescent="0.25">
      <c r="A6874" t="str">
        <f>"10/21/2020 19:02:16.869"</f>
        <v>10/21/2020 19:02:16.869</v>
      </c>
      <c r="B6874" t="str">
        <f t="shared" si="738"/>
        <v>19:02:24.820</v>
      </c>
      <c r="C6874" t="str">
        <f t="shared" si="738"/>
        <v>19:02:24.820</v>
      </c>
      <c r="D6874" t="s">
        <v>2842</v>
      </c>
      <c r="E6874">
        <v>30.451720000000002</v>
      </c>
      <c r="F6874" t="s">
        <v>2832</v>
      </c>
      <c r="G6874">
        <v>-89.810699999999997</v>
      </c>
      <c r="H6874">
        <v>1000</v>
      </c>
      <c r="I6874">
        <v>-18</v>
      </c>
      <c r="J6874">
        <v>-156</v>
      </c>
      <c r="K6874">
        <v>-64</v>
      </c>
      <c r="L6874">
        <v>1200</v>
      </c>
      <c r="M6874" t="str">
        <f t="shared" si="737"/>
        <v xml:space="preserve">N35DC   </v>
      </c>
      <c r="N6874">
        <v>1</v>
      </c>
      <c r="O6874">
        <v>1075</v>
      </c>
    </row>
    <row r="6875" spans="1:15" x14ac:dyDescent="0.25">
      <c r="A6875" t="str">
        <f>"10/21/2020 19:02:17.901"</f>
        <v>10/21/2020 19:02:17.901</v>
      </c>
      <c r="B6875" t="str">
        <f>"19:02:25.867"</f>
        <v>19:02:25.867</v>
      </c>
      <c r="C6875" t="str">
        <f>"19:02:25.767"</f>
        <v>19:02:25.767</v>
      </c>
      <c r="D6875" t="s">
        <v>212</v>
      </c>
      <c r="E6875">
        <v>30.450990000000001</v>
      </c>
      <c r="F6875" t="s">
        <v>2843</v>
      </c>
      <c r="G6875">
        <v>-89.810807999999994</v>
      </c>
      <c r="H6875">
        <v>1000</v>
      </c>
      <c r="I6875">
        <v>-20</v>
      </c>
      <c r="J6875">
        <v>-155</v>
      </c>
      <c r="K6875">
        <v>-128</v>
      </c>
      <c r="L6875">
        <v>1200</v>
      </c>
      <c r="M6875" t="str">
        <f t="shared" si="737"/>
        <v xml:space="preserve">N35DC   </v>
      </c>
      <c r="N6875">
        <v>1</v>
      </c>
      <c r="O6875">
        <v>1075</v>
      </c>
    </row>
    <row r="6876" spans="1:15" x14ac:dyDescent="0.25">
      <c r="A6876" t="str">
        <f>"10/21/2020 19:02:17.901"</f>
        <v>10/21/2020 19:02:17.901</v>
      </c>
      <c r="B6876" t="str">
        <f>"19:02:25.867"</f>
        <v>19:02:25.867</v>
      </c>
      <c r="C6876" t="str">
        <f>"19:02:25.767"</f>
        <v>19:02:25.767</v>
      </c>
      <c r="D6876" t="s">
        <v>212</v>
      </c>
      <c r="E6876">
        <v>30.450990000000001</v>
      </c>
      <c r="F6876" t="s">
        <v>2843</v>
      </c>
      <c r="G6876">
        <v>-89.810807999999994</v>
      </c>
      <c r="H6876">
        <v>1000</v>
      </c>
      <c r="I6876">
        <v>-20</v>
      </c>
      <c r="J6876">
        <v>-155</v>
      </c>
      <c r="K6876">
        <v>-128</v>
      </c>
      <c r="L6876">
        <v>1200</v>
      </c>
      <c r="M6876" t="str">
        <f t="shared" si="737"/>
        <v xml:space="preserve">N35DC   </v>
      </c>
      <c r="N6876">
        <v>1</v>
      </c>
      <c r="O6876">
        <v>1075</v>
      </c>
    </row>
    <row r="6877" spans="1:15" x14ac:dyDescent="0.25">
      <c r="A6877" t="str">
        <f>"10/21/2020 19:02:17.901"</f>
        <v>10/21/2020 19:02:17.901</v>
      </c>
      <c r="B6877" t="str">
        <f>"19:02:25.867"</f>
        <v>19:02:25.867</v>
      </c>
      <c r="C6877" t="str">
        <f>"19:02:25.767"</f>
        <v>19:02:25.767</v>
      </c>
      <c r="D6877" t="s">
        <v>212</v>
      </c>
      <c r="E6877">
        <v>30.450990000000001</v>
      </c>
      <c r="F6877" t="s">
        <v>2843</v>
      </c>
      <c r="G6877">
        <v>-89.810807999999994</v>
      </c>
      <c r="H6877">
        <v>1000</v>
      </c>
      <c r="I6877">
        <v>-20</v>
      </c>
      <c r="J6877">
        <v>-155</v>
      </c>
      <c r="K6877">
        <v>-128</v>
      </c>
      <c r="L6877">
        <v>1200</v>
      </c>
      <c r="M6877" t="str">
        <f t="shared" si="737"/>
        <v xml:space="preserve">N35DC   </v>
      </c>
      <c r="N6877">
        <v>1</v>
      </c>
      <c r="O6877">
        <v>1075</v>
      </c>
    </row>
    <row r="6878" spans="1:15" x14ac:dyDescent="0.25">
      <c r="A6878" t="str">
        <f>"10/21/2020 19:02:17.901"</f>
        <v>10/21/2020 19:02:17.901</v>
      </c>
      <c r="B6878" t="str">
        <f>"19:02:25.867"</f>
        <v>19:02:25.867</v>
      </c>
      <c r="C6878" t="str">
        <f>"19:02:25.767"</f>
        <v>19:02:25.767</v>
      </c>
      <c r="D6878" t="s">
        <v>212</v>
      </c>
      <c r="E6878">
        <v>30.450990000000001</v>
      </c>
      <c r="F6878" t="s">
        <v>2843</v>
      </c>
      <c r="G6878">
        <v>-89.810807999999994</v>
      </c>
      <c r="H6878">
        <v>1000</v>
      </c>
      <c r="I6878">
        <v>-20</v>
      </c>
      <c r="J6878">
        <v>-155</v>
      </c>
      <c r="K6878">
        <v>-128</v>
      </c>
      <c r="L6878">
        <v>1200</v>
      </c>
      <c r="M6878" t="str">
        <f t="shared" si="737"/>
        <v xml:space="preserve">N35DC   </v>
      </c>
      <c r="N6878">
        <v>1</v>
      </c>
      <c r="O6878">
        <v>1075</v>
      </c>
    </row>
    <row r="6879" spans="1:15" x14ac:dyDescent="0.25">
      <c r="A6879" t="str">
        <f>"10/21/2020 19:02:17.901"</f>
        <v>10/21/2020 19:02:17.901</v>
      </c>
      <c r="B6879" t="str">
        <f>"19:02:25.867"</f>
        <v>19:02:25.867</v>
      </c>
      <c r="C6879" t="str">
        <f>"19:02:25.767"</f>
        <v>19:02:25.767</v>
      </c>
      <c r="D6879" t="s">
        <v>212</v>
      </c>
      <c r="E6879">
        <v>30.450990000000001</v>
      </c>
      <c r="F6879" t="s">
        <v>2843</v>
      </c>
      <c r="G6879">
        <v>-89.810807999999994</v>
      </c>
      <c r="H6879">
        <v>1000</v>
      </c>
      <c r="I6879">
        <v>-20</v>
      </c>
      <c r="J6879">
        <v>-155</v>
      </c>
      <c r="K6879">
        <v>-128</v>
      </c>
      <c r="L6879">
        <v>1200</v>
      </c>
      <c r="M6879" t="str">
        <f t="shared" si="737"/>
        <v xml:space="preserve">N35DC   </v>
      </c>
      <c r="N6879">
        <v>1</v>
      </c>
      <c r="O6879">
        <v>1075</v>
      </c>
    </row>
    <row r="6880" spans="1:15" x14ac:dyDescent="0.25">
      <c r="A6880" t="str">
        <f>"10/21/2020 19:02:21.017"</f>
        <v>10/21/2020 19:02:21.017</v>
      </c>
      <c r="B6880" t="str">
        <f>"19:02:28.961"</f>
        <v>19:02:28.961</v>
      </c>
      <c r="C6880" t="str">
        <f>"19:02:28.861"</f>
        <v>19:02:28.861</v>
      </c>
      <c r="D6880" t="s">
        <v>2844</v>
      </c>
      <c r="E6880">
        <v>30.448737000000001</v>
      </c>
      <c r="F6880" t="s">
        <v>2845</v>
      </c>
      <c r="G6880">
        <v>-89.811237000000006</v>
      </c>
      <c r="H6880">
        <v>1000</v>
      </c>
      <c r="I6880">
        <v>-25</v>
      </c>
      <c r="J6880">
        <v>-154</v>
      </c>
      <c r="K6880">
        <v>-128</v>
      </c>
      <c r="L6880">
        <v>1200</v>
      </c>
      <c r="M6880" t="str">
        <f t="shared" si="737"/>
        <v xml:space="preserve">N35DC   </v>
      </c>
      <c r="N6880">
        <v>1</v>
      </c>
      <c r="O6880">
        <v>1075</v>
      </c>
    </row>
    <row r="6881" spans="1:15" x14ac:dyDescent="0.25">
      <c r="A6881" t="str">
        <f>"10/21/2020 19:02:21.017"</f>
        <v>10/21/2020 19:02:21.017</v>
      </c>
      <c r="B6881" t="str">
        <f>"19:02:28.961"</f>
        <v>19:02:28.961</v>
      </c>
      <c r="C6881" t="str">
        <f>"19:02:28.861"</f>
        <v>19:02:28.861</v>
      </c>
      <c r="D6881" t="s">
        <v>2844</v>
      </c>
      <c r="E6881">
        <v>30.448737000000001</v>
      </c>
      <c r="F6881" t="s">
        <v>2845</v>
      </c>
      <c r="G6881">
        <v>-89.811237000000006</v>
      </c>
      <c r="H6881">
        <v>1000</v>
      </c>
      <c r="I6881">
        <v>-25</v>
      </c>
      <c r="J6881">
        <v>-154</v>
      </c>
      <c r="K6881">
        <v>-128</v>
      </c>
      <c r="L6881">
        <v>1200</v>
      </c>
      <c r="M6881" t="str">
        <f t="shared" si="737"/>
        <v xml:space="preserve">N35DC   </v>
      </c>
      <c r="N6881">
        <v>1</v>
      </c>
      <c r="O6881">
        <v>1075</v>
      </c>
    </row>
    <row r="6882" spans="1:15" x14ac:dyDescent="0.25">
      <c r="A6882" t="str">
        <f>"10/21/2020 19:02:21.017"</f>
        <v>10/21/2020 19:02:21.017</v>
      </c>
      <c r="B6882" t="str">
        <f>"19:02:28.961"</f>
        <v>19:02:28.961</v>
      </c>
      <c r="C6882" t="str">
        <f>"19:02:28.861"</f>
        <v>19:02:28.861</v>
      </c>
      <c r="D6882" t="s">
        <v>2844</v>
      </c>
      <c r="E6882">
        <v>30.448737000000001</v>
      </c>
      <c r="F6882" t="s">
        <v>2845</v>
      </c>
      <c r="G6882">
        <v>-89.811237000000006</v>
      </c>
      <c r="H6882">
        <v>1000</v>
      </c>
      <c r="I6882">
        <v>-25</v>
      </c>
      <c r="J6882">
        <v>-154</v>
      </c>
      <c r="K6882">
        <v>-128</v>
      </c>
      <c r="L6882">
        <v>1200</v>
      </c>
      <c r="M6882" t="str">
        <f t="shared" si="737"/>
        <v xml:space="preserve">N35DC   </v>
      </c>
      <c r="N6882">
        <v>1</v>
      </c>
      <c r="O6882">
        <v>1075</v>
      </c>
    </row>
    <row r="6883" spans="1:15" x14ac:dyDescent="0.25">
      <c r="A6883" t="str">
        <f>"10/21/2020 19:02:21.017"</f>
        <v>10/21/2020 19:02:21.017</v>
      </c>
      <c r="B6883" t="str">
        <f>"19:02:28.961"</f>
        <v>19:02:28.961</v>
      </c>
      <c r="C6883" t="str">
        <f>"19:02:28.861"</f>
        <v>19:02:28.861</v>
      </c>
      <c r="D6883" t="s">
        <v>2844</v>
      </c>
      <c r="E6883">
        <v>30.448737000000001</v>
      </c>
      <c r="F6883" t="s">
        <v>2845</v>
      </c>
      <c r="G6883">
        <v>-89.811237000000006</v>
      </c>
      <c r="H6883">
        <v>1000</v>
      </c>
      <c r="I6883">
        <v>-25</v>
      </c>
      <c r="J6883">
        <v>-154</v>
      </c>
      <c r="K6883">
        <v>-128</v>
      </c>
      <c r="L6883">
        <v>1200</v>
      </c>
      <c r="M6883" t="str">
        <f t="shared" si="737"/>
        <v xml:space="preserve">N35DC   </v>
      </c>
      <c r="N6883">
        <v>1</v>
      </c>
      <c r="O6883">
        <v>1075</v>
      </c>
    </row>
    <row r="6884" spans="1:15" x14ac:dyDescent="0.25">
      <c r="A6884" t="str">
        <f>"10/21/2020 19:02:21.017"</f>
        <v>10/21/2020 19:02:21.017</v>
      </c>
      <c r="B6884" t="str">
        <f>"19:02:28.961"</f>
        <v>19:02:28.961</v>
      </c>
      <c r="C6884" t="str">
        <f>"19:02:28.861"</f>
        <v>19:02:28.861</v>
      </c>
      <c r="D6884" t="s">
        <v>2844</v>
      </c>
      <c r="E6884">
        <v>30.448737000000001</v>
      </c>
      <c r="F6884" t="s">
        <v>2845</v>
      </c>
      <c r="G6884">
        <v>-89.811237000000006</v>
      </c>
      <c r="H6884">
        <v>1000</v>
      </c>
      <c r="I6884">
        <v>-25</v>
      </c>
      <c r="J6884">
        <v>-154</v>
      </c>
      <c r="K6884">
        <v>-128</v>
      </c>
      <c r="L6884">
        <v>1200</v>
      </c>
      <c r="M6884" t="str">
        <f t="shared" si="737"/>
        <v xml:space="preserve">N35DC   </v>
      </c>
      <c r="N6884">
        <v>1</v>
      </c>
      <c r="O6884">
        <v>1075</v>
      </c>
    </row>
    <row r="6885" spans="1:15" x14ac:dyDescent="0.25">
      <c r="A6885" t="str">
        <f>"10/21/2020 19:02:28.223"</f>
        <v>10/21/2020 19:02:28.223</v>
      </c>
      <c r="B6885" t="str">
        <f t="shared" ref="B6885:C6889" si="739">"19:02:36.156"</f>
        <v>19:02:36.156</v>
      </c>
      <c r="C6885" t="str">
        <f t="shared" si="739"/>
        <v>19:02:36.156</v>
      </c>
      <c r="D6885" t="s">
        <v>2846</v>
      </c>
      <c r="E6885">
        <v>30.443673</v>
      </c>
      <c r="F6885" t="s">
        <v>2847</v>
      </c>
      <c r="G6885">
        <v>-89.812309999999997</v>
      </c>
      <c r="H6885">
        <v>1000</v>
      </c>
      <c r="I6885">
        <v>-31</v>
      </c>
      <c r="J6885">
        <v>-151</v>
      </c>
      <c r="K6885">
        <v>192</v>
      </c>
      <c r="L6885">
        <v>1200</v>
      </c>
      <c r="M6885" t="str">
        <f t="shared" si="737"/>
        <v xml:space="preserve">N35DC   </v>
      </c>
      <c r="N6885">
        <v>1</v>
      </c>
      <c r="O6885">
        <v>1075</v>
      </c>
    </row>
    <row r="6886" spans="1:15" x14ac:dyDescent="0.25">
      <c r="A6886" t="str">
        <f>"10/21/2020 19:02:28.223"</f>
        <v>10/21/2020 19:02:28.223</v>
      </c>
      <c r="B6886" t="str">
        <f t="shared" si="739"/>
        <v>19:02:36.156</v>
      </c>
      <c r="C6886" t="str">
        <f t="shared" si="739"/>
        <v>19:02:36.156</v>
      </c>
      <c r="D6886" t="s">
        <v>2846</v>
      </c>
      <c r="E6886">
        <v>30.443673</v>
      </c>
      <c r="F6886" t="s">
        <v>2847</v>
      </c>
      <c r="G6886">
        <v>-89.812309999999997</v>
      </c>
      <c r="H6886">
        <v>1000</v>
      </c>
      <c r="I6886">
        <v>-31</v>
      </c>
      <c r="J6886">
        <v>-151</v>
      </c>
      <c r="K6886">
        <v>192</v>
      </c>
      <c r="L6886">
        <v>1200</v>
      </c>
      <c r="M6886" t="str">
        <f t="shared" si="737"/>
        <v xml:space="preserve">N35DC   </v>
      </c>
      <c r="N6886">
        <v>1</v>
      </c>
      <c r="O6886">
        <v>1075</v>
      </c>
    </row>
    <row r="6887" spans="1:15" x14ac:dyDescent="0.25">
      <c r="A6887" t="str">
        <f>"10/21/2020 19:02:28.223"</f>
        <v>10/21/2020 19:02:28.223</v>
      </c>
      <c r="B6887" t="str">
        <f t="shared" si="739"/>
        <v>19:02:36.156</v>
      </c>
      <c r="C6887" t="str">
        <f t="shared" si="739"/>
        <v>19:02:36.156</v>
      </c>
      <c r="D6887" t="s">
        <v>2846</v>
      </c>
      <c r="E6887">
        <v>30.443673</v>
      </c>
      <c r="F6887" t="s">
        <v>2847</v>
      </c>
      <c r="G6887">
        <v>-89.812309999999997</v>
      </c>
      <c r="H6887">
        <v>1000</v>
      </c>
      <c r="I6887">
        <v>-31</v>
      </c>
      <c r="J6887">
        <v>-151</v>
      </c>
      <c r="K6887">
        <v>192</v>
      </c>
      <c r="L6887">
        <v>1200</v>
      </c>
      <c r="M6887" t="str">
        <f t="shared" si="737"/>
        <v xml:space="preserve">N35DC   </v>
      </c>
      <c r="N6887">
        <v>1</v>
      </c>
      <c r="O6887">
        <v>1075</v>
      </c>
    </row>
    <row r="6888" spans="1:15" x14ac:dyDescent="0.25">
      <c r="A6888" t="str">
        <f>"10/21/2020 19:02:28.223"</f>
        <v>10/21/2020 19:02:28.223</v>
      </c>
      <c r="B6888" t="str">
        <f t="shared" si="739"/>
        <v>19:02:36.156</v>
      </c>
      <c r="C6888" t="str">
        <f t="shared" si="739"/>
        <v>19:02:36.156</v>
      </c>
      <c r="D6888" t="s">
        <v>2846</v>
      </c>
      <c r="E6888">
        <v>30.443673</v>
      </c>
      <c r="F6888" t="s">
        <v>2847</v>
      </c>
      <c r="G6888">
        <v>-89.812309999999997</v>
      </c>
      <c r="H6888">
        <v>1000</v>
      </c>
      <c r="I6888">
        <v>-31</v>
      </c>
      <c r="J6888">
        <v>-151</v>
      </c>
      <c r="K6888">
        <v>192</v>
      </c>
      <c r="L6888">
        <v>1200</v>
      </c>
      <c r="M6888" t="str">
        <f t="shared" si="737"/>
        <v xml:space="preserve">N35DC   </v>
      </c>
      <c r="N6888">
        <v>1</v>
      </c>
      <c r="O6888">
        <v>1075</v>
      </c>
    </row>
    <row r="6889" spans="1:15" x14ac:dyDescent="0.25">
      <c r="A6889" t="str">
        <f>"10/21/2020 19:02:28.223"</f>
        <v>10/21/2020 19:02:28.223</v>
      </c>
      <c r="B6889" t="str">
        <f t="shared" si="739"/>
        <v>19:02:36.156</v>
      </c>
      <c r="C6889" t="str">
        <f t="shared" si="739"/>
        <v>19:02:36.156</v>
      </c>
      <c r="D6889" t="s">
        <v>2846</v>
      </c>
      <c r="E6889">
        <v>30.443673</v>
      </c>
      <c r="F6889" t="s">
        <v>2847</v>
      </c>
      <c r="G6889">
        <v>-89.812309999999997</v>
      </c>
      <c r="H6889">
        <v>1000</v>
      </c>
      <c r="I6889">
        <v>-31</v>
      </c>
      <c r="J6889">
        <v>-151</v>
      </c>
      <c r="K6889">
        <v>192</v>
      </c>
      <c r="L6889">
        <v>1200</v>
      </c>
      <c r="M6889" t="str">
        <f t="shared" si="737"/>
        <v xml:space="preserve">N35DC   </v>
      </c>
      <c r="N6889">
        <v>1</v>
      </c>
      <c r="O6889">
        <v>1075</v>
      </c>
    </row>
    <row r="6890" spans="1:15" x14ac:dyDescent="0.25">
      <c r="A6890" t="str">
        <f>"10/21/2020 19:02:29.150"</f>
        <v>10/21/2020 19:02:29.150</v>
      </c>
      <c r="B6890" t="str">
        <f>"19:02:37.117"</f>
        <v>19:02:37.117</v>
      </c>
      <c r="C6890" t="str">
        <f>"19:02:36.717"</f>
        <v>19:02:36.717</v>
      </c>
      <c r="D6890" t="s">
        <v>2848</v>
      </c>
      <c r="E6890">
        <v>30.442965000000001</v>
      </c>
      <c r="F6890" t="s">
        <v>2849</v>
      </c>
      <c r="G6890">
        <v>-89.812460000000002</v>
      </c>
      <c r="H6890">
        <v>1000</v>
      </c>
      <c r="I6890">
        <v>-30</v>
      </c>
      <c r="J6890">
        <v>-151</v>
      </c>
      <c r="K6890">
        <v>128</v>
      </c>
      <c r="L6890">
        <v>1200</v>
      </c>
      <c r="M6890" t="str">
        <f t="shared" si="737"/>
        <v xml:space="preserve">N35DC   </v>
      </c>
      <c r="N6890">
        <v>1</v>
      </c>
      <c r="O6890">
        <v>1075</v>
      </c>
    </row>
    <row r="6891" spans="1:15" x14ac:dyDescent="0.25">
      <c r="A6891" t="str">
        <f>"10/21/2020 19:02:29.150"</f>
        <v>10/21/2020 19:02:29.150</v>
      </c>
      <c r="B6891" t="str">
        <f>"19:02:37.117"</f>
        <v>19:02:37.117</v>
      </c>
      <c r="C6891" t="str">
        <f>"19:02:36.717"</f>
        <v>19:02:36.717</v>
      </c>
      <c r="D6891" t="s">
        <v>2848</v>
      </c>
      <c r="E6891">
        <v>30.442965000000001</v>
      </c>
      <c r="F6891" t="s">
        <v>2849</v>
      </c>
      <c r="G6891">
        <v>-89.812460000000002</v>
      </c>
      <c r="H6891">
        <v>1000</v>
      </c>
      <c r="I6891">
        <v>-30</v>
      </c>
      <c r="J6891">
        <v>-151</v>
      </c>
      <c r="K6891">
        <v>128</v>
      </c>
      <c r="L6891">
        <v>1200</v>
      </c>
      <c r="M6891" t="str">
        <f t="shared" si="737"/>
        <v xml:space="preserve">N35DC   </v>
      </c>
      <c r="N6891">
        <v>1</v>
      </c>
      <c r="O6891">
        <v>1075</v>
      </c>
    </row>
    <row r="6892" spans="1:15" x14ac:dyDescent="0.25">
      <c r="A6892" t="str">
        <f>"10/21/2020 19:02:29.150"</f>
        <v>10/21/2020 19:02:29.150</v>
      </c>
      <c r="B6892" t="str">
        <f>"19:02:37.117"</f>
        <v>19:02:37.117</v>
      </c>
      <c r="C6892" t="str">
        <f>"19:02:36.717"</f>
        <v>19:02:36.717</v>
      </c>
      <c r="D6892" t="s">
        <v>2848</v>
      </c>
      <c r="E6892">
        <v>30.442965000000001</v>
      </c>
      <c r="F6892" t="s">
        <v>2849</v>
      </c>
      <c r="G6892">
        <v>-89.812460000000002</v>
      </c>
      <c r="H6892">
        <v>1000</v>
      </c>
      <c r="I6892">
        <v>-30</v>
      </c>
      <c r="J6892">
        <v>-151</v>
      </c>
      <c r="K6892">
        <v>128</v>
      </c>
      <c r="L6892">
        <v>1200</v>
      </c>
      <c r="M6892" t="str">
        <f t="shared" si="737"/>
        <v xml:space="preserve">N35DC   </v>
      </c>
      <c r="N6892">
        <v>1</v>
      </c>
      <c r="O6892">
        <v>1075</v>
      </c>
    </row>
    <row r="6893" spans="1:15" x14ac:dyDescent="0.25">
      <c r="A6893" t="str">
        <f>"10/21/2020 19:02:29.150"</f>
        <v>10/21/2020 19:02:29.150</v>
      </c>
      <c r="B6893" t="str">
        <f>"19:02:37.117"</f>
        <v>19:02:37.117</v>
      </c>
      <c r="C6893" t="str">
        <f>"19:02:36.717"</f>
        <v>19:02:36.717</v>
      </c>
      <c r="D6893" t="s">
        <v>2848</v>
      </c>
      <c r="E6893">
        <v>30.442965000000001</v>
      </c>
      <c r="F6893" t="s">
        <v>2849</v>
      </c>
      <c r="G6893">
        <v>-89.812460000000002</v>
      </c>
      <c r="H6893">
        <v>1000</v>
      </c>
      <c r="I6893">
        <v>-30</v>
      </c>
      <c r="J6893">
        <v>-151</v>
      </c>
      <c r="K6893">
        <v>128</v>
      </c>
      <c r="L6893">
        <v>1200</v>
      </c>
      <c r="M6893" t="str">
        <f t="shared" si="737"/>
        <v xml:space="preserve">N35DC   </v>
      </c>
      <c r="N6893">
        <v>1</v>
      </c>
      <c r="O6893">
        <v>1075</v>
      </c>
    </row>
    <row r="6894" spans="1:15" x14ac:dyDescent="0.25">
      <c r="A6894" t="str">
        <f>"10/21/2020 19:02:29.150"</f>
        <v>10/21/2020 19:02:29.150</v>
      </c>
      <c r="B6894" t="str">
        <f>"19:02:37.117"</f>
        <v>19:02:37.117</v>
      </c>
      <c r="C6894" t="str">
        <f>"19:02:36.717"</f>
        <v>19:02:36.717</v>
      </c>
      <c r="D6894" t="s">
        <v>2848</v>
      </c>
      <c r="E6894">
        <v>30.442965000000001</v>
      </c>
      <c r="F6894" t="s">
        <v>2849</v>
      </c>
      <c r="G6894">
        <v>-89.812460000000002</v>
      </c>
      <c r="H6894">
        <v>1000</v>
      </c>
      <c r="I6894">
        <v>-30</v>
      </c>
      <c r="J6894">
        <v>-151</v>
      </c>
      <c r="K6894">
        <v>128</v>
      </c>
      <c r="L6894">
        <v>1200</v>
      </c>
      <c r="M6894" t="str">
        <f t="shared" si="737"/>
        <v xml:space="preserve">N35DC   </v>
      </c>
      <c r="N6894">
        <v>1</v>
      </c>
      <c r="O6894">
        <v>1075</v>
      </c>
    </row>
    <row r="6895" spans="1:15" x14ac:dyDescent="0.25">
      <c r="A6895" t="str">
        <f>"10/21/2020 19:02:33.194"</f>
        <v>10/21/2020 19:02:33.194</v>
      </c>
      <c r="B6895" t="str">
        <f>"19:02:41.148"</f>
        <v>19:02:41.148</v>
      </c>
      <c r="C6895" t="str">
        <f>"19:02:41.048"</f>
        <v>19:02:41.048</v>
      </c>
      <c r="D6895" t="s">
        <v>2850</v>
      </c>
      <c r="E6895">
        <v>30.440176000000001</v>
      </c>
      <c r="F6895" t="s">
        <v>2851</v>
      </c>
      <c r="G6895">
        <v>-89.813168000000005</v>
      </c>
      <c r="H6895">
        <v>1000</v>
      </c>
      <c r="I6895">
        <v>-34</v>
      </c>
      <c r="J6895">
        <v>-149</v>
      </c>
      <c r="K6895">
        <v>0</v>
      </c>
      <c r="L6895">
        <v>1200</v>
      </c>
      <c r="M6895" t="str">
        <f t="shared" si="737"/>
        <v xml:space="preserve">N35DC   </v>
      </c>
      <c r="N6895">
        <v>1</v>
      </c>
      <c r="O6895">
        <v>1075</v>
      </c>
    </row>
    <row r="6896" spans="1:15" x14ac:dyDescent="0.25">
      <c r="A6896" t="str">
        <f>"10/21/2020 19:02:33.194"</f>
        <v>10/21/2020 19:02:33.194</v>
      </c>
      <c r="B6896" t="str">
        <f>"19:02:41.148"</f>
        <v>19:02:41.148</v>
      </c>
      <c r="C6896" t="str">
        <f>"19:02:41.048"</f>
        <v>19:02:41.048</v>
      </c>
      <c r="D6896" t="s">
        <v>2850</v>
      </c>
      <c r="E6896">
        <v>30.440176000000001</v>
      </c>
      <c r="F6896" t="s">
        <v>2851</v>
      </c>
      <c r="G6896">
        <v>-89.813168000000005</v>
      </c>
      <c r="H6896">
        <v>1000</v>
      </c>
      <c r="I6896">
        <v>-34</v>
      </c>
      <c r="J6896">
        <v>-149</v>
      </c>
      <c r="K6896">
        <v>0</v>
      </c>
      <c r="L6896">
        <v>1200</v>
      </c>
      <c r="M6896" t="str">
        <f t="shared" si="737"/>
        <v xml:space="preserve">N35DC   </v>
      </c>
      <c r="N6896">
        <v>1</v>
      </c>
      <c r="O6896">
        <v>1075</v>
      </c>
    </row>
    <row r="6897" spans="1:15" x14ac:dyDescent="0.25">
      <c r="A6897" t="str">
        <f>"10/21/2020 19:02:33.194"</f>
        <v>10/21/2020 19:02:33.194</v>
      </c>
      <c r="B6897" t="str">
        <f>"19:02:41.148"</f>
        <v>19:02:41.148</v>
      </c>
      <c r="C6897" t="str">
        <f>"19:02:41.048"</f>
        <v>19:02:41.048</v>
      </c>
      <c r="D6897" t="s">
        <v>2850</v>
      </c>
      <c r="E6897">
        <v>30.440176000000001</v>
      </c>
      <c r="F6897" t="s">
        <v>2851</v>
      </c>
      <c r="G6897">
        <v>-89.813168000000005</v>
      </c>
      <c r="H6897">
        <v>1000</v>
      </c>
      <c r="I6897">
        <v>-34</v>
      </c>
      <c r="J6897">
        <v>-149</v>
      </c>
      <c r="K6897">
        <v>0</v>
      </c>
      <c r="L6897">
        <v>1200</v>
      </c>
      <c r="M6897" t="str">
        <f t="shared" si="737"/>
        <v xml:space="preserve">N35DC   </v>
      </c>
      <c r="N6897">
        <v>1</v>
      </c>
      <c r="O6897">
        <v>1075</v>
      </c>
    </row>
    <row r="6898" spans="1:15" x14ac:dyDescent="0.25">
      <c r="A6898" t="str">
        <f>"10/21/2020 19:02:33.194"</f>
        <v>10/21/2020 19:02:33.194</v>
      </c>
      <c r="B6898" t="str">
        <f>"19:02:41.148"</f>
        <v>19:02:41.148</v>
      </c>
      <c r="C6898" t="str">
        <f>"19:02:41.048"</f>
        <v>19:02:41.048</v>
      </c>
      <c r="D6898" t="s">
        <v>2850</v>
      </c>
      <c r="E6898">
        <v>30.440176000000001</v>
      </c>
      <c r="F6898" t="s">
        <v>2851</v>
      </c>
      <c r="G6898">
        <v>-89.813168000000005</v>
      </c>
      <c r="H6898">
        <v>1000</v>
      </c>
      <c r="I6898">
        <v>-34</v>
      </c>
      <c r="J6898">
        <v>-149</v>
      </c>
      <c r="K6898">
        <v>0</v>
      </c>
      <c r="L6898">
        <v>1200</v>
      </c>
      <c r="M6898" t="str">
        <f t="shared" si="737"/>
        <v xml:space="preserve">N35DC   </v>
      </c>
      <c r="N6898">
        <v>1</v>
      </c>
      <c r="O6898">
        <v>1075</v>
      </c>
    </row>
    <row r="6899" spans="1:15" x14ac:dyDescent="0.25">
      <c r="A6899" t="str">
        <f>"10/21/2020 19:02:33.194"</f>
        <v>10/21/2020 19:02:33.194</v>
      </c>
      <c r="B6899" t="str">
        <f>"19:02:41.148"</f>
        <v>19:02:41.148</v>
      </c>
      <c r="C6899" t="str">
        <f>"19:02:41.048"</f>
        <v>19:02:41.048</v>
      </c>
      <c r="D6899" t="s">
        <v>2850</v>
      </c>
      <c r="E6899">
        <v>30.440176000000001</v>
      </c>
      <c r="F6899" t="s">
        <v>2851</v>
      </c>
      <c r="G6899">
        <v>-89.813168000000005</v>
      </c>
      <c r="H6899">
        <v>1000</v>
      </c>
      <c r="I6899">
        <v>-34</v>
      </c>
      <c r="J6899">
        <v>-149</v>
      </c>
      <c r="K6899">
        <v>0</v>
      </c>
      <c r="L6899">
        <v>1200</v>
      </c>
      <c r="M6899" t="str">
        <f t="shared" si="737"/>
        <v xml:space="preserve">N35DC   </v>
      </c>
      <c r="N6899">
        <v>1</v>
      </c>
      <c r="O6899">
        <v>1075</v>
      </c>
    </row>
    <row r="6900" spans="1:15" x14ac:dyDescent="0.25">
      <c r="A6900" t="str">
        <f>"10/21/2020 19:02:34.342"</f>
        <v>10/21/2020 19:02:34.342</v>
      </c>
      <c r="B6900" t="str">
        <f>"19:02:42.289"</f>
        <v>19:02:42.289</v>
      </c>
      <c r="C6900" t="str">
        <f>"19:02:42.089"</f>
        <v>19:02:42.089</v>
      </c>
      <c r="D6900" t="s">
        <v>2852</v>
      </c>
      <c r="E6900">
        <v>30.439381999999998</v>
      </c>
      <c r="F6900" t="s">
        <v>2853</v>
      </c>
      <c r="G6900">
        <v>-89.813404000000006</v>
      </c>
      <c r="H6900">
        <v>1000</v>
      </c>
      <c r="I6900">
        <v>-35</v>
      </c>
      <c r="J6900">
        <v>-149</v>
      </c>
      <c r="K6900">
        <v>0</v>
      </c>
      <c r="L6900">
        <v>1200</v>
      </c>
      <c r="M6900" t="str">
        <f t="shared" si="737"/>
        <v xml:space="preserve">N35DC   </v>
      </c>
      <c r="N6900">
        <v>1</v>
      </c>
      <c r="O6900">
        <v>1075</v>
      </c>
    </row>
    <row r="6901" spans="1:15" x14ac:dyDescent="0.25">
      <c r="A6901" t="str">
        <f>"10/21/2020 19:02:34.342"</f>
        <v>10/21/2020 19:02:34.342</v>
      </c>
      <c r="B6901" t="str">
        <f>"19:02:42.289"</f>
        <v>19:02:42.289</v>
      </c>
      <c r="C6901" t="str">
        <f>"19:02:42.089"</f>
        <v>19:02:42.089</v>
      </c>
      <c r="D6901" t="s">
        <v>2852</v>
      </c>
      <c r="E6901">
        <v>30.439381999999998</v>
      </c>
      <c r="F6901" t="s">
        <v>2853</v>
      </c>
      <c r="G6901">
        <v>-89.813404000000006</v>
      </c>
      <c r="H6901">
        <v>1000</v>
      </c>
      <c r="I6901">
        <v>-35</v>
      </c>
      <c r="J6901">
        <v>-149</v>
      </c>
      <c r="K6901">
        <v>0</v>
      </c>
      <c r="L6901">
        <v>1200</v>
      </c>
      <c r="M6901" t="str">
        <f t="shared" si="737"/>
        <v xml:space="preserve">N35DC   </v>
      </c>
      <c r="N6901">
        <v>1</v>
      </c>
      <c r="O6901">
        <v>1075</v>
      </c>
    </row>
    <row r="6902" spans="1:15" x14ac:dyDescent="0.25">
      <c r="A6902" t="str">
        <f>"10/21/2020 19:02:34.342"</f>
        <v>10/21/2020 19:02:34.342</v>
      </c>
      <c r="B6902" t="str">
        <f>"19:02:42.289"</f>
        <v>19:02:42.289</v>
      </c>
      <c r="C6902" t="str">
        <f>"19:02:42.089"</f>
        <v>19:02:42.089</v>
      </c>
      <c r="D6902" t="s">
        <v>2852</v>
      </c>
      <c r="E6902">
        <v>30.439381999999998</v>
      </c>
      <c r="F6902" t="s">
        <v>2853</v>
      </c>
      <c r="G6902">
        <v>-89.813404000000006</v>
      </c>
      <c r="H6902">
        <v>1000</v>
      </c>
      <c r="I6902">
        <v>-35</v>
      </c>
      <c r="J6902">
        <v>-149</v>
      </c>
      <c r="K6902">
        <v>0</v>
      </c>
      <c r="L6902">
        <v>1200</v>
      </c>
      <c r="M6902" t="str">
        <f t="shared" si="737"/>
        <v xml:space="preserve">N35DC   </v>
      </c>
      <c r="N6902">
        <v>1</v>
      </c>
      <c r="O6902">
        <v>1075</v>
      </c>
    </row>
    <row r="6903" spans="1:15" x14ac:dyDescent="0.25">
      <c r="A6903" t="str">
        <f>"10/21/2020 19:02:34.342"</f>
        <v>10/21/2020 19:02:34.342</v>
      </c>
      <c r="B6903" t="str">
        <f>"19:02:42.289"</f>
        <v>19:02:42.289</v>
      </c>
      <c r="C6903" t="str">
        <f>"19:02:42.089"</f>
        <v>19:02:42.089</v>
      </c>
      <c r="D6903" t="s">
        <v>2852</v>
      </c>
      <c r="E6903">
        <v>30.439381999999998</v>
      </c>
      <c r="F6903" t="s">
        <v>2853</v>
      </c>
      <c r="G6903">
        <v>-89.813404000000006</v>
      </c>
      <c r="H6903">
        <v>1000</v>
      </c>
      <c r="I6903">
        <v>-35</v>
      </c>
      <c r="J6903">
        <v>-149</v>
      </c>
      <c r="K6903">
        <v>0</v>
      </c>
      <c r="L6903">
        <v>1200</v>
      </c>
      <c r="M6903" t="str">
        <f t="shared" si="737"/>
        <v xml:space="preserve">N35DC   </v>
      </c>
      <c r="N6903">
        <v>1</v>
      </c>
      <c r="O6903">
        <v>1075</v>
      </c>
    </row>
    <row r="6904" spans="1:15" x14ac:dyDescent="0.25">
      <c r="A6904" t="str">
        <f>"10/21/2020 19:02:34.342"</f>
        <v>10/21/2020 19:02:34.342</v>
      </c>
      <c r="B6904" t="str">
        <f>"19:02:42.289"</f>
        <v>19:02:42.289</v>
      </c>
      <c r="C6904" t="str">
        <f>"19:02:42.089"</f>
        <v>19:02:42.089</v>
      </c>
      <c r="D6904" t="s">
        <v>2852</v>
      </c>
      <c r="E6904">
        <v>30.439381999999998</v>
      </c>
      <c r="F6904" t="s">
        <v>2853</v>
      </c>
      <c r="G6904">
        <v>-89.813404000000006</v>
      </c>
      <c r="H6904">
        <v>1000</v>
      </c>
      <c r="I6904">
        <v>-35</v>
      </c>
      <c r="J6904">
        <v>-149</v>
      </c>
      <c r="K6904">
        <v>0</v>
      </c>
      <c r="L6904">
        <v>1200</v>
      </c>
      <c r="M6904" t="str">
        <f t="shared" si="737"/>
        <v xml:space="preserve">N35DC   </v>
      </c>
      <c r="N6904">
        <v>1</v>
      </c>
      <c r="O6904">
        <v>1075</v>
      </c>
    </row>
    <row r="6905" spans="1:15" x14ac:dyDescent="0.25">
      <c r="A6905" t="str">
        <f>"10/21/2020 19:02:37.301"</f>
        <v>10/21/2020 19:02:37.301</v>
      </c>
      <c r="B6905" t="str">
        <f>"19:02:45.234"</f>
        <v>19:02:45.234</v>
      </c>
      <c r="C6905" t="str">
        <f>"19:02:44.834"</f>
        <v>19:02:44.834</v>
      </c>
      <c r="D6905" t="s">
        <v>2854</v>
      </c>
      <c r="E6905">
        <v>30.437342999999998</v>
      </c>
      <c r="F6905" t="s">
        <v>69</v>
      </c>
      <c r="G6905">
        <v>-89.813941</v>
      </c>
      <c r="H6905">
        <v>1000</v>
      </c>
      <c r="I6905">
        <v>-36</v>
      </c>
      <c r="J6905">
        <v>-148</v>
      </c>
      <c r="K6905">
        <v>-128</v>
      </c>
      <c r="L6905">
        <v>1200</v>
      </c>
      <c r="M6905" t="str">
        <f t="shared" si="737"/>
        <v xml:space="preserve">N35DC   </v>
      </c>
      <c r="N6905">
        <v>1</v>
      </c>
      <c r="O6905">
        <v>1075</v>
      </c>
    </row>
    <row r="6906" spans="1:15" x14ac:dyDescent="0.25">
      <c r="A6906" t="str">
        <f>"10/21/2020 19:02:37.301"</f>
        <v>10/21/2020 19:02:37.301</v>
      </c>
      <c r="B6906" t="str">
        <f>"19:02:45.234"</f>
        <v>19:02:45.234</v>
      </c>
      <c r="C6906" t="str">
        <f>"19:02:44.834"</f>
        <v>19:02:44.834</v>
      </c>
      <c r="D6906" t="s">
        <v>2854</v>
      </c>
      <c r="E6906">
        <v>30.437342999999998</v>
      </c>
      <c r="F6906" t="s">
        <v>69</v>
      </c>
      <c r="G6906">
        <v>-89.813941</v>
      </c>
      <c r="H6906">
        <v>1000</v>
      </c>
      <c r="I6906">
        <v>-36</v>
      </c>
      <c r="J6906">
        <v>-148</v>
      </c>
      <c r="K6906">
        <v>-128</v>
      </c>
      <c r="L6906">
        <v>1200</v>
      </c>
      <c r="M6906" t="str">
        <f t="shared" si="737"/>
        <v xml:space="preserve">N35DC   </v>
      </c>
      <c r="N6906">
        <v>1</v>
      </c>
      <c r="O6906">
        <v>1075</v>
      </c>
    </row>
    <row r="6907" spans="1:15" x14ac:dyDescent="0.25">
      <c r="A6907" t="str">
        <f>"10/21/2020 19:02:37.301"</f>
        <v>10/21/2020 19:02:37.301</v>
      </c>
      <c r="B6907" t="str">
        <f>"19:02:45.234"</f>
        <v>19:02:45.234</v>
      </c>
      <c r="C6907" t="str">
        <f>"19:02:44.834"</f>
        <v>19:02:44.834</v>
      </c>
      <c r="D6907" t="s">
        <v>2854</v>
      </c>
      <c r="E6907">
        <v>30.437342999999998</v>
      </c>
      <c r="F6907" t="s">
        <v>69</v>
      </c>
      <c r="G6907">
        <v>-89.813941</v>
      </c>
      <c r="H6907">
        <v>1000</v>
      </c>
      <c r="I6907">
        <v>-36</v>
      </c>
      <c r="J6907">
        <v>-148</v>
      </c>
      <c r="K6907">
        <v>-128</v>
      </c>
      <c r="L6907">
        <v>1200</v>
      </c>
      <c r="M6907" t="str">
        <f t="shared" si="737"/>
        <v xml:space="preserve">N35DC   </v>
      </c>
      <c r="N6907">
        <v>1</v>
      </c>
      <c r="O6907">
        <v>1075</v>
      </c>
    </row>
    <row r="6908" spans="1:15" x14ac:dyDescent="0.25">
      <c r="A6908" t="str">
        <f>"10/21/2020 19:02:37.301"</f>
        <v>10/21/2020 19:02:37.301</v>
      </c>
      <c r="B6908" t="str">
        <f>"19:02:45.234"</f>
        <v>19:02:45.234</v>
      </c>
      <c r="C6908" t="str">
        <f>"19:02:44.834"</f>
        <v>19:02:44.834</v>
      </c>
      <c r="D6908" t="s">
        <v>2854</v>
      </c>
      <c r="E6908">
        <v>30.437342999999998</v>
      </c>
      <c r="F6908" t="s">
        <v>69</v>
      </c>
      <c r="G6908">
        <v>-89.813941</v>
      </c>
      <c r="H6908">
        <v>1000</v>
      </c>
      <c r="I6908">
        <v>-36</v>
      </c>
      <c r="J6908">
        <v>-148</v>
      </c>
      <c r="K6908">
        <v>-128</v>
      </c>
      <c r="L6908">
        <v>1200</v>
      </c>
      <c r="M6908" t="str">
        <f t="shared" si="737"/>
        <v xml:space="preserve">N35DC   </v>
      </c>
      <c r="N6908">
        <v>1</v>
      </c>
      <c r="O6908">
        <v>1075</v>
      </c>
    </row>
    <row r="6909" spans="1:15" x14ac:dyDescent="0.25">
      <c r="A6909" t="str">
        <f>"10/21/2020 19:02:37.301"</f>
        <v>10/21/2020 19:02:37.301</v>
      </c>
      <c r="B6909" t="str">
        <f>"19:02:45.234"</f>
        <v>19:02:45.234</v>
      </c>
      <c r="C6909" t="str">
        <f>"19:02:44.834"</f>
        <v>19:02:44.834</v>
      </c>
      <c r="D6909" t="s">
        <v>2854</v>
      </c>
      <c r="E6909">
        <v>30.437342999999998</v>
      </c>
      <c r="F6909" t="s">
        <v>69</v>
      </c>
      <c r="G6909">
        <v>-89.813941</v>
      </c>
      <c r="H6909">
        <v>1000</v>
      </c>
      <c r="I6909">
        <v>-36</v>
      </c>
      <c r="J6909">
        <v>-148</v>
      </c>
      <c r="K6909">
        <v>-128</v>
      </c>
      <c r="L6909">
        <v>1200</v>
      </c>
      <c r="M6909" t="str">
        <f t="shared" si="737"/>
        <v xml:space="preserve">N35DC   </v>
      </c>
      <c r="N6909">
        <v>1</v>
      </c>
      <c r="O6909">
        <v>1075</v>
      </c>
    </row>
    <row r="6910" spans="1:15" x14ac:dyDescent="0.25">
      <c r="A6910" t="str">
        <f>"10/21/2020 19:02:38.150"</f>
        <v>10/21/2020 19:02:38.150</v>
      </c>
      <c r="B6910" t="str">
        <f>"19:02:46.102"</f>
        <v>19:02:46.102</v>
      </c>
      <c r="C6910" t="str">
        <f>"19:02:45.802"</f>
        <v>19:02:45.802</v>
      </c>
      <c r="D6910" t="s">
        <v>2855</v>
      </c>
      <c r="E6910">
        <v>30.436741999999999</v>
      </c>
      <c r="F6910" t="s">
        <v>2856</v>
      </c>
      <c r="G6910">
        <v>-89.814091000000005</v>
      </c>
      <c r="H6910">
        <v>1000</v>
      </c>
      <c r="I6910">
        <v>-36</v>
      </c>
      <c r="J6910">
        <v>-148</v>
      </c>
      <c r="K6910">
        <v>-128</v>
      </c>
      <c r="L6910">
        <v>1200</v>
      </c>
      <c r="M6910" t="str">
        <f t="shared" si="737"/>
        <v xml:space="preserve">N35DC   </v>
      </c>
      <c r="N6910">
        <v>1</v>
      </c>
      <c r="O6910">
        <v>1075</v>
      </c>
    </row>
    <row r="6911" spans="1:15" x14ac:dyDescent="0.25">
      <c r="A6911" t="str">
        <f>"10/21/2020 19:02:38.150"</f>
        <v>10/21/2020 19:02:38.150</v>
      </c>
      <c r="B6911" t="str">
        <f>"19:02:46.102"</f>
        <v>19:02:46.102</v>
      </c>
      <c r="C6911" t="str">
        <f>"19:02:45.802"</f>
        <v>19:02:45.802</v>
      </c>
      <c r="D6911" t="s">
        <v>2855</v>
      </c>
      <c r="E6911">
        <v>30.436741999999999</v>
      </c>
      <c r="F6911" t="s">
        <v>2856</v>
      </c>
      <c r="G6911">
        <v>-89.814091000000005</v>
      </c>
      <c r="H6911">
        <v>1000</v>
      </c>
      <c r="I6911">
        <v>-36</v>
      </c>
      <c r="J6911">
        <v>-148</v>
      </c>
      <c r="K6911">
        <v>-128</v>
      </c>
      <c r="L6911">
        <v>1200</v>
      </c>
      <c r="M6911" t="str">
        <f t="shared" si="737"/>
        <v xml:space="preserve">N35DC   </v>
      </c>
      <c r="N6911">
        <v>1</v>
      </c>
      <c r="O6911">
        <v>1075</v>
      </c>
    </row>
    <row r="6912" spans="1:15" x14ac:dyDescent="0.25">
      <c r="A6912" t="str">
        <f>"10/21/2020 19:02:38.150"</f>
        <v>10/21/2020 19:02:38.150</v>
      </c>
      <c r="B6912" t="str">
        <f>"19:02:46.102"</f>
        <v>19:02:46.102</v>
      </c>
      <c r="C6912" t="str">
        <f>"19:02:45.802"</f>
        <v>19:02:45.802</v>
      </c>
      <c r="D6912" t="s">
        <v>2855</v>
      </c>
      <c r="E6912">
        <v>30.436741999999999</v>
      </c>
      <c r="F6912" t="s">
        <v>2856</v>
      </c>
      <c r="G6912">
        <v>-89.814091000000005</v>
      </c>
      <c r="H6912">
        <v>1000</v>
      </c>
      <c r="I6912">
        <v>-36</v>
      </c>
      <c r="J6912">
        <v>-148</v>
      </c>
      <c r="K6912">
        <v>-128</v>
      </c>
      <c r="L6912">
        <v>1200</v>
      </c>
      <c r="M6912" t="str">
        <f t="shared" si="737"/>
        <v xml:space="preserve">N35DC   </v>
      </c>
      <c r="N6912">
        <v>1</v>
      </c>
      <c r="O6912">
        <v>1075</v>
      </c>
    </row>
    <row r="6913" spans="1:15" x14ac:dyDescent="0.25">
      <c r="A6913" t="str">
        <f>"10/21/2020 19:02:38.150"</f>
        <v>10/21/2020 19:02:38.150</v>
      </c>
      <c r="B6913" t="str">
        <f>"19:02:46.102"</f>
        <v>19:02:46.102</v>
      </c>
      <c r="C6913" t="str">
        <f>"19:02:45.802"</f>
        <v>19:02:45.802</v>
      </c>
      <c r="D6913" t="s">
        <v>2855</v>
      </c>
      <c r="E6913">
        <v>30.436741999999999</v>
      </c>
      <c r="F6913" t="s">
        <v>2856</v>
      </c>
      <c r="G6913">
        <v>-89.814091000000005</v>
      </c>
      <c r="H6913">
        <v>1000</v>
      </c>
      <c r="I6913">
        <v>-36</v>
      </c>
      <c r="J6913">
        <v>-148</v>
      </c>
      <c r="K6913">
        <v>-128</v>
      </c>
      <c r="L6913">
        <v>1200</v>
      </c>
      <c r="M6913" t="str">
        <f t="shared" si="737"/>
        <v xml:space="preserve">N35DC   </v>
      </c>
      <c r="N6913">
        <v>1</v>
      </c>
      <c r="O6913">
        <v>1075</v>
      </c>
    </row>
    <row r="6914" spans="1:15" x14ac:dyDescent="0.25">
      <c r="A6914" t="str">
        <f>"10/21/2020 19:02:38.150"</f>
        <v>10/21/2020 19:02:38.150</v>
      </c>
      <c r="B6914" t="str">
        <f>"19:02:46.102"</f>
        <v>19:02:46.102</v>
      </c>
      <c r="C6914" t="str">
        <f>"19:02:45.802"</f>
        <v>19:02:45.802</v>
      </c>
      <c r="D6914" t="s">
        <v>2855</v>
      </c>
      <c r="E6914">
        <v>30.436741999999999</v>
      </c>
      <c r="F6914" t="s">
        <v>2856</v>
      </c>
      <c r="G6914">
        <v>-89.814091000000005</v>
      </c>
      <c r="H6914">
        <v>1000</v>
      </c>
      <c r="I6914">
        <v>-36</v>
      </c>
      <c r="J6914">
        <v>-148</v>
      </c>
      <c r="K6914">
        <v>-128</v>
      </c>
      <c r="L6914">
        <v>1200</v>
      </c>
      <c r="M6914" t="str">
        <f t="shared" si="737"/>
        <v xml:space="preserve">N35DC   </v>
      </c>
      <c r="N6914">
        <v>1</v>
      </c>
      <c r="O6914">
        <v>1075</v>
      </c>
    </row>
    <row r="6915" spans="1:15" x14ac:dyDescent="0.25">
      <c r="A6915" t="str">
        <f>"10/21/2020 19:02:41.120"</f>
        <v>10/21/2020 19:02:41.120</v>
      </c>
      <c r="B6915" t="str">
        <f>"19:02:49.039"</f>
        <v>19:02:49.039</v>
      </c>
      <c r="C6915" t="str">
        <f>"19:02:48.839"</f>
        <v>19:02:48.839</v>
      </c>
      <c r="D6915" t="s">
        <v>182</v>
      </c>
      <c r="E6915">
        <v>30.434725</v>
      </c>
      <c r="F6915" t="s">
        <v>2857</v>
      </c>
      <c r="G6915">
        <v>-89.814712999999998</v>
      </c>
      <c r="H6915">
        <v>1000</v>
      </c>
      <c r="I6915">
        <v>-37</v>
      </c>
      <c r="J6915">
        <v>-148</v>
      </c>
      <c r="K6915">
        <v>64</v>
      </c>
      <c r="L6915">
        <v>1200</v>
      </c>
      <c r="M6915" t="str">
        <f t="shared" si="737"/>
        <v xml:space="preserve">N35DC   </v>
      </c>
      <c r="N6915">
        <v>1</v>
      </c>
      <c r="O6915">
        <v>1075</v>
      </c>
    </row>
    <row r="6916" spans="1:15" x14ac:dyDescent="0.25">
      <c r="A6916" t="str">
        <f>"10/21/2020 19:02:41.120"</f>
        <v>10/21/2020 19:02:41.120</v>
      </c>
      <c r="B6916" t="str">
        <f>"19:02:49.039"</f>
        <v>19:02:49.039</v>
      </c>
      <c r="C6916" t="str">
        <f>"19:02:48.839"</f>
        <v>19:02:48.839</v>
      </c>
      <c r="D6916" t="s">
        <v>182</v>
      </c>
      <c r="E6916">
        <v>30.434725</v>
      </c>
      <c r="F6916" t="s">
        <v>2857</v>
      </c>
      <c r="G6916">
        <v>-89.814712999999998</v>
      </c>
      <c r="H6916">
        <v>1000</v>
      </c>
      <c r="I6916">
        <v>-37</v>
      </c>
      <c r="J6916">
        <v>-148</v>
      </c>
      <c r="K6916">
        <v>64</v>
      </c>
      <c r="L6916">
        <v>1200</v>
      </c>
      <c r="M6916" t="str">
        <f t="shared" si="737"/>
        <v xml:space="preserve">N35DC   </v>
      </c>
      <c r="N6916">
        <v>1</v>
      </c>
      <c r="O6916">
        <v>1075</v>
      </c>
    </row>
    <row r="6917" spans="1:15" x14ac:dyDescent="0.25">
      <c r="A6917" t="str">
        <f>"10/21/2020 19:02:41.120"</f>
        <v>10/21/2020 19:02:41.120</v>
      </c>
      <c r="B6917" t="str">
        <f>"19:02:49.039"</f>
        <v>19:02:49.039</v>
      </c>
      <c r="C6917" t="str">
        <f>"19:02:48.839"</f>
        <v>19:02:48.839</v>
      </c>
      <c r="D6917" t="s">
        <v>182</v>
      </c>
      <c r="E6917">
        <v>30.434725</v>
      </c>
      <c r="F6917" t="s">
        <v>2857</v>
      </c>
      <c r="G6917">
        <v>-89.814712999999998</v>
      </c>
      <c r="H6917">
        <v>1000</v>
      </c>
      <c r="I6917">
        <v>-37</v>
      </c>
      <c r="J6917">
        <v>-148</v>
      </c>
      <c r="K6917">
        <v>64</v>
      </c>
      <c r="L6917">
        <v>1200</v>
      </c>
      <c r="M6917" t="str">
        <f t="shared" si="737"/>
        <v xml:space="preserve">N35DC   </v>
      </c>
      <c r="N6917">
        <v>1</v>
      </c>
      <c r="O6917">
        <v>1075</v>
      </c>
    </row>
    <row r="6918" spans="1:15" x14ac:dyDescent="0.25">
      <c r="A6918" t="str">
        <f>"10/21/2020 19:02:41.120"</f>
        <v>10/21/2020 19:02:41.120</v>
      </c>
      <c r="B6918" t="str">
        <f>"19:02:49.039"</f>
        <v>19:02:49.039</v>
      </c>
      <c r="C6918" t="str">
        <f>"19:02:48.839"</f>
        <v>19:02:48.839</v>
      </c>
      <c r="D6918" t="s">
        <v>182</v>
      </c>
      <c r="E6918">
        <v>30.434725</v>
      </c>
      <c r="F6918" t="s">
        <v>2857</v>
      </c>
      <c r="G6918">
        <v>-89.814712999999998</v>
      </c>
      <c r="H6918">
        <v>1000</v>
      </c>
      <c r="I6918">
        <v>-37</v>
      </c>
      <c r="J6918">
        <v>-148</v>
      </c>
      <c r="K6918">
        <v>64</v>
      </c>
      <c r="L6918">
        <v>1200</v>
      </c>
      <c r="M6918" t="str">
        <f t="shared" si="737"/>
        <v xml:space="preserve">N35DC   </v>
      </c>
      <c r="N6918">
        <v>1</v>
      </c>
      <c r="O6918">
        <v>1075</v>
      </c>
    </row>
    <row r="6919" spans="1:15" x14ac:dyDescent="0.25">
      <c r="A6919" t="str">
        <f>"10/21/2020 19:02:41.120"</f>
        <v>10/21/2020 19:02:41.120</v>
      </c>
      <c r="B6919" t="str">
        <f>"19:02:49.039"</f>
        <v>19:02:49.039</v>
      </c>
      <c r="C6919" t="str">
        <f>"19:02:48.839"</f>
        <v>19:02:48.839</v>
      </c>
      <c r="D6919" t="s">
        <v>182</v>
      </c>
      <c r="E6919">
        <v>30.434725</v>
      </c>
      <c r="F6919" t="s">
        <v>2857</v>
      </c>
      <c r="G6919">
        <v>-89.814712999999998</v>
      </c>
      <c r="H6919">
        <v>1000</v>
      </c>
      <c r="I6919">
        <v>-37</v>
      </c>
      <c r="J6919">
        <v>-148</v>
      </c>
      <c r="K6919">
        <v>64</v>
      </c>
      <c r="L6919">
        <v>1200</v>
      </c>
      <c r="M6919" t="str">
        <f t="shared" ref="M6919:M6982" si="740">"N35DC   "</f>
        <v xml:space="preserve">N35DC   </v>
      </c>
      <c r="N6919">
        <v>1</v>
      </c>
      <c r="O6919">
        <v>1075</v>
      </c>
    </row>
    <row r="6920" spans="1:15" x14ac:dyDescent="0.25">
      <c r="A6920" t="str">
        <f>"10/21/2020 19:02:42.187"</f>
        <v>10/21/2020 19:02:42.187</v>
      </c>
      <c r="B6920" t="str">
        <f>"19:02:50.148"</f>
        <v>19:02:50.148</v>
      </c>
      <c r="C6920" t="str">
        <f>"19:02:49.748"</f>
        <v>19:02:49.748</v>
      </c>
      <c r="D6920" t="s">
        <v>2858</v>
      </c>
      <c r="E6920">
        <v>30.433996</v>
      </c>
      <c r="F6920" t="s">
        <v>2859</v>
      </c>
      <c r="G6920">
        <v>-89.814905999999993</v>
      </c>
      <c r="H6920">
        <v>1000</v>
      </c>
      <c r="I6920">
        <v>-38</v>
      </c>
      <c r="J6920">
        <v>-148</v>
      </c>
      <c r="K6920">
        <v>64</v>
      </c>
      <c r="L6920">
        <v>1200</v>
      </c>
      <c r="M6920" t="str">
        <f t="shared" si="740"/>
        <v xml:space="preserve">N35DC   </v>
      </c>
      <c r="N6920">
        <v>1</v>
      </c>
      <c r="O6920">
        <v>1075</v>
      </c>
    </row>
    <row r="6921" spans="1:15" x14ac:dyDescent="0.25">
      <c r="A6921" t="str">
        <f>"10/21/2020 19:02:42.187"</f>
        <v>10/21/2020 19:02:42.187</v>
      </c>
      <c r="B6921" t="str">
        <f>"19:02:50.148"</f>
        <v>19:02:50.148</v>
      </c>
      <c r="C6921" t="str">
        <f>"19:02:49.748"</f>
        <v>19:02:49.748</v>
      </c>
      <c r="D6921" t="s">
        <v>2858</v>
      </c>
      <c r="E6921">
        <v>30.433996</v>
      </c>
      <c r="F6921" t="s">
        <v>2859</v>
      </c>
      <c r="G6921">
        <v>-89.814905999999993</v>
      </c>
      <c r="H6921">
        <v>1000</v>
      </c>
      <c r="I6921">
        <v>-38</v>
      </c>
      <c r="J6921">
        <v>-148</v>
      </c>
      <c r="K6921">
        <v>64</v>
      </c>
      <c r="L6921">
        <v>1200</v>
      </c>
      <c r="M6921" t="str">
        <f t="shared" si="740"/>
        <v xml:space="preserve">N35DC   </v>
      </c>
      <c r="N6921">
        <v>1</v>
      </c>
      <c r="O6921">
        <v>1075</v>
      </c>
    </row>
    <row r="6922" spans="1:15" x14ac:dyDescent="0.25">
      <c r="A6922" t="str">
        <f>"10/21/2020 19:02:42.187"</f>
        <v>10/21/2020 19:02:42.187</v>
      </c>
      <c r="B6922" t="str">
        <f>"19:02:50.148"</f>
        <v>19:02:50.148</v>
      </c>
      <c r="C6922" t="str">
        <f>"19:02:49.848"</f>
        <v>19:02:49.848</v>
      </c>
      <c r="D6922" t="s">
        <v>2858</v>
      </c>
      <c r="E6922">
        <v>30.433996</v>
      </c>
      <c r="F6922" t="s">
        <v>2859</v>
      </c>
      <c r="G6922">
        <v>-89.814905999999993</v>
      </c>
      <c r="H6922">
        <v>1000</v>
      </c>
      <c r="I6922">
        <v>-38</v>
      </c>
      <c r="J6922">
        <v>-148</v>
      </c>
      <c r="K6922">
        <v>64</v>
      </c>
      <c r="L6922">
        <v>1200</v>
      </c>
      <c r="M6922" t="str">
        <f t="shared" si="740"/>
        <v xml:space="preserve">N35DC   </v>
      </c>
      <c r="N6922">
        <v>1</v>
      </c>
      <c r="O6922">
        <v>1075</v>
      </c>
    </row>
    <row r="6923" spans="1:15" x14ac:dyDescent="0.25">
      <c r="A6923" t="str">
        <f>"10/21/2020 19:02:42.187"</f>
        <v>10/21/2020 19:02:42.187</v>
      </c>
      <c r="B6923" t="str">
        <f>"19:02:50.148"</f>
        <v>19:02:50.148</v>
      </c>
      <c r="C6923" t="str">
        <f>"19:02:49.848"</f>
        <v>19:02:49.848</v>
      </c>
      <c r="D6923" t="s">
        <v>2858</v>
      </c>
      <c r="E6923">
        <v>30.433996</v>
      </c>
      <c r="F6923" t="s">
        <v>2859</v>
      </c>
      <c r="G6923">
        <v>-89.814905999999993</v>
      </c>
      <c r="H6923">
        <v>1000</v>
      </c>
      <c r="I6923">
        <v>-38</v>
      </c>
      <c r="J6923">
        <v>-148</v>
      </c>
      <c r="K6923">
        <v>64</v>
      </c>
      <c r="L6923">
        <v>1200</v>
      </c>
      <c r="M6923" t="str">
        <f t="shared" si="740"/>
        <v xml:space="preserve">N35DC   </v>
      </c>
      <c r="N6923">
        <v>1</v>
      </c>
      <c r="O6923">
        <v>1075</v>
      </c>
    </row>
    <row r="6924" spans="1:15" x14ac:dyDescent="0.25">
      <c r="A6924" t="str">
        <f>"10/21/2020 19:02:42.187"</f>
        <v>10/21/2020 19:02:42.187</v>
      </c>
      <c r="B6924" t="str">
        <f>"19:02:50.148"</f>
        <v>19:02:50.148</v>
      </c>
      <c r="C6924" t="str">
        <f>"19:02:49.748"</f>
        <v>19:02:49.748</v>
      </c>
      <c r="D6924" t="s">
        <v>2858</v>
      </c>
      <c r="E6924">
        <v>30.433996</v>
      </c>
      <c r="F6924" t="s">
        <v>2859</v>
      </c>
      <c r="G6924">
        <v>-89.814905999999993</v>
      </c>
      <c r="H6924">
        <v>1000</v>
      </c>
      <c r="I6924">
        <v>-38</v>
      </c>
      <c r="J6924">
        <v>-148</v>
      </c>
      <c r="K6924">
        <v>64</v>
      </c>
      <c r="L6924">
        <v>1200</v>
      </c>
      <c r="M6924" t="str">
        <f t="shared" si="740"/>
        <v xml:space="preserve">N35DC   </v>
      </c>
      <c r="N6924">
        <v>1</v>
      </c>
      <c r="O6924">
        <v>1075</v>
      </c>
    </row>
    <row r="6925" spans="1:15" x14ac:dyDescent="0.25">
      <c r="A6925" t="str">
        <f>"10/21/2020 19:02:43.242"</f>
        <v>10/21/2020 19:02:43.242</v>
      </c>
      <c r="B6925" t="str">
        <f>"19:02:51.188"</f>
        <v>19:02:51.188</v>
      </c>
      <c r="C6925" t="str">
        <f>"19:02:50.788"</f>
        <v>19:02:50.788</v>
      </c>
      <c r="D6925" t="s">
        <v>2860</v>
      </c>
      <c r="E6925">
        <v>30.433266</v>
      </c>
      <c r="F6925" t="s">
        <v>2861</v>
      </c>
      <c r="G6925">
        <v>-89.815121000000005</v>
      </c>
      <c r="H6925">
        <v>1000</v>
      </c>
      <c r="I6925">
        <v>-39</v>
      </c>
      <c r="J6925">
        <v>-148</v>
      </c>
      <c r="K6925">
        <v>64</v>
      </c>
      <c r="L6925">
        <v>1200</v>
      </c>
      <c r="M6925" t="str">
        <f t="shared" si="740"/>
        <v xml:space="preserve">N35DC   </v>
      </c>
      <c r="N6925">
        <v>1</v>
      </c>
      <c r="O6925">
        <v>1075</v>
      </c>
    </row>
    <row r="6926" spans="1:15" x14ac:dyDescent="0.25">
      <c r="A6926" t="str">
        <f>"10/21/2020 19:02:43.242"</f>
        <v>10/21/2020 19:02:43.242</v>
      </c>
      <c r="B6926" t="str">
        <f>"19:02:51.188"</f>
        <v>19:02:51.188</v>
      </c>
      <c r="C6926" t="str">
        <f>"19:02:50.788"</f>
        <v>19:02:50.788</v>
      </c>
      <c r="D6926" t="s">
        <v>2860</v>
      </c>
      <c r="E6926">
        <v>30.433266</v>
      </c>
      <c r="F6926" t="s">
        <v>2861</v>
      </c>
      <c r="G6926">
        <v>-89.815121000000005</v>
      </c>
      <c r="H6926">
        <v>1000</v>
      </c>
      <c r="I6926">
        <v>-39</v>
      </c>
      <c r="J6926">
        <v>-148</v>
      </c>
      <c r="K6926">
        <v>64</v>
      </c>
      <c r="L6926">
        <v>1200</v>
      </c>
      <c r="M6926" t="str">
        <f t="shared" si="740"/>
        <v xml:space="preserve">N35DC   </v>
      </c>
      <c r="N6926">
        <v>1</v>
      </c>
      <c r="O6926">
        <v>1075</v>
      </c>
    </row>
    <row r="6927" spans="1:15" x14ac:dyDescent="0.25">
      <c r="A6927" t="str">
        <f>"10/21/2020 19:02:43.242"</f>
        <v>10/21/2020 19:02:43.242</v>
      </c>
      <c r="B6927" t="str">
        <f>"19:02:51.188"</f>
        <v>19:02:51.188</v>
      </c>
      <c r="C6927" t="str">
        <f>"19:02:50.788"</f>
        <v>19:02:50.788</v>
      </c>
      <c r="D6927" t="s">
        <v>2860</v>
      </c>
      <c r="E6927">
        <v>30.433266</v>
      </c>
      <c r="F6927" t="s">
        <v>2861</v>
      </c>
      <c r="G6927">
        <v>-89.815121000000005</v>
      </c>
      <c r="H6927">
        <v>1000</v>
      </c>
      <c r="I6927">
        <v>-39</v>
      </c>
      <c r="J6927">
        <v>-148</v>
      </c>
      <c r="K6927">
        <v>64</v>
      </c>
      <c r="L6927">
        <v>1200</v>
      </c>
      <c r="M6927" t="str">
        <f t="shared" si="740"/>
        <v xml:space="preserve">N35DC   </v>
      </c>
      <c r="N6927">
        <v>1</v>
      </c>
      <c r="O6927">
        <v>1075</v>
      </c>
    </row>
    <row r="6928" spans="1:15" x14ac:dyDescent="0.25">
      <c r="A6928" t="str">
        <f>"10/21/2020 19:02:43.242"</f>
        <v>10/21/2020 19:02:43.242</v>
      </c>
      <c r="B6928" t="str">
        <f>"19:02:51.188"</f>
        <v>19:02:51.188</v>
      </c>
      <c r="C6928" t="str">
        <f>"19:02:50.788"</f>
        <v>19:02:50.788</v>
      </c>
      <c r="D6928" t="s">
        <v>2860</v>
      </c>
      <c r="E6928">
        <v>30.433266</v>
      </c>
      <c r="F6928" t="s">
        <v>2861</v>
      </c>
      <c r="G6928">
        <v>-89.815121000000005</v>
      </c>
      <c r="H6928">
        <v>1000</v>
      </c>
      <c r="I6928">
        <v>-39</v>
      </c>
      <c r="J6928">
        <v>-148</v>
      </c>
      <c r="K6928">
        <v>64</v>
      </c>
      <c r="L6928">
        <v>1200</v>
      </c>
      <c r="M6928" t="str">
        <f t="shared" si="740"/>
        <v xml:space="preserve">N35DC   </v>
      </c>
      <c r="N6928">
        <v>1</v>
      </c>
      <c r="O6928">
        <v>1075</v>
      </c>
    </row>
    <row r="6929" spans="1:15" x14ac:dyDescent="0.25">
      <c r="A6929" t="str">
        <f>"10/21/2020 19:02:43.242"</f>
        <v>10/21/2020 19:02:43.242</v>
      </c>
      <c r="B6929" t="str">
        <f>"19:02:51.188"</f>
        <v>19:02:51.188</v>
      </c>
      <c r="C6929" t="str">
        <f>"19:02:50.788"</f>
        <v>19:02:50.788</v>
      </c>
      <c r="D6929" t="s">
        <v>2860</v>
      </c>
      <c r="E6929">
        <v>30.433266</v>
      </c>
      <c r="F6929" t="s">
        <v>2861</v>
      </c>
      <c r="G6929">
        <v>-89.815121000000005</v>
      </c>
      <c r="H6929">
        <v>1000</v>
      </c>
      <c r="I6929">
        <v>-39</v>
      </c>
      <c r="J6929">
        <v>-148</v>
      </c>
      <c r="K6929">
        <v>64</v>
      </c>
      <c r="L6929">
        <v>1200</v>
      </c>
      <c r="M6929" t="str">
        <f t="shared" si="740"/>
        <v xml:space="preserve">N35DC   </v>
      </c>
      <c r="N6929">
        <v>1</v>
      </c>
      <c r="O6929">
        <v>1075</v>
      </c>
    </row>
    <row r="6930" spans="1:15" x14ac:dyDescent="0.25">
      <c r="A6930" t="str">
        <f>"10/21/2020 19:02:46.369"</f>
        <v>10/21/2020 19:02:46.369</v>
      </c>
      <c r="B6930" t="str">
        <f>"19:02:54.320"</f>
        <v>19:02:54.320</v>
      </c>
      <c r="C6930" t="str">
        <f>"19:02:53.820"</f>
        <v>19:02:53.820</v>
      </c>
      <c r="D6930" t="s">
        <v>2862</v>
      </c>
      <c r="E6930">
        <v>30.431099</v>
      </c>
      <c r="F6930" t="s">
        <v>2863</v>
      </c>
      <c r="G6930">
        <v>-89.815807000000007</v>
      </c>
      <c r="H6930">
        <v>1100</v>
      </c>
      <c r="I6930">
        <v>-40</v>
      </c>
      <c r="J6930">
        <v>-149</v>
      </c>
      <c r="K6930">
        <v>128</v>
      </c>
      <c r="L6930">
        <v>1200</v>
      </c>
      <c r="M6930" t="str">
        <f t="shared" si="740"/>
        <v xml:space="preserve">N35DC   </v>
      </c>
      <c r="N6930">
        <v>1</v>
      </c>
      <c r="O6930">
        <v>975</v>
      </c>
    </row>
    <row r="6931" spans="1:15" x14ac:dyDescent="0.25">
      <c r="A6931" t="str">
        <f>"10/21/2020 19:02:46.369"</f>
        <v>10/21/2020 19:02:46.369</v>
      </c>
      <c r="B6931" t="str">
        <f>"19:02:54.320"</f>
        <v>19:02:54.320</v>
      </c>
      <c r="C6931" t="str">
        <f>"19:02:53.820"</f>
        <v>19:02:53.820</v>
      </c>
      <c r="D6931" t="s">
        <v>2862</v>
      </c>
      <c r="E6931">
        <v>30.431099</v>
      </c>
      <c r="F6931" t="s">
        <v>2863</v>
      </c>
      <c r="G6931">
        <v>-89.815807000000007</v>
      </c>
      <c r="H6931">
        <v>1100</v>
      </c>
      <c r="I6931">
        <v>-40</v>
      </c>
      <c r="J6931">
        <v>-149</v>
      </c>
      <c r="K6931">
        <v>128</v>
      </c>
      <c r="L6931">
        <v>1200</v>
      </c>
      <c r="M6931" t="str">
        <f t="shared" si="740"/>
        <v xml:space="preserve">N35DC   </v>
      </c>
      <c r="N6931">
        <v>1</v>
      </c>
      <c r="O6931">
        <v>975</v>
      </c>
    </row>
    <row r="6932" spans="1:15" x14ac:dyDescent="0.25">
      <c r="A6932" t="str">
        <f>"10/21/2020 19:02:46.369"</f>
        <v>10/21/2020 19:02:46.369</v>
      </c>
      <c r="B6932" t="str">
        <f>"19:02:54.320"</f>
        <v>19:02:54.320</v>
      </c>
      <c r="C6932" t="str">
        <f>"19:02:53.820"</f>
        <v>19:02:53.820</v>
      </c>
      <c r="D6932" t="s">
        <v>2862</v>
      </c>
      <c r="E6932">
        <v>30.431099</v>
      </c>
      <c r="F6932" t="s">
        <v>2863</v>
      </c>
      <c r="G6932">
        <v>-89.815807000000007</v>
      </c>
      <c r="H6932">
        <v>1100</v>
      </c>
      <c r="I6932">
        <v>-40</v>
      </c>
      <c r="J6932">
        <v>-149</v>
      </c>
      <c r="K6932">
        <v>128</v>
      </c>
      <c r="L6932">
        <v>1200</v>
      </c>
      <c r="M6932" t="str">
        <f t="shared" si="740"/>
        <v xml:space="preserve">N35DC   </v>
      </c>
      <c r="N6932">
        <v>1</v>
      </c>
      <c r="O6932">
        <v>975</v>
      </c>
    </row>
    <row r="6933" spans="1:15" x14ac:dyDescent="0.25">
      <c r="A6933" t="str">
        <f>"10/21/2020 19:02:46.369"</f>
        <v>10/21/2020 19:02:46.369</v>
      </c>
      <c r="B6933" t="str">
        <f>"19:02:54.320"</f>
        <v>19:02:54.320</v>
      </c>
      <c r="C6933" t="str">
        <f>"19:02:53.820"</f>
        <v>19:02:53.820</v>
      </c>
      <c r="D6933" t="s">
        <v>2862</v>
      </c>
      <c r="E6933">
        <v>30.431099</v>
      </c>
      <c r="F6933" t="s">
        <v>2863</v>
      </c>
      <c r="G6933">
        <v>-89.815807000000007</v>
      </c>
      <c r="H6933">
        <v>1100</v>
      </c>
      <c r="I6933">
        <v>-40</v>
      </c>
      <c r="J6933">
        <v>-149</v>
      </c>
      <c r="K6933">
        <v>128</v>
      </c>
      <c r="L6933">
        <v>1200</v>
      </c>
      <c r="M6933" t="str">
        <f t="shared" si="740"/>
        <v xml:space="preserve">N35DC   </v>
      </c>
      <c r="N6933">
        <v>1</v>
      </c>
      <c r="O6933">
        <v>975</v>
      </c>
    </row>
    <row r="6934" spans="1:15" x14ac:dyDescent="0.25">
      <c r="A6934" t="str">
        <f>"10/21/2020 19:02:46.369"</f>
        <v>10/21/2020 19:02:46.369</v>
      </c>
      <c r="B6934" t="str">
        <f>"19:02:54.320"</f>
        <v>19:02:54.320</v>
      </c>
      <c r="C6934" t="str">
        <f>"19:02:53.820"</f>
        <v>19:02:53.820</v>
      </c>
      <c r="D6934" t="s">
        <v>2862</v>
      </c>
      <c r="E6934">
        <v>30.431099</v>
      </c>
      <c r="F6934" t="s">
        <v>2863</v>
      </c>
      <c r="G6934">
        <v>-89.815807000000007</v>
      </c>
      <c r="H6934">
        <v>1100</v>
      </c>
      <c r="I6934">
        <v>-40</v>
      </c>
      <c r="J6934">
        <v>-149</v>
      </c>
      <c r="K6934">
        <v>128</v>
      </c>
      <c r="L6934">
        <v>1200</v>
      </c>
      <c r="M6934" t="str">
        <f t="shared" si="740"/>
        <v xml:space="preserve">N35DC   </v>
      </c>
      <c r="N6934">
        <v>1</v>
      </c>
      <c r="O6934">
        <v>975</v>
      </c>
    </row>
    <row r="6935" spans="1:15" x14ac:dyDescent="0.25">
      <c r="A6935" t="str">
        <f>"10/21/2020 19:02:49.136"</f>
        <v>10/21/2020 19:02:49.136</v>
      </c>
      <c r="B6935" t="str">
        <f>"19:02:57.094"</f>
        <v>19:02:57.094</v>
      </c>
      <c r="C6935" t="str">
        <f>"19:02:56.394"</f>
        <v>19:02:56.394</v>
      </c>
      <c r="D6935" t="s">
        <v>2864</v>
      </c>
      <c r="E6935">
        <v>30.429189000000001</v>
      </c>
      <c r="F6935" t="s">
        <v>2865</v>
      </c>
      <c r="G6935">
        <v>-89.816407999999996</v>
      </c>
      <c r="H6935">
        <v>1100</v>
      </c>
      <c r="I6935">
        <v>-41</v>
      </c>
      <c r="J6935">
        <v>-149</v>
      </c>
      <c r="K6935">
        <v>128</v>
      </c>
      <c r="L6935">
        <v>1200</v>
      </c>
      <c r="M6935" t="str">
        <f t="shared" si="740"/>
        <v xml:space="preserve">N35DC   </v>
      </c>
      <c r="N6935">
        <v>1</v>
      </c>
      <c r="O6935">
        <v>1100</v>
      </c>
    </row>
    <row r="6936" spans="1:15" x14ac:dyDescent="0.25">
      <c r="A6936" t="str">
        <f>"10/21/2020 19:02:49.136"</f>
        <v>10/21/2020 19:02:49.136</v>
      </c>
      <c r="B6936" t="str">
        <f>"19:02:57.094"</f>
        <v>19:02:57.094</v>
      </c>
      <c r="C6936" t="str">
        <f>"19:02:56.394"</f>
        <v>19:02:56.394</v>
      </c>
      <c r="D6936" t="s">
        <v>2864</v>
      </c>
      <c r="E6936">
        <v>30.429189000000001</v>
      </c>
      <c r="F6936" t="s">
        <v>2865</v>
      </c>
      <c r="G6936">
        <v>-89.816407999999996</v>
      </c>
      <c r="H6936">
        <v>1100</v>
      </c>
      <c r="I6936">
        <v>-41</v>
      </c>
      <c r="J6936">
        <v>-149</v>
      </c>
      <c r="K6936">
        <v>128</v>
      </c>
      <c r="L6936">
        <v>1200</v>
      </c>
      <c r="M6936" t="str">
        <f t="shared" si="740"/>
        <v xml:space="preserve">N35DC   </v>
      </c>
      <c r="N6936">
        <v>1</v>
      </c>
      <c r="O6936">
        <v>1100</v>
      </c>
    </row>
    <row r="6937" spans="1:15" x14ac:dyDescent="0.25">
      <c r="A6937" t="str">
        <f>"10/21/2020 19:02:49.136"</f>
        <v>10/21/2020 19:02:49.136</v>
      </c>
      <c r="B6937" t="str">
        <f>"19:02:57.094"</f>
        <v>19:02:57.094</v>
      </c>
      <c r="C6937" t="str">
        <f>"19:02:56.394"</f>
        <v>19:02:56.394</v>
      </c>
      <c r="D6937" t="s">
        <v>2864</v>
      </c>
      <c r="E6937">
        <v>30.429189000000001</v>
      </c>
      <c r="F6937" t="s">
        <v>2865</v>
      </c>
      <c r="G6937">
        <v>-89.816407999999996</v>
      </c>
      <c r="H6937">
        <v>1100</v>
      </c>
      <c r="I6937">
        <v>-41</v>
      </c>
      <c r="J6937">
        <v>-149</v>
      </c>
      <c r="K6937">
        <v>128</v>
      </c>
      <c r="L6937">
        <v>1200</v>
      </c>
      <c r="M6937" t="str">
        <f t="shared" si="740"/>
        <v xml:space="preserve">N35DC   </v>
      </c>
      <c r="N6937">
        <v>1</v>
      </c>
      <c r="O6937">
        <v>1100</v>
      </c>
    </row>
    <row r="6938" spans="1:15" x14ac:dyDescent="0.25">
      <c r="A6938" t="str">
        <f>"10/21/2020 19:02:49.136"</f>
        <v>10/21/2020 19:02:49.136</v>
      </c>
      <c r="B6938" t="str">
        <f>"19:02:57.094"</f>
        <v>19:02:57.094</v>
      </c>
      <c r="C6938" t="str">
        <f>"19:02:56.394"</f>
        <v>19:02:56.394</v>
      </c>
      <c r="D6938" t="s">
        <v>2864</v>
      </c>
      <c r="E6938">
        <v>30.429189000000001</v>
      </c>
      <c r="F6938" t="s">
        <v>2865</v>
      </c>
      <c r="G6938">
        <v>-89.816407999999996</v>
      </c>
      <c r="H6938">
        <v>1100</v>
      </c>
      <c r="I6938">
        <v>-41</v>
      </c>
      <c r="J6938">
        <v>-149</v>
      </c>
      <c r="K6938">
        <v>128</v>
      </c>
      <c r="L6938">
        <v>1200</v>
      </c>
      <c r="M6938" t="str">
        <f t="shared" si="740"/>
        <v xml:space="preserve">N35DC   </v>
      </c>
      <c r="N6938">
        <v>1</v>
      </c>
      <c r="O6938">
        <v>1100</v>
      </c>
    </row>
    <row r="6939" spans="1:15" x14ac:dyDescent="0.25">
      <c r="A6939" t="str">
        <f>"10/21/2020 19:02:52.104"</f>
        <v>10/21/2020 19:02:52.104</v>
      </c>
      <c r="B6939" t="str">
        <f t="shared" ref="B6939:C6943" si="741">"19:03:00.063"</f>
        <v>19:03:00.063</v>
      </c>
      <c r="C6939" t="str">
        <f t="shared" si="741"/>
        <v>19:03:00.063</v>
      </c>
      <c r="D6939" t="s">
        <v>2866</v>
      </c>
      <c r="E6939">
        <v>30.427129000000001</v>
      </c>
      <c r="F6939" t="s">
        <v>2867</v>
      </c>
      <c r="G6939">
        <v>-89.817052000000004</v>
      </c>
      <c r="H6939">
        <v>1100</v>
      </c>
      <c r="I6939">
        <v>-39</v>
      </c>
      <c r="J6939">
        <v>-149</v>
      </c>
      <c r="K6939">
        <v>64</v>
      </c>
      <c r="L6939">
        <v>1200</v>
      </c>
      <c r="M6939" t="str">
        <f t="shared" si="740"/>
        <v xml:space="preserve">N35DC   </v>
      </c>
      <c r="N6939">
        <v>1</v>
      </c>
      <c r="O6939">
        <v>1100</v>
      </c>
    </row>
    <row r="6940" spans="1:15" x14ac:dyDescent="0.25">
      <c r="A6940" t="str">
        <f>"10/21/2020 19:02:52.104"</f>
        <v>10/21/2020 19:02:52.104</v>
      </c>
      <c r="B6940" t="str">
        <f t="shared" si="741"/>
        <v>19:03:00.063</v>
      </c>
      <c r="C6940" t="str">
        <f t="shared" si="741"/>
        <v>19:03:00.063</v>
      </c>
      <c r="D6940" t="s">
        <v>2866</v>
      </c>
      <c r="E6940">
        <v>30.427129000000001</v>
      </c>
      <c r="F6940" t="s">
        <v>2867</v>
      </c>
      <c r="G6940">
        <v>-89.817052000000004</v>
      </c>
      <c r="H6940">
        <v>1100</v>
      </c>
      <c r="I6940">
        <v>-39</v>
      </c>
      <c r="J6940">
        <v>-149</v>
      </c>
      <c r="K6940">
        <v>64</v>
      </c>
      <c r="L6940">
        <v>1200</v>
      </c>
      <c r="M6940" t="str">
        <f t="shared" si="740"/>
        <v xml:space="preserve">N35DC   </v>
      </c>
      <c r="N6940">
        <v>1</v>
      </c>
      <c r="O6940">
        <v>1100</v>
      </c>
    </row>
    <row r="6941" spans="1:15" x14ac:dyDescent="0.25">
      <c r="A6941" t="str">
        <f>"10/21/2020 19:02:52.104"</f>
        <v>10/21/2020 19:02:52.104</v>
      </c>
      <c r="B6941" t="str">
        <f t="shared" si="741"/>
        <v>19:03:00.063</v>
      </c>
      <c r="C6941" t="str">
        <f t="shared" si="741"/>
        <v>19:03:00.063</v>
      </c>
      <c r="D6941" t="s">
        <v>2866</v>
      </c>
      <c r="E6941">
        <v>30.427129000000001</v>
      </c>
      <c r="F6941" t="s">
        <v>2867</v>
      </c>
      <c r="G6941">
        <v>-89.817052000000004</v>
      </c>
      <c r="H6941">
        <v>1100</v>
      </c>
      <c r="I6941">
        <v>-39</v>
      </c>
      <c r="J6941">
        <v>-149</v>
      </c>
      <c r="K6941">
        <v>64</v>
      </c>
      <c r="L6941">
        <v>1200</v>
      </c>
      <c r="M6941" t="str">
        <f t="shared" si="740"/>
        <v xml:space="preserve">N35DC   </v>
      </c>
      <c r="N6941">
        <v>1</v>
      </c>
      <c r="O6941">
        <v>1100</v>
      </c>
    </row>
    <row r="6942" spans="1:15" x14ac:dyDescent="0.25">
      <c r="A6942" t="str">
        <f>"10/21/2020 19:02:52.104"</f>
        <v>10/21/2020 19:02:52.104</v>
      </c>
      <c r="B6942" t="str">
        <f t="shared" si="741"/>
        <v>19:03:00.063</v>
      </c>
      <c r="C6942" t="str">
        <f t="shared" si="741"/>
        <v>19:03:00.063</v>
      </c>
      <c r="D6942" t="s">
        <v>2866</v>
      </c>
      <c r="E6942">
        <v>30.427129000000001</v>
      </c>
      <c r="F6942" t="s">
        <v>2867</v>
      </c>
      <c r="G6942">
        <v>-89.817052000000004</v>
      </c>
      <c r="H6942">
        <v>1100</v>
      </c>
      <c r="I6942">
        <v>-39</v>
      </c>
      <c r="J6942">
        <v>-149</v>
      </c>
      <c r="K6942">
        <v>64</v>
      </c>
      <c r="L6942">
        <v>1200</v>
      </c>
      <c r="M6942" t="str">
        <f t="shared" si="740"/>
        <v xml:space="preserve">N35DC   </v>
      </c>
      <c r="N6942">
        <v>1</v>
      </c>
      <c r="O6942">
        <v>1100</v>
      </c>
    </row>
    <row r="6943" spans="1:15" x14ac:dyDescent="0.25">
      <c r="A6943" t="str">
        <f>"10/21/2020 19:02:52.104"</f>
        <v>10/21/2020 19:02:52.104</v>
      </c>
      <c r="B6943" t="str">
        <f t="shared" si="741"/>
        <v>19:03:00.063</v>
      </c>
      <c r="C6943" t="str">
        <f t="shared" si="741"/>
        <v>19:03:00.063</v>
      </c>
      <c r="D6943" t="s">
        <v>2866</v>
      </c>
      <c r="E6943">
        <v>30.427129000000001</v>
      </c>
      <c r="F6943" t="s">
        <v>2867</v>
      </c>
      <c r="G6943">
        <v>-89.817052000000004</v>
      </c>
      <c r="H6943">
        <v>1100</v>
      </c>
      <c r="I6943">
        <v>-39</v>
      </c>
      <c r="J6943">
        <v>-149</v>
      </c>
      <c r="K6943">
        <v>64</v>
      </c>
      <c r="L6943">
        <v>1200</v>
      </c>
      <c r="M6943" t="str">
        <f t="shared" si="740"/>
        <v xml:space="preserve">N35DC   </v>
      </c>
      <c r="N6943">
        <v>1</v>
      </c>
      <c r="O6943">
        <v>1100</v>
      </c>
    </row>
    <row r="6944" spans="1:15" x14ac:dyDescent="0.25">
      <c r="A6944" t="str">
        <f>"10/21/2020 19:02:53.143"</f>
        <v>10/21/2020 19:02:53.143</v>
      </c>
      <c r="B6944" t="str">
        <f>"19:03:01.086"</f>
        <v>19:03:01.086</v>
      </c>
      <c r="C6944" t="str">
        <f>"19:03:00.986"</f>
        <v>19:03:00.986</v>
      </c>
      <c r="D6944" t="s">
        <v>2868</v>
      </c>
      <c r="E6944">
        <v>30.426442999999999</v>
      </c>
      <c r="F6944" t="s">
        <v>57</v>
      </c>
      <c r="G6944">
        <v>-89.817245</v>
      </c>
      <c r="H6944">
        <v>1100</v>
      </c>
      <c r="I6944">
        <v>-39</v>
      </c>
      <c r="J6944">
        <v>-149</v>
      </c>
      <c r="K6944">
        <v>-64</v>
      </c>
      <c r="L6944">
        <v>1200</v>
      </c>
      <c r="M6944" t="str">
        <f t="shared" si="740"/>
        <v xml:space="preserve">N35DC   </v>
      </c>
      <c r="N6944">
        <v>1</v>
      </c>
      <c r="O6944">
        <v>1100</v>
      </c>
    </row>
    <row r="6945" spans="1:15" x14ac:dyDescent="0.25">
      <c r="A6945" t="str">
        <f>"10/21/2020 19:02:53.143"</f>
        <v>10/21/2020 19:02:53.143</v>
      </c>
      <c r="B6945" t="str">
        <f>"19:03:01.086"</f>
        <v>19:03:01.086</v>
      </c>
      <c r="C6945" t="str">
        <f>"19:03:00.986"</f>
        <v>19:03:00.986</v>
      </c>
      <c r="D6945" t="s">
        <v>2868</v>
      </c>
      <c r="E6945">
        <v>30.426442999999999</v>
      </c>
      <c r="F6945" t="s">
        <v>57</v>
      </c>
      <c r="G6945">
        <v>-89.817245</v>
      </c>
      <c r="H6945">
        <v>1100</v>
      </c>
      <c r="I6945">
        <v>-39</v>
      </c>
      <c r="J6945">
        <v>-149</v>
      </c>
      <c r="K6945">
        <v>-64</v>
      </c>
      <c r="L6945">
        <v>1200</v>
      </c>
      <c r="M6945" t="str">
        <f t="shared" si="740"/>
        <v xml:space="preserve">N35DC   </v>
      </c>
      <c r="N6945">
        <v>1</v>
      </c>
      <c r="O6945">
        <v>1100</v>
      </c>
    </row>
    <row r="6946" spans="1:15" x14ac:dyDescent="0.25">
      <c r="A6946" t="str">
        <f>"10/21/2020 19:02:53.143"</f>
        <v>10/21/2020 19:02:53.143</v>
      </c>
      <c r="B6946" t="str">
        <f>"19:03:01.086"</f>
        <v>19:03:01.086</v>
      </c>
      <c r="C6946" t="str">
        <f>"19:03:00.986"</f>
        <v>19:03:00.986</v>
      </c>
      <c r="D6946" t="s">
        <v>2868</v>
      </c>
      <c r="E6946">
        <v>30.426442999999999</v>
      </c>
      <c r="F6946" t="s">
        <v>57</v>
      </c>
      <c r="G6946">
        <v>-89.817245</v>
      </c>
      <c r="H6946">
        <v>1100</v>
      </c>
      <c r="I6946">
        <v>-39</v>
      </c>
      <c r="J6946">
        <v>-149</v>
      </c>
      <c r="K6946">
        <v>-64</v>
      </c>
      <c r="L6946">
        <v>1200</v>
      </c>
      <c r="M6946" t="str">
        <f t="shared" si="740"/>
        <v xml:space="preserve">N35DC   </v>
      </c>
      <c r="N6946">
        <v>1</v>
      </c>
      <c r="O6946">
        <v>1100</v>
      </c>
    </row>
    <row r="6947" spans="1:15" x14ac:dyDescent="0.25">
      <c r="A6947" t="str">
        <f>"10/21/2020 19:02:53.143"</f>
        <v>10/21/2020 19:02:53.143</v>
      </c>
      <c r="B6947" t="str">
        <f>"19:03:01.086"</f>
        <v>19:03:01.086</v>
      </c>
      <c r="C6947" t="str">
        <f>"19:03:00.986"</f>
        <v>19:03:00.986</v>
      </c>
      <c r="D6947" t="s">
        <v>2868</v>
      </c>
      <c r="E6947">
        <v>30.426442999999999</v>
      </c>
      <c r="F6947" t="s">
        <v>57</v>
      </c>
      <c r="G6947">
        <v>-89.817245</v>
      </c>
      <c r="H6947">
        <v>1100</v>
      </c>
      <c r="I6947">
        <v>-39</v>
      </c>
      <c r="J6947">
        <v>-149</v>
      </c>
      <c r="K6947">
        <v>-64</v>
      </c>
      <c r="L6947">
        <v>1200</v>
      </c>
      <c r="M6947" t="str">
        <f t="shared" si="740"/>
        <v xml:space="preserve">N35DC   </v>
      </c>
      <c r="N6947">
        <v>1</v>
      </c>
      <c r="O6947">
        <v>1100</v>
      </c>
    </row>
    <row r="6948" spans="1:15" x14ac:dyDescent="0.25">
      <c r="A6948" t="str">
        <f>"10/21/2020 19:02:53.143"</f>
        <v>10/21/2020 19:02:53.143</v>
      </c>
      <c r="B6948" t="str">
        <f>"19:03:01.086"</f>
        <v>19:03:01.086</v>
      </c>
      <c r="C6948" t="str">
        <f>"19:03:00.986"</f>
        <v>19:03:00.986</v>
      </c>
      <c r="D6948" t="s">
        <v>2868</v>
      </c>
      <c r="E6948">
        <v>30.426442999999999</v>
      </c>
      <c r="F6948" t="s">
        <v>57</v>
      </c>
      <c r="G6948">
        <v>-89.817245</v>
      </c>
      <c r="H6948">
        <v>1100</v>
      </c>
      <c r="I6948">
        <v>-39</v>
      </c>
      <c r="J6948">
        <v>-149</v>
      </c>
      <c r="K6948">
        <v>-64</v>
      </c>
      <c r="L6948">
        <v>1200</v>
      </c>
      <c r="M6948" t="str">
        <f t="shared" si="740"/>
        <v xml:space="preserve">N35DC   </v>
      </c>
      <c r="N6948">
        <v>1</v>
      </c>
      <c r="O6948">
        <v>1100</v>
      </c>
    </row>
    <row r="6949" spans="1:15" x14ac:dyDescent="0.25">
      <c r="A6949" t="str">
        <f>"10/21/2020 19:02:56.279"</f>
        <v>10/21/2020 19:02:56.279</v>
      </c>
      <c r="B6949" t="str">
        <f>"19:03:04.234"</f>
        <v>19:03:04.234</v>
      </c>
      <c r="C6949" t="str">
        <f>"19:03:04.034"</f>
        <v>19:03:04.034</v>
      </c>
      <c r="D6949" t="s">
        <v>2869</v>
      </c>
      <c r="E6949">
        <v>30.424254000000001</v>
      </c>
      <c r="F6949" t="s">
        <v>2870</v>
      </c>
      <c r="G6949">
        <v>-89.817909999999998</v>
      </c>
      <c r="H6949">
        <v>1100</v>
      </c>
      <c r="I6949">
        <v>-39</v>
      </c>
      <c r="J6949">
        <v>-148</v>
      </c>
      <c r="K6949">
        <v>-128</v>
      </c>
      <c r="L6949">
        <v>1200</v>
      </c>
      <c r="M6949" t="str">
        <f t="shared" si="740"/>
        <v xml:space="preserve">N35DC   </v>
      </c>
      <c r="N6949">
        <v>1</v>
      </c>
      <c r="O6949">
        <v>1100</v>
      </c>
    </row>
    <row r="6950" spans="1:15" x14ac:dyDescent="0.25">
      <c r="A6950" t="str">
        <f>"10/21/2020 19:02:56.279"</f>
        <v>10/21/2020 19:02:56.279</v>
      </c>
      <c r="B6950" t="str">
        <f>"19:03:04.234"</f>
        <v>19:03:04.234</v>
      </c>
      <c r="C6950" t="str">
        <f>"19:03:04.034"</f>
        <v>19:03:04.034</v>
      </c>
      <c r="D6950" t="s">
        <v>2869</v>
      </c>
      <c r="E6950">
        <v>30.424254000000001</v>
      </c>
      <c r="F6950" t="s">
        <v>2870</v>
      </c>
      <c r="G6950">
        <v>-89.817909999999998</v>
      </c>
      <c r="H6950">
        <v>1100</v>
      </c>
      <c r="I6950">
        <v>-39</v>
      </c>
      <c r="J6950">
        <v>-148</v>
      </c>
      <c r="K6950">
        <v>-128</v>
      </c>
      <c r="L6950">
        <v>1200</v>
      </c>
      <c r="M6950" t="str">
        <f t="shared" si="740"/>
        <v xml:space="preserve">N35DC   </v>
      </c>
      <c r="N6950">
        <v>1</v>
      </c>
      <c r="O6950">
        <v>1100</v>
      </c>
    </row>
    <row r="6951" spans="1:15" x14ac:dyDescent="0.25">
      <c r="A6951" t="str">
        <f>"10/21/2020 19:02:56.279"</f>
        <v>10/21/2020 19:02:56.279</v>
      </c>
      <c r="B6951" t="str">
        <f>"19:03:04.234"</f>
        <v>19:03:04.234</v>
      </c>
      <c r="C6951" t="str">
        <f>"19:03:04.034"</f>
        <v>19:03:04.034</v>
      </c>
      <c r="D6951" t="s">
        <v>2869</v>
      </c>
      <c r="E6951">
        <v>30.424254000000001</v>
      </c>
      <c r="F6951" t="s">
        <v>2870</v>
      </c>
      <c r="G6951">
        <v>-89.817909999999998</v>
      </c>
      <c r="H6951">
        <v>1100</v>
      </c>
      <c r="I6951">
        <v>-39</v>
      </c>
      <c r="J6951">
        <v>-148</v>
      </c>
      <c r="K6951">
        <v>-128</v>
      </c>
      <c r="L6951">
        <v>1200</v>
      </c>
      <c r="M6951" t="str">
        <f t="shared" si="740"/>
        <v xml:space="preserve">N35DC   </v>
      </c>
      <c r="N6951">
        <v>1</v>
      </c>
      <c r="O6951">
        <v>1100</v>
      </c>
    </row>
    <row r="6952" spans="1:15" x14ac:dyDescent="0.25">
      <c r="A6952" t="str">
        <f>"10/21/2020 19:02:56.279"</f>
        <v>10/21/2020 19:02:56.279</v>
      </c>
      <c r="B6952" t="str">
        <f>"19:03:04.234"</f>
        <v>19:03:04.234</v>
      </c>
      <c r="C6952" t="str">
        <f>"19:03:04.034"</f>
        <v>19:03:04.034</v>
      </c>
      <c r="D6952" t="s">
        <v>2869</v>
      </c>
      <c r="E6952">
        <v>30.424254000000001</v>
      </c>
      <c r="F6952" t="s">
        <v>2870</v>
      </c>
      <c r="G6952">
        <v>-89.817909999999998</v>
      </c>
      <c r="H6952">
        <v>1100</v>
      </c>
      <c r="I6952">
        <v>-39</v>
      </c>
      <c r="J6952">
        <v>-148</v>
      </c>
      <c r="K6952">
        <v>-128</v>
      </c>
      <c r="L6952">
        <v>1200</v>
      </c>
      <c r="M6952" t="str">
        <f t="shared" si="740"/>
        <v xml:space="preserve">N35DC   </v>
      </c>
      <c r="N6952">
        <v>1</v>
      </c>
      <c r="O6952">
        <v>1100</v>
      </c>
    </row>
    <row r="6953" spans="1:15" x14ac:dyDescent="0.25">
      <c r="A6953" t="str">
        <f>"10/21/2020 19:02:56.279"</f>
        <v>10/21/2020 19:02:56.279</v>
      </c>
      <c r="B6953" t="str">
        <f>"19:03:04.234"</f>
        <v>19:03:04.234</v>
      </c>
      <c r="C6953" t="str">
        <f>"19:03:04.034"</f>
        <v>19:03:04.034</v>
      </c>
      <c r="D6953" t="s">
        <v>2869</v>
      </c>
      <c r="E6953">
        <v>30.424254000000001</v>
      </c>
      <c r="F6953" t="s">
        <v>2870</v>
      </c>
      <c r="G6953">
        <v>-89.817909999999998</v>
      </c>
      <c r="H6953">
        <v>1100</v>
      </c>
      <c r="I6953">
        <v>-39</v>
      </c>
      <c r="J6953">
        <v>-148</v>
      </c>
      <c r="K6953">
        <v>-128</v>
      </c>
      <c r="L6953">
        <v>1200</v>
      </c>
      <c r="M6953" t="str">
        <f t="shared" si="740"/>
        <v xml:space="preserve">N35DC   </v>
      </c>
      <c r="N6953">
        <v>1</v>
      </c>
      <c r="O6953">
        <v>1100</v>
      </c>
    </row>
    <row r="6954" spans="1:15" x14ac:dyDescent="0.25">
      <c r="A6954" t="str">
        <f>"10/21/2020 19:02:57.299"</f>
        <v>10/21/2020 19:02:57.299</v>
      </c>
      <c r="B6954" t="str">
        <f>"19:03:05.258"</f>
        <v>19:03:05.258</v>
      </c>
      <c r="C6954" t="str">
        <f>"19:03:04.958"</f>
        <v>19:03:04.958</v>
      </c>
      <c r="D6954" t="s">
        <v>2871</v>
      </c>
      <c r="E6954">
        <v>30.423566999999998</v>
      </c>
      <c r="F6954" t="s">
        <v>2872</v>
      </c>
      <c r="G6954">
        <v>-89.818124999999995</v>
      </c>
      <c r="H6954">
        <v>1100</v>
      </c>
      <c r="I6954">
        <v>-38</v>
      </c>
      <c r="J6954">
        <v>-148</v>
      </c>
      <c r="K6954">
        <v>-64</v>
      </c>
      <c r="L6954">
        <v>1200</v>
      </c>
      <c r="M6954" t="str">
        <f t="shared" si="740"/>
        <v xml:space="preserve">N35DC   </v>
      </c>
      <c r="N6954">
        <v>1</v>
      </c>
      <c r="O6954">
        <v>1100</v>
      </c>
    </row>
    <row r="6955" spans="1:15" x14ac:dyDescent="0.25">
      <c r="A6955" t="str">
        <f>"10/21/2020 19:02:57.299"</f>
        <v>10/21/2020 19:02:57.299</v>
      </c>
      <c r="B6955" t="str">
        <f>"19:03:05.258"</f>
        <v>19:03:05.258</v>
      </c>
      <c r="C6955" t="str">
        <f>"19:03:04.958"</f>
        <v>19:03:04.958</v>
      </c>
      <c r="D6955" t="s">
        <v>2871</v>
      </c>
      <c r="E6955">
        <v>30.423566999999998</v>
      </c>
      <c r="F6955" t="s">
        <v>2872</v>
      </c>
      <c r="G6955">
        <v>-89.818124999999995</v>
      </c>
      <c r="H6955">
        <v>1100</v>
      </c>
      <c r="I6955">
        <v>-38</v>
      </c>
      <c r="J6955">
        <v>-148</v>
      </c>
      <c r="K6955">
        <v>-64</v>
      </c>
      <c r="L6955">
        <v>1200</v>
      </c>
      <c r="M6955" t="str">
        <f t="shared" si="740"/>
        <v xml:space="preserve">N35DC   </v>
      </c>
      <c r="N6955">
        <v>1</v>
      </c>
      <c r="O6955">
        <v>1100</v>
      </c>
    </row>
    <row r="6956" spans="1:15" x14ac:dyDescent="0.25">
      <c r="A6956" t="str">
        <f>"10/21/2020 19:02:57.299"</f>
        <v>10/21/2020 19:02:57.299</v>
      </c>
      <c r="B6956" t="str">
        <f>"19:03:05.258"</f>
        <v>19:03:05.258</v>
      </c>
      <c r="C6956" t="str">
        <f>"19:03:04.958"</f>
        <v>19:03:04.958</v>
      </c>
      <c r="D6956" t="s">
        <v>2871</v>
      </c>
      <c r="E6956">
        <v>30.423566999999998</v>
      </c>
      <c r="F6956" t="s">
        <v>2872</v>
      </c>
      <c r="G6956">
        <v>-89.818124999999995</v>
      </c>
      <c r="H6956">
        <v>1100</v>
      </c>
      <c r="I6956">
        <v>-38</v>
      </c>
      <c r="J6956">
        <v>-148</v>
      </c>
      <c r="K6956">
        <v>-64</v>
      </c>
      <c r="L6956">
        <v>1200</v>
      </c>
      <c r="M6956" t="str">
        <f t="shared" si="740"/>
        <v xml:space="preserve">N35DC   </v>
      </c>
      <c r="N6956">
        <v>1</v>
      </c>
      <c r="O6956">
        <v>1100</v>
      </c>
    </row>
    <row r="6957" spans="1:15" x14ac:dyDescent="0.25">
      <c r="A6957" t="str">
        <f>"10/21/2020 19:02:57.299"</f>
        <v>10/21/2020 19:02:57.299</v>
      </c>
      <c r="B6957" t="str">
        <f>"19:03:05.258"</f>
        <v>19:03:05.258</v>
      </c>
      <c r="C6957" t="str">
        <f>"19:03:04.958"</f>
        <v>19:03:04.958</v>
      </c>
      <c r="D6957" t="s">
        <v>2871</v>
      </c>
      <c r="E6957">
        <v>30.423566999999998</v>
      </c>
      <c r="F6957" t="s">
        <v>2872</v>
      </c>
      <c r="G6957">
        <v>-89.818124999999995</v>
      </c>
      <c r="H6957">
        <v>1100</v>
      </c>
      <c r="I6957">
        <v>-38</v>
      </c>
      <c r="J6957">
        <v>-148</v>
      </c>
      <c r="K6957">
        <v>-64</v>
      </c>
      <c r="L6957">
        <v>1200</v>
      </c>
      <c r="M6957" t="str">
        <f t="shared" si="740"/>
        <v xml:space="preserve">N35DC   </v>
      </c>
      <c r="N6957">
        <v>1</v>
      </c>
      <c r="O6957">
        <v>1100</v>
      </c>
    </row>
    <row r="6958" spans="1:15" x14ac:dyDescent="0.25">
      <c r="A6958" t="str">
        <f>"10/21/2020 19:02:57.299"</f>
        <v>10/21/2020 19:02:57.299</v>
      </c>
      <c r="B6958" t="str">
        <f>"19:03:05.258"</f>
        <v>19:03:05.258</v>
      </c>
      <c r="C6958" t="str">
        <f>"19:03:04.958"</f>
        <v>19:03:04.958</v>
      </c>
      <c r="D6958" t="s">
        <v>2871</v>
      </c>
      <c r="E6958">
        <v>30.423566999999998</v>
      </c>
      <c r="F6958" t="s">
        <v>2872</v>
      </c>
      <c r="G6958">
        <v>-89.818124999999995</v>
      </c>
      <c r="H6958">
        <v>1100</v>
      </c>
      <c r="I6958">
        <v>-38</v>
      </c>
      <c r="J6958">
        <v>-148</v>
      </c>
      <c r="K6958">
        <v>-64</v>
      </c>
      <c r="L6958">
        <v>1200</v>
      </c>
      <c r="M6958" t="str">
        <f t="shared" si="740"/>
        <v xml:space="preserve">N35DC   </v>
      </c>
      <c r="N6958">
        <v>1</v>
      </c>
      <c r="O6958">
        <v>1100</v>
      </c>
    </row>
    <row r="6959" spans="1:15" x14ac:dyDescent="0.25">
      <c r="A6959" t="str">
        <f>"10/21/2020 19:03:00.172"</f>
        <v>10/21/2020 19:03:00.172</v>
      </c>
      <c r="B6959" t="str">
        <f>"19:03:08.102"</f>
        <v>19:03:08.102</v>
      </c>
      <c r="C6959" t="str">
        <f>"19:03:08.002"</f>
        <v>19:03:08.002</v>
      </c>
      <c r="D6959" t="s">
        <v>2873</v>
      </c>
      <c r="E6959">
        <v>30.421593000000001</v>
      </c>
      <c r="F6959" t="s">
        <v>51</v>
      </c>
      <c r="G6959">
        <v>-89.818661000000006</v>
      </c>
      <c r="H6959">
        <v>1000</v>
      </c>
      <c r="I6959">
        <v>-36</v>
      </c>
      <c r="J6959">
        <v>-148</v>
      </c>
      <c r="K6959">
        <v>-192</v>
      </c>
      <c r="L6959">
        <v>1200</v>
      </c>
      <c r="M6959" t="str">
        <f t="shared" si="740"/>
        <v xml:space="preserve">N35DC   </v>
      </c>
      <c r="N6959">
        <v>1</v>
      </c>
      <c r="O6959">
        <v>1075</v>
      </c>
    </row>
    <row r="6960" spans="1:15" x14ac:dyDescent="0.25">
      <c r="A6960" t="str">
        <f>"10/21/2020 19:03:00.172"</f>
        <v>10/21/2020 19:03:00.172</v>
      </c>
      <c r="B6960" t="str">
        <f>"19:03:08.102"</f>
        <v>19:03:08.102</v>
      </c>
      <c r="C6960" t="str">
        <f>"19:03:08.002"</f>
        <v>19:03:08.002</v>
      </c>
      <c r="D6960" t="s">
        <v>2873</v>
      </c>
      <c r="E6960">
        <v>30.421593000000001</v>
      </c>
      <c r="F6960" t="s">
        <v>51</v>
      </c>
      <c r="G6960">
        <v>-89.818661000000006</v>
      </c>
      <c r="H6960">
        <v>1000</v>
      </c>
      <c r="I6960">
        <v>-36</v>
      </c>
      <c r="J6960">
        <v>-148</v>
      </c>
      <c r="K6960">
        <v>-192</v>
      </c>
      <c r="L6960">
        <v>1200</v>
      </c>
      <c r="M6960" t="str">
        <f t="shared" si="740"/>
        <v xml:space="preserve">N35DC   </v>
      </c>
      <c r="N6960">
        <v>1</v>
      </c>
      <c r="O6960">
        <v>1075</v>
      </c>
    </row>
    <row r="6961" spans="1:15" x14ac:dyDescent="0.25">
      <c r="A6961" t="str">
        <f>"10/21/2020 19:03:00.172"</f>
        <v>10/21/2020 19:03:00.172</v>
      </c>
      <c r="B6961" t="str">
        <f>"19:03:08.102"</f>
        <v>19:03:08.102</v>
      </c>
      <c r="C6961" t="str">
        <f>"19:03:08.002"</f>
        <v>19:03:08.002</v>
      </c>
      <c r="D6961" t="s">
        <v>2873</v>
      </c>
      <c r="E6961">
        <v>30.421593000000001</v>
      </c>
      <c r="F6961" t="s">
        <v>51</v>
      </c>
      <c r="G6961">
        <v>-89.818661000000006</v>
      </c>
      <c r="H6961">
        <v>1000</v>
      </c>
      <c r="I6961">
        <v>-36</v>
      </c>
      <c r="J6961">
        <v>-148</v>
      </c>
      <c r="K6961">
        <v>-192</v>
      </c>
      <c r="L6961">
        <v>1200</v>
      </c>
      <c r="M6961" t="str">
        <f t="shared" si="740"/>
        <v xml:space="preserve">N35DC   </v>
      </c>
      <c r="N6961">
        <v>1</v>
      </c>
      <c r="O6961">
        <v>1075</v>
      </c>
    </row>
    <row r="6962" spans="1:15" x14ac:dyDescent="0.25">
      <c r="A6962" t="str">
        <f>"10/21/2020 19:03:00.172"</f>
        <v>10/21/2020 19:03:00.172</v>
      </c>
      <c r="B6962" t="str">
        <f>"19:03:08.102"</f>
        <v>19:03:08.102</v>
      </c>
      <c r="C6962" t="str">
        <f>"19:03:08.002"</f>
        <v>19:03:08.002</v>
      </c>
      <c r="D6962" t="s">
        <v>2873</v>
      </c>
      <c r="E6962">
        <v>30.421593000000001</v>
      </c>
      <c r="F6962" t="s">
        <v>51</v>
      </c>
      <c r="G6962">
        <v>-89.818661000000006</v>
      </c>
      <c r="H6962">
        <v>1000</v>
      </c>
      <c r="I6962">
        <v>-36</v>
      </c>
      <c r="J6962">
        <v>-148</v>
      </c>
      <c r="K6962">
        <v>-192</v>
      </c>
      <c r="L6962">
        <v>1200</v>
      </c>
      <c r="M6962" t="str">
        <f t="shared" si="740"/>
        <v xml:space="preserve">N35DC   </v>
      </c>
      <c r="N6962">
        <v>1</v>
      </c>
      <c r="O6962">
        <v>1075</v>
      </c>
    </row>
    <row r="6963" spans="1:15" x14ac:dyDescent="0.25">
      <c r="A6963" t="str">
        <f>"10/21/2020 19:03:00.172"</f>
        <v>10/21/2020 19:03:00.172</v>
      </c>
      <c r="B6963" t="str">
        <f>"19:03:08.102"</f>
        <v>19:03:08.102</v>
      </c>
      <c r="C6963" t="str">
        <f>"19:03:08.002"</f>
        <v>19:03:08.002</v>
      </c>
      <c r="D6963" t="s">
        <v>2873</v>
      </c>
      <c r="E6963">
        <v>30.421593000000001</v>
      </c>
      <c r="F6963" t="s">
        <v>51</v>
      </c>
      <c r="G6963">
        <v>-89.818661000000006</v>
      </c>
      <c r="H6963">
        <v>1000</v>
      </c>
      <c r="I6963">
        <v>-36</v>
      </c>
      <c r="J6963">
        <v>-148</v>
      </c>
      <c r="K6963">
        <v>-192</v>
      </c>
      <c r="L6963">
        <v>1200</v>
      </c>
      <c r="M6963" t="str">
        <f t="shared" si="740"/>
        <v xml:space="preserve">N35DC   </v>
      </c>
      <c r="N6963">
        <v>1</v>
      </c>
      <c r="O6963">
        <v>1075</v>
      </c>
    </row>
    <row r="6964" spans="1:15" x14ac:dyDescent="0.25">
      <c r="A6964" t="str">
        <f>"10/21/2020 19:03:01.285"</f>
        <v>10/21/2020 19:03:01.285</v>
      </c>
      <c r="B6964" t="str">
        <f>"19:03:09.227"</f>
        <v>19:03:09.227</v>
      </c>
      <c r="C6964" t="str">
        <f>"19:03:09.027"</f>
        <v>19:03:09.027</v>
      </c>
      <c r="D6964" t="s">
        <v>2874</v>
      </c>
      <c r="E6964">
        <v>30.420777999999999</v>
      </c>
      <c r="F6964" t="s">
        <v>2742</v>
      </c>
      <c r="G6964">
        <v>-89.818897000000007</v>
      </c>
      <c r="H6964">
        <v>1000</v>
      </c>
      <c r="I6964">
        <v>-34</v>
      </c>
      <c r="J6964">
        <v>-149</v>
      </c>
      <c r="K6964">
        <v>-192</v>
      </c>
      <c r="L6964">
        <v>1200</v>
      </c>
      <c r="M6964" t="str">
        <f t="shared" si="740"/>
        <v xml:space="preserve">N35DC   </v>
      </c>
      <c r="N6964">
        <v>1</v>
      </c>
      <c r="O6964">
        <v>1075</v>
      </c>
    </row>
    <row r="6965" spans="1:15" x14ac:dyDescent="0.25">
      <c r="A6965" t="str">
        <f>"10/21/2020 19:03:01.285"</f>
        <v>10/21/2020 19:03:01.285</v>
      </c>
      <c r="B6965" t="str">
        <f>"19:03:09.227"</f>
        <v>19:03:09.227</v>
      </c>
      <c r="C6965" t="str">
        <f>"19:03:09.027"</f>
        <v>19:03:09.027</v>
      </c>
      <c r="D6965" t="s">
        <v>2874</v>
      </c>
      <c r="E6965">
        <v>30.420777999999999</v>
      </c>
      <c r="F6965" t="s">
        <v>2742</v>
      </c>
      <c r="G6965">
        <v>-89.818897000000007</v>
      </c>
      <c r="H6965">
        <v>1000</v>
      </c>
      <c r="I6965">
        <v>-34</v>
      </c>
      <c r="J6965">
        <v>-149</v>
      </c>
      <c r="K6965">
        <v>-192</v>
      </c>
      <c r="L6965">
        <v>1200</v>
      </c>
      <c r="M6965" t="str">
        <f t="shared" si="740"/>
        <v xml:space="preserve">N35DC   </v>
      </c>
      <c r="N6965">
        <v>1</v>
      </c>
      <c r="O6965">
        <v>1075</v>
      </c>
    </row>
    <row r="6966" spans="1:15" x14ac:dyDescent="0.25">
      <c r="A6966" t="str">
        <f>"10/21/2020 19:03:01.285"</f>
        <v>10/21/2020 19:03:01.285</v>
      </c>
      <c r="B6966" t="str">
        <f>"19:03:09.227"</f>
        <v>19:03:09.227</v>
      </c>
      <c r="C6966" t="str">
        <f>"19:03:09.027"</f>
        <v>19:03:09.027</v>
      </c>
      <c r="D6966" t="s">
        <v>2874</v>
      </c>
      <c r="E6966">
        <v>30.420777999999999</v>
      </c>
      <c r="F6966" t="s">
        <v>2742</v>
      </c>
      <c r="G6966">
        <v>-89.818897000000007</v>
      </c>
      <c r="H6966">
        <v>1000</v>
      </c>
      <c r="I6966">
        <v>-34</v>
      </c>
      <c r="J6966">
        <v>-149</v>
      </c>
      <c r="K6966">
        <v>-192</v>
      </c>
      <c r="L6966">
        <v>1200</v>
      </c>
      <c r="M6966" t="str">
        <f t="shared" si="740"/>
        <v xml:space="preserve">N35DC   </v>
      </c>
      <c r="N6966">
        <v>1</v>
      </c>
      <c r="O6966">
        <v>1075</v>
      </c>
    </row>
    <row r="6967" spans="1:15" x14ac:dyDescent="0.25">
      <c r="A6967" t="str">
        <f>"10/21/2020 19:03:01.285"</f>
        <v>10/21/2020 19:03:01.285</v>
      </c>
      <c r="B6967" t="str">
        <f>"19:03:09.227"</f>
        <v>19:03:09.227</v>
      </c>
      <c r="C6967" t="str">
        <f>"19:03:09.027"</f>
        <v>19:03:09.027</v>
      </c>
      <c r="D6967" t="s">
        <v>2874</v>
      </c>
      <c r="E6967">
        <v>30.420777999999999</v>
      </c>
      <c r="F6967" t="s">
        <v>2742</v>
      </c>
      <c r="G6967">
        <v>-89.818897000000007</v>
      </c>
      <c r="H6967">
        <v>1000</v>
      </c>
      <c r="I6967">
        <v>-34</v>
      </c>
      <c r="J6967">
        <v>-149</v>
      </c>
      <c r="K6967">
        <v>-192</v>
      </c>
      <c r="L6967">
        <v>1200</v>
      </c>
      <c r="M6967" t="str">
        <f t="shared" si="740"/>
        <v xml:space="preserve">N35DC   </v>
      </c>
      <c r="N6967">
        <v>1</v>
      </c>
      <c r="O6967">
        <v>1075</v>
      </c>
    </row>
    <row r="6968" spans="1:15" x14ac:dyDescent="0.25">
      <c r="A6968" t="str">
        <f>"10/21/2020 19:03:01.285"</f>
        <v>10/21/2020 19:03:01.285</v>
      </c>
      <c r="B6968" t="str">
        <f>"19:03:09.227"</f>
        <v>19:03:09.227</v>
      </c>
      <c r="C6968" t="str">
        <f>"19:03:09.027"</f>
        <v>19:03:09.027</v>
      </c>
      <c r="D6968" t="s">
        <v>2874</v>
      </c>
      <c r="E6968">
        <v>30.420777999999999</v>
      </c>
      <c r="F6968" t="s">
        <v>2742</v>
      </c>
      <c r="G6968">
        <v>-89.818897000000007</v>
      </c>
      <c r="H6968">
        <v>1000</v>
      </c>
      <c r="I6968">
        <v>-34</v>
      </c>
      <c r="J6968">
        <v>-149</v>
      </c>
      <c r="K6968">
        <v>-192</v>
      </c>
      <c r="L6968">
        <v>1200</v>
      </c>
      <c r="M6968" t="str">
        <f t="shared" si="740"/>
        <v xml:space="preserve">N35DC   </v>
      </c>
      <c r="N6968">
        <v>1</v>
      </c>
      <c r="O6968">
        <v>1075</v>
      </c>
    </row>
    <row r="6969" spans="1:15" x14ac:dyDescent="0.25">
      <c r="A6969" t="str">
        <f>"10/21/2020 19:03:04.346"</f>
        <v>10/21/2020 19:03:04.346</v>
      </c>
      <c r="B6969" t="str">
        <f>"19:03:12.289"</f>
        <v>19:03:12.289</v>
      </c>
      <c r="C6969" t="str">
        <f>"19:03:11.989"</f>
        <v>19:03:11.989</v>
      </c>
      <c r="D6969" t="s">
        <v>2875</v>
      </c>
      <c r="E6969">
        <v>30.418675</v>
      </c>
      <c r="F6969" t="s">
        <v>2876</v>
      </c>
      <c r="G6969">
        <v>-89.819390999999996</v>
      </c>
      <c r="H6969">
        <v>1000</v>
      </c>
      <c r="I6969">
        <v>-28</v>
      </c>
      <c r="J6969">
        <v>-149</v>
      </c>
      <c r="K6969">
        <v>-256</v>
      </c>
      <c r="L6969">
        <v>1200</v>
      </c>
      <c r="M6969" t="str">
        <f t="shared" si="740"/>
        <v xml:space="preserve">N35DC   </v>
      </c>
      <c r="N6969">
        <v>1</v>
      </c>
      <c r="O6969">
        <v>1075</v>
      </c>
    </row>
    <row r="6970" spans="1:15" x14ac:dyDescent="0.25">
      <c r="A6970" t="str">
        <f>"10/21/2020 19:03:04.346"</f>
        <v>10/21/2020 19:03:04.346</v>
      </c>
      <c r="B6970" t="str">
        <f>"19:03:12.289"</f>
        <v>19:03:12.289</v>
      </c>
      <c r="C6970" t="str">
        <f>"19:03:11.989"</f>
        <v>19:03:11.989</v>
      </c>
      <c r="D6970" t="s">
        <v>2875</v>
      </c>
      <c r="E6970">
        <v>30.418675</v>
      </c>
      <c r="F6970" t="s">
        <v>2876</v>
      </c>
      <c r="G6970">
        <v>-89.819390999999996</v>
      </c>
      <c r="H6970">
        <v>1000</v>
      </c>
      <c r="I6970">
        <v>-28</v>
      </c>
      <c r="J6970">
        <v>-149</v>
      </c>
      <c r="K6970">
        <v>-256</v>
      </c>
      <c r="L6970">
        <v>1200</v>
      </c>
      <c r="M6970" t="str">
        <f t="shared" si="740"/>
        <v xml:space="preserve">N35DC   </v>
      </c>
      <c r="N6970">
        <v>1</v>
      </c>
      <c r="O6970">
        <v>1075</v>
      </c>
    </row>
    <row r="6971" spans="1:15" x14ac:dyDescent="0.25">
      <c r="A6971" t="str">
        <f>"10/21/2020 19:03:04.346"</f>
        <v>10/21/2020 19:03:04.346</v>
      </c>
      <c r="B6971" t="str">
        <f>"19:03:12.289"</f>
        <v>19:03:12.289</v>
      </c>
      <c r="C6971" t="str">
        <f>"19:03:11.989"</f>
        <v>19:03:11.989</v>
      </c>
      <c r="D6971" t="s">
        <v>2875</v>
      </c>
      <c r="E6971">
        <v>30.418675</v>
      </c>
      <c r="F6971" t="s">
        <v>2876</v>
      </c>
      <c r="G6971">
        <v>-89.819390999999996</v>
      </c>
      <c r="H6971">
        <v>1000</v>
      </c>
      <c r="I6971">
        <v>-28</v>
      </c>
      <c r="J6971">
        <v>-149</v>
      </c>
      <c r="K6971">
        <v>-256</v>
      </c>
      <c r="L6971">
        <v>1200</v>
      </c>
      <c r="M6971" t="str">
        <f t="shared" si="740"/>
        <v xml:space="preserve">N35DC   </v>
      </c>
      <c r="N6971">
        <v>1</v>
      </c>
      <c r="O6971">
        <v>1075</v>
      </c>
    </row>
    <row r="6972" spans="1:15" x14ac:dyDescent="0.25">
      <c r="A6972" t="str">
        <f>"10/21/2020 19:03:04.346"</f>
        <v>10/21/2020 19:03:04.346</v>
      </c>
      <c r="B6972" t="str">
        <f>"19:03:12.289"</f>
        <v>19:03:12.289</v>
      </c>
      <c r="C6972" t="str">
        <f>"19:03:11.989"</f>
        <v>19:03:11.989</v>
      </c>
      <c r="D6972" t="s">
        <v>2875</v>
      </c>
      <c r="E6972">
        <v>30.418675</v>
      </c>
      <c r="F6972" t="s">
        <v>2876</v>
      </c>
      <c r="G6972">
        <v>-89.819390999999996</v>
      </c>
      <c r="H6972">
        <v>1000</v>
      </c>
      <c r="I6972">
        <v>-28</v>
      </c>
      <c r="J6972">
        <v>-149</v>
      </c>
      <c r="K6972">
        <v>-256</v>
      </c>
      <c r="L6972">
        <v>1200</v>
      </c>
      <c r="M6972" t="str">
        <f t="shared" si="740"/>
        <v xml:space="preserve">N35DC   </v>
      </c>
      <c r="N6972">
        <v>1</v>
      </c>
      <c r="O6972">
        <v>1075</v>
      </c>
    </row>
    <row r="6973" spans="1:15" x14ac:dyDescent="0.25">
      <c r="A6973" t="str">
        <f>"10/21/2020 19:03:04.346"</f>
        <v>10/21/2020 19:03:04.346</v>
      </c>
      <c r="B6973" t="str">
        <f>"19:03:12.289"</f>
        <v>19:03:12.289</v>
      </c>
      <c r="C6973" t="str">
        <f>"19:03:11.989"</f>
        <v>19:03:11.989</v>
      </c>
      <c r="D6973" t="s">
        <v>2875</v>
      </c>
      <c r="E6973">
        <v>30.418675</v>
      </c>
      <c r="F6973" t="s">
        <v>2876</v>
      </c>
      <c r="G6973">
        <v>-89.819390999999996</v>
      </c>
      <c r="H6973">
        <v>1000</v>
      </c>
      <c r="I6973">
        <v>-28</v>
      </c>
      <c r="J6973">
        <v>-149</v>
      </c>
      <c r="K6973">
        <v>-256</v>
      </c>
      <c r="L6973">
        <v>1200</v>
      </c>
      <c r="M6973" t="str">
        <f t="shared" si="740"/>
        <v xml:space="preserve">N35DC   </v>
      </c>
      <c r="N6973">
        <v>1</v>
      </c>
      <c r="O6973">
        <v>1075</v>
      </c>
    </row>
    <row r="6974" spans="1:15" x14ac:dyDescent="0.25">
      <c r="A6974" t="str">
        <f>"10/21/2020 19:03:05.304"</f>
        <v>10/21/2020 19:03:05.304</v>
      </c>
      <c r="B6974" t="str">
        <f>"19:03:13.250"</f>
        <v>19:03:13.250</v>
      </c>
      <c r="C6974" t="str">
        <f>"19:03:12.850"</f>
        <v>19:03:12.850</v>
      </c>
      <c r="D6974" t="s">
        <v>2877</v>
      </c>
      <c r="E6974">
        <v>30.418030999999999</v>
      </c>
      <c r="F6974" t="s">
        <v>2878</v>
      </c>
      <c r="G6974">
        <v>-89.819541000000001</v>
      </c>
      <c r="H6974">
        <v>1000</v>
      </c>
      <c r="I6974">
        <v>-25</v>
      </c>
      <c r="J6974">
        <v>-150</v>
      </c>
      <c r="K6974">
        <v>-256</v>
      </c>
      <c r="L6974">
        <v>1200</v>
      </c>
      <c r="M6974" t="str">
        <f t="shared" si="740"/>
        <v xml:space="preserve">N35DC   </v>
      </c>
      <c r="N6974">
        <v>1</v>
      </c>
      <c r="O6974">
        <v>1050</v>
      </c>
    </row>
    <row r="6975" spans="1:15" x14ac:dyDescent="0.25">
      <c r="A6975" t="str">
        <f>"10/21/2020 19:03:05.304"</f>
        <v>10/21/2020 19:03:05.304</v>
      </c>
      <c r="B6975" t="str">
        <f>"19:03:13.250"</f>
        <v>19:03:13.250</v>
      </c>
      <c r="C6975" t="str">
        <f>"19:03:12.850"</f>
        <v>19:03:12.850</v>
      </c>
      <c r="D6975" t="s">
        <v>2877</v>
      </c>
      <c r="E6975">
        <v>30.418030999999999</v>
      </c>
      <c r="F6975" t="s">
        <v>2878</v>
      </c>
      <c r="G6975">
        <v>-89.819541000000001</v>
      </c>
      <c r="H6975">
        <v>1000</v>
      </c>
      <c r="I6975">
        <v>-25</v>
      </c>
      <c r="J6975">
        <v>-150</v>
      </c>
      <c r="K6975">
        <v>-256</v>
      </c>
      <c r="L6975">
        <v>1200</v>
      </c>
      <c r="M6975" t="str">
        <f t="shared" si="740"/>
        <v xml:space="preserve">N35DC   </v>
      </c>
      <c r="N6975">
        <v>1</v>
      </c>
      <c r="O6975">
        <v>1050</v>
      </c>
    </row>
    <row r="6976" spans="1:15" x14ac:dyDescent="0.25">
      <c r="A6976" t="str">
        <f>"10/21/2020 19:03:05.304"</f>
        <v>10/21/2020 19:03:05.304</v>
      </c>
      <c r="B6976" t="str">
        <f>"19:03:13.250"</f>
        <v>19:03:13.250</v>
      </c>
      <c r="C6976" t="str">
        <f>"19:03:12.850"</f>
        <v>19:03:12.850</v>
      </c>
      <c r="D6976" t="s">
        <v>2877</v>
      </c>
      <c r="E6976">
        <v>30.418030999999999</v>
      </c>
      <c r="F6976" t="s">
        <v>2878</v>
      </c>
      <c r="G6976">
        <v>-89.819541000000001</v>
      </c>
      <c r="H6976">
        <v>1000</v>
      </c>
      <c r="I6976">
        <v>-25</v>
      </c>
      <c r="J6976">
        <v>-150</v>
      </c>
      <c r="K6976">
        <v>-256</v>
      </c>
      <c r="L6976">
        <v>1200</v>
      </c>
      <c r="M6976" t="str">
        <f t="shared" si="740"/>
        <v xml:space="preserve">N35DC   </v>
      </c>
      <c r="N6976">
        <v>1</v>
      </c>
      <c r="O6976">
        <v>1050</v>
      </c>
    </row>
    <row r="6977" spans="1:15" x14ac:dyDescent="0.25">
      <c r="A6977" t="str">
        <f>"10/21/2020 19:03:05.304"</f>
        <v>10/21/2020 19:03:05.304</v>
      </c>
      <c r="B6977" t="str">
        <f>"19:03:13.250"</f>
        <v>19:03:13.250</v>
      </c>
      <c r="C6977" t="str">
        <f>"19:03:12.850"</f>
        <v>19:03:12.850</v>
      </c>
      <c r="D6977" t="s">
        <v>2877</v>
      </c>
      <c r="E6977">
        <v>30.418030999999999</v>
      </c>
      <c r="F6977" t="s">
        <v>2878</v>
      </c>
      <c r="G6977">
        <v>-89.819541000000001</v>
      </c>
      <c r="H6977">
        <v>1000</v>
      </c>
      <c r="I6977">
        <v>-25</v>
      </c>
      <c r="J6977">
        <v>-150</v>
      </c>
      <c r="K6977">
        <v>-256</v>
      </c>
      <c r="L6977">
        <v>1200</v>
      </c>
      <c r="M6977" t="str">
        <f t="shared" si="740"/>
        <v xml:space="preserve">N35DC   </v>
      </c>
      <c r="N6977">
        <v>1</v>
      </c>
      <c r="O6977">
        <v>1050</v>
      </c>
    </row>
    <row r="6978" spans="1:15" x14ac:dyDescent="0.25">
      <c r="A6978" t="str">
        <f>"10/21/2020 19:03:05.304"</f>
        <v>10/21/2020 19:03:05.304</v>
      </c>
      <c r="B6978" t="str">
        <f>"19:03:13.250"</f>
        <v>19:03:13.250</v>
      </c>
      <c r="C6978" t="str">
        <f>"19:03:12.850"</f>
        <v>19:03:12.850</v>
      </c>
      <c r="D6978" t="s">
        <v>2877</v>
      </c>
      <c r="E6978">
        <v>30.418030999999999</v>
      </c>
      <c r="F6978" t="s">
        <v>2878</v>
      </c>
      <c r="G6978">
        <v>-89.819541000000001</v>
      </c>
      <c r="H6978">
        <v>1000</v>
      </c>
      <c r="I6978">
        <v>-25</v>
      </c>
      <c r="J6978">
        <v>-150</v>
      </c>
      <c r="K6978">
        <v>-256</v>
      </c>
      <c r="L6978">
        <v>1200</v>
      </c>
      <c r="M6978" t="str">
        <f t="shared" si="740"/>
        <v xml:space="preserve">N35DC   </v>
      </c>
      <c r="N6978">
        <v>1</v>
      </c>
      <c r="O6978">
        <v>1050</v>
      </c>
    </row>
    <row r="6979" spans="1:15" x14ac:dyDescent="0.25">
      <c r="A6979" t="str">
        <f>"10/21/2020 19:03:08.260"</f>
        <v>10/21/2020 19:03:08.260</v>
      </c>
      <c r="B6979" t="str">
        <f>"19:03:16.219"</f>
        <v>19:03:16.219</v>
      </c>
      <c r="C6979" t="str">
        <f>"19:03:15.919"</f>
        <v>19:03:15.919</v>
      </c>
      <c r="D6979" t="s">
        <v>146</v>
      </c>
      <c r="E6979">
        <v>30.415970999999999</v>
      </c>
      <c r="F6979" t="s">
        <v>2879</v>
      </c>
      <c r="G6979">
        <v>-89.819820000000007</v>
      </c>
      <c r="H6979">
        <v>1000</v>
      </c>
      <c r="I6979">
        <v>-21</v>
      </c>
      <c r="J6979">
        <v>-149</v>
      </c>
      <c r="K6979">
        <v>-192</v>
      </c>
      <c r="L6979">
        <v>1200</v>
      </c>
      <c r="M6979" t="str">
        <f t="shared" si="740"/>
        <v xml:space="preserve">N35DC   </v>
      </c>
      <c r="N6979">
        <v>1</v>
      </c>
      <c r="O6979">
        <v>1050</v>
      </c>
    </row>
    <row r="6980" spans="1:15" x14ac:dyDescent="0.25">
      <c r="A6980" t="str">
        <f>"10/21/2020 19:03:08.260"</f>
        <v>10/21/2020 19:03:08.260</v>
      </c>
      <c r="B6980" t="str">
        <f>"19:03:16.219"</f>
        <v>19:03:16.219</v>
      </c>
      <c r="C6980" t="str">
        <f>"19:03:15.919"</f>
        <v>19:03:15.919</v>
      </c>
      <c r="D6980" t="s">
        <v>146</v>
      </c>
      <c r="E6980">
        <v>30.415970999999999</v>
      </c>
      <c r="F6980" t="s">
        <v>2879</v>
      </c>
      <c r="G6980">
        <v>-89.819820000000007</v>
      </c>
      <c r="H6980">
        <v>1000</v>
      </c>
      <c r="I6980">
        <v>-21</v>
      </c>
      <c r="J6980">
        <v>-149</v>
      </c>
      <c r="K6980">
        <v>-192</v>
      </c>
      <c r="L6980">
        <v>1200</v>
      </c>
      <c r="M6980" t="str">
        <f t="shared" si="740"/>
        <v xml:space="preserve">N35DC   </v>
      </c>
      <c r="N6980">
        <v>1</v>
      </c>
      <c r="O6980">
        <v>1050</v>
      </c>
    </row>
    <row r="6981" spans="1:15" x14ac:dyDescent="0.25">
      <c r="A6981" t="str">
        <f>"10/21/2020 19:03:08.260"</f>
        <v>10/21/2020 19:03:08.260</v>
      </c>
      <c r="B6981" t="str">
        <f>"19:03:16.219"</f>
        <v>19:03:16.219</v>
      </c>
      <c r="C6981" t="str">
        <f>"19:03:15.919"</f>
        <v>19:03:15.919</v>
      </c>
      <c r="D6981" t="s">
        <v>146</v>
      </c>
      <c r="E6981">
        <v>30.415970999999999</v>
      </c>
      <c r="F6981" t="s">
        <v>2879</v>
      </c>
      <c r="G6981">
        <v>-89.819820000000007</v>
      </c>
      <c r="H6981">
        <v>1000</v>
      </c>
      <c r="I6981">
        <v>-21</v>
      </c>
      <c r="J6981">
        <v>-149</v>
      </c>
      <c r="K6981">
        <v>-192</v>
      </c>
      <c r="L6981">
        <v>1200</v>
      </c>
      <c r="M6981" t="str">
        <f t="shared" si="740"/>
        <v xml:space="preserve">N35DC   </v>
      </c>
      <c r="N6981">
        <v>1</v>
      </c>
      <c r="O6981">
        <v>1050</v>
      </c>
    </row>
    <row r="6982" spans="1:15" x14ac:dyDescent="0.25">
      <c r="A6982" t="str">
        <f>"10/21/2020 19:03:08.260"</f>
        <v>10/21/2020 19:03:08.260</v>
      </c>
      <c r="B6982" t="str">
        <f>"19:03:16.219"</f>
        <v>19:03:16.219</v>
      </c>
      <c r="C6982" t="str">
        <f>"19:03:15.919"</f>
        <v>19:03:15.919</v>
      </c>
      <c r="D6982" t="s">
        <v>146</v>
      </c>
      <c r="E6982">
        <v>30.415970999999999</v>
      </c>
      <c r="F6982" t="s">
        <v>2879</v>
      </c>
      <c r="G6982">
        <v>-89.819820000000007</v>
      </c>
      <c r="H6982">
        <v>1000</v>
      </c>
      <c r="I6982">
        <v>-21</v>
      </c>
      <c r="J6982">
        <v>-149</v>
      </c>
      <c r="K6982">
        <v>-192</v>
      </c>
      <c r="L6982">
        <v>1200</v>
      </c>
      <c r="M6982" t="str">
        <f t="shared" si="740"/>
        <v xml:space="preserve">N35DC   </v>
      </c>
      <c r="N6982">
        <v>1</v>
      </c>
      <c r="O6982">
        <v>1050</v>
      </c>
    </row>
    <row r="6983" spans="1:15" x14ac:dyDescent="0.25">
      <c r="A6983" t="str">
        <f>"10/21/2020 19:03:08.260"</f>
        <v>10/21/2020 19:03:08.260</v>
      </c>
      <c r="B6983" t="str">
        <f>"19:03:16.219"</f>
        <v>19:03:16.219</v>
      </c>
      <c r="C6983" t="str">
        <f>"19:03:15.919"</f>
        <v>19:03:15.919</v>
      </c>
      <c r="D6983" t="s">
        <v>146</v>
      </c>
      <c r="E6983">
        <v>30.415970999999999</v>
      </c>
      <c r="F6983" t="s">
        <v>2879</v>
      </c>
      <c r="G6983">
        <v>-89.819820000000007</v>
      </c>
      <c r="H6983">
        <v>1000</v>
      </c>
      <c r="I6983">
        <v>-21</v>
      </c>
      <c r="J6983">
        <v>-149</v>
      </c>
      <c r="K6983">
        <v>-192</v>
      </c>
      <c r="L6983">
        <v>1200</v>
      </c>
      <c r="M6983" t="str">
        <f t="shared" ref="M6983:M7046" si="742">"N35DC   "</f>
        <v xml:space="preserve">N35DC   </v>
      </c>
      <c r="N6983">
        <v>1</v>
      </c>
      <c r="O6983">
        <v>1050</v>
      </c>
    </row>
    <row r="6984" spans="1:15" x14ac:dyDescent="0.25">
      <c r="A6984" t="str">
        <f>"10/21/2020 19:03:11.362"</f>
        <v>10/21/2020 19:03:11.362</v>
      </c>
      <c r="B6984" t="str">
        <f>"19:03:19.320"</f>
        <v>19:03:19.320</v>
      </c>
      <c r="C6984" t="str">
        <f>"19:03:18.920"</f>
        <v>19:03:18.920</v>
      </c>
      <c r="D6984" t="s">
        <v>2880</v>
      </c>
      <c r="E6984">
        <v>30.413826</v>
      </c>
      <c r="F6984" t="s">
        <v>32</v>
      </c>
      <c r="G6984">
        <v>-89.820184999999995</v>
      </c>
      <c r="H6984">
        <v>1000</v>
      </c>
      <c r="I6984">
        <v>-18</v>
      </c>
      <c r="J6984">
        <v>-147</v>
      </c>
      <c r="K6984">
        <v>128</v>
      </c>
      <c r="L6984">
        <v>1200</v>
      </c>
      <c r="M6984" t="str">
        <f t="shared" si="742"/>
        <v xml:space="preserve">N35DC   </v>
      </c>
      <c r="N6984">
        <v>1</v>
      </c>
      <c r="O6984">
        <v>1050</v>
      </c>
    </row>
    <row r="6985" spans="1:15" x14ac:dyDescent="0.25">
      <c r="A6985" t="str">
        <f>"10/21/2020 19:03:11.362"</f>
        <v>10/21/2020 19:03:11.362</v>
      </c>
      <c r="B6985" t="str">
        <f>"19:03:19.320"</f>
        <v>19:03:19.320</v>
      </c>
      <c r="C6985" t="str">
        <f>"19:03:19.020"</f>
        <v>19:03:19.020</v>
      </c>
      <c r="D6985" t="s">
        <v>2880</v>
      </c>
      <c r="E6985">
        <v>30.413826</v>
      </c>
      <c r="F6985" t="s">
        <v>32</v>
      </c>
      <c r="G6985">
        <v>-89.820184999999995</v>
      </c>
      <c r="H6985">
        <v>1000</v>
      </c>
      <c r="I6985">
        <v>-18</v>
      </c>
      <c r="J6985">
        <v>-147</v>
      </c>
      <c r="K6985">
        <v>128</v>
      </c>
      <c r="L6985">
        <v>1200</v>
      </c>
      <c r="M6985" t="str">
        <f t="shared" si="742"/>
        <v xml:space="preserve">N35DC   </v>
      </c>
      <c r="N6985">
        <v>1</v>
      </c>
      <c r="O6985">
        <v>1050</v>
      </c>
    </row>
    <row r="6986" spans="1:15" x14ac:dyDescent="0.25">
      <c r="A6986" t="str">
        <f>"10/21/2020 19:03:11.362"</f>
        <v>10/21/2020 19:03:11.362</v>
      </c>
      <c r="B6986" t="str">
        <f>"19:03:19.320"</f>
        <v>19:03:19.320</v>
      </c>
      <c r="C6986" t="str">
        <f>"19:03:19.020"</f>
        <v>19:03:19.020</v>
      </c>
      <c r="D6986" t="s">
        <v>2880</v>
      </c>
      <c r="E6986">
        <v>30.413826</v>
      </c>
      <c r="F6986" t="s">
        <v>32</v>
      </c>
      <c r="G6986">
        <v>-89.820184999999995</v>
      </c>
      <c r="H6986">
        <v>1000</v>
      </c>
      <c r="I6986">
        <v>-18</v>
      </c>
      <c r="J6986">
        <v>-147</v>
      </c>
      <c r="K6986">
        <v>128</v>
      </c>
      <c r="L6986">
        <v>1200</v>
      </c>
      <c r="M6986" t="str">
        <f t="shared" si="742"/>
        <v xml:space="preserve">N35DC   </v>
      </c>
      <c r="N6986">
        <v>1</v>
      </c>
      <c r="O6986">
        <v>1050</v>
      </c>
    </row>
    <row r="6987" spans="1:15" x14ac:dyDescent="0.25">
      <c r="A6987" t="str">
        <f>"10/21/2020 19:03:11.362"</f>
        <v>10/21/2020 19:03:11.362</v>
      </c>
      <c r="B6987" t="str">
        <f>"19:03:19.320"</f>
        <v>19:03:19.320</v>
      </c>
      <c r="C6987" t="str">
        <f>"19:03:18.920"</f>
        <v>19:03:18.920</v>
      </c>
      <c r="D6987" t="s">
        <v>2880</v>
      </c>
      <c r="E6987">
        <v>30.413826</v>
      </c>
      <c r="F6987" t="s">
        <v>32</v>
      </c>
      <c r="G6987">
        <v>-89.820184999999995</v>
      </c>
      <c r="H6987">
        <v>1000</v>
      </c>
      <c r="I6987">
        <v>-18</v>
      </c>
      <c r="J6987">
        <v>-147</v>
      </c>
      <c r="K6987">
        <v>128</v>
      </c>
      <c r="L6987">
        <v>1200</v>
      </c>
      <c r="M6987" t="str">
        <f t="shared" si="742"/>
        <v xml:space="preserve">N35DC   </v>
      </c>
      <c r="N6987">
        <v>1</v>
      </c>
      <c r="O6987">
        <v>1050</v>
      </c>
    </row>
    <row r="6988" spans="1:15" x14ac:dyDescent="0.25">
      <c r="A6988" t="str">
        <f>"10/21/2020 19:03:11.362"</f>
        <v>10/21/2020 19:03:11.362</v>
      </c>
      <c r="B6988" t="str">
        <f>"19:03:19.320"</f>
        <v>19:03:19.320</v>
      </c>
      <c r="C6988" t="str">
        <f>"19:03:18.920"</f>
        <v>19:03:18.920</v>
      </c>
      <c r="D6988" t="s">
        <v>2880</v>
      </c>
      <c r="E6988">
        <v>30.413826</v>
      </c>
      <c r="F6988" t="s">
        <v>32</v>
      </c>
      <c r="G6988">
        <v>-89.820184999999995</v>
      </c>
      <c r="H6988">
        <v>1000</v>
      </c>
      <c r="I6988">
        <v>-18</v>
      </c>
      <c r="J6988">
        <v>-147</v>
      </c>
      <c r="K6988">
        <v>128</v>
      </c>
      <c r="L6988">
        <v>1200</v>
      </c>
      <c r="M6988" t="str">
        <f t="shared" si="742"/>
        <v xml:space="preserve">N35DC   </v>
      </c>
      <c r="N6988">
        <v>1</v>
      </c>
      <c r="O6988">
        <v>1050</v>
      </c>
    </row>
    <row r="6989" spans="1:15" x14ac:dyDescent="0.25">
      <c r="A6989" t="str">
        <f>"10/21/2020 19:03:12.312"</f>
        <v>10/21/2020 19:03:12.312</v>
      </c>
      <c r="B6989" t="str">
        <f>"19:03:20.266"</f>
        <v>19:03:20.266</v>
      </c>
      <c r="C6989" t="str">
        <f>"19:03:19.966"</f>
        <v>19:03:19.966</v>
      </c>
      <c r="D6989" t="s">
        <v>2881</v>
      </c>
      <c r="E6989">
        <v>30.413225000000001</v>
      </c>
      <c r="F6989" t="s">
        <v>25</v>
      </c>
      <c r="G6989">
        <v>-89.820271000000005</v>
      </c>
      <c r="H6989">
        <v>1000</v>
      </c>
      <c r="I6989">
        <v>-17</v>
      </c>
      <c r="J6989">
        <v>-144</v>
      </c>
      <c r="K6989">
        <v>576</v>
      </c>
      <c r="L6989">
        <v>1200</v>
      </c>
      <c r="M6989" t="str">
        <f t="shared" si="742"/>
        <v xml:space="preserve">N35DC   </v>
      </c>
      <c r="N6989">
        <v>1</v>
      </c>
      <c r="O6989">
        <v>1075</v>
      </c>
    </row>
    <row r="6990" spans="1:15" x14ac:dyDescent="0.25">
      <c r="A6990" t="str">
        <f>"10/21/2020 19:03:12.312"</f>
        <v>10/21/2020 19:03:12.312</v>
      </c>
      <c r="B6990" t="str">
        <f>"19:03:20.266"</f>
        <v>19:03:20.266</v>
      </c>
      <c r="C6990" t="str">
        <f>"19:03:19.966"</f>
        <v>19:03:19.966</v>
      </c>
      <c r="D6990" t="s">
        <v>2881</v>
      </c>
      <c r="E6990">
        <v>30.413225000000001</v>
      </c>
      <c r="F6990" t="s">
        <v>25</v>
      </c>
      <c r="G6990">
        <v>-89.820271000000005</v>
      </c>
      <c r="H6990">
        <v>1000</v>
      </c>
      <c r="I6990">
        <v>-17</v>
      </c>
      <c r="J6990">
        <v>-144</v>
      </c>
      <c r="K6990">
        <v>576</v>
      </c>
      <c r="L6990">
        <v>1200</v>
      </c>
      <c r="M6990" t="str">
        <f t="shared" si="742"/>
        <v xml:space="preserve">N35DC   </v>
      </c>
      <c r="N6990">
        <v>1</v>
      </c>
      <c r="O6990">
        <v>1075</v>
      </c>
    </row>
    <row r="6991" spans="1:15" x14ac:dyDescent="0.25">
      <c r="A6991" t="str">
        <f>"10/21/2020 19:03:12.312"</f>
        <v>10/21/2020 19:03:12.312</v>
      </c>
      <c r="B6991" t="str">
        <f>"19:03:20.266"</f>
        <v>19:03:20.266</v>
      </c>
      <c r="C6991" t="str">
        <f>"19:03:19.966"</f>
        <v>19:03:19.966</v>
      </c>
      <c r="D6991" t="s">
        <v>2881</v>
      </c>
      <c r="E6991">
        <v>30.413225000000001</v>
      </c>
      <c r="F6991" t="s">
        <v>25</v>
      </c>
      <c r="G6991">
        <v>-89.820271000000005</v>
      </c>
      <c r="H6991">
        <v>1000</v>
      </c>
      <c r="I6991">
        <v>-17</v>
      </c>
      <c r="J6991">
        <v>-144</v>
      </c>
      <c r="K6991">
        <v>576</v>
      </c>
      <c r="L6991">
        <v>1200</v>
      </c>
      <c r="M6991" t="str">
        <f t="shared" si="742"/>
        <v xml:space="preserve">N35DC   </v>
      </c>
      <c r="N6991">
        <v>1</v>
      </c>
      <c r="O6991">
        <v>1075</v>
      </c>
    </row>
    <row r="6992" spans="1:15" x14ac:dyDescent="0.25">
      <c r="A6992" t="str">
        <f>"10/21/2020 19:03:12.312"</f>
        <v>10/21/2020 19:03:12.312</v>
      </c>
      <c r="B6992" t="str">
        <f>"19:03:20.266"</f>
        <v>19:03:20.266</v>
      </c>
      <c r="C6992" t="str">
        <f>"19:03:19.966"</f>
        <v>19:03:19.966</v>
      </c>
      <c r="D6992" t="s">
        <v>2881</v>
      </c>
      <c r="E6992">
        <v>30.413225000000001</v>
      </c>
      <c r="F6992" t="s">
        <v>25</v>
      </c>
      <c r="G6992">
        <v>-89.820271000000005</v>
      </c>
      <c r="H6992">
        <v>1000</v>
      </c>
      <c r="I6992">
        <v>-17</v>
      </c>
      <c r="J6992">
        <v>-144</v>
      </c>
      <c r="K6992">
        <v>576</v>
      </c>
      <c r="L6992">
        <v>1200</v>
      </c>
      <c r="M6992" t="str">
        <f t="shared" si="742"/>
        <v xml:space="preserve">N35DC   </v>
      </c>
      <c r="N6992">
        <v>1</v>
      </c>
      <c r="O6992">
        <v>1075</v>
      </c>
    </row>
    <row r="6993" spans="1:15" x14ac:dyDescent="0.25">
      <c r="A6993" t="str">
        <f>"10/21/2020 19:03:12.312"</f>
        <v>10/21/2020 19:03:12.312</v>
      </c>
      <c r="B6993" t="str">
        <f>"19:03:20.266"</f>
        <v>19:03:20.266</v>
      </c>
      <c r="C6993" t="str">
        <f>"19:03:19.966"</f>
        <v>19:03:19.966</v>
      </c>
      <c r="D6993" t="s">
        <v>2881</v>
      </c>
      <c r="E6993">
        <v>30.413225000000001</v>
      </c>
      <c r="F6993" t="s">
        <v>25</v>
      </c>
      <c r="G6993">
        <v>-89.820271000000005</v>
      </c>
      <c r="H6993">
        <v>1000</v>
      </c>
      <c r="I6993">
        <v>-17</v>
      </c>
      <c r="J6993">
        <v>-144</v>
      </c>
      <c r="K6993">
        <v>576</v>
      </c>
      <c r="L6993">
        <v>1200</v>
      </c>
      <c r="M6993" t="str">
        <f t="shared" si="742"/>
        <v xml:space="preserve">N35DC   </v>
      </c>
      <c r="N6993">
        <v>1</v>
      </c>
      <c r="O6993">
        <v>1075</v>
      </c>
    </row>
    <row r="6994" spans="1:15" x14ac:dyDescent="0.25">
      <c r="A6994" t="str">
        <f>"10/21/2020 19:03:14.191"</f>
        <v>10/21/2020 19:03:14.191</v>
      </c>
      <c r="B6994" t="str">
        <f>"19:03:22.141"</f>
        <v>19:03:22.141</v>
      </c>
      <c r="C6994" t="str">
        <f>"19:03:21.941"</f>
        <v>19:03:21.941</v>
      </c>
      <c r="D6994" t="s">
        <v>2882</v>
      </c>
      <c r="E6994">
        <v>30.41198</v>
      </c>
      <c r="F6994" t="s">
        <v>2883</v>
      </c>
      <c r="G6994">
        <v>-89.820442</v>
      </c>
      <c r="H6994">
        <v>1000</v>
      </c>
      <c r="I6994">
        <v>-17</v>
      </c>
      <c r="J6994">
        <v>-138</v>
      </c>
      <c r="K6994">
        <v>64</v>
      </c>
      <c r="L6994">
        <v>1200</v>
      </c>
      <c r="M6994" t="str">
        <f t="shared" si="742"/>
        <v xml:space="preserve">N35DC   </v>
      </c>
      <c r="N6994">
        <v>1</v>
      </c>
      <c r="O6994">
        <v>1075</v>
      </c>
    </row>
    <row r="6995" spans="1:15" x14ac:dyDescent="0.25">
      <c r="A6995" t="str">
        <f>"10/21/2020 19:03:14.191"</f>
        <v>10/21/2020 19:03:14.191</v>
      </c>
      <c r="B6995" t="str">
        <f>"19:03:22.141"</f>
        <v>19:03:22.141</v>
      </c>
      <c r="C6995" t="str">
        <f>"19:03:21.941"</f>
        <v>19:03:21.941</v>
      </c>
      <c r="D6995" t="s">
        <v>2882</v>
      </c>
      <c r="E6995">
        <v>30.41198</v>
      </c>
      <c r="F6995" t="s">
        <v>2883</v>
      </c>
      <c r="G6995">
        <v>-89.820442</v>
      </c>
      <c r="H6995">
        <v>1000</v>
      </c>
      <c r="I6995">
        <v>-17</v>
      </c>
      <c r="J6995">
        <v>-138</v>
      </c>
      <c r="K6995">
        <v>64</v>
      </c>
      <c r="L6995">
        <v>1200</v>
      </c>
      <c r="M6995" t="str">
        <f t="shared" si="742"/>
        <v xml:space="preserve">N35DC   </v>
      </c>
      <c r="N6995">
        <v>1</v>
      </c>
      <c r="O6995">
        <v>1075</v>
      </c>
    </row>
    <row r="6996" spans="1:15" x14ac:dyDescent="0.25">
      <c r="A6996" t="str">
        <f>"10/21/2020 19:03:14.191"</f>
        <v>10/21/2020 19:03:14.191</v>
      </c>
      <c r="B6996" t="str">
        <f>"19:03:22.141"</f>
        <v>19:03:22.141</v>
      </c>
      <c r="C6996" t="str">
        <f>"19:03:21.941"</f>
        <v>19:03:21.941</v>
      </c>
      <c r="D6996" t="s">
        <v>2882</v>
      </c>
      <c r="E6996">
        <v>30.41198</v>
      </c>
      <c r="F6996" t="s">
        <v>2883</v>
      </c>
      <c r="G6996">
        <v>-89.820442</v>
      </c>
      <c r="H6996">
        <v>1000</v>
      </c>
      <c r="I6996">
        <v>-17</v>
      </c>
      <c r="J6996">
        <v>-138</v>
      </c>
      <c r="K6996">
        <v>64</v>
      </c>
      <c r="L6996">
        <v>1200</v>
      </c>
      <c r="M6996" t="str">
        <f t="shared" si="742"/>
        <v xml:space="preserve">N35DC   </v>
      </c>
      <c r="N6996">
        <v>1</v>
      </c>
      <c r="O6996">
        <v>1075</v>
      </c>
    </row>
    <row r="6997" spans="1:15" x14ac:dyDescent="0.25">
      <c r="A6997" t="str">
        <f>"10/21/2020 19:03:14.191"</f>
        <v>10/21/2020 19:03:14.191</v>
      </c>
      <c r="B6997" t="str">
        <f>"19:03:22.141"</f>
        <v>19:03:22.141</v>
      </c>
      <c r="C6997" t="str">
        <f>"19:03:21.941"</f>
        <v>19:03:21.941</v>
      </c>
      <c r="D6997" t="s">
        <v>2882</v>
      </c>
      <c r="E6997">
        <v>30.41198</v>
      </c>
      <c r="F6997" t="s">
        <v>2883</v>
      </c>
      <c r="G6997">
        <v>-89.820442</v>
      </c>
      <c r="H6997">
        <v>1000</v>
      </c>
      <c r="I6997">
        <v>-17</v>
      </c>
      <c r="J6997">
        <v>-138</v>
      </c>
      <c r="K6997">
        <v>64</v>
      </c>
      <c r="L6997">
        <v>1200</v>
      </c>
      <c r="M6997" t="str">
        <f t="shared" si="742"/>
        <v xml:space="preserve">N35DC   </v>
      </c>
      <c r="N6997">
        <v>1</v>
      </c>
      <c r="O6997">
        <v>1075</v>
      </c>
    </row>
    <row r="6998" spans="1:15" x14ac:dyDescent="0.25">
      <c r="A6998" t="str">
        <f>"10/21/2020 19:03:14.191"</f>
        <v>10/21/2020 19:03:14.191</v>
      </c>
      <c r="B6998" t="str">
        <f>"19:03:22.141"</f>
        <v>19:03:22.141</v>
      </c>
      <c r="C6998" t="str">
        <f>"19:03:21.941"</f>
        <v>19:03:21.941</v>
      </c>
      <c r="D6998" t="s">
        <v>2882</v>
      </c>
      <c r="E6998">
        <v>30.41198</v>
      </c>
      <c r="F6998" t="s">
        <v>2883</v>
      </c>
      <c r="G6998">
        <v>-89.820442</v>
      </c>
      <c r="H6998">
        <v>1000</v>
      </c>
      <c r="I6998">
        <v>-17</v>
      </c>
      <c r="J6998">
        <v>-138</v>
      </c>
      <c r="K6998">
        <v>64</v>
      </c>
      <c r="L6998">
        <v>1200</v>
      </c>
      <c r="M6998" t="str">
        <f t="shared" si="742"/>
        <v xml:space="preserve">N35DC   </v>
      </c>
      <c r="N6998">
        <v>1</v>
      </c>
      <c r="O6998">
        <v>1075</v>
      </c>
    </row>
    <row r="6999" spans="1:15" x14ac:dyDescent="0.25">
      <c r="A6999" t="str">
        <f>"10/21/2020 19:03:15.177"</f>
        <v>10/21/2020 19:03:15.177</v>
      </c>
      <c r="B6999" t="str">
        <f>"19:03:23.133"</f>
        <v>19:03:23.133</v>
      </c>
      <c r="C6999" t="str">
        <f>"19:03:22.833"</f>
        <v>19:03:22.833</v>
      </c>
      <c r="D6999" t="s">
        <v>2884</v>
      </c>
      <c r="E6999">
        <v>30.411358</v>
      </c>
      <c r="F6999" t="s">
        <v>16</v>
      </c>
      <c r="G6999">
        <v>-89.820485000000005</v>
      </c>
      <c r="H6999">
        <v>1000</v>
      </c>
      <c r="I6999">
        <v>-17</v>
      </c>
      <c r="J6999">
        <v>-137</v>
      </c>
      <c r="K6999">
        <v>-128</v>
      </c>
      <c r="L6999">
        <v>1200</v>
      </c>
      <c r="M6999" t="str">
        <f t="shared" si="742"/>
        <v xml:space="preserve">N35DC   </v>
      </c>
      <c r="N6999">
        <v>1</v>
      </c>
      <c r="O6999">
        <v>1075</v>
      </c>
    </row>
    <row r="7000" spans="1:15" x14ac:dyDescent="0.25">
      <c r="A7000" t="str">
        <f>"10/21/2020 19:03:15.177"</f>
        <v>10/21/2020 19:03:15.177</v>
      </c>
      <c r="B7000" t="str">
        <f>"19:03:23.133"</f>
        <v>19:03:23.133</v>
      </c>
      <c r="C7000" t="str">
        <f>"19:03:22.833"</f>
        <v>19:03:22.833</v>
      </c>
      <c r="D7000" t="s">
        <v>2884</v>
      </c>
      <c r="E7000">
        <v>30.411358</v>
      </c>
      <c r="F7000" t="s">
        <v>16</v>
      </c>
      <c r="G7000">
        <v>-89.820485000000005</v>
      </c>
      <c r="H7000">
        <v>1000</v>
      </c>
      <c r="I7000">
        <v>-17</v>
      </c>
      <c r="J7000">
        <v>-137</v>
      </c>
      <c r="K7000">
        <v>-128</v>
      </c>
      <c r="L7000">
        <v>1200</v>
      </c>
      <c r="M7000" t="str">
        <f t="shared" si="742"/>
        <v xml:space="preserve">N35DC   </v>
      </c>
      <c r="N7000">
        <v>1</v>
      </c>
      <c r="O7000">
        <v>1075</v>
      </c>
    </row>
    <row r="7001" spans="1:15" x14ac:dyDescent="0.25">
      <c r="A7001" t="str">
        <f>"10/21/2020 19:03:15.177"</f>
        <v>10/21/2020 19:03:15.177</v>
      </c>
      <c r="B7001" t="str">
        <f>"19:03:23.133"</f>
        <v>19:03:23.133</v>
      </c>
      <c r="C7001" t="str">
        <f>"19:03:22.833"</f>
        <v>19:03:22.833</v>
      </c>
      <c r="D7001" t="s">
        <v>2884</v>
      </c>
      <c r="E7001">
        <v>30.411358</v>
      </c>
      <c r="F7001" t="s">
        <v>16</v>
      </c>
      <c r="G7001">
        <v>-89.820485000000005</v>
      </c>
      <c r="H7001">
        <v>1000</v>
      </c>
      <c r="I7001">
        <v>-17</v>
      </c>
      <c r="J7001">
        <v>-137</v>
      </c>
      <c r="K7001">
        <v>-128</v>
      </c>
      <c r="L7001">
        <v>1200</v>
      </c>
      <c r="M7001" t="str">
        <f t="shared" si="742"/>
        <v xml:space="preserve">N35DC   </v>
      </c>
      <c r="N7001">
        <v>1</v>
      </c>
      <c r="O7001">
        <v>1075</v>
      </c>
    </row>
    <row r="7002" spans="1:15" x14ac:dyDescent="0.25">
      <c r="A7002" t="str">
        <f>"10/21/2020 19:03:15.177"</f>
        <v>10/21/2020 19:03:15.177</v>
      </c>
      <c r="B7002" t="str">
        <f>"19:03:23.133"</f>
        <v>19:03:23.133</v>
      </c>
      <c r="C7002" t="str">
        <f>"19:03:22.833"</f>
        <v>19:03:22.833</v>
      </c>
      <c r="D7002" t="s">
        <v>2884</v>
      </c>
      <c r="E7002">
        <v>30.411358</v>
      </c>
      <c r="F7002" t="s">
        <v>16</v>
      </c>
      <c r="G7002">
        <v>-89.820485000000005</v>
      </c>
      <c r="H7002">
        <v>1000</v>
      </c>
      <c r="I7002">
        <v>-17</v>
      </c>
      <c r="J7002">
        <v>-137</v>
      </c>
      <c r="K7002">
        <v>-128</v>
      </c>
      <c r="L7002">
        <v>1200</v>
      </c>
      <c r="M7002" t="str">
        <f t="shared" si="742"/>
        <v xml:space="preserve">N35DC   </v>
      </c>
      <c r="N7002">
        <v>1</v>
      </c>
      <c r="O7002">
        <v>1075</v>
      </c>
    </row>
    <row r="7003" spans="1:15" x14ac:dyDescent="0.25">
      <c r="A7003" t="str">
        <f>"10/21/2020 19:03:15.177"</f>
        <v>10/21/2020 19:03:15.177</v>
      </c>
      <c r="B7003" t="str">
        <f>"19:03:23.133"</f>
        <v>19:03:23.133</v>
      </c>
      <c r="C7003" t="str">
        <f>"19:03:22.833"</f>
        <v>19:03:22.833</v>
      </c>
      <c r="D7003" t="s">
        <v>2884</v>
      </c>
      <c r="E7003">
        <v>30.411358</v>
      </c>
      <c r="F7003" t="s">
        <v>16</v>
      </c>
      <c r="G7003">
        <v>-89.820485000000005</v>
      </c>
      <c r="H7003">
        <v>1000</v>
      </c>
      <c r="I7003">
        <v>-17</v>
      </c>
      <c r="J7003">
        <v>-137</v>
      </c>
      <c r="K7003">
        <v>-128</v>
      </c>
      <c r="L7003">
        <v>1200</v>
      </c>
      <c r="M7003" t="str">
        <f t="shared" si="742"/>
        <v xml:space="preserve">N35DC   </v>
      </c>
      <c r="N7003">
        <v>1</v>
      </c>
      <c r="O7003">
        <v>1075</v>
      </c>
    </row>
    <row r="7004" spans="1:15" x14ac:dyDescent="0.25">
      <c r="A7004" t="str">
        <f>"10/21/2020 19:03:18.402"</f>
        <v>10/21/2020 19:03:18.402</v>
      </c>
      <c r="B7004" t="str">
        <f>"19:03:26.359"</f>
        <v>19:03:26.359</v>
      </c>
      <c r="C7004" t="str">
        <f>"19:03:25.959"</f>
        <v>19:03:25.959</v>
      </c>
      <c r="D7004" t="s">
        <v>2885</v>
      </c>
      <c r="E7004">
        <v>30.409362000000002</v>
      </c>
      <c r="F7004" t="s">
        <v>2319</v>
      </c>
      <c r="G7004">
        <v>-89.820763999999997</v>
      </c>
      <c r="H7004">
        <v>1000</v>
      </c>
      <c r="I7004">
        <v>-13</v>
      </c>
      <c r="J7004">
        <v>-133</v>
      </c>
      <c r="K7004">
        <v>-384</v>
      </c>
      <c r="L7004">
        <v>1200</v>
      </c>
      <c r="M7004" t="str">
        <f t="shared" si="742"/>
        <v xml:space="preserve">N35DC   </v>
      </c>
      <c r="N7004">
        <v>1</v>
      </c>
      <c r="O7004">
        <v>1050</v>
      </c>
    </row>
    <row r="7005" spans="1:15" x14ac:dyDescent="0.25">
      <c r="A7005" t="str">
        <f>"10/21/2020 19:03:18.402"</f>
        <v>10/21/2020 19:03:18.402</v>
      </c>
      <c r="B7005" t="str">
        <f>"19:03:26.359"</f>
        <v>19:03:26.359</v>
      </c>
      <c r="C7005" t="str">
        <f>"19:03:25.959"</f>
        <v>19:03:25.959</v>
      </c>
      <c r="D7005" t="s">
        <v>2885</v>
      </c>
      <c r="E7005">
        <v>30.409362000000002</v>
      </c>
      <c r="F7005" t="s">
        <v>2319</v>
      </c>
      <c r="G7005">
        <v>-89.820763999999997</v>
      </c>
      <c r="H7005">
        <v>1000</v>
      </c>
      <c r="I7005">
        <v>-13</v>
      </c>
      <c r="J7005">
        <v>-133</v>
      </c>
      <c r="K7005">
        <v>-384</v>
      </c>
      <c r="L7005">
        <v>1200</v>
      </c>
      <c r="M7005" t="str">
        <f t="shared" si="742"/>
        <v xml:space="preserve">N35DC   </v>
      </c>
      <c r="N7005">
        <v>1</v>
      </c>
      <c r="O7005">
        <v>1050</v>
      </c>
    </row>
    <row r="7006" spans="1:15" x14ac:dyDescent="0.25">
      <c r="A7006" t="str">
        <f>"10/21/2020 19:03:18.402"</f>
        <v>10/21/2020 19:03:18.402</v>
      </c>
      <c r="B7006" t="str">
        <f>"19:03:26.359"</f>
        <v>19:03:26.359</v>
      </c>
      <c r="C7006" t="str">
        <f>"19:03:25.959"</f>
        <v>19:03:25.959</v>
      </c>
      <c r="D7006" t="s">
        <v>2885</v>
      </c>
      <c r="E7006">
        <v>30.409362000000002</v>
      </c>
      <c r="F7006" t="s">
        <v>2319</v>
      </c>
      <c r="G7006">
        <v>-89.820763999999997</v>
      </c>
      <c r="H7006">
        <v>1000</v>
      </c>
      <c r="I7006">
        <v>-13</v>
      </c>
      <c r="J7006">
        <v>-133</v>
      </c>
      <c r="K7006">
        <v>-384</v>
      </c>
      <c r="L7006">
        <v>1200</v>
      </c>
      <c r="M7006" t="str">
        <f t="shared" si="742"/>
        <v xml:space="preserve">N35DC   </v>
      </c>
      <c r="N7006">
        <v>1</v>
      </c>
      <c r="O7006">
        <v>1050</v>
      </c>
    </row>
    <row r="7007" spans="1:15" x14ac:dyDescent="0.25">
      <c r="A7007" t="str">
        <f>"10/21/2020 19:03:18.402"</f>
        <v>10/21/2020 19:03:18.402</v>
      </c>
      <c r="B7007" t="str">
        <f>"19:03:26.359"</f>
        <v>19:03:26.359</v>
      </c>
      <c r="C7007" t="str">
        <f>"19:03:25.959"</f>
        <v>19:03:25.959</v>
      </c>
      <c r="D7007" t="s">
        <v>2885</v>
      </c>
      <c r="E7007">
        <v>30.409362000000002</v>
      </c>
      <c r="F7007" t="s">
        <v>2319</v>
      </c>
      <c r="G7007">
        <v>-89.820763999999997</v>
      </c>
      <c r="H7007">
        <v>1000</v>
      </c>
      <c r="I7007">
        <v>-13</v>
      </c>
      <c r="J7007">
        <v>-133</v>
      </c>
      <c r="K7007">
        <v>-384</v>
      </c>
      <c r="L7007">
        <v>1200</v>
      </c>
      <c r="M7007" t="str">
        <f t="shared" si="742"/>
        <v xml:space="preserve">N35DC   </v>
      </c>
      <c r="N7007">
        <v>1</v>
      </c>
      <c r="O7007">
        <v>1050</v>
      </c>
    </row>
    <row r="7008" spans="1:15" x14ac:dyDescent="0.25">
      <c r="A7008" t="str">
        <f>"10/21/2020 19:03:18.402"</f>
        <v>10/21/2020 19:03:18.402</v>
      </c>
      <c r="B7008" t="str">
        <f>"19:03:26.359"</f>
        <v>19:03:26.359</v>
      </c>
      <c r="C7008" t="str">
        <f>"19:03:25.959"</f>
        <v>19:03:25.959</v>
      </c>
      <c r="D7008" t="s">
        <v>2885</v>
      </c>
      <c r="E7008">
        <v>30.409362000000002</v>
      </c>
      <c r="F7008" t="s">
        <v>2319</v>
      </c>
      <c r="G7008">
        <v>-89.820763999999997</v>
      </c>
      <c r="H7008">
        <v>1000</v>
      </c>
      <c r="I7008">
        <v>-13</v>
      </c>
      <c r="J7008">
        <v>-133</v>
      </c>
      <c r="K7008">
        <v>-384</v>
      </c>
      <c r="L7008">
        <v>1200</v>
      </c>
      <c r="M7008" t="str">
        <f t="shared" si="742"/>
        <v xml:space="preserve">N35DC   </v>
      </c>
      <c r="N7008">
        <v>1</v>
      </c>
      <c r="O7008">
        <v>1050</v>
      </c>
    </row>
    <row r="7009" spans="1:15" x14ac:dyDescent="0.25">
      <c r="A7009" t="str">
        <f>"10/21/2020 19:03:21.272"</f>
        <v>10/21/2020 19:03:21.272</v>
      </c>
      <c r="B7009" t="str">
        <f>"19:03:29.234"</f>
        <v>19:03:29.234</v>
      </c>
      <c r="C7009" t="str">
        <f>"19:03:29.034"</f>
        <v>19:03:29.034</v>
      </c>
      <c r="D7009" t="s">
        <v>2886</v>
      </c>
      <c r="E7009">
        <v>30.407646</v>
      </c>
      <c r="F7009" t="s">
        <v>2887</v>
      </c>
      <c r="G7009">
        <v>-89.820870999999997</v>
      </c>
      <c r="H7009">
        <v>1000</v>
      </c>
      <c r="I7009">
        <v>-7</v>
      </c>
      <c r="J7009">
        <v>-130</v>
      </c>
      <c r="K7009">
        <v>-256</v>
      </c>
      <c r="L7009">
        <v>1200</v>
      </c>
      <c r="M7009" t="str">
        <f t="shared" si="742"/>
        <v xml:space="preserve">N35DC   </v>
      </c>
      <c r="N7009">
        <v>1</v>
      </c>
      <c r="O7009">
        <v>1050</v>
      </c>
    </row>
    <row r="7010" spans="1:15" x14ac:dyDescent="0.25">
      <c r="A7010" t="str">
        <f>"10/21/2020 19:03:21.272"</f>
        <v>10/21/2020 19:03:21.272</v>
      </c>
      <c r="B7010" t="str">
        <f>"19:03:29.234"</f>
        <v>19:03:29.234</v>
      </c>
      <c r="C7010" t="str">
        <f>"19:03:29.034"</f>
        <v>19:03:29.034</v>
      </c>
      <c r="D7010" t="s">
        <v>2886</v>
      </c>
      <c r="E7010">
        <v>30.407646</v>
      </c>
      <c r="F7010" t="s">
        <v>2887</v>
      </c>
      <c r="G7010">
        <v>-89.820870999999997</v>
      </c>
      <c r="H7010">
        <v>1000</v>
      </c>
      <c r="I7010">
        <v>-7</v>
      </c>
      <c r="J7010">
        <v>-130</v>
      </c>
      <c r="K7010">
        <v>-256</v>
      </c>
      <c r="L7010">
        <v>1200</v>
      </c>
      <c r="M7010" t="str">
        <f t="shared" si="742"/>
        <v xml:space="preserve">N35DC   </v>
      </c>
      <c r="N7010">
        <v>1</v>
      </c>
      <c r="O7010">
        <v>1050</v>
      </c>
    </row>
    <row r="7011" spans="1:15" x14ac:dyDescent="0.25">
      <c r="A7011" t="str">
        <f>"10/21/2020 19:03:21.272"</f>
        <v>10/21/2020 19:03:21.272</v>
      </c>
      <c r="B7011" t="str">
        <f>"19:03:29.234"</f>
        <v>19:03:29.234</v>
      </c>
      <c r="C7011" t="str">
        <f>"19:03:29.034"</f>
        <v>19:03:29.034</v>
      </c>
      <c r="D7011" t="s">
        <v>2886</v>
      </c>
      <c r="E7011">
        <v>30.407646</v>
      </c>
      <c r="F7011" t="s">
        <v>2887</v>
      </c>
      <c r="G7011">
        <v>-89.820870999999997</v>
      </c>
      <c r="H7011">
        <v>1000</v>
      </c>
      <c r="I7011">
        <v>-7</v>
      </c>
      <c r="J7011">
        <v>-130</v>
      </c>
      <c r="K7011">
        <v>-256</v>
      </c>
      <c r="L7011">
        <v>1200</v>
      </c>
      <c r="M7011" t="str">
        <f t="shared" si="742"/>
        <v xml:space="preserve">N35DC   </v>
      </c>
      <c r="N7011">
        <v>1</v>
      </c>
      <c r="O7011">
        <v>1050</v>
      </c>
    </row>
    <row r="7012" spans="1:15" x14ac:dyDescent="0.25">
      <c r="A7012" t="str">
        <f>"10/21/2020 19:03:21.272"</f>
        <v>10/21/2020 19:03:21.272</v>
      </c>
      <c r="B7012" t="str">
        <f>"19:03:29.234"</f>
        <v>19:03:29.234</v>
      </c>
      <c r="C7012" t="str">
        <f>"19:03:29.034"</f>
        <v>19:03:29.034</v>
      </c>
      <c r="D7012" t="s">
        <v>2886</v>
      </c>
      <c r="E7012">
        <v>30.407646</v>
      </c>
      <c r="F7012" t="s">
        <v>2887</v>
      </c>
      <c r="G7012">
        <v>-89.820870999999997</v>
      </c>
      <c r="H7012">
        <v>1000</v>
      </c>
      <c r="I7012">
        <v>-7</v>
      </c>
      <c r="J7012">
        <v>-130</v>
      </c>
      <c r="K7012">
        <v>-256</v>
      </c>
      <c r="L7012">
        <v>1200</v>
      </c>
      <c r="M7012" t="str">
        <f t="shared" si="742"/>
        <v xml:space="preserve">N35DC   </v>
      </c>
      <c r="N7012">
        <v>1</v>
      </c>
      <c r="O7012">
        <v>1050</v>
      </c>
    </row>
    <row r="7013" spans="1:15" x14ac:dyDescent="0.25">
      <c r="A7013" t="str">
        <f>"10/21/2020 19:03:21.272"</f>
        <v>10/21/2020 19:03:21.272</v>
      </c>
      <c r="B7013" t="str">
        <f>"19:03:29.234"</f>
        <v>19:03:29.234</v>
      </c>
      <c r="C7013" t="str">
        <f>"19:03:29.034"</f>
        <v>19:03:29.034</v>
      </c>
      <c r="D7013" t="s">
        <v>2886</v>
      </c>
      <c r="E7013">
        <v>30.407646</v>
      </c>
      <c r="F7013" t="s">
        <v>2887</v>
      </c>
      <c r="G7013">
        <v>-89.820870999999997</v>
      </c>
      <c r="H7013">
        <v>1000</v>
      </c>
      <c r="I7013">
        <v>-7</v>
      </c>
      <c r="J7013">
        <v>-130</v>
      </c>
      <c r="K7013">
        <v>-256</v>
      </c>
      <c r="L7013">
        <v>1200</v>
      </c>
      <c r="M7013" t="str">
        <f t="shared" si="742"/>
        <v xml:space="preserve">N35DC   </v>
      </c>
      <c r="N7013">
        <v>1</v>
      </c>
      <c r="O7013">
        <v>1050</v>
      </c>
    </row>
    <row r="7014" spans="1:15" x14ac:dyDescent="0.25">
      <c r="A7014" t="str">
        <f>"10/21/2020 19:03:22.257"</f>
        <v>10/21/2020 19:03:22.257</v>
      </c>
      <c r="B7014" t="str">
        <f>"19:03:30.242"</f>
        <v>19:03:30.242</v>
      </c>
      <c r="C7014" t="str">
        <f>"19:03:30.042"</f>
        <v>19:03:30.042</v>
      </c>
      <c r="D7014" t="s">
        <v>2888</v>
      </c>
      <c r="E7014">
        <v>30.407045</v>
      </c>
      <c r="F7014" t="s">
        <v>2889</v>
      </c>
      <c r="G7014">
        <v>-89.820914000000002</v>
      </c>
      <c r="H7014">
        <v>1000</v>
      </c>
      <c r="I7014">
        <v>-4</v>
      </c>
      <c r="J7014">
        <v>-128</v>
      </c>
      <c r="K7014">
        <v>-320</v>
      </c>
      <c r="L7014">
        <v>1200</v>
      </c>
      <c r="M7014" t="str">
        <f t="shared" si="742"/>
        <v xml:space="preserve">N35DC   </v>
      </c>
      <c r="N7014">
        <v>1</v>
      </c>
      <c r="O7014">
        <v>1025</v>
      </c>
    </row>
    <row r="7015" spans="1:15" x14ac:dyDescent="0.25">
      <c r="A7015" t="str">
        <f>"10/21/2020 19:03:22.257"</f>
        <v>10/21/2020 19:03:22.257</v>
      </c>
      <c r="B7015" t="str">
        <f>"19:03:30.242"</f>
        <v>19:03:30.242</v>
      </c>
      <c r="C7015" t="str">
        <f>"19:03:30.042"</f>
        <v>19:03:30.042</v>
      </c>
      <c r="D7015" t="s">
        <v>2888</v>
      </c>
      <c r="E7015">
        <v>30.407045</v>
      </c>
      <c r="F7015" t="s">
        <v>2889</v>
      </c>
      <c r="G7015">
        <v>-89.820914000000002</v>
      </c>
      <c r="H7015">
        <v>1000</v>
      </c>
      <c r="I7015">
        <v>-4</v>
      </c>
      <c r="J7015">
        <v>-128</v>
      </c>
      <c r="K7015">
        <v>-320</v>
      </c>
      <c r="L7015">
        <v>1200</v>
      </c>
      <c r="M7015" t="str">
        <f t="shared" si="742"/>
        <v xml:space="preserve">N35DC   </v>
      </c>
      <c r="N7015">
        <v>1</v>
      </c>
      <c r="O7015">
        <v>1025</v>
      </c>
    </row>
    <row r="7016" spans="1:15" x14ac:dyDescent="0.25">
      <c r="A7016" t="str">
        <f>"10/21/2020 19:03:22.257"</f>
        <v>10/21/2020 19:03:22.257</v>
      </c>
      <c r="B7016" t="str">
        <f>"19:03:30.242"</f>
        <v>19:03:30.242</v>
      </c>
      <c r="C7016" t="str">
        <f>"19:03:30.042"</f>
        <v>19:03:30.042</v>
      </c>
      <c r="D7016" t="s">
        <v>2888</v>
      </c>
      <c r="E7016">
        <v>30.407045</v>
      </c>
      <c r="F7016" t="s">
        <v>2889</v>
      </c>
      <c r="G7016">
        <v>-89.820914000000002</v>
      </c>
      <c r="H7016">
        <v>1000</v>
      </c>
      <c r="I7016">
        <v>-4</v>
      </c>
      <c r="J7016">
        <v>-128</v>
      </c>
      <c r="K7016">
        <v>-320</v>
      </c>
      <c r="L7016">
        <v>1200</v>
      </c>
      <c r="M7016" t="str">
        <f t="shared" si="742"/>
        <v xml:space="preserve">N35DC   </v>
      </c>
      <c r="N7016">
        <v>1</v>
      </c>
      <c r="O7016">
        <v>1025</v>
      </c>
    </row>
    <row r="7017" spans="1:15" x14ac:dyDescent="0.25">
      <c r="A7017" t="str">
        <f>"10/21/2020 19:03:22.257"</f>
        <v>10/21/2020 19:03:22.257</v>
      </c>
      <c r="B7017" t="str">
        <f>"19:03:30.242"</f>
        <v>19:03:30.242</v>
      </c>
      <c r="C7017" t="str">
        <f>"19:03:30.042"</f>
        <v>19:03:30.042</v>
      </c>
      <c r="D7017" t="s">
        <v>2888</v>
      </c>
      <c r="E7017">
        <v>30.407045</v>
      </c>
      <c r="F7017" t="s">
        <v>2889</v>
      </c>
      <c r="G7017">
        <v>-89.820914000000002</v>
      </c>
      <c r="H7017">
        <v>1000</v>
      </c>
      <c r="I7017">
        <v>-4</v>
      </c>
      <c r="J7017">
        <v>-128</v>
      </c>
      <c r="K7017">
        <v>-320</v>
      </c>
      <c r="L7017">
        <v>1200</v>
      </c>
      <c r="M7017" t="str">
        <f t="shared" si="742"/>
        <v xml:space="preserve">N35DC   </v>
      </c>
      <c r="N7017">
        <v>1</v>
      </c>
      <c r="O7017">
        <v>1025</v>
      </c>
    </row>
    <row r="7018" spans="1:15" x14ac:dyDescent="0.25">
      <c r="A7018" t="str">
        <f>"10/21/2020 19:03:22.257"</f>
        <v>10/21/2020 19:03:22.257</v>
      </c>
      <c r="B7018" t="str">
        <f>"19:03:30.242"</f>
        <v>19:03:30.242</v>
      </c>
      <c r="C7018" t="str">
        <f>"19:03:30.042"</f>
        <v>19:03:30.042</v>
      </c>
      <c r="D7018" t="s">
        <v>2888</v>
      </c>
      <c r="E7018">
        <v>30.407045</v>
      </c>
      <c r="F7018" t="s">
        <v>2889</v>
      </c>
      <c r="G7018">
        <v>-89.820914000000002</v>
      </c>
      <c r="H7018">
        <v>1000</v>
      </c>
      <c r="I7018">
        <v>-4</v>
      </c>
      <c r="J7018">
        <v>-128</v>
      </c>
      <c r="K7018">
        <v>-320</v>
      </c>
      <c r="L7018">
        <v>1200</v>
      </c>
      <c r="M7018" t="str">
        <f t="shared" si="742"/>
        <v xml:space="preserve">N35DC   </v>
      </c>
      <c r="N7018">
        <v>1</v>
      </c>
      <c r="O7018">
        <v>1025</v>
      </c>
    </row>
    <row r="7019" spans="1:15" x14ac:dyDescent="0.25">
      <c r="A7019" t="str">
        <f>"10/21/2020 19:03:24.429"</f>
        <v>10/21/2020 19:03:24.429</v>
      </c>
      <c r="B7019" t="str">
        <f>"19:03:32.375"</f>
        <v>19:03:32.375</v>
      </c>
      <c r="C7019" t="str">
        <f>"19:03:32.075"</f>
        <v>19:03:32.075</v>
      </c>
      <c r="D7019" t="s">
        <v>2890</v>
      </c>
      <c r="E7019">
        <v>30.405799999999999</v>
      </c>
      <c r="F7019" t="s">
        <v>2887</v>
      </c>
      <c r="G7019">
        <v>-89.820870999999997</v>
      </c>
      <c r="H7019">
        <v>1000</v>
      </c>
      <c r="I7019">
        <v>4</v>
      </c>
      <c r="J7019">
        <v>-125</v>
      </c>
      <c r="K7019">
        <v>-128</v>
      </c>
      <c r="L7019">
        <v>1200</v>
      </c>
      <c r="M7019" t="str">
        <f t="shared" si="742"/>
        <v xml:space="preserve">N35DC   </v>
      </c>
      <c r="N7019">
        <v>1</v>
      </c>
      <c r="O7019">
        <v>1025</v>
      </c>
    </row>
    <row r="7020" spans="1:15" x14ac:dyDescent="0.25">
      <c r="A7020" t="str">
        <f>"10/21/2020 19:03:24.429"</f>
        <v>10/21/2020 19:03:24.429</v>
      </c>
      <c r="B7020" t="str">
        <f>"19:03:32.375"</f>
        <v>19:03:32.375</v>
      </c>
      <c r="C7020" t="str">
        <f>"19:03:32.075"</f>
        <v>19:03:32.075</v>
      </c>
      <c r="D7020" t="s">
        <v>2890</v>
      </c>
      <c r="E7020">
        <v>30.405799999999999</v>
      </c>
      <c r="F7020" t="s">
        <v>2887</v>
      </c>
      <c r="G7020">
        <v>-89.820870999999997</v>
      </c>
      <c r="H7020">
        <v>1000</v>
      </c>
      <c r="I7020">
        <v>4</v>
      </c>
      <c r="J7020">
        <v>-125</v>
      </c>
      <c r="K7020">
        <v>-128</v>
      </c>
      <c r="L7020">
        <v>1200</v>
      </c>
      <c r="M7020" t="str">
        <f t="shared" si="742"/>
        <v xml:space="preserve">N35DC   </v>
      </c>
      <c r="N7020">
        <v>1</v>
      </c>
      <c r="O7020">
        <v>1025</v>
      </c>
    </row>
    <row r="7021" spans="1:15" x14ac:dyDescent="0.25">
      <c r="A7021" t="str">
        <f>"10/21/2020 19:03:24.429"</f>
        <v>10/21/2020 19:03:24.429</v>
      </c>
      <c r="B7021" t="str">
        <f>"19:03:32.375"</f>
        <v>19:03:32.375</v>
      </c>
      <c r="C7021" t="str">
        <f>"19:03:32.075"</f>
        <v>19:03:32.075</v>
      </c>
      <c r="D7021" t="s">
        <v>2890</v>
      </c>
      <c r="E7021">
        <v>30.405799999999999</v>
      </c>
      <c r="F7021" t="s">
        <v>2887</v>
      </c>
      <c r="G7021">
        <v>-89.820870999999997</v>
      </c>
      <c r="H7021">
        <v>1000</v>
      </c>
      <c r="I7021">
        <v>4</v>
      </c>
      <c r="J7021">
        <v>-125</v>
      </c>
      <c r="K7021">
        <v>-128</v>
      </c>
      <c r="L7021">
        <v>1200</v>
      </c>
      <c r="M7021" t="str">
        <f t="shared" si="742"/>
        <v xml:space="preserve">N35DC   </v>
      </c>
      <c r="N7021">
        <v>1</v>
      </c>
      <c r="O7021">
        <v>1025</v>
      </c>
    </row>
    <row r="7022" spans="1:15" x14ac:dyDescent="0.25">
      <c r="A7022" t="str">
        <f>"10/21/2020 19:03:24.429"</f>
        <v>10/21/2020 19:03:24.429</v>
      </c>
      <c r="B7022" t="str">
        <f>"19:03:32.375"</f>
        <v>19:03:32.375</v>
      </c>
      <c r="C7022" t="str">
        <f>"19:03:32.075"</f>
        <v>19:03:32.075</v>
      </c>
      <c r="D7022" t="s">
        <v>2890</v>
      </c>
      <c r="E7022">
        <v>30.405799999999999</v>
      </c>
      <c r="F7022" t="s">
        <v>2887</v>
      </c>
      <c r="G7022">
        <v>-89.820870999999997</v>
      </c>
      <c r="H7022">
        <v>1000</v>
      </c>
      <c r="I7022">
        <v>4</v>
      </c>
      <c r="J7022">
        <v>-125</v>
      </c>
      <c r="K7022">
        <v>-128</v>
      </c>
      <c r="L7022">
        <v>1200</v>
      </c>
      <c r="M7022" t="str">
        <f t="shared" si="742"/>
        <v xml:space="preserve">N35DC   </v>
      </c>
      <c r="N7022">
        <v>1</v>
      </c>
      <c r="O7022">
        <v>1025</v>
      </c>
    </row>
    <row r="7023" spans="1:15" x14ac:dyDescent="0.25">
      <c r="A7023" t="str">
        <f>"10/21/2020 19:03:24.429"</f>
        <v>10/21/2020 19:03:24.429</v>
      </c>
      <c r="B7023" t="str">
        <f>"19:03:32.375"</f>
        <v>19:03:32.375</v>
      </c>
      <c r="C7023" t="str">
        <f>"19:03:32.075"</f>
        <v>19:03:32.075</v>
      </c>
      <c r="D7023" t="s">
        <v>2890</v>
      </c>
      <c r="E7023">
        <v>30.405799999999999</v>
      </c>
      <c r="F7023" t="s">
        <v>2887</v>
      </c>
      <c r="G7023">
        <v>-89.820870999999997</v>
      </c>
      <c r="H7023">
        <v>1000</v>
      </c>
      <c r="I7023">
        <v>4</v>
      </c>
      <c r="J7023">
        <v>-125</v>
      </c>
      <c r="K7023">
        <v>-128</v>
      </c>
      <c r="L7023">
        <v>1200</v>
      </c>
      <c r="M7023" t="str">
        <f t="shared" si="742"/>
        <v xml:space="preserve">N35DC   </v>
      </c>
      <c r="N7023">
        <v>1</v>
      </c>
      <c r="O7023">
        <v>1025</v>
      </c>
    </row>
    <row r="7024" spans="1:15" x14ac:dyDescent="0.25">
      <c r="A7024" t="str">
        <f>"10/21/2020 19:03:25.440"</f>
        <v>10/21/2020 19:03:25.440</v>
      </c>
      <c r="B7024" t="str">
        <f>"19:03:33.391"</f>
        <v>19:03:33.391</v>
      </c>
      <c r="C7024" t="str">
        <f>"19:03:33.091"</f>
        <v>19:03:33.091</v>
      </c>
      <c r="D7024" t="s">
        <v>2891</v>
      </c>
      <c r="E7024">
        <v>30.405221000000001</v>
      </c>
      <c r="F7024" t="s">
        <v>2892</v>
      </c>
      <c r="G7024">
        <v>-89.820828000000006</v>
      </c>
      <c r="H7024">
        <v>1000</v>
      </c>
      <c r="I7024">
        <v>8</v>
      </c>
      <c r="J7024">
        <v>-124</v>
      </c>
      <c r="K7024">
        <v>0</v>
      </c>
      <c r="L7024">
        <v>1200</v>
      </c>
      <c r="M7024" t="str">
        <f t="shared" si="742"/>
        <v xml:space="preserve">N35DC   </v>
      </c>
      <c r="N7024">
        <v>1</v>
      </c>
      <c r="O7024">
        <v>1025</v>
      </c>
    </row>
    <row r="7025" spans="1:15" x14ac:dyDescent="0.25">
      <c r="A7025" t="str">
        <f>"10/21/2020 19:03:25.440"</f>
        <v>10/21/2020 19:03:25.440</v>
      </c>
      <c r="B7025" t="str">
        <f>"19:03:33.391"</f>
        <v>19:03:33.391</v>
      </c>
      <c r="C7025" t="str">
        <f>"19:03:33.091"</f>
        <v>19:03:33.091</v>
      </c>
      <c r="D7025" t="s">
        <v>2891</v>
      </c>
      <c r="E7025">
        <v>30.405221000000001</v>
      </c>
      <c r="F7025" t="s">
        <v>2892</v>
      </c>
      <c r="G7025">
        <v>-89.820828000000006</v>
      </c>
      <c r="H7025">
        <v>1000</v>
      </c>
      <c r="I7025">
        <v>8</v>
      </c>
      <c r="J7025">
        <v>-124</v>
      </c>
      <c r="K7025">
        <v>0</v>
      </c>
      <c r="L7025">
        <v>1200</v>
      </c>
      <c r="M7025" t="str">
        <f t="shared" si="742"/>
        <v xml:space="preserve">N35DC   </v>
      </c>
      <c r="N7025">
        <v>1</v>
      </c>
      <c r="O7025">
        <v>1025</v>
      </c>
    </row>
    <row r="7026" spans="1:15" x14ac:dyDescent="0.25">
      <c r="A7026" t="str">
        <f>"10/21/2020 19:03:25.440"</f>
        <v>10/21/2020 19:03:25.440</v>
      </c>
      <c r="B7026" t="str">
        <f>"19:03:33.391"</f>
        <v>19:03:33.391</v>
      </c>
      <c r="C7026" t="str">
        <f>"19:03:33.091"</f>
        <v>19:03:33.091</v>
      </c>
      <c r="D7026" t="s">
        <v>2891</v>
      </c>
      <c r="E7026">
        <v>30.405221000000001</v>
      </c>
      <c r="F7026" t="s">
        <v>2892</v>
      </c>
      <c r="G7026">
        <v>-89.820828000000006</v>
      </c>
      <c r="H7026">
        <v>1000</v>
      </c>
      <c r="I7026">
        <v>8</v>
      </c>
      <c r="J7026">
        <v>-124</v>
      </c>
      <c r="K7026">
        <v>0</v>
      </c>
      <c r="L7026">
        <v>1200</v>
      </c>
      <c r="M7026" t="str">
        <f t="shared" si="742"/>
        <v xml:space="preserve">N35DC   </v>
      </c>
      <c r="N7026">
        <v>1</v>
      </c>
      <c r="O7026">
        <v>1025</v>
      </c>
    </row>
    <row r="7027" spans="1:15" x14ac:dyDescent="0.25">
      <c r="A7027" t="str">
        <f>"10/21/2020 19:03:25.440"</f>
        <v>10/21/2020 19:03:25.440</v>
      </c>
      <c r="B7027" t="str">
        <f>"19:03:33.391"</f>
        <v>19:03:33.391</v>
      </c>
      <c r="C7027" t="str">
        <f>"19:03:33.091"</f>
        <v>19:03:33.091</v>
      </c>
      <c r="D7027" t="s">
        <v>2891</v>
      </c>
      <c r="E7027">
        <v>30.405221000000001</v>
      </c>
      <c r="F7027" t="s">
        <v>2892</v>
      </c>
      <c r="G7027">
        <v>-89.820828000000006</v>
      </c>
      <c r="H7027">
        <v>1000</v>
      </c>
      <c r="I7027">
        <v>8</v>
      </c>
      <c r="J7027">
        <v>-124</v>
      </c>
      <c r="K7027">
        <v>0</v>
      </c>
      <c r="L7027">
        <v>1200</v>
      </c>
      <c r="M7027" t="str">
        <f t="shared" si="742"/>
        <v xml:space="preserve">N35DC   </v>
      </c>
      <c r="N7027">
        <v>1</v>
      </c>
      <c r="O7027">
        <v>1025</v>
      </c>
    </row>
    <row r="7028" spans="1:15" x14ac:dyDescent="0.25">
      <c r="A7028" t="str">
        <f>"10/21/2020 19:03:25.440"</f>
        <v>10/21/2020 19:03:25.440</v>
      </c>
      <c r="B7028" t="str">
        <f>"19:03:33.391"</f>
        <v>19:03:33.391</v>
      </c>
      <c r="C7028" t="str">
        <f>"19:03:33.091"</f>
        <v>19:03:33.091</v>
      </c>
      <c r="D7028" t="s">
        <v>2891</v>
      </c>
      <c r="E7028">
        <v>30.405221000000001</v>
      </c>
      <c r="F7028" t="s">
        <v>2892</v>
      </c>
      <c r="G7028">
        <v>-89.820828000000006</v>
      </c>
      <c r="H7028">
        <v>1000</v>
      </c>
      <c r="I7028">
        <v>8</v>
      </c>
      <c r="J7028">
        <v>-124</v>
      </c>
      <c r="K7028">
        <v>0</v>
      </c>
      <c r="L7028">
        <v>1200</v>
      </c>
      <c r="M7028" t="str">
        <f t="shared" si="742"/>
        <v xml:space="preserve">N35DC   </v>
      </c>
      <c r="N7028">
        <v>1</v>
      </c>
      <c r="O7028">
        <v>1025</v>
      </c>
    </row>
    <row r="7029" spans="1:15" x14ac:dyDescent="0.25">
      <c r="A7029" t="str">
        <f>"10/21/2020 19:03:26.612"</f>
        <v>10/21/2020 19:03:26.612</v>
      </c>
      <c r="B7029" t="str">
        <f>"19:03:34.578"</f>
        <v>19:03:34.578</v>
      </c>
      <c r="C7029" t="str">
        <f>"19:03:34.078"</f>
        <v>19:03:34.078</v>
      </c>
      <c r="D7029" t="s">
        <v>2893</v>
      </c>
      <c r="E7029">
        <v>30.404513000000001</v>
      </c>
      <c r="F7029" t="s">
        <v>2319</v>
      </c>
      <c r="G7029">
        <v>-89.820763999999997</v>
      </c>
      <c r="H7029">
        <v>1000</v>
      </c>
      <c r="I7029">
        <v>11</v>
      </c>
      <c r="J7029">
        <v>-122</v>
      </c>
      <c r="K7029">
        <v>64</v>
      </c>
      <c r="L7029">
        <v>1200</v>
      </c>
      <c r="M7029" t="str">
        <f t="shared" si="742"/>
        <v xml:space="preserve">N35DC   </v>
      </c>
      <c r="N7029">
        <v>1</v>
      </c>
      <c r="O7029">
        <v>1025</v>
      </c>
    </row>
    <row r="7030" spans="1:15" x14ac:dyDescent="0.25">
      <c r="A7030" t="str">
        <f>"10/21/2020 19:03:26.612"</f>
        <v>10/21/2020 19:03:26.612</v>
      </c>
      <c r="B7030" t="str">
        <f>"19:03:34.578"</f>
        <v>19:03:34.578</v>
      </c>
      <c r="C7030" t="str">
        <f>"19:03:34.078"</f>
        <v>19:03:34.078</v>
      </c>
      <c r="D7030" t="s">
        <v>2893</v>
      </c>
      <c r="E7030">
        <v>30.404513000000001</v>
      </c>
      <c r="F7030" t="s">
        <v>2319</v>
      </c>
      <c r="G7030">
        <v>-89.820763999999997</v>
      </c>
      <c r="H7030">
        <v>1000</v>
      </c>
      <c r="I7030">
        <v>11</v>
      </c>
      <c r="J7030">
        <v>-122</v>
      </c>
      <c r="K7030">
        <v>64</v>
      </c>
      <c r="L7030">
        <v>1200</v>
      </c>
      <c r="M7030" t="str">
        <f t="shared" si="742"/>
        <v xml:space="preserve">N35DC   </v>
      </c>
      <c r="N7030">
        <v>1</v>
      </c>
      <c r="O7030">
        <v>1025</v>
      </c>
    </row>
    <row r="7031" spans="1:15" x14ac:dyDescent="0.25">
      <c r="A7031" t="str">
        <f>"10/21/2020 19:03:26.612"</f>
        <v>10/21/2020 19:03:26.612</v>
      </c>
      <c r="B7031" t="str">
        <f>"19:03:34.578"</f>
        <v>19:03:34.578</v>
      </c>
      <c r="C7031" t="str">
        <f>"19:03:34.078"</f>
        <v>19:03:34.078</v>
      </c>
      <c r="D7031" t="s">
        <v>2893</v>
      </c>
      <c r="E7031">
        <v>30.404513000000001</v>
      </c>
      <c r="F7031" t="s">
        <v>2319</v>
      </c>
      <c r="G7031">
        <v>-89.820763999999997</v>
      </c>
      <c r="H7031">
        <v>1000</v>
      </c>
      <c r="I7031">
        <v>11</v>
      </c>
      <c r="J7031">
        <v>-122</v>
      </c>
      <c r="K7031">
        <v>64</v>
      </c>
      <c r="L7031">
        <v>1200</v>
      </c>
      <c r="M7031" t="str">
        <f t="shared" si="742"/>
        <v xml:space="preserve">N35DC   </v>
      </c>
      <c r="N7031">
        <v>1</v>
      </c>
      <c r="O7031">
        <v>1025</v>
      </c>
    </row>
    <row r="7032" spans="1:15" x14ac:dyDescent="0.25">
      <c r="A7032" t="str">
        <f>"10/21/2020 19:03:26.612"</f>
        <v>10/21/2020 19:03:26.612</v>
      </c>
      <c r="B7032" t="str">
        <f>"19:03:34.578"</f>
        <v>19:03:34.578</v>
      </c>
      <c r="C7032" t="str">
        <f>"19:03:34.078"</f>
        <v>19:03:34.078</v>
      </c>
      <c r="D7032" t="s">
        <v>2893</v>
      </c>
      <c r="E7032">
        <v>30.404513000000001</v>
      </c>
      <c r="F7032" t="s">
        <v>2319</v>
      </c>
      <c r="G7032">
        <v>-89.820763999999997</v>
      </c>
      <c r="H7032">
        <v>1000</v>
      </c>
      <c r="I7032">
        <v>11</v>
      </c>
      <c r="J7032">
        <v>-122</v>
      </c>
      <c r="K7032">
        <v>64</v>
      </c>
      <c r="L7032">
        <v>1200</v>
      </c>
      <c r="M7032" t="str">
        <f t="shared" si="742"/>
        <v xml:space="preserve">N35DC   </v>
      </c>
      <c r="N7032">
        <v>1</v>
      </c>
      <c r="O7032">
        <v>1025</v>
      </c>
    </row>
    <row r="7033" spans="1:15" x14ac:dyDescent="0.25">
      <c r="A7033" t="str">
        <f>"10/21/2020 19:03:26.612"</f>
        <v>10/21/2020 19:03:26.612</v>
      </c>
      <c r="B7033" t="str">
        <f>"19:03:34.578"</f>
        <v>19:03:34.578</v>
      </c>
      <c r="C7033" t="str">
        <f>"19:03:34.078"</f>
        <v>19:03:34.078</v>
      </c>
      <c r="D7033" t="s">
        <v>2893</v>
      </c>
      <c r="E7033">
        <v>30.404513000000001</v>
      </c>
      <c r="F7033" t="s">
        <v>2319</v>
      </c>
      <c r="G7033">
        <v>-89.820763999999997</v>
      </c>
      <c r="H7033">
        <v>1000</v>
      </c>
      <c r="I7033">
        <v>11</v>
      </c>
      <c r="J7033">
        <v>-122</v>
      </c>
      <c r="K7033">
        <v>64</v>
      </c>
      <c r="L7033">
        <v>1200</v>
      </c>
      <c r="M7033" t="str">
        <f t="shared" si="742"/>
        <v xml:space="preserve">N35DC   </v>
      </c>
      <c r="N7033">
        <v>1</v>
      </c>
      <c r="O7033">
        <v>1025</v>
      </c>
    </row>
    <row r="7034" spans="1:15" x14ac:dyDescent="0.25">
      <c r="A7034" t="str">
        <f>"10/21/2020 19:03:29.578"</f>
        <v>10/21/2020 19:03:29.578</v>
      </c>
      <c r="B7034" t="str">
        <f>"19:03:37.547"</f>
        <v>19:03:37.547</v>
      </c>
      <c r="C7034" t="str">
        <f>"19:03:37.347"</f>
        <v>19:03:37.347</v>
      </c>
      <c r="D7034" t="s">
        <v>2894</v>
      </c>
      <c r="E7034">
        <v>30.402903999999999</v>
      </c>
      <c r="F7034" t="s">
        <v>2895</v>
      </c>
      <c r="G7034">
        <v>-89.820527999999996</v>
      </c>
      <c r="H7034">
        <v>1000</v>
      </c>
      <c r="I7034">
        <v>11</v>
      </c>
      <c r="J7034">
        <v>-117</v>
      </c>
      <c r="K7034">
        <v>256</v>
      </c>
      <c r="L7034">
        <v>1200</v>
      </c>
      <c r="M7034" t="str">
        <f t="shared" si="742"/>
        <v xml:space="preserve">N35DC   </v>
      </c>
      <c r="N7034">
        <v>1</v>
      </c>
      <c r="O7034">
        <v>1025</v>
      </c>
    </row>
    <row r="7035" spans="1:15" x14ac:dyDescent="0.25">
      <c r="A7035" t="str">
        <f>"10/21/2020 19:03:29.578"</f>
        <v>10/21/2020 19:03:29.578</v>
      </c>
      <c r="B7035" t="str">
        <f>"19:03:37.547"</f>
        <v>19:03:37.547</v>
      </c>
      <c r="C7035" t="str">
        <f>"19:03:37.347"</f>
        <v>19:03:37.347</v>
      </c>
      <c r="D7035" t="s">
        <v>2894</v>
      </c>
      <c r="E7035">
        <v>30.402903999999999</v>
      </c>
      <c r="F7035" t="s">
        <v>2895</v>
      </c>
      <c r="G7035">
        <v>-89.820527999999996</v>
      </c>
      <c r="H7035">
        <v>1000</v>
      </c>
      <c r="I7035">
        <v>11</v>
      </c>
      <c r="J7035">
        <v>-117</v>
      </c>
      <c r="K7035">
        <v>256</v>
      </c>
      <c r="L7035">
        <v>1200</v>
      </c>
      <c r="M7035" t="str">
        <f t="shared" si="742"/>
        <v xml:space="preserve">N35DC   </v>
      </c>
      <c r="N7035">
        <v>1</v>
      </c>
      <c r="O7035">
        <v>1025</v>
      </c>
    </row>
    <row r="7036" spans="1:15" x14ac:dyDescent="0.25">
      <c r="A7036" t="str">
        <f>"10/21/2020 19:03:29.578"</f>
        <v>10/21/2020 19:03:29.578</v>
      </c>
      <c r="B7036" t="str">
        <f>"19:03:37.547"</f>
        <v>19:03:37.547</v>
      </c>
      <c r="C7036" t="str">
        <f>"19:03:37.347"</f>
        <v>19:03:37.347</v>
      </c>
      <c r="D7036" t="s">
        <v>2894</v>
      </c>
      <c r="E7036">
        <v>30.402903999999999</v>
      </c>
      <c r="F7036" t="s">
        <v>2895</v>
      </c>
      <c r="G7036">
        <v>-89.820527999999996</v>
      </c>
      <c r="H7036">
        <v>1000</v>
      </c>
      <c r="I7036">
        <v>11</v>
      </c>
      <c r="J7036">
        <v>-117</v>
      </c>
      <c r="K7036">
        <v>256</v>
      </c>
      <c r="L7036">
        <v>1200</v>
      </c>
      <c r="M7036" t="str">
        <f t="shared" si="742"/>
        <v xml:space="preserve">N35DC   </v>
      </c>
      <c r="N7036">
        <v>1</v>
      </c>
      <c r="O7036">
        <v>1025</v>
      </c>
    </row>
    <row r="7037" spans="1:15" x14ac:dyDescent="0.25">
      <c r="A7037" t="str">
        <f>"10/21/2020 19:03:29.578"</f>
        <v>10/21/2020 19:03:29.578</v>
      </c>
      <c r="B7037" t="str">
        <f>"19:03:37.547"</f>
        <v>19:03:37.547</v>
      </c>
      <c r="C7037" t="str">
        <f>"19:03:37.347"</f>
        <v>19:03:37.347</v>
      </c>
      <c r="D7037" t="s">
        <v>2894</v>
      </c>
      <c r="E7037">
        <v>30.402903999999999</v>
      </c>
      <c r="F7037" t="s">
        <v>2895</v>
      </c>
      <c r="G7037">
        <v>-89.820527999999996</v>
      </c>
      <c r="H7037">
        <v>1000</v>
      </c>
      <c r="I7037">
        <v>11</v>
      </c>
      <c r="J7037">
        <v>-117</v>
      </c>
      <c r="K7037">
        <v>256</v>
      </c>
      <c r="L7037">
        <v>1200</v>
      </c>
      <c r="M7037" t="str">
        <f t="shared" si="742"/>
        <v xml:space="preserve">N35DC   </v>
      </c>
      <c r="N7037">
        <v>1</v>
      </c>
      <c r="O7037">
        <v>1025</v>
      </c>
    </row>
    <row r="7038" spans="1:15" x14ac:dyDescent="0.25">
      <c r="A7038" t="str">
        <f>"10/21/2020 19:03:29.578"</f>
        <v>10/21/2020 19:03:29.578</v>
      </c>
      <c r="B7038" t="str">
        <f>"19:03:37.547"</f>
        <v>19:03:37.547</v>
      </c>
      <c r="C7038" t="str">
        <f>"19:03:37.347"</f>
        <v>19:03:37.347</v>
      </c>
      <c r="D7038" t="s">
        <v>2894</v>
      </c>
      <c r="E7038">
        <v>30.402903999999999</v>
      </c>
      <c r="F7038" t="s">
        <v>2895</v>
      </c>
      <c r="G7038">
        <v>-89.820527999999996</v>
      </c>
      <c r="H7038">
        <v>1000</v>
      </c>
      <c r="I7038">
        <v>11</v>
      </c>
      <c r="J7038">
        <v>-117</v>
      </c>
      <c r="K7038">
        <v>256</v>
      </c>
      <c r="L7038">
        <v>1200</v>
      </c>
      <c r="M7038" t="str">
        <f t="shared" si="742"/>
        <v xml:space="preserve">N35DC   </v>
      </c>
      <c r="N7038">
        <v>1</v>
      </c>
      <c r="O7038">
        <v>1025</v>
      </c>
    </row>
    <row r="7039" spans="1:15" x14ac:dyDescent="0.25">
      <c r="A7039" t="str">
        <f>"10/21/2020 19:03:30.542"</f>
        <v>10/21/2020 19:03:30.542</v>
      </c>
      <c r="B7039" t="str">
        <f>"19:03:38.508"</f>
        <v>19:03:38.508</v>
      </c>
      <c r="C7039" t="str">
        <f>"19:03:38.408"</f>
        <v>19:03:38.408</v>
      </c>
      <c r="D7039" t="s">
        <v>2896</v>
      </c>
      <c r="E7039">
        <v>30.402367000000002</v>
      </c>
      <c r="F7039" t="s">
        <v>392</v>
      </c>
      <c r="G7039">
        <v>-89.820507000000006</v>
      </c>
      <c r="H7039">
        <v>1000</v>
      </c>
      <c r="I7039">
        <v>9</v>
      </c>
      <c r="J7039">
        <v>-116</v>
      </c>
      <c r="K7039">
        <v>256</v>
      </c>
      <c r="L7039">
        <v>1200</v>
      </c>
      <c r="M7039" t="str">
        <f t="shared" si="742"/>
        <v xml:space="preserve">N35DC   </v>
      </c>
      <c r="N7039">
        <v>1</v>
      </c>
      <c r="O7039">
        <v>1050</v>
      </c>
    </row>
    <row r="7040" spans="1:15" x14ac:dyDescent="0.25">
      <c r="A7040" t="str">
        <f>"10/21/2020 19:03:30.542"</f>
        <v>10/21/2020 19:03:30.542</v>
      </c>
      <c r="B7040" t="str">
        <f>"19:03:38.508"</f>
        <v>19:03:38.508</v>
      </c>
      <c r="C7040" t="str">
        <f>"19:03:38.408"</f>
        <v>19:03:38.408</v>
      </c>
      <c r="D7040" t="s">
        <v>2896</v>
      </c>
      <c r="E7040">
        <v>30.402367000000002</v>
      </c>
      <c r="F7040" t="s">
        <v>392</v>
      </c>
      <c r="G7040">
        <v>-89.820507000000006</v>
      </c>
      <c r="H7040">
        <v>1000</v>
      </c>
      <c r="I7040">
        <v>9</v>
      </c>
      <c r="J7040">
        <v>-116</v>
      </c>
      <c r="K7040">
        <v>256</v>
      </c>
      <c r="L7040">
        <v>1200</v>
      </c>
      <c r="M7040" t="str">
        <f t="shared" si="742"/>
        <v xml:space="preserve">N35DC   </v>
      </c>
      <c r="N7040">
        <v>1</v>
      </c>
      <c r="O7040">
        <v>1050</v>
      </c>
    </row>
    <row r="7041" spans="1:15" x14ac:dyDescent="0.25">
      <c r="A7041" t="str">
        <f>"10/21/2020 19:03:30.542"</f>
        <v>10/21/2020 19:03:30.542</v>
      </c>
      <c r="B7041" t="str">
        <f>"19:03:38.508"</f>
        <v>19:03:38.508</v>
      </c>
      <c r="C7041" t="str">
        <f>"19:03:38.408"</f>
        <v>19:03:38.408</v>
      </c>
      <c r="D7041" t="s">
        <v>2896</v>
      </c>
      <c r="E7041">
        <v>30.402367000000002</v>
      </c>
      <c r="F7041" t="s">
        <v>392</v>
      </c>
      <c r="G7041">
        <v>-89.820507000000006</v>
      </c>
      <c r="H7041">
        <v>1000</v>
      </c>
      <c r="I7041">
        <v>9</v>
      </c>
      <c r="J7041">
        <v>-116</v>
      </c>
      <c r="K7041">
        <v>256</v>
      </c>
      <c r="L7041">
        <v>1200</v>
      </c>
      <c r="M7041" t="str">
        <f t="shared" si="742"/>
        <v xml:space="preserve">N35DC   </v>
      </c>
      <c r="N7041">
        <v>1</v>
      </c>
      <c r="O7041">
        <v>1050</v>
      </c>
    </row>
    <row r="7042" spans="1:15" x14ac:dyDescent="0.25">
      <c r="A7042" t="str">
        <f>"10/21/2020 19:03:30.542"</f>
        <v>10/21/2020 19:03:30.542</v>
      </c>
      <c r="B7042" t="str">
        <f>"19:03:38.508"</f>
        <v>19:03:38.508</v>
      </c>
      <c r="C7042" t="str">
        <f>"19:03:38.408"</f>
        <v>19:03:38.408</v>
      </c>
      <c r="D7042" t="s">
        <v>2896</v>
      </c>
      <c r="E7042">
        <v>30.402367000000002</v>
      </c>
      <c r="F7042" t="s">
        <v>392</v>
      </c>
      <c r="G7042">
        <v>-89.820507000000006</v>
      </c>
      <c r="H7042">
        <v>1000</v>
      </c>
      <c r="I7042">
        <v>9</v>
      </c>
      <c r="J7042">
        <v>-116</v>
      </c>
      <c r="K7042">
        <v>256</v>
      </c>
      <c r="L7042">
        <v>1200</v>
      </c>
      <c r="M7042" t="str">
        <f t="shared" si="742"/>
        <v xml:space="preserve">N35DC   </v>
      </c>
      <c r="N7042">
        <v>1</v>
      </c>
      <c r="O7042">
        <v>1050</v>
      </c>
    </row>
    <row r="7043" spans="1:15" x14ac:dyDescent="0.25">
      <c r="A7043" t="str">
        <f>"10/21/2020 19:03:30.542"</f>
        <v>10/21/2020 19:03:30.542</v>
      </c>
      <c r="B7043" t="str">
        <f>"19:03:38.508"</f>
        <v>19:03:38.508</v>
      </c>
      <c r="C7043" t="str">
        <f>"19:03:38.408"</f>
        <v>19:03:38.408</v>
      </c>
      <c r="D7043" t="s">
        <v>2896</v>
      </c>
      <c r="E7043">
        <v>30.402367000000002</v>
      </c>
      <c r="F7043" t="s">
        <v>392</v>
      </c>
      <c r="G7043">
        <v>-89.820507000000006</v>
      </c>
      <c r="H7043">
        <v>1000</v>
      </c>
      <c r="I7043">
        <v>9</v>
      </c>
      <c r="J7043">
        <v>-116</v>
      </c>
      <c r="K7043">
        <v>256</v>
      </c>
      <c r="L7043">
        <v>1200</v>
      </c>
      <c r="M7043" t="str">
        <f t="shared" si="742"/>
        <v xml:space="preserve">N35DC   </v>
      </c>
      <c r="N7043">
        <v>1</v>
      </c>
      <c r="O7043">
        <v>1050</v>
      </c>
    </row>
    <row r="7044" spans="1:15" x14ac:dyDescent="0.25">
      <c r="A7044" t="str">
        <f>"10/21/2020 19:03:31.369"</f>
        <v>10/21/2020 19:03:31.369</v>
      </c>
      <c r="B7044" t="str">
        <f>"19:03:39.328"</f>
        <v>19:03:39.328</v>
      </c>
      <c r="C7044" t="str">
        <f>"19:03:38.928"</f>
        <v>19:03:38.928</v>
      </c>
      <c r="D7044" t="s">
        <v>2897</v>
      </c>
      <c r="E7044">
        <v>30.401959000000002</v>
      </c>
      <c r="F7044" t="s">
        <v>392</v>
      </c>
      <c r="G7044">
        <v>-89.820507000000006</v>
      </c>
      <c r="H7044">
        <v>1000</v>
      </c>
      <c r="I7044">
        <v>8</v>
      </c>
      <c r="J7044">
        <v>-116</v>
      </c>
      <c r="K7044">
        <v>320</v>
      </c>
      <c r="L7044">
        <v>1200</v>
      </c>
      <c r="M7044" t="str">
        <f t="shared" si="742"/>
        <v xml:space="preserve">N35DC   </v>
      </c>
      <c r="N7044">
        <v>1</v>
      </c>
      <c r="O7044">
        <v>1050</v>
      </c>
    </row>
    <row r="7045" spans="1:15" x14ac:dyDescent="0.25">
      <c r="A7045" t="str">
        <f>"10/21/2020 19:03:31.369"</f>
        <v>10/21/2020 19:03:31.369</v>
      </c>
      <c r="B7045" t="str">
        <f>"19:03:39.328"</f>
        <v>19:03:39.328</v>
      </c>
      <c r="C7045" t="str">
        <f>"19:03:39.028"</f>
        <v>19:03:39.028</v>
      </c>
      <c r="D7045" t="s">
        <v>2897</v>
      </c>
      <c r="E7045">
        <v>30.401959000000002</v>
      </c>
      <c r="F7045" t="s">
        <v>392</v>
      </c>
      <c r="G7045">
        <v>-89.820507000000006</v>
      </c>
      <c r="H7045">
        <v>1000</v>
      </c>
      <c r="I7045">
        <v>8</v>
      </c>
      <c r="J7045">
        <v>-116</v>
      </c>
      <c r="K7045">
        <v>320</v>
      </c>
      <c r="L7045">
        <v>1200</v>
      </c>
      <c r="M7045" t="str">
        <f t="shared" si="742"/>
        <v xml:space="preserve">N35DC   </v>
      </c>
      <c r="N7045">
        <v>1</v>
      </c>
      <c r="O7045">
        <v>1050</v>
      </c>
    </row>
    <row r="7046" spans="1:15" x14ac:dyDescent="0.25">
      <c r="A7046" t="str">
        <f>"10/21/2020 19:03:31.369"</f>
        <v>10/21/2020 19:03:31.369</v>
      </c>
      <c r="B7046" t="str">
        <f>"19:03:39.328"</f>
        <v>19:03:39.328</v>
      </c>
      <c r="C7046" t="str">
        <f>"19:03:38.928"</f>
        <v>19:03:38.928</v>
      </c>
      <c r="D7046" t="s">
        <v>2897</v>
      </c>
      <c r="E7046">
        <v>30.401959000000002</v>
      </c>
      <c r="F7046" t="s">
        <v>392</v>
      </c>
      <c r="G7046">
        <v>-89.820507000000006</v>
      </c>
      <c r="H7046">
        <v>1000</v>
      </c>
      <c r="I7046">
        <v>8</v>
      </c>
      <c r="J7046">
        <v>-116</v>
      </c>
      <c r="K7046">
        <v>320</v>
      </c>
      <c r="L7046">
        <v>1200</v>
      </c>
      <c r="M7046" t="str">
        <f t="shared" si="742"/>
        <v xml:space="preserve">N35DC   </v>
      </c>
      <c r="N7046">
        <v>1</v>
      </c>
      <c r="O7046">
        <v>1050</v>
      </c>
    </row>
    <row r="7047" spans="1:15" x14ac:dyDescent="0.25">
      <c r="A7047" t="str">
        <f>"10/21/2020 19:03:31.369"</f>
        <v>10/21/2020 19:03:31.369</v>
      </c>
      <c r="B7047" t="str">
        <f>"19:03:39.328"</f>
        <v>19:03:39.328</v>
      </c>
      <c r="C7047" t="str">
        <f>"19:03:38.928"</f>
        <v>19:03:38.928</v>
      </c>
      <c r="D7047" t="s">
        <v>2897</v>
      </c>
      <c r="E7047">
        <v>30.401959000000002</v>
      </c>
      <c r="F7047" t="s">
        <v>392</v>
      </c>
      <c r="G7047">
        <v>-89.820507000000006</v>
      </c>
      <c r="H7047">
        <v>1000</v>
      </c>
      <c r="I7047">
        <v>8</v>
      </c>
      <c r="J7047">
        <v>-116</v>
      </c>
      <c r="K7047">
        <v>320</v>
      </c>
      <c r="L7047">
        <v>1200</v>
      </c>
      <c r="M7047" t="str">
        <f t="shared" ref="M7047:M7110" si="743">"N35DC   "</f>
        <v xml:space="preserve">N35DC   </v>
      </c>
      <c r="N7047">
        <v>1</v>
      </c>
      <c r="O7047">
        <v>1050</v>
      </c>
    </row>
    <row r="7048" spans="1:15" x14ac:dyDescent="0.25">
      <c r="A7048" t="str">
        <f>"10/21/2020 19:03:31.369"</f>
        <v>10/21/2020 19:03:31.369</v>
      </c>
      <c r="B7048" t="str">
        <f>"19:03:39.328"</f>
        <v>19:03:39.328</v>
      </c>
      <c r="C7048" t="str">
        <f>"19:03:39.028"</f>
        <v>19:03:39.028</v>
      </c>
      <c r="D7048" t="s">
        <v>2897</v>
      </c>
      <c r="E7048">
        <v>30.401959000000002</v>
      </c>
      <c r="F7048" t="s">
        <v>392</v>
      </c>
      <c r="G7048">
        <v>-89.820507000000006</v>
      </c>
      <c r="H7048">
        <v>1000</v>
      </c>
      <c r="I7048">
        <v>8</v>
      </c>
      <c r="J7048">
        <v>-116</v>
      </c>
      <c r="K7048">
        <v>320</v>
      </c>
      <c r="L7048">
        <v>1200</v>
      </c>
      <c r="M7048" t="str">
        <f t="shared" si="743"/>
        <v xml:space="preserve">N35DC   </v>
      </c>
      <c r="N7048">
        <v>1</v>
      </c>
      <c r="O7048">
        <v>1050</v>
      </c>
    </row>
    <row r="7049" spans="1:15" x14ac:dyDescent="0.25">
      <c r="A7049" t="str">
        <f>"10/21/2020 19:03:33.506"</f>
        <v>10/21/2020 19:03:33.506</v>
      </c>
      <c r="B7049" t="str">
        <f>"19:03:41.461"</f>
        <v>19:03:41.461</v>
      </c>
      <c r="C7049" t="str">
        <f>"19:03:41.061"</f>
        <v>19:03:41.061</v>
      </c>
      <c r="D7049" t="s">
        <v>116</v>
      </c>
      <c r="E7049">
        <v>30.400801000000001</v>
      </c>
      <c r="F7049" t="s">
        <v>16</v>
      </c>
      <c r="G7049">
        <v>-89.820485000000005</v>
      </c>
      <c r="H7049">
        <v>1000</v>
      </c>
      <c r="I7049">
        <v>2</v>
      </c>
      <c r="J7049">
        <v>-114</v>
      </c>
      <c r="K7049">
        <v>192</v>
      </c>
      <c r="L7049">
        <v>1200</v>
      </c>
      <c r="M7049" t="str">
        <f t="shared" si="743"/>
        <v xml:space="preserve">N35DC   </v>
      </c>
      <c r="N7049">
        <v>1</v>
      </c>
      <c r="O7049">
        <v>1050</v>
      </c>
    </row>
    <row r="7050" spans="1:15" x14ac:dyDescent="0.25">
      <c r="A7050" t="str">
        <f>"10/21/2020 19:03:33.506"</f>
        <v>10/21/2020 19:03:33.506</v>
      </c>
      <c r="B7050" t="str">
        <f>"19:03:41.461"</f>
        <v>19:03:41.461</v>
      </c>
      <c r="C7050" t="str">
        <f>"19:03:41.061"</f>
        <v>19:03:41.061</v>
      </c>
      <c r="D7050" t="s">
        <v>116</v>
      </c>
      <c r="E7050">
        <v>30.400801000000001</v>
      </c>
      <c r="F7050" t="s">
        <v>16</v>
      </c>
      <c r="G7050">
        <v>-89.820485000000005</v>
      </c>
      <c r="H7050">
        <v>1000</v>
      </c>
      <c r="I7050">
        <v>2</v>
      </c>
      <c r="J7050">
        <v>-114</v>
      </c>
      <c r="K7050">
        <v>192</v>
      </c>
      <c r="L7050">
        <v>1200</v>
      </c>
      <c r="M7050" t="str">
        <f t="shared" si="743"/>
        <v xml:space="preserve">N35DC   </v>
      </c>
      <c r="N7050">
        <v>1</v>
      </c>
      <c r="O7050">
        <v>1050</v>
      </c>
    </row>
    <row r="7051" spans="1:15" x14ac:dyDescent="0.25">
      <c r="A7051" t="str">
        <f>"10/21/2020 19:03:33.506"</f>
        <v>10/21/2020 19:03:33.506</v>
      </c>
      <c r="B7051" t="str">
        <f>"19:03:41.461"</f>
        <v>19:03:41.461</v>
      </c>
      <c r="C7051" t="str">
        <f>"19:03:41.061"</f>
        <v>19:03:41.061</v>
      </c>
      <c r="D7051" t="s">
        <v>116</v>
      </c>
      <c r="E7051">
        <v>30.400801000000001</v>
      </c>
      <c r="F7051" t="s">
        <v>16</v>
      </c>
      <c r="G7051">
        <v>-89.820485000000005</v>
      </c>
      <c r="H7051">
        <v>1000</v>
      </c>
      <c r="I7051">
        <v>2</v>
      </c>
      <c r="J7051">
        <v>-114</v>
      </c>
      <c r="K7051">
        <v>192</v>
      </c>
      <c r="L7051">
        <v>1200</v>
      </c>
      <c r="M7051" t="str">
        <f t="shared" si="743"/>
        <v xml:space="preserve">N35DC   </v>
      </c>
      <c r="N7051">
        <v>1</v>
      </c>
      <c r="O7051">
        <v>1050</v>
      </c>
    </row>
    <row r="7052" spans="1:15" x14ac:dyDescent="0.25">
      <c r="A7052" t="str">
        <f>"10/21/2020 19:03:33.506"</f>
        <v>10/21/2020 19:03:33.506</v>
      </c>
      <c r="B7052" t="str">
        <f>"19:03:41.461"</f>
        <v>19:03:41.461</v>
      </c>
      <c r="C7052" t="str">
        <f>"19:03:41.061"</f>
        <v>19:03:41.061</v>
      </c>
      <c r="D7052" t="s">
        <v>116</v>
      </c>
      <c r="E7052">
        <v>30.400801000000001</v>
      </c>
      <c r="F7052" t="s">
        <v>16</v>
      </c>
      <c r="G7052">
        <v>-89.820485000000005</v>
      </c>
      <c r="H7052">
        <v>1000</v>
      </c>
      <c r="I7052">
        <v>2</v>
      </c>
      <c r="J7052">
        <v>-114</v>
      </c>
      <c r="K7052">
        <v>192</v>
      </c>
      <c r="L7052">
        <v>1200</v>
      </c>
      <c r="M7052" t="str">
        <f t="shared" si="743"/>
        <v xml:space="preserve">N35DC   </v>
      </c>
      <c r="N7052">
        <v>1</v>
      </c>
      <c r="O7052">
        <v>1050</v>
      </c>
    </row>
    <row r="7053" spans="1:15" x14ac:dyDescent="0.25">
      <c r="A7053" t="str">
        <f>"10/21/2020 19:03:33.506"</f>
        <v>10/21/2020 19:03:33.506</v>
      </c>
      <c r="B7053" t="str">
        <f>"19:03:41.461"</f>
        <v>19:03:41.461</v>
      </c>
      <c r="C7053" t="str">
        <f>"19:03:41.061"</f>
        <v>19:03:41.061</v>
      </c>
      <c r="D7053" t="s">
        <v>116</v>
      </c>
      <c r="E7053">
        <v>30.400801000000001</v>
      </c>
      <c r="F7053" t="s">
        <v>16</v>
      </c>
      <c r="G7053">
        <v>-89.820485000000005</v>
      </c>
      <c r="H7053">
        <v>1000</v>
      </c>
      <c r="I7053">
        <v>2</v>
      </c>
      <c r="J7053">
        <v>-114</v>
      </c>
      <c r="K7053">
        <v>192</v>
      </c>
      <c r="L7053">
        <v>1200</v>
      </c>
      <c r="M7053" t="str">
        <f t="shared" si="743"/>
        <v xml:space="preserve">N35DC   </v>
      </c>
      <c r="N7053">
        <v>1</v>
      </c>
      <c r="O7053">
        <v>1050</v>
      </c>
    </row>
    <row r="7054" spans="1:15" x14ac:dyDescent="0.25">
      <c r="A7054" t="str">
        <f>"10/21/2020 19:03:34.378"</f>
        <v>10/21/2020 19:03:34.378</v>
      </c>
      <c r="B7054" t="str">
        <f>"19:03:42.328"</f>
        <v>19:03:42.328</v>
      </c>
      <c r="C7054" t="str">
        <f>"19:03:42.028"</f>
        <v>19:03:42.028</v>
      </c>
      <c r="D7054" t="s">
        <v>2898</v>
      </c>
      <c r="E7054">
        <v>30.400328999999999</v>
      </c>
      <c r="F7054" t="s">
        <v>16</v>
      </c>
      <c r="G7054">
        <v>-89.820485000000005</v>
      </c>
      <c r="H7054">
        <v>1000</v>
      </c>
      <c r="I7054">
        <v>0</v>
      </c>
      <c r="J7054">
        <v>-113</v>
      </c>
      <c r="K7054">
        <v>192</v>
      </c>
      <c r="L7054">
        <v>1200</v>
      </c>
      <c r="M7054" t="str">
        <f t="shared" si="743"/>
        <v xml:space="preserve">N35DC   </v>
      </c>
      <c r="N7054">
        <v>1</v>
      </c>
      <c r="O7054">
        <v>1050</v>
      </c>
    </row>
    <row r="7055" spans="1:15" x14ac:dyDescent="0.25">
      <c r="A7055" t="str">
        <f>"10/21/2020 19:03:34.378"</f>
        <v>10/21/2020 19:03:34.378</v>
      </c>
      <c r="B7055" t="str">
        <f>"19:03:42.328"</f>
        <v>19:03:42.328</v>
      </c>
      <c r="C7055" t="str">
        <f>"19:03:42.028"</f>
        <v>19:03:42.028</v>
      </c>
      <c r="D7055" t="s">
        <v>2898</v>
      </c>
      <c r="E7055">
        <v>30.400328999999999</v>
      </c>
      <c r="F7055" t="s">
        <v>16</v>
      </c>
      <c r="G7055">
        <v>-89.820485000000005</v>
      </c>
      <c r="H7055">
        <v>1000</v>
      </c>
      <c r="I7055">
        <v>0</v>
      </c>
      <c r="J7055">
        <v>-113</v>
      </c>
      <c r="K7055">
        <v>192</v>
      </c>
      <c r="L7055">
        <v>1200</v>
      </c>
      <c r="M7055" t="str">
        <f t="shared" si="743"/>
        <v xml:space="preserve">N35DC   </v>
      </c>
      <c r="N7055">
        <v>1</v>
      </c>
      <c r="O7055">
        <v>1050</v>
      </c>
    </row>
    <row r="7056" spans="1:15" x14ac:dyDescent="0.25">
      <c r="A7056" t="str">
        <f>"10/21/2020 19:03:34.378"</f>
        <v>10/21/2020 19:03:34.378</v>
      </c>
      <c r="B7056" t="str">
        <f>"19:03:42.328"</f>
        <v>19:03:42.328</v>
      </c>
      <c r="C7056" t="str">
        <f>"19:03:42.028"</f>
        <v>19:03:42.028</v>
      </c>
      <c r="D7056" t="s">
        <v>2898</v>
      </c>
      <c r="E7056">
        <v>30.400328999999999</v>
      </c>
      <c r="F7056" t="s">
        <v>16</v>
      </c>
      <c r="G7056">
        <v>-89.820485000000005</v>
      </c>
      <c r="H7056">
        <v>1000</v>
      </c>
      <c r="I7056">
        <v>0</v>
      </c>
      <c r="J7056">
        <v>-113</v>
      </c>
      <c r="K7056">
        <v>192</v>
      </c>
      <c r="L7056">
        <v>1200</v>
      </c>
      <c r="M7056" t="str">
        <f t="shared" si="743"/>
        <v xml:space="preserve">N35DC   </v>
      </c>
      <c r="N7056">
        <v>1</v>
      </c>
      <c r="O7056">
        <v>1050</v>
      </c>
    </row>
    <row r="7057" spans="1:15" x14ac:dyDescent="0.25">
      <c r="A7057" t="str">
        <f>"10/21/2020 19:03:34.378"</f>
        <v>10/21/2020 19:03:34.378</v>
      </c>
      <c r="B7057" t="str">
        <f>"19:03:42.328"</f>
        <v>19:03:42.328</v>
      </c>
      <c r="C7057" t="str">
        <f>"19:03:42.028"</f>
        <v>19:03:42.028</v>
      </c>
      <c r="D7057" t="s">
        <v>2898</v>
      </c>
      <c r="E7057">
        <v>30.400328999999999</v>
      </c>
      <c r="F7057" t="s">
        <v>16</v>
      </c>
      <c r="G7057">
        <v>-89.820485000000005</v>
      </c>
      <c r="H7057">
        <v>1000</v>
      </c>
      <c r="I7057">
        <v>0</v>
      </c>
      <c r="J7057">
        <v>-113</v>
      </c>
      <c r="K7057">
        <v>192</v>
      </c>
      <c r="L7057">
        <v>1200</v>
      </c>
      <c r="M7057" t="str">
        <f t="shared" si="743"/>
        <v xml:space="preserve">N35DC   </v>
      </c>
      <c r="N7057">
        <v>1</v>
      </c>
      <c r="O7057">
        <v>1050</v>
      </c>
    </row>
    <row r="7058" spans="1:15" x14ac:dyDescent="0.25">
      <c r="A7058" t="str">
        <f>"10/21/2020 19:03:34.378"</f>
        <v>10/21/2020 19:03:34.378</v>
      </c>
      <c r="B7058" t="str">
        <f>"19:03:42.328"</f>
        <v>19:03:42.328</v>
      </c>
      <c r="C7058" t="str">
        <f>"19:03:42.028"</f>
        <v>19:03:42.028</v>
      </c>
      <c r="D7058" t="s">
        <v>2898</v>
      </c>
      <c r="E7058">
        <v>30.400328999999999</v>
      </c>
      <c r="F7058" t="s">
        <v>16</v>
      </c>
      <c r="G7058">
        <v>-89.820485000000005</v>
      </c>
      <c r="H7058">
        <v>1000</v>
      </c>
      <c r="I7058">
        <v>0</v>
      </c>
      <c r="J7058">
        <v>-113</v>
      </c>
      <c r="K7058">
        <v>192</v>
      </c>
      <c r="L7058">
        <v>1200</v>
      </c>
      <c r="M7058" t="str">
        <f t="shared" si="743"/>
        <v xml:space="preserve">N35DC   </v>
      </c>
      <c r="N7058">
        <v>1</v>
      </c>
      <c r="O7058">
        <v>1050</v>
      </c>
    </row>
    <row r="7059" spans="1:15" x14ac:dyDescent="0.25">
      <c r="A7059" t="str">
        <f>"10/21/2020 19:03:37.391"</f>
        <v>10/21/2020 19:03:37.391</v>
      </c>
      <c r="B7059" t="str">
        <f>"19:03:45.344"</f>
        <v>19:03:45.344</v>
      </c>
      <c r="C7059" t="str">
        <f>"19:03:44.944"</f>
        <v>19:03:44.944</v>
      </c>
      <c r="D7059" t="s">
        <v>2899</v>
      </c>
      <c r="E7059">
        <v>30.398804999999999</v>
      </c>
      <c r="F7059" t="s">
        <v>392</v>
      </c>
      <c r="G7059">
        <v>-89.820507000000006</v>
      </c>
      <c r="H7059">
        <v>1000</v>
      </c>
      <c r="I7059">
        <v>-6</v>
      </c>
      <c r="J7059">
        <v>-111</v>
      </c>
      <c r="K7059">
        <v>192</v>
      </c>
      <c r="L7059">
        <v>1200</v>
      </c>
      <c r="M7059" t="str">
        <f t="shared" si="743"/>
        <v xml:space="preserve">N35DC   </v>
      </c>
      <c r="N7059">
        <v>1</v>
      </c>
      <c r="O7059">
        <v>1075</v>
      </c>
    </row>
    <row r="7060" spans="1:15" x14ac:dyDescent="0.25">
      <c r="A7060" t="str">
        <f>"10/21/2020 19:03:37.391"</f>
        <v>10/21/2020 19:03:37.391</v>
      </c>
      <c r="B7060" t="str">
        <f>"19:03:45.344"</f>
        <v>19:03:45.344</v>
      </c>
      <c r="C7060" t="str">
        <f>"19:03:44.944"</f>
        <v>19:03:44.944</v>
      </c>
      <c r="D7060" t="s">
        <v>2899</v>
      </c>
      <c r="E7060">
        <v>30.398804999999999</v>
      </c>
      <c r="F7060" t="s">
        <v>392</v>
      </c>
      <c r="G7060">
        <v>-89.820507000000006</v>
      </c>
      <c r="H7060">
        <v>1000</v>
      </c>
      <c r="I7060">
        <v>-6</v>
      </c>
      <c r="J7060">
        <v>-111</v>
      </c>
      <c r="K7060">
        <v>192</v>
      </c>
      <c r="L7060">
        <v>1200</v>
      </c>
      <c r="M7060" t="str">
        <f t="shared" si="743"/>
        <v xml:space="preserve">N35DC   </v>
      </c>
      <c r="N7060">
        <v>1</v>
      </c>
      <c r="O7060">
        <v>1075</v>
      </c>
    </row>
    <row r="7061" spans="1:15" x14ac:dyDescent="0.25">
      <c r="A7061" t="str">
        <f>"10/21/2020 19:03:37.391"</f>
        <v>10/21/2020 19:03:37.391</v>
      </c>
      <c r="B7061" t="str">
        <f>"19:03:45.344"</f>
        <v>19:03:45.344</v>
      </c>
      <c r="C7061" t="str">
        <f>"19:03:44.944"</f>
        <v>19:03:44.944</v>
      </c>
      <c r="D7061" t="s">
        <v>2899</v>
      </c>
      <c r="E7061">
        <v>30.398804999999999</v>
      </c>
      <c r="F7061" t="s">
        <v>392</v>
      </c>
      <c r="G7061">
        <v>-89.820507000000006</v>
      </c>
      <c r="H7061">
        <v>1000</v>
      </c>
      <c r="I7061">
        <v>-6</v>
      </c>
      <c r="J7061">
        <v>-111</v>
      </c>
      <c r="K7061">
        <v>192</v>
      </c>
      <c r="L7061">
        <v>1200</v>
      </c>
      <c r="M7061" t="str">
        <f t="shared" si="743"/>
        <v xml:space="preserve">N35DC   </v>
      </c>
      <c r="N7061">
        <v>1</v>
      </c>
      <c r="O7061">
        <v>1075</v>
      </c>
    </row>
    <row r="7062" spans="1:15" x14ac:dyDescent="0.25">
      <c r="A7062" t="str">
        <f>"10/21/2020 19:03:37.391"</f>
        <v>10/21/2020 19:03:37.391</v>
      </c>
      <c r="B7062" t="str">
        <f>"19:03:45.344"</f>
        <v>19:03:45.344</v>
      </c>
      <c r="C7062" t="str">
        <f>"19:03:44.944"</f>
        <v>19:03:44.944</v>
      </c>
      <c r="D7062" t="s">
        <v>2899</v>
      </c>
      <c r="E7062">
        <v>30.398804999999999</v>
      </c>
      <c r="F7062" t="s">
        <v>392</v>
      </c>
      <c r="G7062">
        <v>-89.820507000000006</v>
      </c>
      <c r="H7062">
        <v>1000</v>
      </c>
      <c r="I7062">
        <v>-6</v>
      </c>
      <c r="J7062">
        <v>-111</v>
      </c>
      <c r="K7062">
        <v>192</v>
      </c>
      <c r="L7062">
        <v>1200</v>
      </c>
      <c r="M7062" t="str">
        <f t="shared" si="743"/>
        <v xml:space="preserve">N35DC   </v>
      </c>
      <c r="N7062">
        <v>1</v>
      </c>
      <c r="O7062">
        <v>1075</v>
      </c>
    </row>
    <row r="7063" spans="1:15" x14ac:dyDescent="0.25">
      <c r="A7063" t="str">
        <f>"10/21/2020 19:03:37.391"</f>
        <v>10/21/2020 19:03:37.391</v>
      </c>
      <c r="B7063" t="str">
        <f>"19:03:45.344"</f>
        <v>19:03:45.344</v>
      </c>
      <c r="C7063" t="str">
        <f>"19:03:44.944"</f>
        <v>19:03:44.944</v>
      </c>
      <c r="D7063" t="s">
        <v>2899</v>
      </c>
      <c r="E7063">
        <v>30.398804999999999</v>
      </c>
      <c r="F7063" t="s">
        <v>392</v>
      </c>
      <c r="G7063">
        <v>-89.820507000000006</v>
      </c>
      <c r="H7063">
        <v>1000</v>
      </c>
      <c r="I7063">
        <v>-6</v>
      </c>
      <c r="J7063">
        <v>-111</v>
      </c>
      <c r="K7063">
        <v>192</v>
      </c>
      <c r="L7063">
        <v>1200</v>
      </c>
      <c r="M7063" t="str">
        <f t="shared" si="743"/>
        <v xml:space="preserve">N35DC   </v>
      </c>
      <c r="N7063">
        <v>1</v>
      </c>
      <c r="O7063">
        <v>1075</v>
      </c>
    </row>
    <row r="7064" spans="1:15" x14ac:dyDescent="0.25">
      <c r="A7064" t="str">
        <f>"10/21/2020 19:03:38.438"</f>
        <v>10/21/2020 19:03:38.438</v>
      </c>
      <c r="B7064" t="str">
        <f>"19:03:46.398"</f>
        <v>19:03:46.398</v>
      </c>
      <c r="C7064" t="str">
        <f>"19:03:46.098"</f>
        <v>19:03:46.098</v>
      </c>
      <c r="D7064" t="s">
        <v>2900</v>
      </c>
      <c r="E7064">
        <v>30.398247000000001</v>
      </c>
      <c r="F7064" t="s">
        <v>2901</v>
      </c>
      <c r="G7064">
        <v>-89.820549</v>
      </c>
      <c r="H7064">
        <v>1000</v>
      </c>
      <c r="I7064">
        <v>-8</v>
      </c>
      <c r="J7064">
        <v>-110</v>
      </c>
      <c r="K7064">
        <v>128</v>
      </c>
      <c r="L7064">
        <v>1200</v>
      </c>
      <c r="M7064" t="str">
        <f t="shared" si="743"/>
        <v xml:space="preserve">N35DC   </v>
      </c>
      <c r="N7064">
        <v>1</v>
      </c>
      <c r="O7064">
        <v>1075</v>
      </c>
    </row>
    <row r="7065" spans="1:15" x14ac:dyDescent="0.25">
      <c r="A7065" t="str">
        <f>"10/21/2020 19:03:38.438"</f>
        <v>10/21/2020 19:03:38.438</v>
      </c>
      <c r="B7065" t="str">
        <f>"19:03:46.398"</f>
        <v>19:03:46.398</v>
      </c>
      <c r="C7065" t="str">
        <f>"19:03:46.098"</f>
        <v>19:03:46.098</v>
      </c>
      <c r="D7065" t="s">
        <v>2900</v>
      </c>
      <c r="E7065">
        <v>30.398247000000001</v>
      </c>
      <c r="F7065" t="s">
        <v>2901</v>
      </c>
      <c r="G7065">
        <v>-89.820549</v>
      </c>
      <c r="H7065">
        <v>1000</v>
      </c>
      <c r="I7065">
        <v>-8</v>
      </c>
      <c r="J7065">
        <v>-110</v>
      </c>
      <c r="K7065">
        <v>128</v>
      </c>
      <c r="L7065">
        <v>1200</v>
      </c>
      <c r="M7065" t="str">
        <f t="shared" si="743"/>
        <v xml:space="preserve">N35DC   </v>
      </c>
      <c r="N7065">
        <v>1</v>
      </c>
      <c r="O7065">
        <v>1075</v>
      </c>
    </row>
    <row r="7066" spans="1:15" x14ac:dyDescent="0.25">
      <c r="A7066" t="str">
        <f>"10/21/2020 19:03:38.438"</f>
        <v>10/21/2020 19:03:38.438</v>
      </c>
      <c r="B7066" t="str">
        <f>"19:03:46.398"</f>
        <v>19:03:46.398</v>
      </c>
      <c r="C7066" t="str">
        <f>"19:03:46.098"</f>
        <v>19:03:46.098</v>
      </c>
      <c r="D7066" t="s">
        <v>2900</v>
      </c>
      <c r="E7066">
        <v>30.398247000000001</v>
      </c>
      <c r="F7066" t="s">
        <v>2901</v>
      </c>
      <c r="G7066">
        <v>-89.820549</v>
      </c>
      <c r="H7066">
        <v>1000</v>
      </c>
      <c r="I7066">
        <v>-8</v>
      </c>
      <c r="J7066">
        <v>-110</v>
      </c>
      <c r="K7066">
        <v>128</v>
      </c>
      <c r="L7066">
        <v>1200</v>
      </c>
      <c r="M7066" t="str">
        <f t="shared" si="743"/>
        <v xml:space="preserve">N35DC   </v>
      </c>
      <c r="N7066">
        <v>1</v>
      </c>
      <c r="O7066">
        <v>1075</v>
      </c>
    </row>
    <row r="7067" spans="1:15" x14ac:dyDescent="0.25">
      <c r="A7067" t="str">
        <f>"10/21/2020 19:03:38.438"</f>
        <v>10/21/2020 19:03:38.438</v>
      </c>
      <c r="B7067" t="str">
        <f>"19:03:46.398"</f>
        <v>19:03:46.398</v>
      </c>
      <c r="C7067" t="str">
        <f>"19:03:46.098"</f>
        <v>19:03:46.098</v>
      </c>
      <c r="D7067" t="s">
        <v>2900</v>
      </c>
      <c r="E7067">
        <v>30.398247000000001</v>
      </c>
      <c r="F7067" t="s">
        <v>2901</v>
      </c>
      <c r="G7067">
        <v>-89.820549</v>
      </c>
      <c r="H7067">
        <v>1000</v>
      </c>
      <c r="I7067">
        <v>-8</v>
      </c>
      <c r="J7067">
        <v>-110</v>
      </c>
      <c r="K7067">
        <v>128</v>
      </c>
      <c r="L7067">
        <v>1200</v>
      </c>
      <c r="M7067" t="str">
        <f t="shared" si="743"/>
        <v xml:space="preserve">N35DC   </v>
      </c>
      <c r="N7067">
        <v>1</v>
      </c>
      <c r="O7067">
        <v>1075</v>
      </c>
    </row>
    <row r="7068" spans="1:15" x14ac:dyDescent="0.25">
      <c r="A7068" t="str">
        <f>"10/21/2020 19:03:38.438"</f>
        <v>10/21/2020 19:03:38.438</v>
      </c>
      <c r="B7068" t="str">
        <f>"19:03:46.398"</f>
        <v>19:03:46.398</v>
      </c>
      <c r="C7068" t="str">
        <f>"19:03:46.098"</f>
        <v>19:03:46.098</v>
      </c>
      <c r="D7068" t="s">
        <v>2900</v>
      </c>
      <c r="E7068">
        <v>30.398247000000001</v>
      </c>
      <c r="F7068" t="s">
        <v>2901</v>
      </c>
      <c r="G7068">
        <v>-89.820549</v>
      </c>
      <c r="H7068">
        <v>1000</v>
      </c>
      <c r="I7068">
        <v>-8</v>
      </c>
      <c r="J7068">
        <v>-110</v>
      </c>
      <c r="K7068">
        <v>128</v>
      </c>
      <c r="L7068">
        <v>1200</v>
      </c>
      <c r="M7068" t="str">
        <f t="shared" si="743"/>
        <v xml:space="preserve">N35DC   </v>
      </c>
      <c r="N7068">
        <v>1</v>
      </c>
      <c r="O7068">
        <v>1075</v>
      </c>
    </row>
    <row r="7069" spans="1:15" x14ac:dyDescent="0.25">
      <c r="A7069" t="str">
        <f>"10/21/2020 19:03:39.512"</f>
        <v>10/21/2020 19:03:39.512</v>
      </c>
      <c r="B7069" t="str">
        <f>"19:03:47.461"</f>
        <v>19:03:47.461</v>
      </c>
      <c r="C7069" t="str">
        <f>"19:03:47.261"</f>
        <v>19:03:47.261</v>
      </c>
      <c r="D7069" t="s">
        <v>2902</v>
      </c>
      <c r="E7069">
        <v>30.397732000000001</v>
      </c>
      <c r="F7069" t="s">
        <v>2797</v>
      </c>
      <c r="G7069">
        <v>-89.820592000000005</v>
      </c>
      <c r="H7069">
        <v>1000</v>
      </c>
      <c r="I7069">
        <v>-9</v>
      </c>
      <c r="J7069">
        <v>-109</v>
      </c>
      <c r="K7069">
        <v>64</v>
      </c>
      <c r="L7069">
        <v>1200</v>
      </c>
      <c r="M7069" t="str">
        <f t="shared" si="743"/>
        <v xml:space="preserve">N35DC   </v>
      </c>
      <c r="N7069">
        <v>1</v>
      </c>
      <c r="O7069">
        <v>1075</v>
      </c>
    </row>
    <row r="7070" spans="1:15" x14ac:dyDescent="0.25">
      <c r="A7070" t="str">
        <f>"10/21/2020 19:03:39.512"</f>
        <v>10/21/2020 19:03:39.512</v>
      </c>
      <c r="B7070" t="str">
        <f>"19:03:47.461"</f>
        <v>19:03:47.461</v>
      </c>
      <c r="C7070" t="str">
        <f>"19:03:47.261"</f>
        <v>19:03:47.261</v>
      </c>
      <c r="D7070" t="s">
        <v>2902</v>
      </c>
      <c r="E7070">
        <v>30.397732000000001</v>
      </c>
      <c r="F7070" t="s">
        <v>2797</v>
      </c>
      <c r="G7070">
        <v>-89.820592000000005</v>
      </c>
      <c r="H7070">
        <v>1000</v>
      </c>
      <c r="I7070">
        <v>-9</v>
      </c>
      <c r="J7070">
        <v>-109</v>
      </c>
      <c r="K7070">
        <v>64</v>
      </c>
      <c r="L7070">
        <v>1200</v>
      </c>
      <c r="M7070" t="str">
        <f t="shared" si="743"/>
        <v xml:space="preserve">N35DC   </v>
      </c>
      <c r="N7070">
        <v>1</v>
      </c>
      <c r="O7070">
        <v>1075</v>
      </c>
    </row>
    <row r="7071" spans="1:15" x14ac:dyDescent="0.25">
      <c r="A7071" t="str">
        <f>"10/21/2020 19:03:39.512"</f>
        <v>10/21/2020 19:03:39.512</v>
      </c>
      <c r="B7071" t="str">
        <f>"19:03:47.461"</f>
        <v>19:03:47.461</v>
      </c>
      <c r="C7071" t="str">
        <f>"19:03:47.261"</f>
        <v>19:03:47.261</v>
      </c>
      <c r="D7071" t="s">
        <v>2902</v>
      </c>
      <c r="E7071">
        <v>30.397732000000001</v>
      </c>
      <c r="F7071" t="s">
        <v>2797</v>
      </c>
      <c r="G7071">
        <v>-89.820592000000005</v>
      </c>
      <c r="H7071">
        <v>1000</v>
      </c>
      <c r="I7071">
        <v>-9</v>
      </c>
      <c r="J7071">
        <v>-109</v>
      </c>
      <c r="K7071">
        <v>64</v>
      </c>
      <c r="L7071">
        <v>1200</v>
      </c>
      <c r="M7071" t="str">
        <f t="shared" si="743"/>
        <v xml:space="preserve">N35DC   </v>
      </c>
      <c r="N7071">
        <v>1</v>
      </c>
      <c r="O7071">
        <v>1075</v>
      </c>
    </row>
    <row r="7072" spans="1:15" x14ac:dyDescent="0.25">
      <c r="A7072" t="str">
        <f>"10/21/2020 19:03:39.512"</f>
        <v>10/21/2020 19:03:39.512</v>
      </c>
      <c r="B7072" t="str">
        <f>"19:03:47.461"</f>
        <v>19:03:47.461</v>
      </c>
      <c r="C7072" t="str">
        <f>"19:03:47.261"</f>
        <v>19:03:47.261</v>
      </c>
      <c r="D7072" t="s">
        <v>2902</v>
      </c>
      <c r="E7072">
        <v>30.397732000000001</v>
      </c>
      <c r="F7072" t="s">
        <v>2797</v>
      </c>
      <c r="G7072">
        <v>-89.820592000000005</v>
      </c>
      <c r="H7072">
        <v>1000</v>
      </c>
      <c r="I7072">
        <v>-9</v>
      </c>
      <c r="J7072">
        <v>-109</v>
      </c>
      <c r="K7072">
        <v>64</v>
      </c>
      <c r="L7072">
        <v>1200</v>
      </c>
      <c r="M7072" t="str">
        <f t="shared" si="743"/>
        <v xml:space="preserve">N35DC   </v>
      </c>
      <c r="N7072">
        <v>1</v>
      </c>
      <c r="O7072">
        <v>1075</v>
      </c>
    </row>
    <row r="7073" spans="1:15" x14ac:dyDescent="0.25">
      <c r="A7073" t="str">
        <f>"10/21/2020 19:03:39.512"</f>
        <v>10/21/2020 19:03:39.512</v>
      </c>
      <c r="B7073" t="str">
        <f>"19:03:47.461"</f>
        <v>19:03:47.461</v>
      </c>
      <c r="C7073" t="str">
        <f>"19:03:47.261"</f>
        <v>19:03:47.261</v>
      </c>
      <c r="D7073" t="s">
        <v>2902</v>
      </c>
      <c r="E7073">
        <v>30.397732000000001</v>
      </c>
      <c r="F7073" t="s">
        <v>2797</v>
      </c>
      <c r="G7073">
        <v>-89.820592000000005</v>
      </c>
      <c r="H7073">
        <v>1000</v>
      </c>
      <c r="I7073">
        <v>-9</v>
      </c>
      <c r="J7073">
        <v>-109</v>
      </c>
      <c r="K7073">
        <v>64</v>
      </c>
      <c r="L7073">
        <v>1200</v>
      </c>
      <c r="M7073" t="str">
        <f t="shared" si="743"/>
        <v xml:space="preserve">N35DC   </v>
      </c>
      <c r="N7073">
        <v>1</v>
      </c>
      <c r="O7073">
        <v>1075</v>
      </c>
    </row>
    <row r="7074" spans="1:15" x14ac:dyDescent="0.25">
      <c r="A7074" t="str">
        <f>"10/21/2020 19:03:42.469"</f>
        <v>10/21/2020 19:03:42.469</v>
      </c>
      <c r="B7074" t="str">
        <f>"19:03:50.430"</f>
        <v>19:03:50.430</v>
      </c>
      <c r="C7074" t="str">
        <f>"19:03:49.930"</f>
        <v>19:03:49.930</v>
      </c>
      <c r="D7074" t="s">
        <v>2903</v>
      </c>
      <c r="E7074">
        <v>30.396229999999999</v>
      </c>
      <c r="F7074" t="s">
        <v>2755</v>
      </c>
      <c r="G7074">
        <v>-89.820721000000006</v>
      </c>
      <c r="H7074">
        <v>1000</v>
      </c>
      <c r="I7074">
        <v>-7</v>
      </c>
      <c r="J7074">
        <v>-108</v>
      </c>
      <c r="K7074">
        <v>-128</v>
      </c>
      <c r="L7074">
        <v>1200</v>
      </c>
      <c r="M7074" t="str">
        <f t="shared" si="743"/>
        <v xml:space="preserve">N35DC   </v>
      </c>
      <c r="N7074">
        <v>1</v>
      </c>
      <c r="O7074">
        <v>1075</v>
      </c>
    </row>
    <row r="7075" spans="1:15" x14ac:dyDescent="0.25">
      <c r="A7075" t="str">
        <f>"10/21/2020 19:03:42.469"</f>
        <v>10/21/2020 19:03:42.469</v>
      </c>
      <c r="B7075" t="str">
        <f>"19:03:50.430"</f>
        <v>19:03:50.430</v>
      </c>
      <c r="C7075" t="str">
        <f>"19:03:49.930"</f>
        <v>19:03:49.930</v>
      </c>
      <c r="D7075" t="s">
        <v>2903</v>
      </c>
      <c r="E7075">
        <v>30.396229999999999</v>
      </c>
      <c r="F7075" t="s">
        <v>2755</v>
      </c>
      <c r="G7075">
        <v>-89.820721000000006</v>
      </c>
      <c r="H7075">
        <v>1000</v>
      </c>
      <c r="I7075">
        <v>-7</v>
      </c>
      <c r="J7075">
        <v>-108</v>
      </c>
      <c r="K7075">
        <v>-128</v>
      </c>
      <c r="L7075">
        <v>1200</v>
      </c>
      <c r="M7075" t="str">
        <f t="shared" si="743"/>
        <v xml:space="preserve">N35DC   </v>
      </c>
      <c r="N7075">
        <v>1</v>
      </c>
      <c r="O7075">
        <v>1075</v>
      </c>
    </row>
    <row r="7076" spans="1:15" x14ac:dyDescent="0.25">
      <c r="A7076" t="str">
        <f>"10/21/2020 19:03:42.469"</f>
        <v>10/21/2020 19:03:42.469</v>
      </c>
      <c r="B7076" t="str">
        <f>"19:03:50.430"</f>
        <v>19:03:50.430</v>
      </c>
      <c r="C7076" t="str">
        <f>"19:03:49.930"</f>
        <v>19:03:49.930</v>
      </c>
      <c r="D7076" t="s">
        <v>2903</v>
      </c>
      <c r="E7076">
        <v>30.396229999999999</v>
      </c>
      <c r="F7076" t="s">
        <v>2755</v>
      </c>
      <c r="G7076">
        <v>-89.820721000000006</v>
      </c>
      <c r="H7076">
        <v>1000</v>
      </c>
      <c r="I7076">
        <v>-7</v>
      </c>
      <c r="J7076">
        <v>-108</v>
      </c>
      <c r="K7076">
        <v>-128</v>
      </c>
      <c r="L7076">
        <v>1200</v>
      </c>
      <c r="M7076" t="str">
        <f t="shared" si="743"/>
        <v xml:space="preserve">N35DC   </v>
      </c>
      <c r="N7076">
        <v>1</v>
      </c>
      <c r="O7076">
        <v>1075</v>
      </c>
    </row>
    <row r="7077" spans="1:15" x14ac:dyDescent="0.25">
      <c r="A7077" t="str">
        <f>"10/21/2020 19:03:42.469"</f>
        <v>10/21/2020 19:03:42.469</v>
      </c>
      <c r="B7077" t="str">
        <f>"19:03:50.430"</f>
        <v>19:03:50.430</v>
      </c>
      <c r="C7077" t="str">
        <f>"19:03:49.930"</f>
        <v>19:03:49.930</v>
      </c>
      <c r="D7077" t="s">
        <v>2903</v>
      </c>
      <c r="E7077">
        <v>30.396229999999999</v>
      </c>
      <c r="F7077" t="s">
        <v>2755</v>
      </c>
      <c r="G7077">
        <v>-89.820721000000006</v>
      </c>
      <c r="H7077">
        <v>1000</v>
      </c>
      <c r="I7077">
        <v>-7</v>
      </c>
      <c r="J7077">
        <v>-108</v>
      </c>
      <c r="K7077">
        <v>-128</v>
      </c>
      <c r="L7077">
        <v>1200</v>
      </c>
      <c r="M7077" t="str">
        <f t="shared" si="743"/>
        <v xml:space="preserve">N35DC   </v>
      </c>
      <c r="N7077">
        <v>1</v>
      </c>
      <c r="O7077">
        <v>1075</v>
      </c>
    </row>
    <row r="7078" spans="1:15" x14ac:dyDescent="0.25">
      <c r="A7078" t="str">
        <f>"10/21/2020 19:03:42.469"</f>
        <v>10/21/2020 19:03:42.469</v>
      </c>
      <c r="B7078" t="str">
        <f>"19:03:50.430"</f>
        <v>19:03:50.430</v>
      </c>
      <c r="C7078" t="str">
        <f>"19:03:49.930"</f>
        <v>19:03:49.930</v>
      </c>
      <c r="D7078" t="s">
        <v>2903</v>
      </c>
      <c r="E7078">
        <v>30.396229999999999</v>
      </c>
      <c r="F7078" t="s">
        <v>2755</v>
      </c>
      <c r="G7078">
        <v>-89.820721000000006</v>
      </c>
      <c r="H7078">
        <v>1000</v>
      </c>
      <c r="I7078">
        <v>-7</v>
      </c>
      <c r="J7078">
        <v>-108</v>
      </c>
      <c r="K7078">
        <v>-128</v>
      </c>
      <c r="L7078">
        <v>1200</v>
      </c>
      <c r="M7078" t="str">
        <f t="shared" si="743"/>
        <v xml:space="preserve">N35DC   </v>
      </c>
      <c r="N7078">
        <v>1</v>
      </c>
      <c r="O7078">
        <v>1075</v>
      </c>
    </row>
    <row r="7079" spans="1:15" x14ac:dyDescent="0.25">
      <c r="A7079" t="str">
        <f>"10/21/2020 19:03:43.577"</f>
        <v>10/21/2020 19:03:43.577</v>
      </c>
      <c r="B7079" t="str">
        <f>"19:03:51.508"</f>
        <v>19:03:51.508</v>
      </c>
      <c r="C7079" t="str">
        <f>"19:03:51.008"</f>
        <v>19:03:51.008</v>
      </c>
      <c r="D7079" t="s">
        <v>110</v>
      </c>
      <c r="E7079">
        <v>30.395672000000001</v>
      </c>
      <c r="F7079" t="s">
        <v>2319</v>
      </c>
      <c r="G7079">
        <v>-89.820763999999997</v>
      </c>
      <c r="H7079">
        <v>1000</v>
      </c>
      <c r="I7079">
        <v>-3</v>
      </c>
      <c r="J7079">
        <v>-108</v>
      </c>
      <c r="K7079">
        <v>-192</v>
      </c>
      <c r="L7079">
        <v>1200</v>
      </c>
      <c r="M7079" t="str">
        <f t="shared" si="743"/>
        <v xml:space="preserve">N35DC   </v>
      </c>
      <c r="N7079">
        <v>1</v>
      </c>
      <c r="O7079">
        <v>1075</v>
      </c>
    </row>
    <row r="7080" spans="1:15" x14ac:dyDescent="0.25">
      <c r="A7080" t="str">
        <f>"10/21/2020 19:03:43.577"</f>
        <v>10/21/2020 19:03:43.577</v>
      </c>
      <c r="B7080" t="str">
        <f>"19:03:51.508"</f>
        <v>19:03:51.508</v>
      </c>
      <c r="C7080" t="str">
        <f>"19:03:51.008"</f>
        <v>19:03:51.008</v>
      </c>
      <c r="D7080" t="s">
        <v>110</v>
      </c>
      <c r="E7080">
        <v>30.395672000000001</v>
      </c>
      <c r="F7080" t="s">
        <v>2319</v>
      </c>
      <c r="G7080">
        <v>-89.820763999999997</v>
      </c>
      <c r="H7080">
        <v>1000</v>
      </c>
      <c r="I7080">
        <v>-3</v>
      </c>
      <c r="J7080">
        <v>-108</v>
      </c>
      <c r="K7080">
        <v>-192</v>
      </c>
      <c r="L7080">
        <v>1200</v>
      </c>
      <c r="M7080" t="str">
        <f t="shared" si="743"/>
        <v xml:space="preserve">N35DC   </v>
      </c>
      <c r="N7080">
        <v>1</v>
      </c>
      <c r="O7080">
        <v>1075</v>
      </c>
    </row>
    <row r="7081" spans="1:15" x14ac:dyDescent="0.25">
      <c r="A7081" t="str">
        <f>"10/21/2020 19:03:43.577"</f>
        <v>10/21/2020 19:03:43.577</v>
      </c>
      <c r="B7081" t="str">
        <f>"19:03:51.508"</f>
        <v>19:03:51.508</v>
      </c>
      <c r="C7081" t="str">
        <f>"19:03:51.008"</f>
        <v>19:03:51.008</v>
      </c>
      <c r="D7081" t="s">
        <v>110</v>
      </c>
      <c r="E7081">
        <v>30.395672000000001</v>
      </c>
      <c r="F7081" t="s">
        <v>2319</v>
      </c>
      <c r="G7081">
        <v>-89.820763999999997</v>
      </c>
      <c r="H7081">
        <v>1000</v>
      </c>
      <c r="I7081">
        <v>-3</v>
      </c>
      <c r="J7081">
        <v>-108</v>
      </c>
      <c r="K7081">
        <v>-192</v>
      </c>
      <c r="L7081">
        <v>1200</v>
      </c>
      <c r="M7081" t="str">
        <f t="shared" si="743"/>
        <v xml:space="preserve">N35DC   </v>
      </c>
      <c r="N7081">
        <v>1</v>
      </c>
      <c r="O7081">
        <v>1075</v>
      </c>
    </row>
    <row r="7082" spans="1:15" x14ac:dyDescent="0.25">
      <c r="A7082" t="str">
        <f>"10/21/2020 19:03:43.577"</f>
        <v>10/21/2020 19:03:43.577</v>
      </c>
      <c r="B7082" t="str">
        <f>"19:03:51.508"</f>
        <v>19:03:51.508</v>
      </c>
      <c r="C7082" t="str">
        <f>"19:03:51.008"</f>
        <v>19:03:51.008</v>
      </c>
      <c r="D7082" t="s">
        <v>110</v>
      </c>
      <c r="E7082">
        <v>30.395672000000001</v>
      </c>
      <c r="F7082" t="s">
        <v>2319</v>
      </c>
      <c r="G7082">
        <v>-89.820763999999997</v>
      </c>
      <c r="H7082">
        <v>1000</v>
      </c>
      <c r="I7082">
        <v>-3</v>
      </c>
      <c r="J7082">
        <v>-108</v>
      </c>
      <c r="K7082">
        <v>-192</v>
      </c>
      <c r="L7082">
        <v>1200</v>
      </c>
      <c r="M7082" t="str">
        <f t="shared" si="743"/>
        <v xml:space="preserve">N35DC   </v>
      </c>
      <c r="N7082">
        <v>1</v>
      </c>
      <c r="O7082">
        <v>1075</v>
      </c>
    </row>
    <row r="7083" spans="1:15" x14ac:dyDescent="0.25">
      <c r="A7083" t="str">
        <f>"10/21/2020 19:03:43.577"</f>
        <v>10/21/2020 19:03:43.577</v>
      </c>
      <c r="B7083" t="str">
        <f>"19:03:51.508"</f>
        <v>19:03:51.508</v>
      </c>
      <c r="C7083" t="str">
        <f>"19:03:51.008"</f>
        <v>19:03:51.008</v>
      </c>
      <c r="D7083" t="s">
        <v>110</v>
      </c>
      <c r="E7083">
        <v>30.395672000000001</v>
      </c>
      <c r="F7083" t="s">
        <v>2319</v>
      </c>
      <c r="G7083">
        <v>-89.820763999999997</v>
      </c>
      <c r="H7083">
        <v>1000</v>
      </c>
      <c r="I7083">
        <v>-3</v>
      </c>
      <c r="J7083">
        <v>-108</v>
      </c>
      <c r="K7083">
        <v>-192</v>
      </c>
      <c r="L7083">
        <v>1200</v>
      </c>
      <c r="M7083" t="str">
        <f t="shared" si="743"/>
        <v xml:space="preserve">N35DC   </v>
      </c>
      <c r="N7083">
        <v>1</v>
      </c>
      <c r="O7083">
        <v>1075</v>
      </c>
    </row>
    <row r="7084" spans="1:15" x14ac:dyDescent="0.25">
      <c r="A7084" t="str">
        <f>"10/21/2020 19:03:46.576"</f>
        <v>10/21/2020 19:03:46.576</v>
      </c>
      <c r="B7084" t="str">
        <f>"19:03:54.492"</f>
        <v>19:03:54.492</v>
      </c>
      <c r="C7084" t="str">
        <f>"19:03:54.092"</f>
        <v>19:03:54.092</v>
      </c>
      <c r="D7084" t="s">
        <v>2904</v>
      </c>
      <c r="E7084">
        <v>30.394169999999999</v>
      </c>
      <c r="F7084" t="s">
        <v>2905</v>
      </c>
      <c r="G7084">
        <v>-89.820656999999997</v>
      </c>
      <c r="H7084">
        <v>1000</v>
      </c>
      <c r="I7084">
        <v>7</v>
      </c>
      <c r="J7084">
        <v>-108</v>
      </c>
      <c r="K7084">
        <v>-512</v>
      </c>
      <c r="L7084">
        <v>1200</v>
      </c>
      <c r="M7084" t="str">
        <f t="shared" si="743"/>
        <v xml:space="preserve">N35DC   </v>
      </c>
      <c r="N7084">
        <v>1</v>
      </c>
      <c r="O7084">
        <v>1050</v>
      </c>
    </row>
    <row r="7085" spans="1:15" x14ac:dyDescent="0.25">
      <c r="A7085" t="str">
        <f>"10/21/2020 19:03:46.576"</f>
        <v>10/21/2020 19:03:46.576</v>
      </c>
      <c r="B7085" t="str">
        <f>"19:03:54.492"</f>
        <v>19:03:54.492</v>
      </c>
      <c r="C7085" t="str">
        <f>"19:03:54.092"</f>
        <v>19:03:54.092</v>
      </c>
      <c r="D7085" t="s">
        <v>2904</v>
      </c>
      <c r="E7085">
        <v>30.394169999999999</v>
      </c>
      <c r="F7085" t="s">
        <v>2905</v>
      </c>
      <c r="G7085">
        <v>-89.820656999999997</v>
      </c>
      <c r="H7085">
        <v>1000</v>
      </c>
      <c r="I7085">
        <v>7</v>
      </c>
      <c r="J7085">
        <v>-108</v>
      </c>
      <c r="K7085">
        <v>-512</v>
      </c>
      <c r="L7085">
        <v>1200</v>
      </c>
      <c r="M7085" t="str">
        <f t="shared" si="743"/>
        <v xml:space="preserve">N35DC   </v>
      </c>
      <c r="N7085">
        <v>1</v>
      </c>
      <c r="O7085">
        <v>1050</v>
      </c>
    </row>
    <row r="7086" spans="1:15" x14ac:dyDescent="0.25">
      <c r="A7086" t="str">
        <f>"10/21/2020 19:03:46.576"</f>
        <v>10/21/2020 19:03:46.576</v>
      </c>
      <c r="B7086" t="str">
        <f>"19:03:54.492"</f>
        <v>19:03:54.492</v>
      </c>
      <c r="C7086" t="str">
        <f>"19:03:54.092"</f>
        <v>19:03:54.092</v>
      </c>
      <c r="D7086" t="s">
        <v>2904</v>
      </c>
      <c r="E7086">
        <v>30.394169999999999</v>
      </c>
      <c r="F7086" t="s">
        <v>2905</v>
      </c>
      <c r="G7086">
        <v>-89.820656999999997</v>
      </c>
      <c r="H7086">
        <v>1000</v>
      </c>
      <c r="I7086">
        <v>7</v>
      </c>
      <c r="J7086">
        <v>-108</v>
      </c>
      <c r="K7086">
        <v>-512</v>
      </c>
      <c r="L7086">
        <v>1200</v>
      </c>
      <c r="M7086" t="str">
        <f t="shared" si="743"/>
        <v xml:space="preserve">N35DC   </v>
      </c>
      <c r="N7086">
        <v>1</v>
      </c>
      <c r="O7086">
        <v>1050</v>
      </c>
    </row>
    <row r="7087" spans="1:15" x14ac:dyDescent="0.25">
      <c r="A7087" t="str">
        <f>"10/21/2020 19:03:46.576"</f>
        <v>10/21/2020 19:03:46.576</v>
      </c>
      <c r="B7087" t="str">
        <f>"19:03:54.492"</f>
        <v>19:03:54.492</v>
      </c>
      <c r="C7087" t="str">
        <f>"19:03:54.092"</f>
        <v>19:03:54.092</v>
      </c>
      <c r="D7087" t="s">
        <v>2904</v>
      </c>
      <c r="E7087">
        <v>30.394169999999999</v>
      </c>
      <c r="F7087" t="s">
        <v>2905</v>
      </c>
      <c r="G7087">
        <v>-89.820656999999997</v>
      </c>
      <c r="H7087">
        <v>1000</v>
      </c>
      <c r="I7087">
        <v>7</v>
      </c>
      <c r="J7087">
        <v>-108</v>
      </c>
      <c r="K7087">
        <v>-512</v>
      </c>
      <c r="L7087">
        <v>1200</v>
      </c>
      <c r="M7087" t="str">
        <f t="shared" si="743"/>
        <v xml:space="preserve">N35DC   </v>
      </c>
      <c r="N7087">
        <v>1</v>
      </c>
      <c r="O7087">
        <v>1050</v>
      </c>
    </row>
    <row r="7088" spans="1:15" x14ac:dyDescent="0.25">
      <c r="A7088" t="str">
        <f>"10/21/2020 19:03:46.576"</f>
        <v>10/21/2020 19:03:46.576</v>
      </c>
      <c r="B7088" t="str">
        <f>"19:03:54.492"</f>
        <v>19:03:54.492</v>
      </c>
      <c r="C7088" t="str">
        <f>"19:03:54.092"</f>
        <v>19:03:54.092</v>
      </c>
      <c r="D7088" t="s">
        <v>2904</v>
      </c>
      <c r="E7088">
        <v>30.394169999999999</v>
      </c>
      <c r="F7088" t="s">
        <v>2905</v>
      </c>
      <c r="G7088">
        <v>-89.820656999999997</v>
      </c>
      <c r="H7088">
        <v>1000</v>
      </c>
      <c r="I7088">
        <v>7</v>
      </c>
      <c r="J7088">
        <v>-108</v>
      </c>
      <c r="K7088">
        <v>-512</v>
      </c>
      <c r="L7088">
        <v>1200</v>
      </c>
      <c r="M7088" t="str">
        <f t="shared" si="743"/>
        <v xml:space="preserve">N35DC   </v>
      </c>
      <c r="N7088">
        <v>1</v>
      </c>
      <c r="O7088">
        <v>1050</v>
      </c>
    </row>
    <row r="7089" spans="1:15" x14ac:dyDescent="0.25">
      <c r="A7089" t="str">
        <f>"10/21/2020 19:03:47.435"</f>
        <v>10/21/2020 19:03:47.435</v>
      </c>
      <c r="B7089" t="str">
        <f>"19:03:55.391"</f>
        <v>19:03:55.391</v>
      </c>
      <c r="C7089" t="str">
        <f>"19:03:55.091"</f>
        <v>19:03:55.091</v>
      </c>
      <c r="D7089" t="s">
        <v>2906</v>
      </c>
      <c r="E7089">
        <v>30.393719999999998</v>
      </c>
      <c r="F7089" t="s">
        <v>2905</v>
      </c>
      <c r="G7089">
        <v>-89.820656999999997</v>
      </c>
      <c r="H7089">
        <v>1000</v>
      </c>
      <c r="I7089">
        <v>9</v>
      </c>
      <c r="J7089">
        <v>-109</v>
      </c>
      <c r="K7089">
        <v>-640</v>
      </c>
      <c r="L7089">
        <v>1200</v>
      </c>
      <c r="M7089" t="str">
        <f t="shared" si="743"/>
        <v xml:space="preserve">N35DC   </v>
      </c>
      <c r="N7089">
        <v>1</v>
      </c>
      <c r="O7089">
        <v>1025</v>
      </c>
    </row>
    <row r="7090" spans="1:15" x14ac:dyDescent="0.25">
      <c r="A7090" t="str">
        <f>"10/21/2020 19:03:47.435"</f>
        <v>10/21/2020 19:03:47.435</v>
      </c>
      <c r="B7090" t="str">
        <f>"19:03:55.391"</f>
        <v>19:03:55.391</v>
      </c>
      <c r="C7090" t="str">
        <f>"19:03:55.091"</f>
        <v>19:03:55.091</v>
      </c>
      <c r="D7090" t="s">
        <v>2906</v>
      </c>
      <c r="E7090">
        <v>30.393719999999998</v>
      </c>
      <c r="F7090" t="s">
        <v>2905</v>
      </c>
      <c r="G7090">
        <v>-89.820656999999997</v>
      </c>
      <c r="H7090">
        <v>1000</v>
      </c>
      <c r="I7090">
        <v>9</v>
      </c>
      <c r="J7090">
        <v>-109</v>
      </c>
      <c r="K7090">
        <v>-640</v>
      </c>
      <c r="L7090">
        <v>1200</v>
      </c>
      <c r="M7090" t="str">
        <f t="shared" si="743"/>
        <v xml:space="preserve">N35DC   </v>
      </c>
      <c r="N7090">
        <v>1</v>
      </c>
      <c r="O7090">
        <v>1025</v>
      </c>
    </row>
    <row r="7091" spans="1:15" x14ac:dyDescent="0.25">
      <c r="A7091" t="str">
        <f>"10/21/2020 19:03:47.435"</f>
        <v>10/21/2020 19:03:47.435</v>
      </c>
      <c r="B7091" t="str">
        <f>"19:03:55.391"</f>
        <v>19:03:55.391</v>
      </c>
      <c r="C7091" t="str">
        <f>"19:03:55.091"</f>
        <v>19:03:55.091</v>
      </c>
      <c r="D7091" t="s">
        <v>2906</v>
      </c>
      <c r="E7091">
        <v>30.393719999999998</v>
      </c>
      <c r="F7091" t="s">
        <v>2905</v>
      </c>
      <c r="G7091">
        <v>-89.820656999999997</v>
      </c>
      <c r="H7091">
        <v>1000</v>
      </c>
      <c r="I7091">
        <v>9</v>
      </c>
      <c r="J7091">
        <v>-109</v>
      </c>
      <c r="K7091">
        <v>-640</v>
      </c>
      <c r="L7091">
        <v>1200</v>
      </c>
      <c r="M7091" t="str">
        <f t="shared" si="743"/>
        <v xml:space="preserve">N35DC   </v>
      </c>
      <c r="N7091">
        <v>1</v>
      </c>
      <c r="O7091">
        <v>1025</v>
      </c>
    </row>
    <row r="7092" spans="1:15" x14ac:dyDescent="0.25">
      <c r="A7092" t="str">
        <f>"10/21/2020 19:03:47.435"</f>
        <v>10/21/2020 19:03:47.435</v>
      </c>
      <c r="B7092" t="str">
        <f>"19:03:55.391"</f>
        <v>19:03:55.391</v>
      </c>
      <c r="C7092" t="str">
        <f>"19:03:55.091"</f>
        <v>19:03:55.091</v>
      </c>
      <c r="D7092" t="s">
        <v>2906</v>
      </c>
      <c r="E7092">
        <v>30.393719999999998</v>
      </c>
      <c r="F7092" t="s">
        <v>2905</v>
      </c>
      <c r="G7092">
        <v>-89.820656999999997</v>
      </c>
      <c r="H7092">
        <v>1000</v>
      </c>
      <c r="I7092">
        <v>9</v>
      </c>
      <c r="J7092">
        <v>-109</v>
      </c>
      <c r="K7092">
        <v>-640</v>
      </c>
      <c r="L7092">
        <v>1200</v>
      </c>
      <c r="M7092" t="str">
        <f t="shared" si="743"/>
        <v xml:space="preserve">N35DC   </v>
      </c>
      <c r="N7092">
        <v>1</v>
      </c>
      <c r="O7092">
        <v>1025</v>
      </c>
    </row>
    <row r="7093" spans="1:15" x14ac:dyDescent="0.25">
      <c r="A7093" t="str">
        <f>"10/21/2020 19:03:47.435"</f>
        <v>10/21/2020 19:03:47.435</v>
      </c>
      <c r="B7093" t="str">
        <f>"19:03:55.391"</f>
        <v>19:03:55.391</v>
      </c>
      <c r="C7093" t="str">
        <f>"19:03:55.091"</f>
        <v>19:03:55.091</v>
      </c>
      <c r="D7093" t="s">
        <v>2906</v>
      </c>
      <c r="E7093">
        <v>30.393719999999998</v>
      </c>
      <c r="F7093" t="s">
        <v>2905</v>
      </c>
      <c r="G7093">
        <v>-89.820656999999997</v>
      </c>
      <c r="H7093">
        <v>1000</v>
      </c>
      <c r="I7093">
        <v>9</v>
      </c>
      <c r="J7093">
        <v>-109</v>
      </c>
      <c r="K7093">
        <v>-640</v>
      </c>
      <c r="L7093">
        <v>1200</v>
      </c>
      <c r="M7093" t="str">
        <f t="shared" si="743"/>
        <v xml:space="preserve">N35DC   </v>
      </c>
      <c r="N7093">
        <v>1</v>
      </c>
      <c r="O7093">
        <v>1025</v>
      </c>
    </row>
    <row r="7094" spans="1:15" x14ac:dyDescent="0.25">
      <c r="A7094" t="str">
        <f>"10/21/2020 19:03:50.577"</f>
        <v>10/21/2020 19:03:50.577</v>
      </c>
      <c r="B7094" t="str">
        <f t="shared" ref="B7094:C7098" si="744">"19:03:58.531"</f>
        <v>19:03:58.531</v>
      </c>
      <c r="C7094" t="str">
        <f t="shared" si="744"/>
        <v>19:03:58.531</v>
      </c>
      <c r="D7094" t="s">
        <v>2907</v>
      </c>
      <c r="E7094">
        <v>30.392109999999999</v>
      </c>
      <c r="F7094" t="s">
        <v>392</v>
      </c>
      <c r="G7094">
        <v>-89.820507000000006</v>
      </c>
      <c r="H7094">
        <v>1000</v>
      </c>
      <c r="I7094">
        <v>6</v>
      </c>
      <c r="J7094">
        <v>-113</v>
      </c>
      <c r="K7094">
        <v>-832</v>
      </c>
      <c r="L7094">
        <v>1200</v>
      </c>
      <c r="M7094" t="str">
        <f t="shared" si="743"/>
        <v xml:space="preserve">N35DC   </v>
      </c>
      <c r="N7094">
        <v>1</v>
      </c>
      <c r="O7094">
        <v>1000</v>
      </c>
    </row>
    <row r="7095" spans="1:15" x14ac:dyDescent="0.25">
      <c r="A7095" t="str">
        <f>"10/21/2020 19:03:50.577"</f>
        <v>10/21/2020 19:03:50.577</v>
      </c>
      <c r="B7095" t="str">
        <f t="shared" si="744"/>
        <v>19:03:58.531</v>
      </c>
      <c r="C7095" t="str">
        <f t="shared" si="744"/>
        <v>19:03:58.531</v>
      </c>
      <c r="D7095" t="s">
        <v>2907</v>
      </c>
      <c r="E7095">
        <v>30.392109999999999</v>
      </c>
      <c r="F7095" t="s">
        <v>392</v>
      </c>
      <c r="G7095">
        <v>-89.820507000000006</v>
      </c>
      <c r="H7095">
        <v>1000</v>
      </c>
      <c r="I7095">
        <v>6</v>
      </c>
      <c r="J7095">
        <v>-113</v>
      </c>
      <c r="K7095">
        <v>-832</v>
      </c>
      <c r="L7095">
        <v>1200</v>
      </c>
      <c r="M7095" t="str">
        <f t="shared" si="743"/>
        <v xml:space="preserve">N35DC   </v>
      </c>
      <c r="N7095">
        <v>1</v>
      </c>
      <c r="O7095">
        <v>1000</v>
      </c>
    </row>
    <row r="7096" spans="1:15" x14ac:dyDescent="0.25">
      <c r="A7096" t="str">
        <f>"10/21/2020 19:03:50.577"</f>
        <v>10/21/2020 19:03:50.577</v>
      </c>
      <c r="B7096" t="str">
        <f t="shared" si="744"/>
        <v>19:03:58.531</v>
      </c>
      <c r="C7096" t="str">
        <f t="shared" si="744"/>
        <v>19:03:58.531</v>
      </c>
      <c r="D7096" t="s">
        <v>2907</v>
      </c>
      <c r="E7096">
        <v>30.392109999999999</v>
      </c>
      <c r="F7096" t="s">
        <v>392</v>
      </c>
      <c r="G7096">
        <v>-89.820507000000006</v>
      </c>
      <c r="H7096">
        <v>1000</v>
      </c>
      <c r="I7096">
        <v>6</v>
      </c>
      <c r="J7096">
        <v>-113</v>
      </c>
      <c r="K7096">
        <v>-832</v>
      </c>
      <c r="L7096">
        <v>1200</v>
      </c>
      <c r="M7096" t="str">
        <f t="shared" si="743"/>
        <v xml:space="preserve">N35DC   </v>
      </c>
      <c r="N7096">
        <v>1</v>
      </c>
      <c r="O7096">
        <v>1000</v>
      </c>
    </row>
    <row r="7097" spans="1:15" x14ac:dyDescent="0.25">
      <c r="A7097" t="str">
        <f>"10/21/2020 19:03:50.577"</f>
        <v>10/21/2020 19:03:50.577</v>
      </c>
      <c r="B7097" t="str">
        <f t="shared" si="744"/>
        <v>19:03:58.531</v>
      </c>
      <c r="C7097" t="str">
        <f t="shared" si="744"/>
        <v>19:03:58.531</v>
      </c>
      <c r="D7097" t="s">
        <v>2907</v>
      </c>
      <c r="E7097">
        <v>30.392109999999999</v>
      </c>
      <c r="F7097" t="s">
        <v>392</v>
      </c>
      <c r="G7097">
        <v>-89.820507000000006</v>
      </c>
      <c r="H7097">
        <v>1000</v>
      </c>
      <c r="I7097">
        <v>6</v>
      </c>
      <c r="J7097">
        <v>-113</v>
      </c>
      <c r="K7097">
        <v>-832</v>
      </c>
      <c r="L7097">
        <v>1200</v>
      </c>
      <c r="M7097" t="str">
        <f t="shared" si="743"/>
        <v xml:space="preserve">N35DC   </v>
      </c>
      <c r="N7097">
        <v>1</v>
      </c>
      <c r="O7097">
        <v>1000</v>
      </c>
    </row>
    <row r="7098" spans="1:15" x14ac:dyDescent="0.25">
      <c r="A7098" t="str">
        <f>"10/21/2020 19:03:50.577"</f>
        <v>10/21/2020 19:03:50.577</v>
      </c>
      <c r="B7098" t="str">
        <f t="shared" si="744"/>
        <v>19:03:58.531</v>
      </c>
      <c r="C7098" t="str">
        <f t="shared" si="744"/>
        <v>19:03:58.531</v>
      </c>
      <c r="D7098" t="s">
        <v>2907</v>
      </c>
      <c r="E7098">
        <v>30.392109999999999</v>
      </c>
      <c r="F7098" t="s">
        <v>392</v>
      </c>
      <c r="G7098">
        <v>-89.820507000000006</v>
      </c>
      <c r="H7098">
        <v>1000</v>
      </c>
      <c r="I7098">
        <v>6</v>
      </c>
      <c r="J7098">
        <v>-113</v>
      </c>
      <c r="K7098">
        <v>-832</v>
      </c>
      <c r="L7098">
        <v>1200</v>
      </c>
      <c r="M7098" t="str">
        <f t="shared" si="743"/>
        <v xml:space="preserve">N35DC   </v>
      </c>
      <c r="N7098">
        <v>1</v>
      </c>
      <c r="O7098">
        <v>1000</v>
      </c>
    </row>
    <row r="7099" spans="1:15" x14ac:dyDescent="0.25">
      <c r="A7099" t="str">
        <f>"10/21/2020 19:03:51.484"</f>
        <v>10/21/2020 19:03:51.484</v>
      </c>
      <c r="B7099" t="str">
        <f t="shared" ref="B7099:C7103" si="745">"19:03:59.445"</f>
        <v>19:03:59.445</v>
      </c>
      <c r="C7099" t="str">
        <f t="shared" si="745"/>
        <v>19:03:59.445</v>
      </c>
      <c r="D7099" t="s">
        <v>2908</v>
      </c>
      <c r="E7099">
        <v>30.391638</v>
      </c>
      <c r="F7099" t="s">
        <v>16</v>
      </c>
      <c r="G7099">
        <v>-89.820485000000005</v>
      </c>
      <c r="H7099">
        <v>900</v>
      </c>
      <c r="I7099">
        <v>3</v>
      </c>
      <c r="J7099">
        <v>-115</v>
      </c>
      <c r="K7099">
        <v>-832</v>
      </c>
      <c r="L7099">
        <v>1200</v>
      </c>
      <c r="M7099" t="str">
        <f t="shared" si="743"/>
        <v xml:space="preserve">N35DC   </v>
      </c>
      <c r="N7099">
        <v>1</v>
      </c>
      <c r="O7099">
        <v>975</v>
      </c>
    </row>
    <row r="7100" spans="1:15" x14ac:dyDescent="0.25">
      <c r="A7100" t="str">
        <f>"10/21/2020 19:03:51.484"</f>
        <v>10/21/2020 19:03:51.484</v>
      </c>
      <c r="B7100" t="str">
        <f t="shared" si="745"/>
        <v>19:03:59.445</v>
      </c>
      <c r="C7100" t="str">
        <f t="shared" si="745"/>
        <v>19:03:59.445</v>
      </c>
      <c r="D7100" t="s">
        <v>2908</v>
      </c>
      <c r="E7100">
        <v>30.391638</v>
      </c>
      <c r="F7100" t="s">
        <v>16</v>
      </c>
      <c r="G7100">
        <v>-89.820485000000005</v>
      </c>
      <c r="H7100">
        <v>900</v>
      </c>
      <c r="I7100">
        <v>3</v>
      </c>
      <c r="J7100">
        <v>-115</v>
      </c>
      <c r="K7100">
        <v>-832</v>
      </c>
      <c r="L7100">
        <v>1200</v>
      </c>
      <c r="M7100" t="str">
        <f t="shared" si="743"/>
        <v xml:space="preserve">N35DC   </v>
      </c>
      <c r="N7100">
        <v>1</v>
      </c>
      <c r="O7100">
        <v>975</v>
      </c>
    </row>
    <row r="7101" spans="1:15" x14ac:dyDescent="0.25">
      <c r="A7101" t="str">
        <f>"10/21/2020 19:03:51.484"</f>
        <v>10/21/2020 19:03:51.484</v>
      </c>
      <c r="B7101" t="str">
        <f t="shared" si="745"/>
        <v>19:03:59.445</v>
      </c>
      <c r="C7101" t="str">
        <f t="shared" si="745"/>
        <v>19:03:59.445</v>
      </c>
      <c r="D7101" t="s">
        <v>2908</v>
      </c>
      <c r="E7101">
        <v>30.391638</v>
      </c>
      <c r="F7101" t="s">
        <v>16</v>
      </c>
      <c r="G7101">
        <v>-89.820485000000005</v>
      </c>
      <c r="H7101">
        <v>900</v>
      </c>
      <c r="I7101">
        <v>3</v>
      </c>
      <c r="J7101">
        <v>-115</v>
      </c>
      <c r="K7101">
        <v>-832</v>
      </c>
      <c r="L7101">
        <v>1200</v>
      </c>
      <c r="M7101" t="str">
        <f t="shared" si="743"/>
        <v xml:space="preserve">N35DC   </v>
      </c>
      <c r="N7101">
        <v>1</v>
      </c>
      <c r="O7101">
        <v>975</v>
      </c>
    </row>
    <row r="7102" spans="1:15" x14ac:dyDescent="0.25">
      <c r="A7102" t="str">
        <f>"10/21/2020 19:03:51.484"</f>
        <v>10/21/2020 19:03:51.484</v>
      </c>
      <c r="B7102" t="str">
        <f t="shared" si="745"/>
        <v>19:03:59.445</v>
      </c>
      <c r="C7102" t="str">
        <f t="shared" si="745"/>
        <v>19:03:59.445</v>
      </c>
      <c r="D7102" t="s">
        <v>2908</v>
      </c>
      <c r="E7102">
        <v>30.391638</v>
      </c>
      <c r="F7102" t="s">
        <v>16</v>
      </c>
      <c r="G7102">
        <v>-89.820485000000005</v>
      </c>
      <c r="H7102">
        <v>900</v>
      </c>
      <c r="I7102">
        <v>3</v>
      </c>
      <c r="J7102">
        <v>-115</v>
      </c>
      <c r="K7102">
        <v>-832</v>
      </c>
      <c r="L7102">
        <v>1200</v>
      </c>
      <c r="M7102" t="str">
        <f t="shared" si="743"/>
        <v xml:space="preserve">N35DC   </v>
      </c>
      <c r="N7102">
        <v>1</v>
      </c>
      <c r="O7102">
        <v>975</v>
      </c>
    </row>
    <row r="7103" spans="1:15" x14ac:dyDescent="0.25">
      <c r="A7103" t="str">
        <f>"10/21/2020 19:03:51.484"</f>
        <v>10/21/2020 19:03:51.484</v>
      </c>
      <c r="B7103" t="str">
        <f t="shared" si="745"/>
        <v>19:03:59.445</v>
      </c>
      <c r="C7103" t="str">
        <f t="shared" si="745"/>
        <v>19:03:59.445</v>
      </c>
      <c r="D7103" t="s">
        <v>2908</v>
      </c>
      <c r="E7103">
        <v>30.391638</v>
      </c>
      <c r="F7103" t="s">
        <v>16</v>
      </c>
      <c r="G7103">
        <v>-89.820485000000005</v>
      </c>
      <c r="H7103">
        <v>900</v>
      </c>
      <c r="I7103">
        <v>3</v>
      </c>
      <c r="J7103">
        <v>-115</v>
      </c>
      <c r="K7103">
        <v>-832</v>
      </c>
      <c r="L7103">
        <v>1200</v>
      </c>
      <c r="M7103" t="str">
        <f t="shared" si="743"/>
        <v xml:space="preserve">N35DC   </v>
      </c>
      <c r="N7103">
        <v>1</v>
      </c>
      <c r="O7103">
        <v>975</v>
      </c>
    </row>
    <row r="7104" spans="1:15" x14ac:dyDescent="0.25">
      <c r="A7104" t="str">
        <f>"10/21/2020 19:03:54.573"</f>
        <v>10/21/2020 19:03:54.573</v>
      </c>
      <c r="B7104" t="str">
        <f t="shared" ref="B7104:C7108" si="746">"19:04:02.516"</f>
        <v>19:04:02.516</v>
      </c>
      <c r="C7104" t="str">
        <f t="shared" si="746"/>
        <v>19:04:02.516</v>
      </c>
      <c r="D7104" t="s">
        <v>2909</v>
      </c>
      <c r="E7104">
        <v>30.389965</v>
      </c>
      <c r="F7104" t="s">
        <v>392</v>
      </c>
      <c r="G7104">
        <v>-89.820507000000006</v>
      </c>
      <c r="H7104">
        <v>900</v>
      </c>
      <c r="I7104">
        <v>-1</v>
      </c>
      <c r="J7104">
        <v>-116</v>
      </c>
      <c r="K7104">
        <v>-448</v>
      </c>
      <c r="L7104">
        <v>1200</v>
      </c>
      <c r="M7104" t="str">
        <f t="shared" si="743"/>
        <v xml:space="preserve">N35DC   </v>
      </c>
      <c r="N7104">
        <v>1</v>
      </c>
      <c r="O7104">
        <v>950</v>
      </c>
    </row>
    <row r="7105" spans="1:15" x14ac:dyDescent="0.25">
      <c r="A7105" t="str">
        <f>"10/21/2020 19:03:54.573"</f>
        <v>10/21/2020 19:03:54.573</v>
      </c>
      <c r="B7105" t="str">
        <f t="shared" si="746"/>
        <v>19:04:02.516</v>
      </c>
      <c r="C7105" t="str">
        <f t="shared" si="746"/>
        <v>19:04:02.516</v>
      </c>
      <c r="D7105" t="s">
        <v>2909</v>
      </c>
      <c r="E7105">
        <v>30.389965</v>
      </c>
      <c r="F7105" t="s">
        <v>392</v>
      </c>
      <c r="G7105">
        <v>-89.820507000000006</v>
      </c>
      <c r="H7105">
        <v>900</v>
      </c>
      <c r="I7105">
        <v>-1</v>
      </c>
      <c r="J7105">
        <v>-116</v>
      </c>
      <c r="K7105">
        <v>-448</v>
      </c>
      <c r="L7105">
        <v>1200</v>
      </c>
      <c r="M7105" t="str">
        <f t="shared" si="743"/>
        <v xml:space="preserve">N35DC   </v>
      </c>
      <c r="N7105">
        <v>1</v>
      </c>
      <c r="O7105">
        <v>950</v>
      </c>
    </row>
    <row r="7106" spans="1:15" x14ac:dyDescent="0.25">
      <c r="A7106" t="str">
        <f>"10/21/2020 19:03:54.573"</f>
        <v>10/21/2020 19:03:54.573</v>
      </c>
      <c r="B7106" t="str">
        <f t="shared" si="746"/>
        <v>19:04:02.516</v>
      </c>
      <c r="C7106" t="str">
        <f t="shared" si="746"/>
        <v>19:04:02.516</v>
      </c>
      <c r="D7106" t="s">
        <v>2909</v>
      </c>
      <c r="E7106">
        <v>30.389965</v>
      </c>
      <c r="F7106" t="s">
        <v>392</v>
      </c>
      <c r="G7106">
        <v>-89.820507000000006</v>
      </c>
      <c r="H7106">
        <v>900</v>
      </c>
      <c r="I7106">
        <v>-1</v>
      </c>
      <c r="J7106">
        <v>-116</v>
      </c>
      <c r="K7106">
        <v>-448</v>
      </c>
      <c r="L7106">
        <v>1200</v>
      </c>
      <c r="M7106" t="str">
        <f t="shared" si="743"/>
        <v xml:space="preserve">N35DC   </v>
      </c>
      <c r="N7106">
        <v>1</v>
      </c>
      <c r="O7106">
        <v>950</v>
      </c>
    </row>
    <row r="7107" spans="1:15" x14ac:dyDescent="0.25">
      <c r="A7107" t="str">
        <f>"10/21/2020 19:03:54.573"</f>
        <v>10/21/2020 19:03:54.573</v>
      </c>
      <c r="B7107" t="str">
        <f t="shared" si="746"/>
        <v>19:04:02.516</v>
      </c>
      <c r="C7107" t="str">
        <f t="shared" si="746"/>
        <v>19:04:02.516</v>
      </c>
      <c r="D7107" t="s">
        <v>2909</v>
      </c>
      <c r="E7107">
        <v>30.389965</v>
      </c>
      <c r="F7107" t="s">
        <v>392</v>
      </c>
      <c r="G7107">
        <v>-89.820507000000006</v>
      </c>
      <c r="H7107">
        <v>900</v>
      </c>
      <c r="I7107">
        <v>-1</v>
      </c>
      <c r="J7107">
        <v>-116</v>
      </c>
      <c r="K7107">
        <v>-448</v>
      </c>
      <c r="L7107">
        <v>1200</v>
      </c>
      <c r="M7107" t="str">
        <f t="shared" si="743"/>
        <v xml:space="preserve">N35DC   </v>
      </c>
      <c r="N7107">
        <v>1</v>
      </c>
      <c r="O7107">
        <v>950</v>
      </c>
    </row>
    <row r="7108" spans="1:15" x14ac:dyDescent="0.25">
      <c r="A7108" t="str">
        <f>"10/21/2020 19:03:54.573"</f>
        <v>10/21/2020 19:03:54.573</v>
      </c>
      <c r="B7108" t="str">
        <f t="shared" si="746"/>
        <v>19:04:02.516</v>
      </c>
      <c r="C7108" t="str">
        <f t="shared" si="746"/>
        <v>19:04:02.516</v>
      </c>
      <c r="D7108" t="s">
        <v>2909</v>
      </c>
      <c r="E7108">
        <v>30.389965</v>
      </c>
      <c r="F7108" t="s">
        <v>392</v>
      </c>
      <c r="G7108">
        <v>-89.820507000000006</v>
      </c>
      <c r="H7108">
        <v>900</v>
      </c>
      <c r="I7108">
        <v>-1</v>
      </c>
      <c r="J7108">
        <v>-116</v>
      </c>
      <c r="K7108">
        <v>-448</v>
      </c>
      <c r="L7108">
        <v>1200</v>
      </c>
      <c r="M7108" t="str">
        <f t="shared" si="743"/>
        <v xml:space="preserve">N35DC   </v>
      </c>
      <c r="N7108">
        <v>1</v>
      </c>
      <c r="O7108">
        <v>950</v>
      </c>
    </row>
    <row r="7109" spans="1:15" x14ac:dyDescent="0.25">
      <c r="A7109" t="str">
        <f>"10/21/2020 19:03:57.758"</f>
        <v>10/21/2020 19:03:57.758</v>
      </c>
      <c r="B7109" t="str">
        <f>"19:04:05.711"</f>
        <v>19:04:05.711</v>
      </c>
      <c r="C7109" t="str">
        <f>"19:04:05.611"</f>
        <v>19:04:05.611</v>
      </c>
      <c r="D7109" t="s">
        <v>2910</v>
      </c>
      <c r="E7109">
        <v>30.388269000000001</v>
      </c>
      <c r="F7109" t="s">
        <v>2901</v>
      </c>
      <c r="G7109">
        <v>-89.820549</v>
      </c>
      <c r="H7109">
        <v>900</v>
      </c>
      <c r="I7109">
        <v>-6</v>
      </c>
      <c r="J7109">
        <v>-117</v>
      </c>
      <c r="K7109">
        <v>-832</v>
      </c>
      <c r="L7109">
        <v>1200</v>
      </c>
      <c r="M7109" t="str">
        <f t="shared" si="743"/>
        <v xml:space="preserve">N35DC   </v>
      </c>
      <c r="N7109">
        <v>1</v>
      </c>
      <c r="O7109">
        <v>925</v>
      </c>
    </row>
    <row r="7110" spans="1:15" x14ac:dyDescent="0.25">
      <c r="A7110" t="str">
        <f>"10/21/2020 19:03:57.758"</f>
        <v>10/21/2020 19:03:57.758</v>
      </c>
      <c r="B7110" t="str">
        <f>"19:04:05.711"</f>
        <v>19:04:05.711</v>
      </c>
      <c r="C7110" t="str">
        <f>"19:04:05.611"</f>
        <v>19:04:05.611</v>
      </c>
      <c r="D7110" t="s">
        <v>2910</v>
      </c>
      <c r="E7110">
        <v>30.388269000000001</v>
      </c>
      <c r="F7110" t="s">
        <v>2901</v>
      </c>
      <c r="G7110">
        <v>-89.820549</v>
      </c>
      <c r="H7110">
        <v>900</v>
      </c>
      <c r="I7110">
        <v>-6</v>
      </c>
      <c r="J7110">
        <v>-117</v>
      </c>
      <c r="K7110">
        <v>-832</v>
      </c>
      <c r="L7110">
        <v>1200</v>
      </c>
      <c r="M7110" t="str">
        <f t="shared" si="743"/>
        <v xml:space="preserve">N35DC   </v>
      </c>
      <c r="N7110">
        <v>1</v>
      </c>
      <c r="O7110">
        <v>925</v>
      </c>
    </row>
    <row r="7111" spans="1:15" x14ac:dyDescent="0.25">
      <c r="A7111" t="str">
        <f>"10/21/2020 19:03:57.758"</f>
        <v>10/21/2020 19:03:57.758</v>
      </c>
      <c r="B7111" t="str">
        <f>"19:04:05.711"</f>
        <v>19:04:05.711</v>
      </c>
      <c r="C7111" t="str">
        <f>"19:04:05.611"</f>
        <v>19:04:05.611</v>
      </c>
      <c r="D7111" t="s">
        <v>2910</v>
      </c>
      <c r="E7111">
        <v>30.388269000000001</v>
      </c>
      <c r="F7111" t="s">
        <v>2901</v>
      </c>
      <c r="G7111">
        <v>-89.820549</v>
      </c>
      <c r="H7111">
        <v>900</v>
      </c>
      <c r="I7111">
        <v>-6</v>
      </c>
      <c r="J7111">
        <v>-117</v>
      </c>
      <c r="K7111">
        <v>-832</v>
      </c>
      <c r="L7111">
        <v>1200</v>
      </c>
      <c r="M7111" t="str">
        <f t="shared" ref="M7111:M7174" si="747">"N35DC   "</f>
        <v xml:space="preserve">N35DC   </v>
      </c>
      <c r="N7111">
        <v>1</v>
      </c>
      <c r="O7111">
        <v>925</v>
      </c>
    </row>
    <row r="7112" spans="1:15" x14ac:dyDescent="0.25">
      <c r="A7112" t="str">
        <f>"10/21/2020 19:03:57.758"</f>
        <v>10/21/2020 19:03:57.758</v>
      </c>
      <c r="B7112" t="str">
        <f>"19:04:05.711"</f>
        <v>19:04:05.711</v>
      </c>
      <c r="C7112" t="str">
        <f>"19:04:05.611"</f>
        <v>19:04:05.611</v>
      </c>
      <c r="D7112" t="s">
        <v>2910</v>
      </c>
      <c r="E7112">
        <v>30.388269000000001</v>
      </c>
      <c r="F7112" t="s">
        <v>2901</v>
      </c>
      <c r="G7112">
        <v>-89.820549</v>
      </c>
      <c r="H7112">
        <v>900</v>
      </c>
      <c r="I7112">
        <v>-6</v>
      </c>
      <c r="J7112">
        <v>-117</v>
      </c>
      <c r="K7112">
        <v>-832</v>
      </c>
      <c r="L7112">
        <v>1200</v>
      </c>
      <c r="M7112" t="str">
        <f t="shared" si="747"/>
        <v xml:space="preserve">N35DC   </v>
      </c>
      <c r="N7112">
        <v>1</v>
      </c>
      <c r="O7112">
        <v>925</v>
      </c>
    </row>
    <row r="7113" spans="1:15" x14ac:dyDescent="0.25">
      <c r="A7113" t="str">
        <f>"10/21/2020 19:03:57.758"</f>
        <v>10/21/2020 19:03:57.758</v>
      </c>
      <c r="B7113" t="str">
        <f>"19:04:05.711"</f>
        <v>19:04:05.711</v>
      </c>
      <c r="C7113" t="str">
        <f>"19:04:05.611"</f>
        <v>19:04:05.611</v>
      </c>
      <c r="D7113" t="s">
        <v>2910</v>
      </c>
      <c r="E7113">
        <v>30.388269000000001</v>
      </c>
      <c r="F7113" t="s">
        <v>2901</v>
      </c>
      <c r="G7113">
        <v>-89.820549</v>
      </c>
      <c r="H7113">
        <v>900</v>
      </c>
      <c r="I7113">
        <v>-6</v>
      </c>
      <c r="J7113">
        <v>-117</v>
      </c>
      <c r="K7113">
        <v>-832</v>
      </c>
      <c r="L7113">
        <v>1200</v>
      </c>
      <c r="M7113" t="str">
        <f t="shared" si="747"/>
        <v xml:space="preserve">N35DC   </v>
      </c>
      <c r="N7113">
        <v>1</v>
      </c>
      <c r="O7113">
        <v>925</v>
      </c>
    </row>
    <row r="7114" spans="1:15" x14ac:dyDescent="0.25">
      <c r="A7114" t="str">
        <f>"10/21/2020 19:03:58.651"</f>
        <v>10/21/2020 19:03:58.651</v>
      </c>
      <c r="B7114" t="str">
        <f>"19:04:06.617"</f>
        <v>19:04:06.617</v>
      </c>
      <c r="C7114" t="str">
        <f>"19:04:06.117"</f>
        <v>19:04:06.117</v>
      </c>
      <c r="D7114" t="s">
        <v>2911</v>
      </c>
      <c r="E7114">
        <v>30.387754000000001</v>
      </c>
      <c r="F7114" t="s">
        <v>2797</v>
      </c>
      <c r="G7114">
        <v>-89.820592000000005</v>
      </c>
      <c r="H7114">
        <v>900</v>
      </c>
      <c r="I7114">
        <v>-7</v>
      </c>
      <c r="J7114">
        <v>-117</v>
      </c>
      <c r="K7114">
        <v>-832</v>
      </c>
      <c r="L7114">
        <v>1200</v>
      </c>
      <c r="M7114" t="str">
        <f t="shared" si="747"/>
        <v xml:space="preserve">N35DC   </v>
      </c>
      <c r="N7114">
        <v>1</v>
      </c>
      <c r="O7114">
        <v>900</v>
      </c>
    </row>
    <row r="7115" spans="1:15" x14ac:dyDescent="0.25">
      <c r="A7115" t="str">
        <f>"10/21/2020 19:03:58.651"</f>
        <v>10/21/2020 19:03:58.651</v>
      </c>
      <c r="B7115" t="str">
        <f>"19:04:06.617"</f>
        <v>19:04:06.617</v>
      </c>
      <c r="C7115" t="str">
        <f>"19:04:06.117"</f>
        <v>19:04:06.117</v>
      </c>
      <c r="D7115" t="s">
        <v>2911</v>
      </c>
      <c r="E7115">
        <v>30.387754000000001</v>
      </c>
      <c r="F7115" t="s">
        <v>2797</v>
      </c>
      <c r="G7115">
        <v>-89.820592000000005</v>
      </c>
      <c r="H7115">
        <v>900</v>
      </c>
      <c r="I7115">
        <v>-7</v>
      </c>
      <c r="J7115">
        <v>-117</v>
      </c>
      <c r="K7115">
        <v>-832</v>
      </c>
      <c r="L7115">
        <v>1200</v>
      </c>
      <c r="M7115" t="str">
        <f t="shared" si="747"/>
        <v xml:space="preserve">N35DC   </v>
      </c>
      <c r="N7115">
        <v>1</v>
      </c>
      <c r="O7115">
        <v>900</v>
      </c>
    </row>
    <row r="7116" spans="1:15" x14ac:dyDescent="0.25">
      <c r="A7116" t="str">
        <f>"10/21/2020 19:03:58.651"</f>
        <v>10/21/2020 19:03:58.651</v>
      </c>
      <c r="B7116" t="str">
        <f>"19:04:06.617"</f>
        <v>19:04:06.617</v>
      </c>
      <c r="C7116" t="str">
        <f>"19:04:06.117"</f>
        <v>19:04:06.117</v>
      </c>
      <c r="D7116" t="s">
        <v>2911</v>
      </c>
      <c r="E7116">
        <v>30.387754000000001</v>
      </c>
      <c r="F7116" t="s">
        <v>2797</v>
      </c>
      <c r="G7116">
        <v>-89.820592000000005</v>
      </c>
      <c r="H7116">
        <v>900</v>
      </c>
      <c r="I7116">
        <v>-7</v>
      </c>
      <c r="J7116">
        <v>-117</v>
      </c>
      <c r="K7116">
        <v>-832</v>
      </c>
      <c r="L7116">
        <v>1200</v>
      </c>
      <c r="M7116" t="str">
        <f t="shared" si="747"/>
        <v xml:space="preserve">N35DC   </v>
      </c>
      <c r="N7116">
        <v>1</v>
      </c>
      <c r="O7116">
        <v>900</v>
      </c>
    </row>
    <row r="7117" spans="1:15" x14ac:dyDescent="0.25">
      <c r="A7117" t="str">
        <f>"10/21/2020 19:03:58.651"</f>
        <v>10/21/2020 19:03:58.651</v>
      </c>
      <c r="B7117" t="str">
        <f>"19:04:06.617"</f>
        <v>19:04:06.617</v>
      </c>
      <c r="C7117" t="str">
        <f>"19:04:06.117"</f>
        <v>19:04:06.117</v>
      </c>
      <c r="D7117" t="s">
        <v>2911</v>
      </c>
      <c r="E7117">
        <v>30.387754000000001</v>
      </c>
      <c r="F7117" t="s">
        <v>2797</v>
      </c>
      <c r="G7117">
        <v>-89.820592000000005</v>
      </c>
      <c r="H7117">
        <v>900</v>
      </c>
      <c r="I7117">
        <v>-7</v>
      </c>
      <c r="J7117">
        <v>-117</v>
      </c>
      <c r="K7117">
        <v>-832</v>
      </c>
      <c r="L7117">
        <v>1200</v>
      </c>
      <c r="M7117" t="str">
        <f t="shared" si="747"/>
        <v xml:space="preserve">N35DC   </v>
      </c>
      <c r="N7117">
        <v>1</v>
      </c>
      <c r="O7117">
        <v>900</v>
      </c>
    </row>
    <row r="7118" spans="1:15" x14ac:dyDescent="0.25">
      <c r="A7118" t="str">
        <f>"10/21/2020 19:03:58.651"</f>
        <v>10/21/2020 19:03:58.651</v>
      </c>
      <c r="B7118" t="str">
        <f>"19:04:06.617"</f>
        <v>19:04:06.617</v>
      </c>
      <c r="C7118" t="str">
        <f>"19:04:06.117"</f>
        <v>19:04:06.117</v>
      </c>
      <c r="D7118" t="s">
        <v>2911</v>
      </c>
      <c r="E7118">
        <v>30.387754000000001</v>
      </c>
      <c r="F7118" t="s">
        <v>2797</v>
      </c>
      <c r="G7118">
        <v>-89.820592000000005</v>
      </c>
      <c r="H7118">
        <v>900</v>
      </c>
      <c r="I7118">
        <v>-7</v>
      </c>
      <c r="J7118">
        <v>-117</v>
      </c>
      <c r="K7118">
        <v>-832</v>
      </c>
      <c r="L7118">
        <v>1200</v>
      </c>
      <c r="M7118" t="str">
        <f t="shared" si="747"/>
        <v xml:space="preserve">N35DC   </v>
      </c>
      <c r="N7118">
        <v>1</v>
      </c>
      <c r="O7118">
        <v>900</v>
      </c>
    </row>
    <row r="7119" spans="1:15" x14ac:dyDescent="0.25">
      <c r="A7119" t="str">
        <f>"10/21/2020 19:04:01.564"</f>
        <v>10/21/2020 19:04:01.564</v>
      </c>
      <c r="B7119" t="str">
        <f>"19:04:09.523"</f>
        <v>19:04:09.523</v>
      </c>
      <c r="C7119" t="str">
        <f>"19:04:09.323"</f>
        <v>19:04:09.323</v>
      </c>
      <c r="D7119" t="s">
        <v>2912</v>
      </c>
      <c r="E7119">
        <v>30.386188000000001</v>
      </c>
      <c r="F7119" t="s">
        <v>2913</v>
      </c>
      <c r="G7119">
        <v>-89.820700000000002</v>
      </c>
      <c r="H7119">
        <v>800</v>
      </c>
      <c r="I7119">
        <v>-6</v>
      </c>
      <c r="J7119">
        <v>-119</v>
      </c>
      <c r="K7119">
        <v>-896</v>
      </c>
      <c r="L7119">
        <v>1200</v>
      </c>
      <c r="M7119" t="str">
        <f t="shared" si="747"/>
        <v xml:space="preserve">N35DC   </v>
      </c>
      <c r="N7119">
        <v>1</v>
      </c>
      <c r="O7119">
        <v>875</v>
      </c>
    </row>
    <row r="7120" spans="1:15" x14ac:dyDescent="0.25">
      <c r="A7120" t="str">
        <f>"10/21/2020 19:04:01.564"</f>
        <v>10/21/2020 19:04:01.564</v>
      </c>
      <c r="B7120" t="str">
        <f>"19:04:09.523"</f>
        <v>19:04:09.523</v>
      </c>
      <c r="C7120" t="str">
        <f>"19:04:09.323"</f>
        <v>19:04:09.323</v>
      </c>
      <c r="D7120" t="s">
        <v>2912</v>
      </c>
      <c r="E7120">
        <v>30.386188000000001</v>
      </c>
      <c r="F7120" t="s">
        <v>2913</v>
      </c>
      <c r="G7120">
        <v>-89.820700000000002</v>
      </c>
      <c r="H7120">
        <v>800</v>
      </c>
      <c r="I7120">
        <v>-6</v>
      </c>
      <c r="J7120">
        <v>-119</v>
      </c>
      <c r="K7120">
        <v>-896</v>
      </c>
      <c r="L7120">
        <v>1200</v>
      </c>
      <c r="M7120" t="str">
        <f t="shared" si="747"/>
        <v xml:space="preserve">N35DC   </v>
      </c>
      <c r="N7120">
        <v>1</v>
      </c>
      <c r="O7120">
        <v>875</v>
      </c>
    </row>
    <row r="7121" spans="1:15" x14ac:dyDescent="0.25">
      <c r="A7121" t="str">
        <f>"10/21/2020 19:04:01.564"</f>
        <v>10/21/2020 19:04:01.564</v>
      </c>
      <c r="B7121" t="str">
        <f>"19:04:09.523"</f>
        <v>19:04:09.523</v>
      </c>
      <c r="C7121" t="str">
        <f>"19:04:09.323"</f>
        <v>19:04:09.323</v>
      </c>
      <c r="D7121" t="s">
        <v>2912</v>
      </c>
      <c r="E7121">
        <v>30.386188000000001</v>
      </c>
      <c r="F7121" t="s">
        <v>2913</v>
      </c>
      <c r="G7121">
        <v>-89.820700000000002</v>
      </c>
      <c r="H7121">
        <v>800</v>
      </c>
      <c r="I7121">
        <v>-6</v>
      </c>
      <c r="J7121">
        <v>-119</v>
      </c>
      <c r="K7121">
        <v>-896</v>
      </c>
      <c r="L7121">
        <v>1200</v>
      </c>
      <c r="M7121" t="str">
        <f t="shared" si="747"/>
        <v xml:space="preserve">N35DC   </v>
      </c>
      <c r="N7121">
        <v>1</v>
      </c>
      <c r="O7121">
        <v>875</v>
      </c>
    </row>
    <row r="7122" spans="1:15" x14ac:dyDescent="0.25">
      <c r="A7122" t="str">
        <f>"10/21/2020 19:04:01.564"</f>
        <v>10/21/2020 19:04:01.564</v>
      </c>
      <c r="B7122" t="str">
        <f>"19:04:09.523"</f>
        <v>19:04:09.523</v>
      </c>
      <c r="C7122" t="str">
        <f>"19:04:09.323"</f>
        <v>19:04:09.323</v>
      </c>
      <c r="D7122" t="s">
        <v>2912</v>
      </c>
      <c r="E7122">
        <v>30.386188000000001</v>
      </c>
      <c r="F7122" t="s">
        <v>2913</v>
      </c>
      <c r="G7122">
        <v>-89.820700000000002</v>
      </c>
      <c r="H7122">
        <v>800</v>
      </c>
      <c r="I7122">
        <v>-6</v>
      </c>
      <c r="J7122">
        <v>-119</v>
      </c>
      <c r="K7122">
        <v>-896</v>
      </c>
      <c r="L7122">
        <v>1200</v>
      </c>
      <c r="M7122" t="str">
        <f t="shared" si="747"/>
        <v xml:space="preserve">N35DC   </v>
      </c>
      <c r="N7122">
        <v>1</v>
      </c>
      <c r="O7122">
        <v>875</v>
      </c>
    </row>
    <row r="7123" spans="1:15" x14ac:dyDescent="0.25">
      <c r="A7123" t="str">
        <f>"10/21/2020 19:04:01.564"</f>
        <v>10/21/2020 19:04:01.564</v>
      </c>
      <c r="B7123" t="str">
        <f>"19:04:09.523"</f>
        <v>19:04:09.523</v>
      </c>
      <c r="C7123" t="str">
        <f>"19:04:09.323"</f>
        <v>19:04:09.323</v>
      </c>
      <c r="D7123" t="s">
        <v>2912</v>
      </c>
      <c r="E7123">
        <v>30.386188000000001</v>
      </c>
      <c r="F7123" t="s">
        <v>2913</v>
      </c>
      <c r="G7123">
        <v>-89.820700000000002</v>
      </c>
      <c r="H7123">
        <v>800</v>
      </c>
      <c r="I7123">
        <v>-6</v>
      </c>
      <c r="J7123">
        <v>-119</v>
      </c>
      <c r="K7123">
        <v>-896</v>
      </c>
      <c r="L7123">
        <v>1200</v>
      </c>
      <c r="M7123" t="str">
        <f t="shared" si="747"/>
        <v xml:space="preserve">N35DC   </v>
      </c>
      <c r="N7123">
        <v>1</v>
      </c>
      <c r="O7123">
        <v>875</v>
      </c>
    </row>
    <row r="7124" spans="1:15" x14ac:dyDescent="0.25">
      <c r="A7124" t="str">
        <f>"10/21/2020 19:04:02.464"</f>
        <v>10/21/2020 19:04:02.464</v>
      </c>
      <c r="B7124" t="str">
        <f>"19:04:10.422"</f>
        <v>19:04:10.422</v>
      </c>
      <c r="C7124" t="str">
        <f>"19:04:10.322"</f>
        <v>19:04:10.322</v>
      </c>
      <c r="D7124" t="s">
        <v>86</v>
      </c>
      <c r="E7124">
        <v>30.385673000000001</v>
      </c>
      <c r="F7124" t="s">
        <v>2755</v>
      </c>
      <c r="G7124">
        <v>-89.820721000000006</v>
      </c>
      <c r="H7124">
        <v>800</v>
      </c>
      <c r="I7124">
        <v>-4</v>
      </c>
      <c r="J7124">
        <v>-119</v>
      </c>
      <c r="K7124">
        <v>-896</v>
      </c>
      <c r="L7124">
        <v>1200</v>
      </c>
      <c r="M7124" t="str">
        <f t="shared" si="747"/>
        <v xml:space="preserve">N35DC   </v>
      </c>
      <c r="N7124">
        <v>1</v>
      </c>
      <c r="O7124">
        <v>850</v>
      </c>
    </row>
    <row r="7125" spans="1:15" x14ac:dyDescent="0.25">
      <c r="A7125" t="str">
        <f>"10/21/2020 19:04:02.464"</f>
        <v>10/21/2020 19:04:02.464</v>
      </c>
      <c r="B7125" t="str">
        <f>"19:04:10.422"</f>
        <v>19:04:10.422</v>
      </c>
      <c r="C7125" t="str">
        <f>"19:04:10.322"</f>
        <v>19:04:10.322</v>
      </c>
      <c r="D7125" t="s">
        <v>86</v>
      </c>
      <c r="E7125">
        <v>30.385673000000001</v>
      </c>
      <c r="F7125" t="s">
        <v>2755</v>
      </c>
      <c r="G7125">
        <v>-89.820721000000006</v>
      </c>
      <c r="H7125">
        <v>800</v>
      </c>
      <c r="I7125">
        <v>-4</v>
      </c>
      <c r="J7125">
        <v>-119</v>
      </c>
      <c r="K7125">
        <v>-896</v>
      </c>
      <c r="L7125">
        <v>1200</v>
      </c>
      <c r="M7125" t="str">
        <f t="shared" si="747"/>
        <v xml:space="preserve">N35DC   </v>
      </c>
      <c r="N7125">
        <v>1</v>
      </c>
      <c r="O7125">
        <v>850</v>
      </c>
    </row>
    <row r="7126" spans="1:15" x14ac:dyDescent="0.25">
      <c r="A7126" t="str">
        <f>"10/21/2020 19:04:02.464"</f>
        <v>10/21/2020 19:04:02.464</v>
      </c>
      <c r="B7126" t="str">
        <f>"19:04:10.422"</f>
        <v>19:04:10.422</v>
      </c>
      <c r="C7126" t="str">
        <f>"19:04:10.322"</f>
        <v>19:04:10.322</v>
      </c>
      <c r="D7126" t="s">
        <v>86</v>
      </c>
      <c r="E7126">
        <v>30.385673000000001</v>
      </c>
      <c r="F7126" t="s">
        <v>2755</v>
      </c>
      <c r="G7126">
        <v>-89.820721000000006</v>
      </c>
      <c r="H7126">
        <v>800</v>
      </c>
      <c r="I7126">
        <v>-4</v>
      </c>
      <c r="J7126">
        <v>-119</v>
      </c>
      <c r="K7126">
        <v>-896</v>
      </c>
      <c r="L7126">
        <v>1200</v>
      </c>
      <c r="M7126" t="str">
        <f t="shared" si="747"/>
        <v xml:space="preserve">N35DC   </v>
      </c>
      <c r="N7126">
        <v>1</v>
      </c>
      <c r="O7126">
        <v>850</v>
      </c>
    </row>
    <row r="7127" spans="1:15" x14ac:dyDescent="0.25">
      <c r="A7127" t="str">
        <f>"10/21/2020 19:04:02.464"</f>
        <v>10/21/2020 19:04:02.464</v>
      </c>
      <c r="B7127" t="str">
        <f>"19:04:10.422"</f>
        <v>19:04:10.422</v>
      </c>
      <c r="C7127" t="str">
        <f>"19:04:10.322"</f>
        <v>19:04:10.322</v>
      </c>
      <c r="D7127" t="s">
        <v>86</v>
      </c>
      <c r="E7127">
        <v>30.385673000000001</v>
      </c>
      <c r="F7127" t="s">
        <v>2755</v>
      </c>
      <c r="G7127">
        <v>-89.820721000000006</v>
      </c>
      <c r="H7127">
        <v>800</v>
      </c>
      <c r="I7127">
        <v>-4</v>
      </c>
      <c r="J7127">
        <v>-119</v>
      </c>
      <c r="K7127">
        <v>-896</v>
      </c>
      <c r="L7127">
        <v>1200</v>
      </c>
      <c r="M7127" t="str">
        <f t="shared" si="747"/>
        <v xml:space="preserve">N35DC   </v>
      </c>
      <c r="N7127">
        <v>1</v>
      </c>
      <c r="O7127">
        <v>850</v>
      </c>
    </row>
    <row r="7128" spans="1:15" x14ac:dyDescent="0.25">
      <c r="A7128" t="str">
        <f>"10/21/2020 19:04:02.464"</f>
        <v>10/21/2020 19:04:02.464</v>
      </c>
      <c r="B7128" t="str">
        <f>"19:04:10.422"</f>
        <v>19:04:10.422</v>
      </c>
      <c r="C7128" t="str">
        <f>"19:04:10.322"</f>
        <v>19:04:10.322</v>
      </c>
      <c r="D7128" t="s">
        <v>86</v>
      </c>
      <c r="E7128">
        <v>30.385673000000001</v>
      </c>
      <c r="F7128" t="s">
        <v>2755</v>
      </c>
      <c r="G7128">
        <v>-89.820721000000006</v>
      </c>
      <c r="H7128">
        <v>800</v>
      </c>
      <c r="I7128">
        <v>-4</v>
      </c>
      <c r="J7128">
        <v>-119</v>
      </c>
      <c r="K7128">
        <v>-896</v>
      </c>
      <c r="L7128">
        <v>1200</v>
      </c>
      <c r="M7128" t="str">
        <f t="shared" si="747"/>
        <v xml:space="preserve">N35DC   </v>
      </c>
      <c r="N7128">
        <v>1</v>
      </c>
      <c r="O7128">
        <v>850</v>
      </c>
    </row>
    <row r="7129" spans="1:15" x14ac:dyDescent="0.25">
      <c r="A7129" t="str">
        <f>"10/21/2020 19:04:06.515"</f>
        <v>10/21/2020 19:04:06.515</v>
      </c>
      <c r="B7129" t="str">
        <f>"19:04:14.484"</f>
        <v>19:04:14.484</v>
      </c>
      <c r="C7129" t="str">
        <f>"19:04:14.184"</f>
        <v>19:04:14.184</v>
      </c>
      <c r="D7129" t="s">
        <v>2914</v>
      </c>
      <c r="E7129">
        <v>30.383420000000001</v>
      </c>
      <c r="F7129" t="s">
        <v>2753</v>
      </c>
      <c r="G7129">
        <v>-89.820614000000006</v>
      </c>
      <c r="H7129">
        <v>800</v>
      </c>
      <c r="I7129">
        <v>10</v>
      </c>
      <c r="J7129">
        <v>-120</v>
      </c>
      <c r="K7129">
        <v>-1024</v>
      </c>
      <c r="L7129">
        <v>1200</v>
      </c>
      <c r="M7129" t="str">
        <f t="shared" si="747"/>
        <v xml:space="preserve">N35DC   </v>
      </c>
      <c r="N7129">
        <v>1</v>
      </c>
      <c r="O7129">
        <v>775</v>
      </c>
    </row>
    <row r="7130" spans="1:15" x14ac:dyDescent="0.25">
      <c r="A7130" t="str">
        <f>"10/21/2020 19:04:06.515"</f>
        <v>10/21/2020 19:04:06.515</v>
      </c>
      <c r="B7130" t="str">
        <f>"19:04:14.484"</f>
        <v>19:04:14.484</v>
      </c>
      <c r="C7130" t="str">
        <f>"19:04:14.184"</f>
        <v>19:04:14.184</v>
      </c>
      <c r="D7130" t="s">
        <v>2914</v>
      </c>
      <c r="E7130">
        <v>30.383420000000001</v>
      </c>
      <c r="F7130" t="s">
        <v>2753</v>
      </c>
      <c r="G7130">
        <v>-89.820614000000006</v>
      </c>
      <c r="H7130">
        <v>800</v>
      </c>
      <c r="I7130">
        <v>10</v>
      </c>
      <c r="J7130">
        <v>-120</v>
      </c>
      <c r="K7130">
        <v>-1024</v>
      </c>
      <c r="L7130">
        <v>1200</v>
      </c>
      <c r="M7130" t="str">
        <f t="shared" si="747"/>
        <v xml:space="preserve">N35DC   </v>
      </c>
      <c r="N7130">
        <v>1</v>
      </c>
      <c r="O7130">
        <v>775</v>
      </c>
    </row>
    <row r="7131" spans="1:15" x14ac:dyDescent="0.25">
      <c r="A7131" t="str">
        <f>"10/21/2020 19:04:06.515"</f>
        <v>10/21/2020 19:04:06.515</v>
      </c>
      <c r="B7131" t="str">
        <f>"19:04:14.484"</f>
        <v>19:04:14.484</v>
      </c>
      <c r="C7131" t="str">
        <f>"19:04:14.184"</f>
        <v>19:04:14.184</v>
      </c>
      <c r="D7131" t="s">
        <v>2914</v>
      </c>
      <c r="E7131">
        <v>30.383420000000001</v>
      </c>
      <c r="F7131" t="s">
        <v>2753</v>
      </c>
      <c r="G7131">
        <v>-89.820614000000006</v>
      </c>
      <c r="H7131">
        <v>800</v>
      </c>
      <c r="I7131">
        <v>10</v>
      </c>
      <c r="J7131">
        <v>-120</v>
      </c>
      <c r="K7131">
        <v>-1024</v>
      </c>
      <c r="L7131">
        <v>1200</v>
      </c>
      <c r="M7131" t="str">
        <f t="shared" si="747"/>
        <v xml:space="preserve">N35DC   </v>
      </c>
      <c r="N7131">
        <v>1</v>
      </c>
      <c r="O7131">
        <v>775</v>
      </c>
    </row>
    <row r="7132" spans="1:15" x14ac:dyDescent="0.25">
      <c r="A7132" t="str">
        <f>"10/21/2020 19:04:06.515"</f>
        <v>10/21/2020 19:04:06.515</v>
      </c>
      <c r="B7132" t="str">
        <f>"19:04:14.484"</f>
        <v>19:04:14.484</v>
      </c>
      <c r="C7132" t="str">
        <f>"19:04:14.184"</f>
        <v>19:04:14.184</v>
      </c>
      <c r="D7132" t="s">
        <v>2914</v>
      </c>
      <c r="E7132">
        <v>30.383420000000001</v>
      </c>
      <c r="F7132" t="s">
        <v>2753</v>
      </c>
      <c r="G7132">
        <v>-89.820614000000006</v>
      </c>
      <c r="H7132">
        <v>800</v>
      </c>
      <c r="I7132">
        <v>10</v>
      </c>
      <c r="J7132">
        <v>-120</v>
      </c>
      <c r="K7132">
        <v>-1024</v>
      </c>
      <c r="L7132">
        <v>1200</v>
      </c>
      <c r="M7132" t="str">
        <f t="shared" si="747"/>
        <v xml:space="preserve">N35DC   </v>
      </c>
      <c r="N7132">
        <v>1</v>
      </c>
      <c r="O7132">
        <v>775</v>
      </c>
    </row>
    <row r="7133" spans="1:15" x14ac:dyDescent="0.25">
      <c r="A7133" t="str">
        <f>"10/21/2020 19:04:06.515"</f>
        <v>10/21/2020 19:04:06.515</v>
      </c>
      <c r="B7133" t="str">
        <f>"19:04:14.484"</f>
        <v>19:04:14.484</v>
      </c>
      <c r="C7133" t="str">
        <f>"19:04:14.184"</f>
        <v>19:04:14.184</v>
      </c>
      <c r="D7133" t="s">
        <v>2914</v>
      </c>
      <c r="E7133">
        <v>30.383420000000001</v>
      </c>
      <c r="F7133" t="s">
        <v>2753</v>
      </c>
      <c r="G7133">
        <v>-89.820614000000006</v>
      </c>
      <c r="H7133">
        <v>800</v>
      </c>
      <c r="I7133">
        <v>10</v>
      </c>
      <c r="J7133">
        <v>-120</v>
      </c>
      <c r="K7133">
        <v>-1024</v>
      </c>
      <c r="L7133">
        <v>1200</v>
      </c>
      <c r="M7133" t="str">
        <f t="shared" si="747"/>
        <v xml:space="preserve">N35DC   </v>
      </c>
      <c r="N7133">
        <v>1</v>
      </c>
      <c r="O7133">
        <v>775</v>
      </c>
    </row>
    <row r="7134" spans="1:15" x14ac:dyDescent="0.25">
      <c r="A7134" t="str">
        <f>"10/21/2020 19:04:09.576"</f>
        <v>10/21/2020 19:04:09.576</v>
      </c>
      <c r="B7134" t="str">
        <f>"19:04:17.531"</f>
        <v>19:04:17.531</v>
      </c>
      <c r="C7134" t="str">
        <f>"19:04:17.331"</f>
        <v>19:04:17.331</v>
      </c>
      <c r="D7134" t="s">
        <v>2915</v>
      </c>
      <c r="E7134">
        <v>30.381703000000002</v>
      </c>
      <c r="F7134" t="s">
        <v>2321</v>
      </c>
      <c r="G7134">
        <v>-89.820420999999996</v>
      </c>
      <c r="H7134">
        <v>700</v>
      </c>
      <c r="I7134">
        <v>12</v>
      </c>
      <c r="J7134">
        <v>-120</v>
      </c>
      <c r="K7134">
        <v>-896</v>
      </c>
      <c r="L7134">
        <v>1200</v>
      </c>
      <c r="M7134" t="str">
        <f t="shared" si="747"/>
        <v xml:space="preserve">N35DC   </v>
      </c>
      <c r="N7134">
        <v>1</v>
      </c>
      <c r="O7134">
        <v>725</v>
      </c>
    </row>
    <row r="7135" spans="1:15" x14ac:dyDescent="0.25">
      <c r="A7135" t="str">
        <f>"10/21/2020 19:04:09.576"</f>
        <v>10/21/2020 19:04:09.576</v>
      </c>
      <c r="B7135" t="str">
        <f>"19:04:17.531"</f>
        <v>19:04:17.531</v>
      </c>
      <c r="C7135" t="str">
        <f>"19:04:17.331"</f>
        <v>19:04:17.331</v>
      </c>
      <c r="D7135" t="s">
        <v>2915</v>
      </c>
      <c r="E7135">
        <v>30.381703000000002</v>
      </c>
      <c r="F7135" t="s">
        <v>2321</v>
      </c>
      <c r="G7135">
        <v>-89.820420999999996</v>
      </c>
      <c r="H7135">
        <v>700</v>
      </c>
      <c r="I7135">
        <v>12</v>
      </c>
      <c r="J7135">
        <v>-120</v>
      </c>
      <c r="K7135">
        <v>-896</v>
      </c>
      <c r="L7135">
        <v>1200</v>
      </c>
      <c r="M7135" t="str">
        <f t="shared" si="747"/>
        <v xml:space="preserve">N35DC   </v>
      </c>
      <c r="N7135">
        <v>1</v>
      </c>
      <c r="O7135">
        <v>725</v>
      </c>
    </row>
    <row r="7136" spans="1:15" x14ac:dyDescent="0.25">
      <c r="A7136" t="str">
        <f>"10/21/2020 19:04:09.576"</f>
        <v>10/21/2020 19:04:09.576</v>
      </c>
      <c r="B7136" t="str">
        <f>"19:04:17.531"</f>
        <v>19:04:17.531</v>
      </c>
      <c r="C7136" t="str">
        <f>"19:04:17.331"</f>
        <v>19:04:17.331</v>
      </c>
      <c r="D7136" t="s">
        <v>2915</v>
      </c>
      <c r="E7136">
        <v>30.381703000000002</v>
      </c>
      <c r="F7136" t="s">
        <v>2321</v>
      </c>
      <c r="G7136">
        <v>-89.820420999999996</v>
      </c>
      <c r="H7136">
        <v>700</v>
      </c>
      <c r="I7136">
        <v>12</v>
      </c>
      <c r="J7136">
        <v>-120</v>
      </c>
      <c r="K7136">
        <v>-896</v>
      </c>
      <c r="L7136">
        <v>1200</v>
      </c>
      <c r="M7136" t="str">
        <f t="shared" si="747"/>
        <v xml:space="preserve">N35DC   </v>
      </c>
      <c r="N7136">
        <v>1</v>
      </c>
      <c r="O7136">
        <v>725</v>
      </c>
    </row>
    <row r="7137" spans="1:15" x14ac:dyDescent="0.25">
      <c r="A7137" t="str">
        <f>"10/21/2020 19:04:09.576"</f>
        <v>10/21/2020 19:04:09.576</v>
      </c>
      <c r="B7137" t="str">
        <f>"19:04:17.531"</f>
        <v>19:04:17.531</v>
      </c>
      <c r="C7137" t="str">
        <f>"19:04:17.331"</f>
        <v>19:04:17.331</v>
      </c>
      <c r="D7137" t="s">
        <v>2915</v>
      </c>
      <c r="E7137">
        <v>30.381703000000002</v>
      </c>
      <c r="F7137" t="s">
        <v>2321</v>
      </c>
      <c r="G7137">
        <v>-89.820420999999996</v>
      </c>
      <c r="H7137">
        <v>700</v>
      </c>
      <c r="I7137">
        <v>12</v>
      </c>
      <c r="J7137">
        <v>-120</v>
      </c>
      <c r="K7137">
        <v>-896</v>
      </c>
      <c r="L7137">
        <v>1200</v>
      </c>
      <c r="M7137" t="str">
        <f t="shared" si="747"/>
        <v xml:space="preserve">N35DC   </v>
      </c>
      <c r="N7137">
        <v>1</v>
      </c>
      <c r="O7137">
        <v>725</v>
      </c>
    </row>
    <row r="7138" spans="1:15" x14ac:dyDescent="0.25">
      <c r="A7138" t="str">
        <f>"10/21/2020 19:04:09.576"</f>
        <v>10/21/2020 19:04:09.576</v>
      </c>
      <c r="B7138" t="str">
        <f>"19:04:17.531"</f>
        <v>19:04:17.531</v>
      </c>
      <c r="C7138" t="str">
        <f>"19:04:17.331"</f>
        <v>19:04:17.331</v>
      </c>
      <c r="D7138" t="s">
        <v>2915</v>
      </c>
      <c r="E7138">
        <v>30.381703000000002</v>
      </c>
      <c r="F7138" t="s">
        <v>2321</v>
      </c>
      <c r="G7138">
        <v>-89.820420999999996</v>
      </c>
      <c r="H7138">
        <v>700</v>
      </c>
      <c r="I7138">
        <v>12</v>
      </c>
      <c r="J7138">
        <v>-120</v>
      </c>
      <c r="K7138">
        <v>-896</v>
      </c>
      <c r="L7138">
        <v>1200</v>
      </c>
      <c r="M7138" t="str">
        <f t="shared" si="747"/>
        <v xml:space="preserve">N35DC   </v>
      </c>
      <c r="N7138">
        <v>1</v>
      </c>
      <c r="O7138">
        <v>725</v>
      </c>
    </row>
    <row r="7139" spans="1:15" x14ac:dyDescent="0.25">
      <c r="A7139" t="str">
        <f>"10/21/2020 19:04:11.795"</f>
        <v>10/21/2020 19:04:11.795</v>
      </c>
      <c r="B7139" t="str">
        <f>"19:04:19.703"</f>
        <v>19:04:19.703</v>
      </c>
      <c r="C7139" t="str">
        <f>"19:04:18.903"</f>
        <v>19:04:18.903</v>
      </c>
      <c r="D7139" t="s">
        <v>2916</v>
      </c>
      <c r="E7139">
        <v>30.380502</v>
      </c>
      <c r="F7139" t="s">
        <v>2917</v>
      </c>
      <c r="G7139">
        <v>-89.820335</v>
      </c>
      <c r="H7139">
        <v>700</v>
      </c>
      <c r="I7139">
        <v>9</v>
      </c>
      <c r="J7139">
        <v>-121</v>
      </c>
      <c r="K7139">
        <v>-832</v>
      </c>
      <c r="L7139">
        <v>1200</v>
      </c>
      <c r="M7139" t="str">
        <f t="shared" si="747"/>
        <v xml:space="preserve">N35DC   </v>
      </c>
      <c r="N7139">
        <v>1</v>
      </c>
      <c r="O7139">
        <v>725</v>
      </c>
    </row>
    <row r="7140" spans="1:15" x14ac:dyDescent="0.25">
      <c r="A7140" t="str">
        <f>"10/21/2020 19:04:11.795"</f>
        <v>10/21/2020 19:04:11.795</v>
      </c>
      <c r="B7140" t="str">
        <f>"19:04:19.711"</f>
        <v>19:04:19.711</v>
      </c>
      <c r="C7140" t="str">
        <f>"19:04:19.411"</f>
        <v>19:04:19.411</v>
      </c>
      <c r="D7140" t="s">
        <v>2916</v>
      </c>
      <c r="E7140">
        <v>30.380502</v>
      </c>
      <c r="F7140" t="s">
        <v>2917</v>
      </c>
      <c r="G7140">
        <v>-89.820335</v>
      </c>
      <c r="H7140">
        <v>700</v>
      </c>
      <c r="I7140">
        <v>8</v>
      </c>
      <c r="J7140">
        <v>-121</v>
      </c>
      <c r="K7140">
        <v>-768</v>
      </c>
      <c r="L7140">
        <v>1200</v>
      </c>
      <c r="M7140" t="str">
        <f t="shared" si="747"/>
        <v xml:space="preserve">N35DC   </v>
      </c>
      <c r="N7140">
        <v>1</v>
      </c>
      <c r="O7140">
        <v>700</v>
      </c>
    </row>
    <row r="7141" spans="1:15" x14ac:dyDescent="0.25">
      <c r="A7141" t="str">
        <f>"10/21/2020 19:04:11.795"</f>
        <v>10/21/2020 19:04:11.795</v>
      </c>
      <c r="B7141" t="str">
        <f>"19:04:19.711"</f>
        <v>19:04:19.711</v>
      </c>
      <c r="C7141" t="str">
        <f>"19:04:19.411"</f>
        <v>19:04:19.411</v>
      </c>
      <c r="D7141" t="s">
        <v>2916</v>
      </c>
      <c r="E7141">
        <v>30.380502</v>
      </c>
      <c r="F7141" t="s">
        <v>2917</v>
      </c>
      <c r="G7141">
        <v>-89.820335</v>
      </c>
      <c r="H7141">
        <v>700</v>
      </c>
      <c r="I7141">
        <v>8</v>
      </c>
      <c r="J7141">
        <v>-121</v>
      </c>
      <c r="K7141">
        <v>-768</v>
      </c>
      <c r="L7141">
        <v>1200</v>
      </c>
      <c r="M7141" t="str">
        <f t="shared" si="747"/>
        <v xml:space="preserve">N35DC   </v>
      </c>
      <c r="N7141">
        <v>1</v>
      </c>
      <c r="O7141">
        <v>700</v>
      </c>
    </row>
    <row r="7142" spans="1:15" x14ac:dyDescent="0.25">
      <c r="A7142" t="str">
        <f>"10/21/2020 19:04:11.795"</f>
        <v>10/21/2020 19:04:11.795</v>
      </c>
      <c r="B7142" t="str">
        <f>"19:04:19.711"</f>
        <v>19:04:19.711</v>
      </c>
      <c r="C7142" t="str">
        <f>"19:04:19.411"</f>
        <v>19:04:19.411</v>
      </c>
      <c r="D7142" t="s">
        <v>2916</v>
      </c>
      <c r="E7142">
        <v>30.380502</v>
      </c>
      <c r="F7142" t="s">
        <v>2917</v>
      </c>
      <c r="G7142">
        <v>-89.820335</v>
      </c>
      <c r="H7142">
        <v>700</v>
      </c>
      <c r="I7142">
        <v>8</v>
      </c>
      <c r="J7142">
        <v>-121</v>
      </c>
      <c r="K7142">
        <v>-768</v>
      </c>
      <c r="L7142">
        <v>1200</v>
      </c>
      <c r="M7142" t="str">
        <f t="shared" si="747"/>
        <v xml:space="preserve">N35DC   </v>
      </c>
      <c r="N7142">
        <v>1</v>
      </c>
      <c r="O7142">
        <v>700</v>
      </c>
    </row>
    <row r="7143" spans="1:15" x14ac:dyDescent="0.25">
      <c r="A7143" t="str">
        <f>"10/21/2020 19:04:11.795"</f>
        <v>10/21/2020 19:04:11.795</v>
      </c>
      <c r="B7143" t="str">
        <f>"19:04:19.711"</f>
        <v>19:04:19.711</v>
      </c>
      <c r="C7143" t="str">
        <f>"19:04:19.411"</f>
        <v>19:04:19.411</v>
      </c>
      <c r="D7143" t="s">
        <v>2916</v>
      </c>
      <c r="E7143">
        <v>30.380502</v>
      </c>
      <c r="F7143" t="s">
        <v>2917</v>
      </c>
      <c r="G7143">
        <v>-89.820335</v>
      </c>
      <c r="H7143">
        <v>700</v>
      </c>
      <c r="I7143">
        <v>8</v>
      </c>
      <c r="J7143">
        <v>-121</v>
      </c>
      <c r="K7143">
        <v>-768</v>
      </c>
      <c r="L7143">
        <v>1200</v>
      </c>
      <c r="M7143" t="str">
        <f t="shared" si="747"/>
        <v xml:space="preserve">N35DC   </v>
      </c>
      <c r="N7143">
        <v>1</v>
      </c>
      <c r="O7143">
        <v>700</v>
      </c>
    </row>
    <row r="7144" spans="1:15" x14ac:dyDescent="0.25">
      <c r="A7144" t="str">
        <f>"10/21/2020 19:04:12.723"</f>
        <v>10/21/2020 19:04:12.723</v>
      </c>
      <c r="B7144" t="str">
        <f>"19:04:20.648"</f>
        <v>19:04:20.648</v>
      </c>
      <c r="C7144" t="str">
        <f>"19:04:20.248"</f>
        <v>19:04:20.248</v>
      </c>
      <c r="D7144" t="s">
        <v>2918</v>
      </c>
      <c r="E7144">
        <v>30.379987</v>
      </c>
      <c r="F7144" t="s">
        <v>20</v>
      </c>
      <c r="G7144">
        <v>-89.820312999999999</v>
      </c>
      <c r="H7144">
        <v>700</v>
      </c>
      <c r="I7144">
        <v>6</v>
      </c>
      <c r="J7144">
        <v>-122</v>
      </c>
      <c r="K7144">
        <v>-832</v>
      </c>
      <c r="L7144">
        <v>1200</v>
      </c>
      <c r="M7144" t="str">
        <f t="shared" si="747"/>
        <v xml:space="preserve">N35DC   </v>
      </c>
      <c r="N7144">
        <v>1</v>
      </c>
      <c r="O7144">
        <v>700</v>
      </c>
    </row>
    <row r="7145" spans="1:15" x14ac:dyDescent="0.25">
      <c r="A7145" t="str">
        <f>"10/21/2020 19:04:12.723"</f>
        <v>10/21/2020 19:04:12.723</v>
      </c>
      <c r="B7145" t="str">
        <f>"19:04:20.648"</f>
        <v>19:04:20.648</v>
      </c>
      <c r="C7145" t="str">
        <f>"19:04:20.248"</f>
        <v>19:04:20.248</v>
      </c>
      <c r="D7145" t="s">
        <v>2918</v>
      </c>
      <c r="E7145">
        <v>30.379987</v>
      </c>
      <c r="F7145" t="s">
        <v>20</v>
      </c>
      <c r="G7145">
        <v>-89.820312999999999</v>
      </c>
      <c r="H7145">
        <v>700</v>
      </c>
      <c r="I7145">
        <v>6</v>
      </c>
      <c r="J7145">
        <v>-122</v>
      </c>
      <c r="K7145">
        <v>-832</v>
      </c>
      <c r="L7145">
        <v>1200</v>
      </c>
      <c r="M7145" t="str">
        <f t="shared" si="747"/>
        <v xml:space="preserve">N35DC   </v>
      </c>
      <c r="N7145">
        <v>1</v>
      </c>
      <c r="O7145">
        <v>700</v>
      </c>
    </row>
    <row r="7146" spans="1:15" x14ac:dyDescent="0.25">
      <c r="A7146" t="str">
        <f>"10/21/2020 19:04:12.723"</f>
        <v>10/21/2020 19:04:12.723</v>
      </c>
      <c r="B7146" t="str">
        <f>"19:04:20.648"</f>
        <v>19:04:20.648</v>
      </c>
      <c r="C7146" t="str">
        <f>"19:04:20.248"</f>
        <v>19:04:20.248</v>
      </c>
      <c r="D7146" t="s">
        <v>2918</v>
      </c>
      <c r="E7146">
        <v>30.379987</v>
      </c>
      <c r="F7146" t="s">
        <v>20</v>
      </c>
      <c r="G7146">
        <v>-89.820312999999999</v>
      </c>
      <c r="H7146">
        <v>700</v>
      </c>
      <c r="I7146">
        <v>6</v>
      </c>
      <c r="J7146">
        <v>-122</v>
      </c>
      <c r="K7146">
        <v>-832</v>
      </c>
      <c r="L7146">
        <v>1200</v>
      </c>
      <c r="M7146" t="str">
        <f t="shared" si="747"/>
        <v xml:space="preserve">N35DC   </v>
      </c>
      <c r="N7146">
        <v>1</v>
      </c>
      <c r="O7146">
        <v>700</v>
      </c>
    </row>
    <row r="7147" spans="1:15" x14ac:dyDescent="0.25">
      <c r="A7147" t="str">
        <f>"10/21/2020 19:04:12.723"</f>
        <v>10/21/2020 19:04:12.723</v>
      </c>
      <c r="B7147" t="str">
        <f>"19:04:20.648"</f>
        <v>19:04:20.648</v>
      </c>
      <c r="C7147" t="str">
        <f>"19:04:20.248"</f>
        <v>19:04:20.248</v>
      </c>
      <c r="D7147" t="s">
        <v>2918</v>
      </c>
      <c r="E7147">
        <v>30.379987</v>
      </c>
      <c r="F7147" t="s">
        <v>20</v>
      </c>
      <c r="G7147">
        <v>-89.820312999999999</v>
      </c>
      <c r="H7147">
        <v>700</v>
      </c>
      <c r="I7147">
        <v>6</v>
      </c>
      <c r="J7147">
        <v>-122</v>
      </c>
      <c r="K7147">
        <v>-832</v>
      </c>
      <c r="L7147">
        <v>1200</v>
      </c>
      <c r="M7147" t="str">
        <f t="shared" si="747"/>
        <v xml:space="preserve">N35DC   </v>
      </c>
      <c r="N7147">
        <v>1</v>
      </c>
      <c r="O7147">
        <v>700</v>
      </c>
    </row>
    <row r="7148" spans="1:15" x14ac:dyDescent="0.25">
      <c r="A7148" t="str">
        <f>"10/21/2020 19:04:13.663"</f>
        <v>10/21/2020 19:04:13.663</v>
      </c>
      <c r="B7148" t="str">
        <f>"19:04:21.609"</f>
        <v>19:04:21.609</v>
      </c>
      <c r="C7148" t="str">
        <f>"19:04:21.209"</f>
        <v>19:04:21.209</v>
      </c>
      <c r="D7148" t="s">
        <v>2919</v>
      </c>
      <c r="E7148">
        <v>30.379449999999999</v>
      </c>
      <c r="F7148" t="s">
        <v>2920</v>
      </c>
      <c r="G7148">
        <v>-89.820291999999995</v>
      </c>
      <c r="H7148">
        <v>700</v>
      </c>
      <c r="I7148">
        <v>2</v>
      </c>
      <c r="J7148">
        <v>-122</v>
      </c>
      <c r="K7148">
        <v>-832</v>
      </c>
      <c r="L7148">
        <v>1200</v>
      </c>
      <c r="M7148" t="str">
        <f t="shared" si="747"/>
        <v xml:space="preserve">N35DC   </v>
      </c>
      <c r="N7148">
        <v>1</v>
      </c>
      <c r="O7148">
        <v>675</v>
      </c>
    </row>
    <row r="7149" spans="1:15" x14ac:dyDescent="0.25">
      <c r="A7149" t="str">
        <f>"10/21/2020 19:04:13.663"</f>
        <v>10/21/2020 19:04:13.663</v>
      </c>
      <c r="B7149" t="str">
        <f>"19:04:21.609"</f>
        <v>19:04:21.609</v>
      </c>
      <c r="C7149" t="str">
        <f>"19:04:21.209"</f>
        <v>19:04:21.209</v>
      </c>
      <c r="D7149" t="s">
        <v>2919</v>
      </c>
      <c r="E7149">
        <v>30.379449999999999</v>
      </c>
      <c r="F7149" t="s">
        <v>2920</v>
      </c>
      <c r="G7149">
        <v>-89.820291999999995</v>
      </c>
      <c r="H7149">
        <v>700</v>
      </c>
      <c r="I7149">
        <v>2</v>
      </c>
      <c r="J7149">
        <v>-122</v>
      </c>
      <c r="K7149">
        <v>-832</v>
      </c>
      <c r="L7149">
        <v>1200</v>
      </c>
      <c r="M7149" t="str">
        <f t="shared" si="747"/>
        <v xml:space="preserve">N35DC   </v>
      </c>
      <c r="N7149">
        <v>1</v>
      </c>
      <c r="O7149">
        <v>675</v>
      </c>
    </row>
    <row r="7150" spans="1:15" x14ac:dyDescent="0.25">
      <c r="A7150" t="str">
        <f>"10/21/2020 19:04:13.663"</f>
        <v>10/21/2020 19:04:13.663</v>
      </c>
      <c r="B7150" t="str">
        <f>"19:04:21.609"</f>
        <v>19:04:21.609</v>
      </c>
      <c r="C7150" t="str">
        <f>"19:04:21.209"</f>
        <v>19:04:21.209</v>
      </c>
      <c r="D7150" t="s">
        <v>2919</v>
      </c>
      <c r="E7150">
        <v>30.379449999999999</v>
      </c>
      <c r="F7150" t="s">
        <v>2920</v>
      </c>
      <c r="G7150">
        <v>-89.820291999999995</v>
      </c>
      <c r="H7150">
        <v>700</v>
      </c>
      <c r="I7150">
        <v>2</v>
      </c>
      <c r="J7150">
        <v>-122</v>
      </c>
      <c r="K7150">
        <v>-832</v>
      </c>
      <c r="L7150">
        <v>1200</v>
      </c>
      <c r="M7150" t="str">
        <f t="shared" si="747"/>
        <v xml:space="preserve">N35DC   </v>
      </c>
      <c r="N7150">
        <v>1</v>
      </c>
      <c r="O7150">
        <v>675</v>
      </c>
    </row>
    <row r="7151" spans="1:15" x14ac:dyDescent="0.25">
      <c r="A7151" t="str">
        <f>"10/21/2020 19:04:13.663"</f>
        <v>10/21/2020 19:04:13.663</v>
      </c>
      <c r="B7151" t="str">
        <f>"19:04:21.609"</f>
        <v>19:04:21.609</v>
      </c>
      <c r="C7151" t="str">
        <f>"19:04:21.209"</f>
        <v>19:04:21.209</v>
      </c>
      <c r="D7151" t="s">
        <v>2919</v>
      </c>
      <c r="E7151">
        <v>30.379449999999999</v>
      </c>
      <c r="F7151" t="s">
        <v>2920</v>
      </c>
      <c r="G7151">
        <v>-89.820291999999995</v>
      </c>
      <c r="H7151">
        <v>700</v>
      </c>
      <c r="I7151">
        <v>2</v>
      </c>
      <c r="J7151">
        <v>-122</v>
      </c>
      <c r="K7151">
        <v>-832</v>
      </c>
      <c r="L7151">
        <v>1200</v>
      </c>
      <c r="M7151" t="str">
        <f t="shared" si="747"/>
        <v xml:space="preserve">N35DC   </v>
      </c>
      <c r="N7151">
        <v>1</v>
      </c>
      <c r="O7151">
        <v>675</v>
      </c>
    </row>
    <row r="7152" spans="1:15" x14ac:dyDescent="0.25">
      <c r="A7152" t="str">
        <f>"10/21/2020 19:04:13.663"</f>
        <v>10/21/2020 19:04:13.663</v>
      </c>
      <c r="B7152" t="str">
        <f>"19:04:21.609"</f>
        <v>19:04:21.609</v>
      </c>
      <c r="C7152" t="str">
        <f>"19:04:21.209"</f>
        <v>19:04:21.209</v>
      </c>
      <c r="D7152" t="s">
        <v>2919</v>
      </c>
      <c r="E7152">
        <v>30.379449999999999</v>
      </c>
      <c r="F7152" t="s">
        <v>2920</v>
      </c>
      <c r="G7152">
        <v>-89.820291999999995</v>
      </c>
      <c r="H7152">
        <v>700</v>
      </c>
      <c r="I7152">
        <v>2</v>
      </c>
      <c r="J7152">
        <v>-122</v>
      </c>
      <c r="K7152">
        <v>-832</v>
      </c>
      <c r="L7152">
        <v>1200</v>
      </c>
      <c r="M7152" t="str">
        <f t="shared" si="747"/>
        <v xml:space="preserve">N35DC   </v>
      </c>
      <c r="N7152">
        <v>1</v>
      </c>
      <c r="O7152">
        <v>675</v>
      </c>
    </row>
    <row r="7153" spans="1:15" x14ac:dyDescent="0.25">
      <c r="A7153" t="str">
        <f>"10/21/2020 19:04:16.751"</f>
        <v>10/21/2020 19:04:16.751</v>
      </c>
      <c r="B7153" t="str">
        <f>"19:04:24.672"</f>
        <v>19:04:24.672</v>
      </c>
      <c r="C7153" t="str">
        <f>"19:04:24.172"</f>
        <v>19:04:24.172</v>
      </c>
      <c r="D7153" t="s">
        <v>2921</v>
      </c>
      <c r="E7153">
        <v>30.377669000000001</v>
      </c>
      <c r="F7153" t="s">
        <v>20</v>
      </c>
      <c r="G7153">
        <v>-89.820312999999999</v>
      </c>
      <c r="H7153">
        <v>600</v>
      </c>
      <c r="I7153">
        <v>-5</v>
      </c>
      <c r="J7153">
        <v>-123</v>
      </c>
      <c r="K7153">
        <v>-960</v>
      </c>
      <c r="L7153">
        <v>1200</v>
      </c>
      <c r="M7153" t="str">
        <f t="shared" si="747"/>
        <v xml:space="preserve">N35DC   </v>
      </c>
      <c r="N7153">
        <v>1</v>
      </c>
      <c r="O7153">
        <v>625</v>
      </c>
    </row>
    <row r="7154" spans="1:15" x14ac:dyDescent="0.25">
      <c r="A7154" t="str">
        <f>"10/21/2020 19:04:16.751"</f>
        <v>10/21/2020 19:04:16.751</v>
      </c>
      <c r="B7154" t="str">
        <f>"19:04:24.672"</f>
        <v>19:04:24.672</v>
      </c>
      <c r="C7154" t="str">
        <f>"19:04:24.172"</f>
        <v>19:04:24.172</v>
      </c>
      <c r="D7154" t="s">
        <v>2921</v>
      </c>
      <c r="E7154">
        <v>30.377669000000001</v>
      </c>
      <c r="F7154" t="s">
        <v>20</v>
      </c>
      <c r="G7154">
        <v>-89.820312999999999</v>
      </c>
      <c r="H7154">
        <v>600</v>
      </c>
      <c r="I7154">
        <v>-5</v>
      </c>
      <c r="J7154">
        <v>-123</v>
      </c>
      <c r="K7154">
        <v>-960</v>
      </c>
      <c r="L7154">
        <v>1200</v>
      </c>
      <c r="M7154" t="str">
        <f t="shared" si="747"/>
        <v xml:space="preserve">N35DC   </v>
      </c>
      <c r="N7154">
        <v>1</v>
      </c>
      <c r="O7154">
        <v>625</v>
      </c>
    </row>
    <row r="7155" spans="1:15" x14ac:dyDescent="0.25">
      <c r="A7155" t="str">
        <f>"10/21/2020 19:04:17.699"</f>
        <v>10/21/2020 19:04:17.699</v>
      </c>
      <c r="B7155" t="str">
        <f>"19:04:25.664"</f>
        <v>19:04:25.664</v>
      </c>
      <c r="C7155" t="str">
        <f>"19:04:25.164"</f>
        <v>19:04:25.164</v>
      </c>
      <c r="D7155" t="s">
        <v>2922</v>
      </c>
      <c r="E7155">
        <v>30.377110999999999</v>
      </c>
      <c r="F7155" t="s">
        <v>2923</v>
      </c>
      <c r="G7155">
        <v>-89.820398999999995</v>
      </c>
      <c r="H7155">
        <v>600</v>
      </c>
      <c r="I7155">
        <v>-7</v>
      </c>
      <c r="J7155">
        <v>-124</v>
      </c>
      <c r="K7155">
        <v>-832</v>
      </c>
      <c r="L7155">
        <v>1200</v>
      </c>
      <c r="M7155" t="str">
        <f t="shared" si="747"/>
        <v xml:space="preserve">N35DC   </v>
      </c>
      <c r="N7155">
        <v>1</v>
      </c>
      <c r="O7155">
        <v>625</v>
      </c>
    </row>
    <row r="7156" spans="1:15" x14ac:dyDescent="0.25">
      <c r="A7156" t="str">
        <f>"10/21/2020 19:04:17.699"</f>
        <v>10/21/2020 19:04:17.699</v>
      </c>
      <c r="B7156" t="str">
        <f>"19:04:25.664"</f>
        <v>19:04:25.664</v>
      </c>
      <c r="C7156" t="str">
        <f>"19:04:25.164"</f>
        <v>19:04:25.164</v>
      </c>
      <c r="D7156" t="s">
        <v>2922</v>
      </c>
      <c r="E7156">
        <v>30.377110999999999</v>
      </c>
      <c r="F7156" t="s">
        <v>2923</v>
      </c>
      <c r="G7156">
        <v>-89.820398999999995</v>
      </c>
      <c r="H7156">
        <v>600</v>
      </c>
      <c r="I7156">
        <v>-7</v>
      </c>
      <c r="J7156">
        <v>-124</v>
      </c>
      <c r="K7156">
        <v>-832</v>
      </c>
      <c r="L7156">
        <v>1200</v>
      </c>
      <c r="M7156" t="str">
        <f t="shared" si="747"/>
        <v xml:space="preserve">N35DC   </v>
      </c>
      <c r="N7156">
        <v>1</v>
      </c>
      <c r="O7156">
        <v>625</v>
      </c>
    </row>
    <row r="7157" spans="1:15" x14ac:dyDescent="0.25">
      <c r="A7157" t="str">
        <f>"10/21/2020 19:04:17.699"</f>
        <v>10/21/2020 19:04:17.699</v>
      </c>
      <c r="B7157" t="str">
        <f>"19:04:25.664"</f>
        <v>19:04:25.664</v>
      </c>
      <c r="C7157" t="str">
        <f>"19:04:25.164"</f>
        <v>19:04:25.164</v>
      </c>
      <c r="D7157" t="s">
        <v>2922</v>
      </c>
      <c r="E7157">
        <v>30.377110999999999</v>
      </c>
      <c r="F7157" t="s">
        <v>2923</v>
      </c>
      <c r="G7157">
        <v>-89.820398999999995</v>
      </c>
      <c r="H7157">
        <v>600</v>
      </c>
      <c r="I7157">
        <v>-7</v>
      </c>
      <c r="J7157">
        <v>-124</v>
      </c>
      <c r="K7157">
        <v>-832</v>
      </c>
      <c r="L7157">
        <v>1200</v>
      </c>
      <c r="M7157" t="str">
        <f t="shared" si="747"/>
        <v xml:space="preserve">N35DC   </v>
      </c>
      <c r="N7157">
        <v>1</v>
      </c>
      <c r="O7157">
        <v>625</v>
      </c>
    </row>
    <row r="7158" spans="1:15" x14ac:dyDescent="0.25">
      <c r="A7158" t="str">
        <f>"10/21/2020 19:04:17.699"</f>
        <v>10/21/2020 19:04:17.699</v>
      </c>
      <c r="B7158" t="str">
        <f>"19:04:25.664"</f>
        <v>19:04:25.664</v>
      </c>
      <c r="C7158" t="str">
        <f>"19:04:25.164"</f>
        <v>19:04:25.164</v>
      </c>
      <c r="D7158" t="s">
        <v>2922</v>
      </c>
      <c r="E7158">
        <v>30.377110999999999</v>
      </c>
      <c r="F7158" t="s">
        <v>2923</v>
      </c>
      <c r="G7158">
        <v>-89.820398999999995</v>
      </c>
      <c r="H7158">
        <v>600</v>
      </c>
      <c r="I7158">
        <v>-7</v>
      </c>
      <c r="J7158">
        <v>-124</v>
      </c>
      <c r="K7158">
        <v>-832</v>
      </c>
      <c r="L7158">
        <v>1200</v>
      </c>
      <c r="M7158" t="str">
        <f t="shared" si="747"/>
        <v xml:space="preserve">N35DC   </v>
      </c>
      <c r="N7158">
        <v>1</v>
      </c>
      <c r="O7158">
        <v>625</v>
      </c>
    </row>
    <row r="7159" spans="1:15" x14ac:dyDescent="0.25">
      <c r="A7159" t="str">
        <f>"10/21/2020 19:04:17.699"</f>
        <v>10/21/2020 19:04:17.699</v>
      </c>
      <c r="B7159" t="str">
        <f>"19:04:25.664"</f>
        <v>19:04:25.664</v>
      </c>
      <c r="C7159" t="str">
        <f>"19:04:25.164"</f>
        <v>19:04:25.164</v>
      </c>
      <c r="D7159" t="s">
        <v>2922</v>
      </c>
      <c r="E7159">
        <v>30.377110999999999</v>
      </c>
      <c r="F7159" t="s">
        <v>2923</v>
      </c>
      <c r="G7159">
        <v>-89.820398999999995</v>
      </c>
      <c r="H7159">
        <v>600</v>
      </c>
      <c r="I7159">
        <v>-7</v>
      </c>
      <c r="J7159">
        <v>-124</v>
      </c>
      <c r="K7159">
        <v>-832</v>
      </c>
      <c r="L7159">
        <v>1200</v>
      </c>
      <c r="M7159" t="str">
        <f t="shared" si="747"/>
        <v xml:space="preserve">N35DC   </v>
      </c>
      <c r="N7159">
        <v>1</v>
      </c>
      <c r="O7159">
        <v>625</v>
      </c>
    </row>
    <row r="7160" spans="1:15" x14ac:dyDescent="0.25">
      <c r="A7160" t="str">
        <f>"10/21/2020 19:04:18.844"</f>
        <v>10/21/2020 19:04:18.844</v>
      </c>
      <c r="B7160" t="str">
        <f>"19:04:26.789"</f>
        <v>19:04:26.789</v>
      </c>
      <c r="C7160" t="str">
        <f>"19:04:26.689"</f>
        <v>19:04:26.689</v>
      </c>
      <c r="D7160" t="s">
        <v>2924</v>
      </c>
      <c r="E7160">
        <v>30.376467999999999</v>
      </c>
      <c r="F7160" t="s">
        <v>2883</v>
      </c>
      <c r="G7160">
        <v>-89.820442</v>
      </c>
      <c r="H7160">
        <v>600</v>
      </c>
      <c r="I7160">
        <v>-10</v>
      </c>
      <c r="J7160">
        <v>-124</v>
      </c>
      <c r="K7160">
        <v>-960</v>
      </c>
      <c r="L7160">
        <v>1200</v>
      </c>
      <c r="M7160" t="str">
        <f t="shared" si="747"/>
        <v xml:space="preserve">N35DC   </v>
      </c>
      <c r="N7160">
        <v>1</v>
      </c>
      <c r="O7160">
        <v>600</v>
      </c>
    </row>
    <row r="7161" spans="1:15" x14ac:dyDescent="0.25">
      <c r="A7161" t="str">
        <f>"10/21/2020 19:04:18.844"</f>
        <v>10/21/2020 19:04:18.844</v>
      </c>
      <c r="B7161" t="str">
        <f>"19:04:26.789"</f>
        <v>19:04:26.789</v>
      </c>
      <c r="C7161" t="str">
        <f>"19:04:26.689"</f>
        <v>19:04:26.689</v>
      </c>
      <c r="D7161" t="s">
        <v>2924</v>
      </c>
      <c r="E7161">
        <v>30.376467999999999</v>
      </c>
      <c r="F7161" t="s">
        <v>2883</v>
      </c>
      <c r="G7161">
        <v>-89.820442</v>
      </c>
      <c r="H7161">
        <v>600</v>
      </c>
      <c r="I7161">
        <v>-10</v>
      </c>
      <c r="J7161">
        <v>-124</v>
      </c>
      <c r="K7161">
        <v>-960</v>
      </c>
      <c r="L7161">
        <v>1200</v>
      </c>
      <c r="M7161" t="str">
        <f t="shared" si="747"/>
        <v xml:space="preserve">N35DC   </v>
      </c>
      <c r="N7161">
        <v>1</v>
      </c>
      <c r="O7161">
        <v>600</v>
      </c>
    </row>
    <row r="7162" spans="1:15" x14ac:dyDescent="0.25">
      <c r="A7162" t="str">
        <f>"10/21/2020 19:04:18.844"</f>
        <v>10/21/2020 19:04:18.844</v>
      </c>
      <c r="B7162" t="str">
        <f>"19:04:26.789"</f>
        <v>19:04:26.789</v>
      </c>
      <c r="C7162" t="str">
        <f>"19:04:26.689"</f>
        <v>19:04:26.689</v>
      </c>
      <c r="D7162" t="s">
        <v>2924</v>
      </c>
      <c r="E7162">
        <v>30.376467999999999</v>
      </c>
      <c r="F7162" t="s">
        <v>2883</v>
      </c>
      <c r="G7162">
        <v>-89.820442</v>
      </c>
      <c r="H7162">
        <v>600</v>
      </c>
      <c r="I7162">
        <v>-10</v>
      </c>
      <c r="J7162">
        <v>-124</v>
      </c>
      <c r="K7162">
        <v>-960</v>
      </c>
      <c r="L7162">
        <v>1200</v>
      </c>
      <c r="M7162" t="str">
        <f t="shared" si="747"/>
        <v xml:space="preserve">N35DC   </v>
      </c>
      <c r="N7162">
        <v>1</v>
      </c>
      <c r="O7162">
        <v>600</v>
      </c>
    </row>
    <row r="7163" spans="1:15" x14ac:dyDescent="0.25">
      <c r="A7163" t="str">
        <f>"10/21/2020 19:04:18.844"</f>
        <v>10/21/2020 19:04:18.844</v>
      </c>
      <c r="B7163" t="str">
        <f>"19:04:26.789"</f>
        <v>19:04:26.789</v>
      </c>
      <c r="C7163" t="str">
        <f>"19:04:25.789"</f>
        <v>19:04:25.789</v>
      </c>
      <c r="D7163" t="s">
        <v>2924</v>
      </c>
      <c r="E7163">
        <v>30.376467999999999</v>
      </c>
      <c r="F7163" t="s">
        <v>2883</v>
      </c>
      <c r="G7163">
        <v>-89.820442</v>
      </c>
      <c r="H7163">
        <v>600</v>
      </c>
      <c r="I7163">
        <v>-8</v>
      </c>
      <c r="J7163">
        <v>-124</v>
      </c>
      <c r="K7163">
        <v>-960</v>
      </c>
      <c r="L7163">
        <v>1200</v>
      </c>
      <c r="M7163" t="str">
        <f t="shared" si="747"/>
        <v xml:space="preserve">N35DC   </v>
      </c>
      <c r="N7163">
        <v>1</v>
      </c>
      <c r="O7163">
        <v>600</v>
      </c>
    </row>
    <row r="7164" spans="1:15" x14ac:dyDescent="0.25">
      <c r="A7164" t="str">
        <f>"10/21/2020 19:04:18.844"</f>
        <v>10/21/2020 19:04:18.844</v>
      </c>
      <c r="B7164" t="str">
        <f>"19:04:26.789"</f>
        <v>19:04:26.789</v>
      </c>
      <c r="C7164" t="str">
        <f>"19:04:26.689"</f>
        <v>19:04:26.689</v>
      </c>
      <c r="D7164" t="s">
        <v>2924</v>
      </c>
      <c r="E7164">
        <v>30.376467999999999</v>
      </c>
      <c r="F7164" t="s">
        <v>2883</v>
      </c>
      <c r="G7164">
        <v>-89.820442</v>
      </c>
      <c r="H7164">
        <v>600</v>
      </c>
      <c r="I7164">
        <v>-10</v>
      </c>
      <c r="J7164">
        <v>-124</v>
      </c>
      <c r="K7164">
        <v>-960</v>
      </c>
      <c r="L7164">
        <v>1200</v>
      </c>
      <c r="M7164" t="str">
        <f t="shared" si="747"/>
        <v xml:space="preserve">N35DC   </v>
      </c>
      <c r="N7164">
        <v>1</v>
      </c>
      <c r="O7164">
        <v>600</v>
      </c>
    </row>
    <row r="7165" spans="1:15" x14ac:dyDescent="0.25">
      <c r="A7165" t="str">
        <f>"10/21/2020 19:04:21.725"</f>
        <v>10/21/2020 19:04:21.725</v>
      </c>
      <c r="B7165" t="str">
        <f>"19:04:29.664"</f>
        <v>19:04:29.664</v>
      </c>
      <c r="C7165" t="str">
        <f>"19:04:29.264"</f>
        <v>19:04:29.264</v>
      </c>
      <c r="D7165" t="s">
        <v>2925</v>
      </c>
      <c r="E7165">
        <v>30.374773000000001</v>
      </c>
      <c r="F7165" t="s">
        <v>2901</v>
      </c>
      <c r="G7165">
        <v>-89.820549</v>
      </c>
      <c r="H7165">
        <v>500</v>
      </c>
      <c r="I7165">
        <v>-8</v>
      </c>
      <c r="J7165">
        <v>-124</v>
      </c>
      <c r="K7165">
        <v>-704</v>
      </c>
      <c r="L7165">
        <v>1200</v>
      </c>
      <c r="M7165" t="str">
        <f t="shared" si="747"/>
        <v xml:space="preserve">N35DC   </v>
      </c>
      <c r="N7165">
        <v>1</v>
      </c>
      <c r="O7165">
        <v>550</v>
      </c>
    </row>
    <row r="7166" spans="1:15" x14ac:dyDescent="0.25">
      <c r="A7166" t="str">
        <f>"10/21/2020 19:04:21.725"</f>
        <v>10/21/2020 19:04:21.725</v>
      </c>
      <c r="B7166" t="str">
        <f>"19:04:29.664"</f>
        <v>19:04:29.664</v>
      </c>
      <c r="C7166" t="str">
        <f>"19:04:29.264"</f>
        <v>19:04:29.264</v>
      </c>
      <c r="D7166" t="s">
        <v>2925</v>
      </c>
      <c r="E7166">
        <v>30.374773000000001</v>
      </c>
      <c r="F7166" t="s">
        <v>2901</v>
      </c>
      <c r="G7166">
        <v>-89.820549</v>
      </c>
      <c r="H7166">
        <v>500</v>
      </c>
      <c r="I7166">
        <v>-8</v>
      </c>
      <c r="J7166">
        <v>-124</v>
      </c>
      <c r="K7166">
        <v>-704</v>
      </c>
      <c r="L7166">
        <v>1200</v>
      </c>
      <c r="M7166" t="str">
        <f t="shared" si="747"/>
        <v xml:space="preserve">N35DC   </v>
      </c>
      <c r="N7166">
        <v>1</v>
      </c>
      <c r="O7166">
        <v>550</v>
      </c>
    </row>
    <row r="7167" spans="1:15" x14ac:dyDescent="0.25">
      <c r="A7167" t="str">
        <f>"10/21/2020 19:04:21.725"</f>
        <v>10/21/2020 19:04:21.725</v>
      </c>
      <c r="B7167" t="str">
        <f>"19:04:29.664"</f>
        <v>19:04:29.664</v>
      </c>
      <c r="C7167" t="str">
        <f>"19:04:29.264"</f>
        <v>19:04:29.264</v>
      </c>
      <c r="D7167" t="s">
        <v>2925</v>
      </c>
      <c r="E7167">
        <v>30.374773000000001</v>
      </c>
      <c r="F7167" t="s">
        <v>2901</v>
      </c>
      <c r="G7167">
        <v>-89.820549</v>
      </c>
      <c r="H7167">
        <v>500</v>
      </c>
      <c r="I7167">
        <v>-8</v>
      </c>
      <c r="J7167">
        <v>-124</v>
      </c>
      <c r="K7167">
        <v>-704</v>
      </c>
      <c r="L7167">
        <v>1200</v>
      </c>
      <c r="M7167" t="str">
        <f t="shared" si="747"/>
        <v xml:space="preserve">N35DC   </v>
      </c>
      <c r="N7167">
        <v>1</v>
      </c>
      <c r="O7167">
        <v>550</v>
      </c>
    </row>
    <row r="7168" spans="1:15" x14ac:dyDescent="0.25">
      <c r="A7168" t="str">
        <f>"10/21/2020 19:04:21.725"</f>
        <v>10/21/2020 19:04:21.725</v>
      </c>
      <c r="B7168" t="str">
        <f>"19:04:29.664"</f>
        <v>19:04:29.664</v>
      </c>
      <c r="C7168" t="str">
        <f>"19:04:29.264"</f>
        <v>19:04:29.264</v>
      </c>
      <c r="D7168" t="s">
        <v>2925</v>
      </c>
      <c r="E7168">
        <v>30.374773000000001</v>
      </c>
      <c r="F7168" t="s">
        <v>2901</v>
      </c>
      <c r="G7168">
        <v>-89.820549</v>
      </c>
      <c r="H7168">
        <v>500</v>
      </c>
      <c r="I7168">
        <v>-8</v>
      </c>
      <c r="J7168">
        <v>-124</v>
      </c>
      <c r="K7168">
        <v>-704</v>
      </c>
      <c r="L7168">
        <v>1200</v>
      </c>
      <c r="M7168" t="str">
        <f t="shared" si="747"/>
        <v xml:space="preserve">N35DC   </v>
      </c>
      <c r="N7168">
        <v>1</v>
      </c>
      <c r="O7168">
        <v>550</v>
      </c>
    </row>
    <row r="7169" spans="1:15" x14ac:dyDescent="0.25">
      <c r="A7169" t="str">
        <f>"10/21/2020 19:04:21.725"</f>
        <v>10/21/2020 19:04:21.725</v>
      </c>
      <c r="B7169" t="str">
        <f>"19:04:29.664"</f>
        <v>19:04:29.664</v>
      </c>
      <c r="C7169" t="str">
        <f>"19:04:29.264"</f>
        <v>19:04:29.264</v>
      </c>
      <c r="D7169" t="s">
        <v>2925</v>
      </c>
      <c r="E7169">
        <v>30.374773000000001</v>
      </c>
      <c r="F7169" t="s">
        <v>2901</v>
      </c>
      <c r="G7169">
        <v>-89.820549</v>
      </c>
      <c r="H7169">
        <v>500</v>
      </c>
      <c r="I7169">
        <v>-8</v>
      </c>
      <c r="J7169">
        <v>-124</v>
      </c>
      <c r="K7169">
        <v>-704</v>
      </c>
      <c r="L7169">
        <v>1200</v>
      </c>
      <c r="M7169" t="str">
        <f t="shared" si="747"/>
        <v xml:space="preserve">N35DC   </v>
      </c>
      <c r="N7169">
        <v>1</v>
      </c>
      <c r="O7169">
        <v>550</v>
      </c>
    </row>
    <row r="7170" spans="1:15" x14ac:dyDescent="0.25">
      <c r="A7170" t="str">
        <f>"10/21/2020 19:04:24.706"</f>
        <v>10/21/2020 19:04:24.706</v>
      </c>
      <c r="B7170" t="str">
        <f>"19:04:32.617"</f>
        <v>19:04:32.617</v>
      </c>
      <c r="C7170" t="str">
        <f>"19:04:32.217"</f>
        <v>19:04:32.217</v>
      </c>
      <c r="D7170" t="s">
        <v>2926</v>
      </c>
      <c r="E7170">
        <v>30.373099</v>
      </c>
      <c r="F7170" t="s">
        <v>2895</v>
      </c>
      <c r="G7170">
        <v>-89.820527999999996</v>
      </c>
      <c r="H7170">
        <v>500</v>
      </c>
      <c r="I7170">
        <v>5</v>
      </c>
      <c r="J7170">
        <v>-122</v>
      </c>
      <c r="K7170">
        <v>128</v>
      </c>
      <c r="L7170">
        <v>1200</v>
      </c>
      <c r="M7170" t="str">
        <f t="shared" si="747"/>
        <v xml:space="preserve">N35DC   </v>
      </c>
      <c r="N7170">
        <v>1</v>
      </c>
      <c r="O7170">
        <v>550</v>
      </c>
    </row>
    <row r="7171" spans="1:15" x14ac:dyDescent="0.25">
      <c r="A7171" t="str">
        <f>"10/21/2020 19:04:24.706"</f>
        <v>10/21/2020 19:04:24.706</v>
      </c>
      <c r="B7171" t="str">
        <f>"19:04:32.617"</f>
        <v>19:04:32.617</v>
      </c>
      <c r="C7171" t="str">
        <f>"19:04:32.217"</f>
        <v>19:04:32.217</v>
      </c>
      <c r="D7171" t="s">
        <v>2926</v>
      </c>
      <c r="E7171">
        <v>30.373099</v>
      </c>
      <c r="F7171" t="s">
        <v>2895</v>
      </c>
      <c r="G7171">
        <v>-89.820527999999996</v>
      </c>
      <c r="H7171">
        <v>500</v>
      </c>
      <c r="I7171">
        <v>5</v>
      </c>
      <c r="J7171">
        <v>-122</v>
      </c>
      <c r="K7171">
        <v>128</v>
      </c>
      <c r="L7171">
        <v>1200</v>
      </c>
      <c r="M7171" t="str">
        <f t="shared" si="747"/>
        <v xml:space="preserve">N35DC   </v>
      </c>
      <c r="N7171">
        <v>1</v>
      </c>
      <c r="O7171">
        <v>550</v>
      </c>
    </row>
    <row r="7172" spans="1:15" x14ac:dyDescent="0.25">
      <c r="A7172" t="str">
        <f>"10/21/2020 19:04:24.706"</f>
        <v>10/21/2020 19:04:24.706</v>
      </c>
      <c r="B7172" t="str">
        <f>"19:04:32.617"</f>
        <v>19:04:32.617</v>
      </c>
      <c r="C7172" t="str">
        <f>"19:04:32.217"</f>
        <v>19:04:32.217</v>
      </c>
      <c r="D7172" t="s">
        <v>2926</v>
      </c>
      <c r="E7172">
        <v>30.373099</v>
      </c>
      <c r="F7172" t="s">
        <v>2895</v>
      </c>
      <c r="G7172">
        <v>-89.820527999999996</v>
      </c>
      <c r="H7172">
        <v>500</v>
      </c>
      <c r="I7172">
        <v>5</v>
      </c>
      <c r="J7172">
        <v>-122</v>
      </c>
      <c r="K7172">
        <v>128</v>
      </c>
      <c r="L7172">
        <v>1200</v>
      </c>
      <c r="M7172" t="str">
        <f t="shared" si="747"/>
        <v xml:space="preserve">N35DC   </v>
      </c>
      <c r="N7172">
        <v>1</v>
      </c>
      <c r="O7172">
        <v>550</v>
      </c>
    </row>
    <row r="7173" spans="1:15" x14ac:dyDescent="0.25">
      <c r="A7173" t="str">
        <f>"10/21/2020 19:04:24.706"</f>
        <v>10/21/2020 19:04:24.706</v>
      </c>
      <c r="B7173" t="str">
        <f>"19:04:32.617"</f>
        <v>19:04:32.617</v>
      </c>
      <c r="C7173" t="str">
        <f>"19:04:32.217"</f>
        <v>19:04:32.217</v>
      </c>
      <c r="D7173" t="s">
        <v>2926</v>
      </c>
      <c r="E7173">
        <v>30.373099</v>
      </c>
      <c r="F7173" t="s">
        <v>2895</v>
      </c>
      <c r="G7173">
        <v>-89.820527999999996</v>
      </c>
      <c r="H7173">
        <v>500</v>
      </c>
      <c r="I7173">
        <v>5</v>
      </c>
      <c r="J7173">
        <v>-122</v>
      </c>
      <c r="K7173">
        <v>128</v>
      </c>
      <c r="L7173">
        <v>1200</v>
      </c>
      <c r="M7173" t="str">
        <f t="shared" si="747"/>
        <v xml:space="preserve">N35DC   </v>
      </c>
      <c r="N7173">
        <v>1</v>
      </c>
      <c r="O7173">
        <v>550</v>
      </c>
    </row>
    <row r="7174" spans="1:15" x14ac:dyDescent="0.25">
      <c r="A7174" t="str">
        <f>"10/21/2020 19:04:24.706"</f>
        <v>10/21/2020 19:04:24.706</v>
      </c>
      <c r="B7174" t="str">
        <f>"19:04:32.617"</f>
        <v>19:04:32.617</v>
      </c>
      <c r="C7174" t="str">
        <f>"19:04:32.217"</f>
        <v>19:04:32.217</v>
      </c>
      <c r="D7174" t="s">
        <v>2926</v>
      </c>
      <c r="E7174">
        <v>30.373099</v>
      </c>
      <c r="F7174" t="s">
        <v>2895</v>
      </c>
      <c r="G7174">
        <v>-89.820527999999996</v>
      </c>
      <c r="H7174">
        <v>500</v>
      </c>
      <c r="I7174">
        <v>5</v>
      </c>
      <c r="J7174">
        <v>-122</v>
      </c>
      <c r="K7174">
        <v>128</v>
      </c>
      <c r="L7174">
        <v>1200</v>
      </c>
      <c r="M7174" t="str">
        <f t="shared" si="747"/>
        <v xml:space="preserve">N35DC   </v>
      </c>
      <c r="N7174">
        <v>1</v>
      </c>
      <c r="O7174">
        <v>550</v>
      </c>
    </row>
    <row r="7175" spans="1:15" x14ac:dyDescent="0.25">
      <c r="A7175" t="str">
        <f>"10/21/2020 19:04:25.686"</f>
        <v>10/21/2020 19:04:25.686</v>
      </c>
      <c r="B7175" t="str">
        <f>"19:04:33.641"</f>
        <v>19:04:33.641</v>
      </c>
      <c r="C7175" t="str">
        <f>"19:04:33.241"</f>
        <v>19:04:33.241</v>
      </c>
      <c r="D7175" t="s">
        <v>2927</v>
      </c>
      <c r="E7175">
        <v>30.372519</v>
      </c>
      <c r="F7175" t="s">
        <v>392</v>
      </c>
      <c r="G7175">
        <v>-89.820507000000006</v>
      </c>
      <c r="H7175">
        <v>500</v>
      </c>
      <c r="I7175">
        <v>11</v>
      </c>
      <c r="J7175">
        <v>-120</v>
      </c>
      <c r="K7175">
        <v>64</v>
      </c>
      <c r="L7175">
        <v>1200</v>
      </c>
      <c r="M7175" t="str">
        <f t="shared" ref="M7175:M7238" si="748">"N35DC   "</f>
        <v xml:space="preserve">N35DC   </v>
      </c>
      <c r="N7175">
        <v>1</v>
      </c>
      <c r="O7175">
        <v>550</v>
      </c>
    </row>
    <row r="7176" spans="1:15" x14ac:dyDescent="0.25">
      <c r="A7176" t="str">
        <f>"10/21/2020 19:04:25.686"</f>
        <v>10/21/2020 19:04:25.686</v>
      </c>
      <c r="B7176" t="str">
        <f>"19:04:33.641"</f>
        <v>19:04:33.641</v>
      </c>
      <c r="C7176" t="str">
        <f>"19:04:33.241"</f>
        <v>19:04:33.241</v>
      </c>
      <c r="D7176" t="s">
        <v>2927</v>
      </c>
      <c r="E7176">
        <v>30.372519</v>
      </c>
      <c r="F7176" t="s">
        <v>392</v>
      </c>
      <c r="G7176">
        <v>-89.820507000000006</v>
      </c>
      <c r="H7176">
        <v>500</v>
      </c>
      <c r="I7176">
        <v>11</v>
      </c>
      <c r="J7176">
        <v>-120</v>
      </c>
      <c r="K7176">
        <v>64</v>
      </c>
      <c r="L7176">
        <v>1200</v>
      </c>
      <c r="M7176" t="str">
        <f t="shared" si="748"/>
        <v xml:space="preserve">N35DC   </v>
      </c>
      <c r="N7176">
        <v>1</v>
      </c>
      <c r="O7176">
        <v>550</v>
      </c>
    </row>
    <row r="7177" spans="1:15" x14ac:dyDescent="0.25">
      <c r="A7177" t="str">
        <f>"10/21/2020 19:04:25.686"</f>
        <v>10/21/2020 19:04:25.686</v>
      </c>
      <c r="B7177" t="str">
        <f>"19:04:33.641"</f>
        <v>19:04:33.641</v>
      </c>
      <c r="C7177" t="str">
        <f>"19:04:33.241"</f>
        <v>19:04:33.241</v>
      </c>
      <c r="D7177" t="s">
        <v>2927</v>
      </c>
      <c r="E7177">
        <v>30.372519</v>
      </c>
      <c r="F7177" t="s">
        <v>392</v>
      </c>
      <c r="G7177">
        <v>-89.820507000000006</v>
      </c>
      <c r="H7177">
        <v>500</v>
      </c>
      <c r="I7177">
        <v>11</v>
      </c>
      <c r="J7177">
        <v>-120</v>
      </c>
      <c r="K7177">
        <v>64</v>
      </c>
      <c r="L7177">
        <v>1200</v>
      </c>
      <c r="M7177" t="str">
        <f t="shared" si="748"/>
        <v xml:space="preserve">N35DC   </v>
      </c>
      <c r="N7177">
        <v>1</v>
      </c>
      <c r="O7177">
        <v>550</v>
      </c>
    </row>
    <row r="7178" spans="1:15" x14ac:dyDescent="0.25">
      <c r="A7178" t="str">
        <f>"10/21/2020 19:04:25.686"</f>
        <v>10/21/2020 19:04:25.686</v>
      </c>
      <c r="B7178" t="str">
        <f>"19:04:33.641"</f>
        <v>19:04:33.641</v>
      </c>
      <c r="C7178" t="str">
        <f>"19:04:33.241"</f>
        <v>19:04:33.241</v>
      </c>
      <c r="D7178" t="s">
        <v>2927</v>
      </c>
      <c r="E7178">
        <v>30.372519</v>
      </c>
      <c r="F7178" t="s">
        <v>392</v>
      </c>
      <c r="G7178">
        <v>-89.820507000000006</v>
      </c>
      <c r="H7178">
        <v>500</v>
      </c>
      <c r="I7178">
        <v>11</v>
      </c>
      <c r="J7178">
        <v>-120</v>
      </c>
      <c r="K7178">
        <v>64</v>
      </c>
      <c r="L7178">
        <v>1200</v>
      </c>
      <c r="M7178" t="str">
        <f t="shared" si="748"/>
        <v xml:space="preserve">N35DC   </v>
      </c>
      <c r="N7178">
        <v>1</v>
      </c>
      <c r="O7178">
        <v>550</v>
      </c>
    </row>
    <row r="7179" spans="1:15" x14ac:dyDescent="0.25">
      <c r="A7179" t="str">
        <f>"10/21/2020 19:04:25.686"</f>
        <v>10/21/2020 19:04:25.686</v>
      </c>
      <c r="B7179" t="str">
        <f>"19:04:33.641"</f>
        <v>19:04:33.641</v>
      </c>
      <c r="C7179" t="str">
        <f>"19:04:33.241"</f>
        <v>19:04:33.241</v>
      </c>
      <c r="D7179" t="s">
        <v>2927</v>
      </c>
      <c r="E7179">
        <v>30.372519</v>
      </c>
      <c r="F7179" t="s">
        <v>392</v>
      </c>
      <c r="G7179">
        <v>-89.820507000000006</v>
      </c>
      <c r="H7179">
        <v>500</v>
      </c>
      <c r="I7179">
        <v>11</v>
      </c>
      <c r="J7179">
        <v>-120</v>
      </c>
      <c r="K7179">
        <v>64</v>
      </c>
      <c r="L7179">
        <v>1200</v>
      </c>
      <c r="M7179" t="str">
        <f t="shared" si="748"/>
        <v xml:space="preserve">N35DC   </v>
      </c>
      <c r="N7179">
        <v>1</v>
      </c>
      <c r="O7179">
        <v>550</v>
      </c>
    </row>
    <row r="7180" spans="1:15" x14ac:dyDescent="0.25">
      <c r="A7180" t="str">
        <f>"10/21/2020 19:04:26.780"</f>
        <v>10/21/2020 19:04:26.780</v>
      </c>
      <c r="B7180" t="str">
        <f t="shared" ref="B7180:C7184" si="749">"19:04:34.734"</f>
        <v>19:04:34.734</v>
      </c>
      <c r="C7180" t="str">
        <f t="shared" si="749"/>
        <v>19:04:34.734</v>
      </c>
      <c r="D7180" t="s">
        <v>2928</v>
      </c>
      <c r="E7180">
        <v>30.371939999999999</v>
      </c>
      <c r="F7180" t="s">
        <v>2321</v>
      </c>
      <c r="G7180">
        <v>-89.820420999999996</v>
      </c>
      <c r="H7180">
        <v>500</v>
      </c>
      <c r="I7180">
        <v>17</v>
      </c>
      <c r="J7180">
        <v>-117</v>
      </c>
      <c r="K7180">
        <v>256</v>
      </c>
      <c r="L7180">
        <v>1200</v>
      </c>
      <c r="M7180" t="str">
        <f t="shared" si="748"/>
        <v xml:space="preserve">N35DC   </v>
      </c>
      <c r="N7180">
        <v>1</v>
      </c>
      <c r="O7180">
        <v>550</v>
      </c>
    </row>
    <row r="7181" spans="1:15" x14ac:dyDescent="0.25">
      <c r="A7181" t="str">
        <f>"10/21/2020 19:04:26.780"</f>
        <v>10/21/2020 19:04:26.780</v>
      </c>
      <c r="B7181" t="str">
        <f t="shared" si="749"/>
        <v>19:04:34.734</v>
      </c>
      <c r="C7181" t="str">
        <f t="shared" si="749"/>
        <v>19:04:34.734</v>
      </c>
      <c r="D7181" t="s">
        <v>2928</v>
      </c>
      <c r="E7181">
        <v>30.371939999999999</v>
      </c>
      <c r="F7181" t="s">
        <v>2321</v>
      </c>
      <c r="G7181">
        <v>-89.820420999999996</v>
      </c>
      <c r="H7181">
        <v>500</v>
      </c>
      <c r="I7181">
        <v>17</v>
      </c>
      <c r="J7181">
        <v>-117</v>
      </c>
      <c r="K7181">
        <v>256</v>
      </c>
      <c r="L7181">
        <v>1200</v>
      </c>
      <c r="M7181" t="str">
        <f t="shared" si="748"/>
        <v xml:space="preserve">N35DC   </v>
      </c>
      <c r="N7181">
        <v>1</v>
      </c>
      <c r="O7181">
        <v>550</v>
      </c>
    </row>
    <row r="7182" spans="1:15" x14ac:dyDescent="0.25">
      <c r="A7182" t="str">
        <f>"10/21/2020 19:04:26.780"</f>
        <v>10/21/2020 19:04:26.780</v>
      </c>
      <c r="B7182" t="str">
        <f t="shared" si="749"/>
        <v>19:04:34.734</v>
      </c>
      <c r="C7182" t="str">
        <f t="shared" si="749"/>
        <v>19:04:34.734</v>
      </c>
      <c r="D7182" t="s">
        <v>2928</v>
      </c>
      <c r="E7182">
        <v>30.371939999999999</v>
      </c>
      <c r="F7182" t="s">
        <v>2321</v>
      </c>
      <c r="G7182">
        <v>-89.820420999999996</v>
      </c>
      <c r="H7182">
        <v>500</v>
      </c>
      <c r="I7182">
        <v>17</v>
      </c>
      <c r="J7182">
        <v>-117</v>
      </c>
      <c r="K7182">
        <v>256</v>
      </c>
      <c r="L7182">
        <v>1200</v>
      </c>
      <c r="M7182" t="str">
        <f t="shared" si="748"/>
        <v xml:space="preserve">N35DC   </v>
      </c>
      <c r="N7182">
        <v>1</v>
      </c>
      <c r="O7182">
        <v>550</v>
      </c>
    </row>
    <row r="7183" spans="1:15" x14ac:dyDescent="0.25">
      <c r="A7183" t="str">
        <f>"10/21/2020 19:04:26.780"</f>
        <v>10/21/2020 19:04:26.780</v>
      </c>
      <c r="B7183" t="str">
        <f t="shared" si="749"/>
        <v>19:04:34.734</v>
      </c>
      <c r="C7183" t="str">
        <f t="shared" si="749"/>
        <v>19:04:34.734</v>
      </c>
      <c r="D7183" t="s">
        <v>2928</v>
      </c>
      <c r="E7183">
        <v>30.371939999999999</v>
      </c>
      <c r="F7183" t="s">
        <v>2321</v>
      </c>
      <c r="G7183">
        <v>-89.820420999999996</v>
      </c>
      <c r="H7183">
        <v>500</v>
      </c>
      <c r="I7183">
        <v>17</v>
      </c>
      <c r="J7183">
        <v>-117</v>
      </c>
      <c r="K7183">
        <v>256</v>
      </c>
      <c r="L7183">
        <v>1200</v>
      </c>
      <c r="M7183" t="str">
        <f t="shared" si="748"/>
        <v xml:space="preserve">N35DC   </v>
      </c>
      <c r="N7183">
        <v>1</v>
      </c>
      <c r="O7183">
        <v>550</v>
      </c>
    </row>
    <row r="7184" spans="1:15" x14ac:dyDescent="0.25">
      <c r="A7184" t="str">
        <f>"10/21/2020 19:04:26.780"</f>
        <v>10/21/2020 19:04:26.780</v>
      </c>
      <c r="B7184" t="str">
        <f t="shared" si="749"/>
        <v>19:04:34.734</v>
      </c>
      <c r="C7184" t="str">
        <f t="shared" si="749"/>
        <v>19:04:34.734</v>
      </c>
      <c r="D7184" t="s">
        <v>2928</v>
      </c>
      <c r="E7184">
        <v>30.371939999999999</v>
      </c>
      <c r="F7184" t="s">
        <v>2321</v>
      </c>
      <c r="G7184">
        <v>-89.820420999999996</v>
      </c>
      <c r="H7184">
        <v>500</v>
      </c>
      <c r="I7184">
        <v>17</v>
      </c>
      <c r="J7184">
        <v>-117</v>
      </c>
      <c r="K7184">
        <v>256</v>
      </c>
      <c r="L7184">
        <v>1200</v>
      </c>
      <c r="M7184" t="str">
        <f t="shared" si="748"/>
        <v xml:space="preserve">N35DC   </v>
      </c>
      <c r="N7184">
        <v>1</v>
      </c>
      <c r="O7184">
        <v>550</v>
      </c>
    </row>
    <row r="7185" spans="1:15" x14ac:dyDescent="0.25">
      <c r="A7185" t="str">
        <f>"10/21/2020 19:04:29.737"</f>
        <v>10/21/2020 19:04:29.737</v>
      </c>
      <c r="B7185" t="str">
        <f>"19:04:37.703"</f>
        <v>19:04:37.703</v>
      </c>
      <c r="C7185" t="str">
        <f>"19:04:37.403"</f>
        <v>19:04:37.403</v>
      </c>
      <c r="D7185" t="s">
        <v>2929</v>
      </c>
      <c r="E7185">
        <v>30.370374000000002</v>
      </c>
      <c r="F7185" t="s">
        <v>2930</v>
      </c>
      <c r="G7185">
        <v>-89.820013000000003</v>
      </c>
      <c r="H7185">
        <v>600</v>
      </c>
      <c r="I7185">
        <v>29</v>
      </c>
      <c r="J7185">
        <v>-112</v>
      </c>
      <c r="K7185">
        <v>256</v>
      </c>
      <c r="L7185">
        <v>1200</v>
      </c>
      <c r="M7185" t="str">
        <f t="shared" si="748"/>
        <v xml:space="preserve">N35DC   </v>
      </c>
      <c r="N7185">
        <v>1</v>
      </c>
      <c r="O7185">
        <v>550</v>
      </c>
    </row>
    <row r="7186" spans="1:15" x14ac:dyDescent="0.25">
      <c r="A7186" t="str">
        <f>"10/21/2020 19:04:29.737"</f>
        <v>10/21/2020 19:04:29.737</v>
      </c>
      <c r="B7186" t="str">
        <f>"19:04:37.703"</f>
        <v>19:04:37.703</v>
      </c>
      <c r="C7186" t="str">
        <f>"19:04:37.403"</f>
        <v>19:04:37.403</v>
      </c>
      <c r="D7186" t="s">
        <v>2929</v>
      </c>
      <c r="E7186">
        <v>30.370374000000002</v>
      </c>
      <c r="F7186" t="s">
        <v>2930</v>
      </c>
      <c r="G7186">
        <v>-89.820013000000003</v>
      </c>
      <c r="H7186">
        <v>600</v>
      </c>
      <c r="I7186">
        <v>29</v>
      </c>
      <c r="J7186">
        <v>-112</v>
      </c>
      <c r="K7186">
        <v>256</v>
      </c>
      <c r="L7186">
        <v>1200</v>
      </c>
      <c r="M7186" t="str">
        <f t="shared" si="748"/>
        <v xml:space="preserve">N35DC   </v>
      </c>
      <c r="N7186">
        <v>1</v>
      </c>
      <c r="O7186">
        <v>550</v>
      </c>
    </row>
    <row r="7187" spans="1:15" x14ac:dyDescent="0.25">
      <c r="A7187" t="str">
        <f>"10/21/2020 19:04:29.737"</f>
        <v>10/21/2020 19:04:29.737</v>
      </c>
      <c r="B7187" t="str">
        <f>"19:04:37.703"</f>
        <v>19:04:37.703</v>
      </c>
      <c r="C7187" t="str">
        <f>"19:04:37.403"</f>
        <v>19:04:37.403</v>
      </c>
      <c r="D7187" t="s">
        <v>2929</v>
      </c>
      <c r="E7187">
        <v>30.370374000000002</v>
      </c>
      <c r="F7187" t="s">
        <v>2930</v>
      </c>
      <c r="G7187">
        <v>-89.820013000000003</v>
      </c>
      <c r="H7187">
        <v>600</v>
      </c>
      <c r="I7187">
        <v>29</v>
      </c>
      <c r="J7187">
        <v>-112</v>
      </c>
      <c r="K7187">
        <v>256</v>
      </c>
      <c r="L7187">
        <v>1200</v>
      </c>
      <c r="M7187" t="str">
        <f t="shared" si="748"/>
        <v xml:space="preserve">N35DC   </v>
      </c>
      <c r="N7187">
        <v>1</v>
      </c>
      <c r="O7187">
        <v>550</v>
      </c>
    </row>
    <row r="7188" spans="1:15" x14ac:dyDescent="0.25">
      <c r="A7188" t="str">
        <f>"10/21/2020 19:04:29.737"</f>
        <v>10/21/2020 19:04:29.737</v>
      </c>
      <c r="B7188" t="str">
        <f>"19:04:37.703"</f>
        <v>19:04:37.703</v>
      </c>
      <c r="C7188" t="str">
        <f>"19:04:37.403"</f>
        <v>19:04:37.403</v>
      </c>
      <c r="D7188" t="s">
        <v>2929</v>
      </c>
      <c r="E7188">
        <v>30.370374000000002</v>
      </c>
      <c r="F7188" t="s">
        <v>2930</v>
      </c>
      <c r="G7188">
        <v>-89.820013000000003</v>
      </c>
      <c r="H7188">
        <v>600</v>
      </c>
      <c r="I7188">
        <v>29</v>
      </c>
      <c r="J7188">
        <v>-112</v>
      </c>
      <c r="K7188">
        <v>256</v>
      </c>
      <c r="L7188">
        <v>1200</v>
      </c>
      <c r="M7188" t="str">
        <f t="shared" si="748"/>
        <v xml:space="preserve">N35DC   </v>
      </c>
      <c r="N7188">
        <v>1</v>
      </c>
      <c r="O7188">
        <v>550</v>
      </c>
    </row>
    <row r="7189" spans="1:15" x14ac:dyDescent="0.25">
      <c r="A7189" t="str">
        <f>"10/21/2020 19:04:29.737"</f>
        <v>10/21/2020 19:04:29.737</v>
      </c>
      <c r="B7189" t="str">
        <f>"19:04:37.703"</f>
        <v>19:04:37.703</v>
      </c>
      <c r="C7189" t="str">
        <f>"19:04:37.403"</f>
        <v>19:04:37.403</v>
      </c>
      <c r="D7189" t="s">
        <v>2929</v>
      </c>
      <c r="E7189">
        <v>30.370374000000002</v>
      </c>
      <c r="F7189" t="s">
        <v>2930</v>
      </c>
      <c r="G7189">
        <v>-89.820013000000003</v>
      </c>
      <c r="H7189">
        <v>600</v>
      </c>
      <c r="I7189">
        <v>29</v>
      </c>
      <c r="J7189">
        <v>-112</v>
      </c>
      <c r="K7189">
        <v>256</v>
      </c>
      <c r="L7189">
        <v>1200</v>
      </c>
      <c r="M7189" t="str">
        <f t="shared" si="748"/>
        <v xml:space="preserve">N35DC   </v>
      </c>
      <c r="N7189">
        <v>1</v>
      </c>
      <c r="O7189">
        <v>550</v>
      </c>
    </row>
    <row r="7190" spans="1:15" x14ac:dyDescent="0.25">
      <c r="A7190" t="str">
        <f>"10/21/2020 19:04:30.789"</f>
        <v>10/21/2020 19:04:30.789</v>
      </c>
      <c r="B7190" t="str">
        <f>"19:04:38.758"</f>
        <v>19:04:38.758</v>
      </c>
      <c r="C7190" t="str">
        <f>"19:04:38.458"</f>
        <v>19:04:38.458</v>
      </c>
      <c r="D7190" t="s">
        <v>2931</v>
      </c>
      <c r="E7190">
        <v>30.369837</v>
      </c>
      <c r="F7190" t="s">
        <v>2879</v>
      </c>
      <c r="G7190">
        <v>-89.819820000000007</v>
      </c>
      <c r="H7190">
        <v>600</v>
      </c>
      <c r="I7190">
        <v>34</v>
      </c>
      <c r="J7190">
        <v>-110</v>
      </c>
      <c r="K7190">
        <v>256</v>
      </c>
      <c r="L7190">
        <v>1200</v>
      </c>
      <c r="M7190" t="str">
        <f t="shared" si="748"/>
        <v xml:space="preserve">N35DC   </v>
      </c>
      <c r="N7190">
        <v>1</v>
      </c>
      <c r="O7190">
        <v>550</v>
      </c>
    </row>
    <row r="7191" spans="1:15" x14ac:dyDescent="0.25">
      <c r="A7191" t="str">
        <f>"10/21/2020 19:04:30.789"</f>
        <v>10/21/2020 19:04:30.789</v>
      </c>
      <c r="B7191" t="str">
        <f>"19:04:38.758"</f>
        <v>19:04:38.758</v>
      </c>
      <c r="C7191" t="str">
        <f>"19:04:38.458"</f>
        <v>19:04:38.458</v>
      </c>
      <c r="D7191" t="s">
        <v>2931</v>
      </c>
      <c r="E7191">
        <v>30.369837</v>
      </c>
      <c r="F7191" t="s">
        <v>2879</v>
      </c>
      <c r="G7191">
        <v>-89.819820000000007</v>
      </c>
      <c r="H7191">
        <v>600</v>
      </c>
      <c r="I7191">
        <v>34</v>
      </c>
      <c r="J7191">
        <v>-110</v>
      </c>
      <c r="K7191">
        <v>256</v>
      </c>
      <c r="L7191">
        <v>1200</v>
      </c>
      <c r="M7191" t="str">
        <f t="shared" si="748"/>
        <v xml:space="preserve">N35DC   </v>
      </c>
      <c r="N7191">
        <v>1</v>
      </c>
      <c r="O7191">
        <v>550</v>
      </c>
    </row>
    <row r="7192" spans="1:15" x14ac:dyDescent="0.25">
      <c r="A7192" t="str">
        <f>"10/21/2020 19:04:30.789"</f>
        <v>10/21/2020 19:04:30.789</v>
      </c>
      <c r="B7192" t="str">
        <f>"19:04:38.758"</f>
        <v>19:04:38.758</v>
      </c>
      <c r="C7192" t="str">
        <f>"19:04:38.458"</f>
        <v>19:04:38.458</v>
      </c>
      <c r="D7192" t="s">
        <v>2931</v>
      </c>
      <c r="E7192">
        <v>30.369837</v>
      </c>
      <c r="F7192" t="s">
        <v>2879</v>
      </c>
      <c r="G7192">
        <v>-89.819820000000007</v>
      </c>
      <c r="H7192">
        <v>600</v>
      </c>
      <c r="I7192">
        <v>34</v>
      </c>
      <c r="J7192">
        <v>-110</v>
      </c>
      <c r="K7192">
        <v>256</v>
      </c>
      <c r="L7192">
        <v>1200</v>
      </c>
      <c r="M7192" t="str">
        <f t="shared" si="748"/>
        <v xml:space="preserve">N35DC   </v>
      </c>
      <c r="N7192">
        <v>1</v>
      </c>
      <c r="O7192">
        <v>550</v>
      </c>
    </row>
    <row r="7193" spans="1:15" x14ac:dyDescent="0.25">
      <c r="A7193" t="str">
        <f>"10/21/2020 19:04:30.789"</f>
        <v>10/21/2020 19:04:30.789</v>
      </c>
      <c r="B7193" t="str">
        <f>"19:04:38.758"</f>
        <v>19:04:38.758</v>
      </c>
      <c r="C7193" t="str">
        <f>"19:04:38.458"</f>
        <v>19:04:38.458</v>
      </c>
      <c r="D7193" t="s">
        <v>2931</v>
      </c>
      <c r="E7193">
        <v>30.369837</v>
      </c>
      <c r="F7193" t="s">
        <v>2879</v>
      </c>
      <c r="G7193">
        <v>-89.819820000000007</v>
      </c>
      <c r="H7193">
        <v>600</v>
      </c>
      <c r="I7193">
        <v>34</v>
      </c>
      <c r="J7193">
        <v>-110</v>
      </c>
      <c r="K7193">
        <v>256</v>
      </c>
      <c r="L7193">
        <v>1200</v>
      </c>
      <c r="M7193" t="str">
        <f t="shared" si="748"/>
        <v xml:space="preserve">N35DC   </v>
      </c>
      <c r="N7193">
        <v>1</v>
      </c>
      <c r="O7193">
        <v>550</v>
      </c>
    </row>
    <row r="7194" spans="1:15" x14ac:dyDescent="0.25">
      <c r="A7194" t="str">
        <f>"10/21/2020 19:04:30.789"</f>
        <v>10/21/2020 19:04:30.789</v>
      </c>
      <c r="B7194" t="str">
        <f>"19:04:38.758"</f>
        <v>19:04:38.758</v>
      </c>
      <c r="C7194" t="str">
        <f>"19:04:38.458"</f>
        <v>19:04:38.458</v>
      </c>
      <c r="D7194" t="s">
        <v>2931</v>
      </c>
      <c r="E7194">
        <v>30.369837</v>
      </c>
      <c r="F7194" t="s">
        <v>2879</v>
      </c>
      <c r="G7194">
        <v>-89.819820000000007</v>
      </c>
      <c r="H7194">
        <v>600</v>
      </c>
      <c r="I7194">
        <v>34</v>
      </c>
      <c r="J7194">
        <v>-110</v>
      </c>
      <c r="K7194">
        <v>256</v>
      </c>
      <c r="L7194">
        <v>1200</v>
      </c>
      <c r="M7194" t="str">
        <f t="shared" si="748"/>
        <v xml:space="preserve">N35DC   </v>
      </c>
      <c r="N7194">
        <v>1</v>
      </c>
      <c r="O7194">
        <v>550</v>
      </c>
    </row>
    <row r="7195" spans="1:15" x14ac:dyDescent="0.25">
      <c r="A7195" t="str">
        <f>"10/21/2020 19:04:31.923"</f>
        <v>10/21/2020 19:04:31.923</v>
      </c>
      <c r="B7195" t="str">
        <f>"19:04:39.883"</f>
        <v>19:04:39.883</v>
      </c>
      <c r="C7195" t="str">
        <f>"19:04:39.483"</f>
        <v>19:04:39.483</v>
      </c>
      <c r="D7195" t="s">
        <v>2932</v>
      </c>
      <c r="E7195">
        <v>30.369322</v>
      </c>
      <c r="F7195" t="s">
        <v>2878</v>
      </c>
      <c r="G7195">
        <v>-89.819541000000001</v>
      </c>
      <c r="H7195">
        <v>600</v>
      </c>
      <c r="I7195">
        <v>41</v>
      </c>
      <c r="J7195">
        <v>-107</v>
      </c>
      <c r="K7195">
        <v>384</v>
      </c>
      <c r="L7195">
        <v>1200</v>
      </c>
      <c r="M7195" t="str">
        <f t="shared" si="748"/>
        <v xml:space="preserve">N35DC   </v>
      </c>
      <c r="N7195">
        <v>1</v>
      </c>
      <c r="O7195">
        <v>575</v>
      </c>
    </row>
    <row r="7196" spans="1:15" x14ac:dyDescent="0.25">
      <c r="A7196" t="str">
        <f>"10/21/2020 19:04:31.923"</f>
        <v>10/21/2020 19:04:31.923</v>
      </c>
      <c r="B7196" t="str">
        <f>"19:04:39.883"</f>
        <v>19:04:39.883</v>
      </c>
      <c r="C7196" t="str">
        <f>"19:04:39.483"</f>
        <v>19:04:39.483</v>
      </c>
      <c r="D7196" t="s">
        <v>2932</v>
      </c>
      <c r="E7196">
        <v>30.369322</v>
      </c>
      <c r="F7196" t="s">
        <v>2878</v>
      </c>
      <c r="G7196">
        <v>-89.819541000000001</v>
      </c>
      <c r="H7196">
        <v>600</v>
      </c>
      <c r="I7196">
        <v>41</v>
      </c>
      <c r="J7196">
        <v>-107</v>
      </c>
      <c r="K7196">
        <v>384</v>
      </c>
      <c r="L7196">
        <v>1200</v>
      </c>
      <c r="M7196" t="str">
        <f t="shared" si="748"/>
        <v xml:space="preserve">N35DC   </v>
      </c>
      <c r="N7196">
        <v>1</v>
      </c>
      <c r="O7196">
        <v>575</v>
      </c>
    </row>
    <row r="7197" spans="1:15" x14ac:dyDescent="0.25">
      <c r="A7197" t="str">
        <f>"10/21/2020 19:04:31.923"</f>
        <v>10/21/2020 19:04:31.923</v>
      </c>
      <c r="B7197" t="str">
        <f>"19:04:39.883"</f>
        <v>19:04:39.883</v>
      </c>
      <c r="C7197" t="str">
        <f>"19:04:39.483"</f>
        <v>19:04:39.483</v>
      </c>
      <c r="D7197" t="s">
        <v>2932</v>
      </c>
      <c r="E7197">
        <v>30.369322</v>
      </c>
      <c r="F7197" t="s">
        <v>2878</v>
      </c>
      <c r="G7197">
        <v>-89.819541000000001</v>
      </c>
      <c r="H7197">
        <v>600</v>
      </c>
      <c r="I7197">
        <v>41</v>
      </c>
      <c r="J7197">
        <v>-107</v>
      </c>
      <c r="K7197">
        <v>384</v>
      </c>
      <c r="L7197">
        <v>1200</v>
      </c>
      <c r="M7197" t="str">
        <f t="shared" si="748"/>
        <v xml:space="preserve">N35DC   </v>
      </c>
      <c r="N7197">
        <v>1</v>
      </c>
      <c r="O7197">
        <v>575</v>
      </c>
    </row>
    <row r="7198" spans="1:15" x14ac:dyDescent="0.25">
      <c r="A7198" t="str">
        <f>"10/21/2020 19:04:31.923"</f>
        <v>10/21/2020 19:04:31.923</v>
      </c>
      <c r="B7198" t="str">
        <f>"19:04:39.883"</f>
        <v>19:04:39.883</v>
      </c>
      <c r="C7198" t="str">
        <f>"19:04:39.483"</f>
        <v>19:04:39.483</v>
      </c>
      <c r="D7198" t="s">
        <v>2932</v>
      </c>
      <c r="E7198">
        <v>30.369322</v>
      </c>
      <c r="F7198" t="s">
        <v>2878</v>
      </c>
      <c r="G7198">
        <v>-89.819541000000001</v>
      </c>
      <c r="H7198">
        <v>600</v>
      </c>
      <c r="I7198">
        <v>41</v>
      </c>
      <c r="J7198">
        <v>-107</v>
      </c>
      <c r="K7198">
        <v>384</v>
      </c>
      <c r="L7198">
        <v>1200</v>
      </c>
      <c r="M7198" t="str">
        <f t="shared" si="748"/>
        <v xml:space="preserve">N35DC   </v>
      </c>
      <c r="N7198">
        <v>1</v>
      </c>
      <c r="O7198">
        <v>575</v>
      </c>
    </row>
    <row r="7199" spans="1:15" x14ac:dyDescent="0.25">
      <c r="A7199" t="str">
        <f>"10/21/2020 19:04:31.923"</f>
        <v>10/21/2020 19:04:31.923</v>
      </c>
      <c r="B7199" t="str">
        <f>"19:04:39.883"</f>
        <v>19:04:39.883</v>
      </c>
      <c r="C7199" t="str">
        <f>"19:04:39.483"</f>
        <v>19:04:39.483</v>
      </c>
      <c r="D7199" t="s">
        <v>2932</v>
      </c>
      <c r="E7199">
        <v>30.369322</v>
      </c>
      <c r="F7199" t="s">
        <v>2878</v>
      </c>
      <c r="G7199">
        <v>-89.819541000000001</v>
      </c>
      <c r="H7199">
        <v>600</v>
      </c>
      <c r="I7199">
        <v>41</v>
      </c>
      <c r="J7199">
        <v>-107</v>
      </c>
      <c r="K7199">
        <v>384</v>
      </c>
      <c r="L7199">
        <v>1200</v>
      </c>
      <c r="M7199" t="str">
        <f t="shared" si="748"/>
        <v xml:space="preserve">N35DC   </v>
      </c>
      <c r="N7199">
        <v>1</v>
      </c>
      <c r="O7199">
        <v>575</v>
      </c>
    </row>
    <row r="7200" spans="1:15" x14ac:dyDescent="0.25">
      <c r="A7200" t="str">
        <f>"10/21/2020 19:04:34.814"</f>
        <v>10/21/2020 19:04:34.814</v>
      </c>
      <c r="B7200" t="str">
        <f>"19:04:42.742"</f>
        <v>19:04:42.742</v>
      </c>
      <c r="C7200" t="str">
        <f>"19:04:42.342"</f>
        <v>19:04:42.342</v>
      </c>
      <c r="D7200" t="s">
        <v>2933</v>
      </c>
      <c r="E7200">
        <v>30.36797</v>
      </c>
      <c r="F7200" t="s">
        <v>2801</v>
      </c>
      <c r="G7200">
        <v>-89.818725999999998</v>
      </c>
      <c r="H7200">
        <v>600</v>
      </c>
      <c r="I7200">
        <v>57</v>
      </c>
      <c r="J7200">
        <v>-99</v>
      </c>
      <c r="K7200">
        <v>576</v>
      </c>
      <c r="L7200">
        <v>1200</v>
      </c>
      <c r="M7200" t="str">
        <f t="shared" si="748"/>
        <v xml:space="preserve">N35DC   </v>
      </c>
      <c r="N7200">
        <v>1</v>
      </c>
      <c r="O7200">
        <v>600</v>
      </c>
    </row>
    <row r="7201" spans="1:15" x14ac:dyDescent="0.25">
      <c r="A7201" t="str">
        <f>"10/21/2020 19:04:34.814"</f>
        <v>10/21/2020 19:04:34.814</v>
      </c>
      <c r="B7201" t="str">
        <f>"19:04:42.742"</f>
        <v>19:04:42.742</v>
      </c>
      <c r="C7201" t="str">
        <f>"19:04:42.342"</f>
        <v>19:04:42.342</v>
      </c>
      <c r="D7201" t="s">
        <v>2933</v>
      </c>
      <c r="E7201">
        <v>30.36797</v>
      </c>
      <c r="F7201" t="s">
        <v>2801</v>
      </c>
      <c r="G7201">
        <v>-89.818725999999998</v>
      </c>
      <c r="H7201">
        <v>600</v>
      </c>
      <c r="I7201">
        <v>57</v>
      </c>
      <c r="J7201">
        <v>-99</v>
      </c>
      <c r="K7201">
        <v>576</v>
      </c>
      <c r="L7201">
        <v>1200</v>
      </c>
      <c r="M7201" t="str">
        <f t="shared" si="748"/>
        <v xml:space="preserve">N35DC   </v>
      </c>
      <c r="N7201">
        <v>1</v>
      </c>
      <c r="O7201">
        <v>600</v>
      </c>
    </row>
    <row r="7202" spans="1:15" x14ac:dyDescent="0.25">
      <c r="A7202" t="str">
        <f>"10/21/2020 19:04:34.814"</f>
        <v>10/21/2020 19:04:34.814</v>
      </c>
      <c r="B7202" t="str">
        <f>"19:04:42.742"</f>
        <v>19:04:42.742</v>
      </c>
      <c r="C7202" t="str">
        <f>"19:04:42.342"</f>
        <v>19:04:42.342</v>
      </c>
      <c r="D7202" t="s">
        <v>2933</v>
      </c>
      <c r="E7202">
        <v>30.36797</v>
      </c>
      <c r="F7202" t="s">
        <v>2801</v>
      </c>
      <c r="G7202">
        <v>-89.818725999999998</v>
      </c>
      <c r="H7202">
        <v>600</v>
      </c>
      <c r="I7202">
        <v>57</v>
      </c>
      <c r="J7202">
        <v>-99</v>
      </c>
      <c r="K7202">
        <v>576</v>
      </c>
      <c r="L7202">
        <v>1200</v>
      </c>
      <c r="M7202" t="str">
        <f t="shared" si="748"/>
        <v xml:space="preserve">N35DC   </v>
      </c>
      <c r="N7202">
        <v>1</v>
      </c>
      <c r="O7202">
        <v>600</v>
      </c>
    </row>
    <row r="7203" spans="1:15" x14ac:dyDescent="0.25">
      <c r="A7203" t="str">
        <f>"10/21/2020 19:04:34.814"</f>
        <v>10/21/2020 19:04:34.814</v>
      </c>
      <c r="B7203" t="str">
        <f>"19:04:42.742"</f>
        <v>19:04:42.742</v>
      </c>
      <c r="C7203" t="str">
        <f>"19:04:42.342"</f>
        <v>19:04:42.342</v>
      </c>
      <c r="D7203" t="s">
        <v>2933</v>
      </c>
      <c r="E7203">
        <v>30.36797</v>
      </c>
      <c r="F7203" t="s">
        <v>2801</v>
      </c>
      <c r="G7203">
        <v>-89.818725999999998</v>
      </c>
      <c r="H7203">
        <v>600</v>
      </c>
      <c r="I7203">
        <v>57</v>
      </c>
      <c r="J7203">
        <v>-99</v>
      </c>
      <c r="K7203">
        <v>576</v>
      </c>
      <c r="L7203">
        <v>1200</v>
      </c>
      <c r="M7203" t="str">
        <f t="shared" si="748"/>
        <v xml:space="preserve">N35DC   </v>
      </c>
      <c r="N7203">
        <v>1</v>
      </c>
      <c r="O7203">
        <v>600</v>
      </c>
    </row>
    <row r="7204" spans="1:15" x14ac:dyDescent="0.25">
      <c r="A7204" t="str">
        <f>"10/21/2020 19:04:34.814"</f>
        <v>10/21/2020 19:04:34.814</v>
      </c>
      <c r="B7204" t="str">
        <f>"19:04:42.742"</f>
        <v>19:04:42.742</v>
      </c>
      <c r="C7204" t="str">
        <f>"19:04:42.342"</f>
        <v>19:04:42.342</v>
      </c>
      <c r="D7204" t="s">
        <v>2933</v>
      </c>
      <c r="E7204">
        <v>30.36797</v>
      </c>
      <c r="F7204" t="s">
        <v>2801</v>
      </c>
      <c r="G7204">
        <v>-89.818725999999998</v>
      </c>
      <c r="H7204">
        <v>600</v>
      </c>
      <c r="I7204">
        <v>57</v>
      </c>
      <c r="J7204">
        <v>-99</v>
      </c>
      <c r="K7204">
        <v>576</v>
      </c>
      <c r="L7204">
        <v>1200</v>
      </c>
      <c r="M7204" t="str">
        <f t="shared" si="748"/>
        <v xml:space="preserve">N35DC   </v>
      </c>
      <c r="N7204">
        <v>1</v>
      </c>
      <c r="O7204">
        <v>600</v>
      </c>
    </row>
    <row r="7205" spans="1:15" x14ac:dyDescent="0.25">
      <c r="A7205" t="str">
        <f>"10/21/2020 19:04:35.787"</f>
        <v>10/21/2020 19:04:35.787</v>
      </c>
      <c r="B7205" t="str">
        <f>"19:04:43.734"</f>
        <v>19:04:43.734</v>
      </c>
      <c r="C7205" t="str">
        <f>"19:04:43.334"</f>
        <v>19:04:43.334</v>
      </c>
      <c r="D7205" t="s">
        <v>2934</v>
      </c>
      <c r="E7205">
        <v>30.367540999999999</v>
      </c>
      <c r="F7205" t="s">
        <v>53</v>
      </c>
      <c r="G7205">
        <v>-89.818404000000001</v>
      </c>
      <c r="H7205">
        <v>600</v>
      </c>
      <c r="I7205">
        <v>62</v>
      </c>
      <c r="J7205">
        <v>-96</v>
      </c>
      <c r="K7205">
        <v>512</v>
      </c>
      <c r="L7205">
        <v>1200</v>
      </c>
      <c r="M7205" t="str">
        <f t="shared" si="748"/>
        <v xml:space="preserve">N35DC   </v>
      </c>
      <c r="N7205">
        <v>1</v>
      </c>
      <c r="O7205">
        <v>600</v>
      </c>
    </row>
    <row r="7206" spans="1:15" x14ac:dyDescent="0.25">
      <c r="A7206" t="str">
        <f>"10/21/2020 19:04:35.787"</f>
        <v>10/21/2020 19:04:35.787</v>
      </c>
      <c r="B7206" t="str">
        <f>"19:04:43.734"</f>
        <v>19:04:43.734</v>
      </c>
      <c r="C7206" t="str">
        <f>"19:04:43.334"</f>
        <v>19:04:43.334</v>
      </c>
      <c r="D7206" t="s">
        <v>2934</v>
      </c>
      <c r="E7206">
        <v>30.367540999999999</v>
      </c>
      <c r="F7206" t="s">
        <v>53</v>
      </c>
      <c r="G7206">
        <v>-89.818404000000001</v>
      </c>
      <c r="H7206">
        <v>600</v>
      </c>
      <c r="I7206">
        <v>62</v>
      </c>
      <c r="J7206">
        <v>-96</v>
      </c>
      <c r="K7206">
        <v>512</v>
      </c>
      <c r="L7206">
        <v>1200</v>
      </c>
      <c r="M7206" t="str">
        <f t="shared" si="748"/>
        <v xml:space="preserve">N35DC   </v>
      </c>
      <c r="N7206">
        <v>1</v>
      </c>
      <c r="O7206">
        <v>600</v>
      </c>
    </row>
    <row r="7207" spans="1:15" x14ac:dyDescent="0.25">
      <c r="A7207" t="str">
        <f>"10/21/2020 19:04:35.787"</f>
        <v>10/21/2020 19:04:35.787</v>
      </c>
      <c r="B7207" t="str">
        <f>"19:04:43.734"</f>
        <v>19:04:43.734</v>
      </c>
      <c r="C7207" t="str">
        <f>"19:04:43.334"</f>
        <v>19:04:43.334</v>
      </c>
      <c r="D7207" t="s">
        <v>2934</v>
      </c>
      <c r="E7207">
        <v>30.367540999999999</v>
      </c>
      <c r="F7207" t="s">
        <v>53</v>
      </c>
      <c r="G7207">
        <v>-89.818404000000001</v>
      </c>
      <c r="H7207">
        <v>600</v>
      </c>
      <c r="I7207">
        <v>62</v>
      </c>
      <c r="J7207">
        <v>-96</v>
      </c>
      <c r="K7207">
        <v>512</v>
      </c>
      <c r="L7207">
        <v>1200</v>
      </c>
      <c r="M7207" t="str">
        <f t="shared" si="748"/>
        <v xml:space="preserve">N35DC   </v>
      </c>
      <c r="N7207">
        <v>1</v>
      </c>
      <c r="O7207">
        <v>600</v>
      </c>
    </row>
    <row r="7208" spans="1:15" x14ac:dyDescent="0.25">
      <c r="A7208" t="str">
        <f>"10/21/2020 19:04:35.787"</f>
        <v>10/21/2020 19:04:35.787</v>
      </c>
      <c r="B7208" t="str">
        <f>"19:04:43.734"</f>
        <v>19:04:43.734</v>
      </c>
      <c r="C7208" t="str">
        <f>"19:04:43.334"</f>
        <v>19:04:43.334</v>
      </c>
      <c r="D7208" t="s">
        <v>2934</v>
      </c>
      <c r="E7208">
        <v>30.367540999999999</v>
      </c>
      <c r="F7208" t="s">
        <v>53</v>
      </c>
      <c r="G7208">
        <v>-89.818404000000001</v>
      </c>
      <c r="H7208">
        <v>600</v>
      </c>
      <c r="I7208">
        <v>62</v>
      </c>
      <c r="J7208">
        <v>-96</v>
      </c>
      <c r="K7208">
        <v>512</v>
      </c>
      <c r="L7208">
        <v>1200</v>
      </c>
      <c r="M7208" t="str">
        <f t="shared" si="748"/>
        <v xml:space="preserve">N35DC   </v>
      </c>
      <c r="N7208">
        <v>1</v>
      </c>
      <c r="O7208">
        <v>600</v>
      </c>
    </row>
    <row r="7209" spans="1:15" x14ac:dyDescent="0.25">
      <c r="A7209" t="str">
        <f>"10/21/2020 19:04:35.787"</f>
        <v>10/21/2020 19:04:35.787</v>
      </c>
      <c r="B7209" t="str">
        <f>"19:04:43.734"</f>
        <v>19:04:43.734</v>
      </c>
      <c r="C7209" t="str">
        <f>"19:04:43.334"</f>
        <v>19:04:43.334</v>
      </c>
      <c r="D7209" t="s">
        <v>2934</v>
      </c>
      <c r="E7209">
        <v>30.367540999999999</v>
      </c>
      <c r="F7209" t="s">
        <v>53</v>
      </c>
      <c r="G7209">
        <v>-89.818404000000001</v>
      </c>
      <c r="H7209">
        <v>600</v>
      </c>
      <c r="I7209">
        <v>62</v>
      </c>
      <c r="J7209">
        <v>-96</v>
      </c>
      <c r="K7209">
        <v>512</v>
      </c>
      <c r="L7209">
        <v>1200</v>
      </c>
      <c r="M7209" t="str">
        <f t="shared" si="748"/>
        <v xml:space="preserve">N35DC   </v>
      </c>
      <c r="N7209">
        <v>1</v>
      </c>
      <c r="O7209">
        <v>600</v>
      </c>
    </row>
    <row r="7210" spans="1:15" x14ac:dyDescent="0.25">
      <c r="A7210" t="str">
        <f>"10/21/2020 19:04:38.622"</f>
        <v>10/21/2020 19:04:38.622</v>
      </c>
      <c r="B7210" t="str">
        <f>"19:04:46.586"</f>
        <v>19:04:46.586</v>
      </c>
      <c r="C7210" t="str">
        <f>"19:04:46.286"</f>
        <v>19:04:46.286</v>
      </c>
      <c r="D7210" t="s">
        <v>2935</v>
      </c>
      <c r="E7210">
        <v>30.366403999999999</v>
      </c>
      <c r="F7210" t="s">
        <v>2936</v>
      </c>
      <c r="G7210">
        <v>-89.817330999999996</v>
      </c>
      <c r="H7210">
        <v>600</v>
      </c>
      <c r="I7210">
        <v>75</v>
      </c>
      <c r="J7210">
        <v>-83</v>
      </c>
      <c r="K7210">
        <v>384</v>
      </c>
      <c r="L7210">
        <v>1200</v>
      </c>
      <c r="M7210" t="str">
        <f t="shared" si="748"/>
        <v xml:space="preserve">N35DC   </v>
      </c>
      <c r="N7210">
        <v>1</v>
      </c>
      <c r="O7210">
        <v>625</v>
      </c>
    </row>
    <row r="7211" spans="1:15" x14ac:dyDescent="0.25">
      <c r="A7211" t="str">
        <f>"10/21/2020 19:04:38.622"</f>
        <v>10/21/2020 19:04:38.622</v>
      </c>
      <c r="B7211" t="str">
        <f>"19:04:46.586"</f>
        <v>19:04:46.586</v>
      </c>
      <c r="C7211" t="str">
        <f>"19:04:46.286"</f>
        <v>19:04:46.286</v>
      </c>
      <c r="D7211" t="s">
        <v>2935</v>
      </c>
      <c r="E7211">
        <v>30.366403999999999</v>
      </c>
      <c r="F7211" t="s">
        <v>2936</v>
      </c>
      <c r="G7211">
        <v>-89.817330999999996</v>
      </c>
      <c r="H7211">
        <v>600</v>
      </c>
      <c r="I7211">
        <v>75</v>
      </c>
      <c r="J7211">
        <v>-83</v>
      </c>
      <c r="K7211">
        <v>384</v>
      </c>
      <c r="L7211">
        <v>1200</v>
      </c>
      <c r="M7211" t="str">
        <f t="shared" si="748"/>
        <v xml:space="preserve">N35DC   </v>
      </c>
      <c r="N7211">
        <v>1</v>
      </c>
      <c r="O7211">
        <v>625</v>
      </c>
    </row>
    <row r="7212" spans="1:15" x14ac:dyDescent="0.25">
      <c r="A7212" t="str">
        <f>"10/21/2020 19:04:38.622"</f>
        <v>10/21/2020 19:04:38.622</v>
      </c>
      <c r="B7212" t="str">
        <f>"19:04:46.586"</f>
        <v>19:04:46.586</v>
      </c>
      <c r="C7212" t="str">
        <f>"19:04:46.286"</f>
        <v>19:04:46.286</v>
      </c>
      <c r="D7212" t="s">
        <v>2935</v>
      </c>
      <c r="E7212">
        <v>30.366403999999999</v>
      </c>
      <c r="F7212" t="s">
        <v>2936</v>
      </c>
      <c r="G7212">
        <v>-89.817330999999996</v>
      </c>
      <c r="H7212">
        <v>600</v>
      </c>
      <c r="I7212">
        <v>75</v>
      </c>
      <c r="J7212">
        <v>-83</v>
      </c>
      <c r="K7212">
        <v>384</v>
      </c>
      <c r="L7212">
        <v>1200</v>
      </c>
      <c r="M7212" t="str">
        <f t="shared" si="748"/>
        <v xml:space="preserve">N35DC   </v>
      </c>
      <c r="N7212">
        <v>1</v>
      </c>
      <c r="O7212">
        <v>625</v>
      </c>
    </row>
    <row r="7213" spans="1:15" x14ac:dyDescent="0.25">
      <c r="A7213" t="str">
        <f>"10/21/2020 19:04:38.622"</f>
        <v>10/21/2020 19:04:38.622</v>
      </c>
      <c r="B7213" t="str">
        <f>"19:04:46.586"</f>
        <v>19:04:46.586</v>
      </c>
      <c r="C7213" t="str">
        <f>"19:04:46.286"</f>
        <v>19:04:46.286</v>
      </c>
      <c r="D7213" t="s">
        <v>2935</v>
      </c>
      <c r="E7213">
        <v>30.366403999999999</v>
      </c>
      <c r="F7213" t="s">
        <v>2936</v>
      </c>
      <c r="G7213">
        <v>-89.817330999999996</v>
      </c>
      <c r="H7213">
        <v>600</v>
      </c>
      <c r="I7213">
        <v>75</v>
      </c>
      <c r="J7213">
        <v>-83</v>
      </c>
      <c r="K7213">
        <v>384</v>
      </c>
      <c r="L7213">
        <v>1200</v>
      </c>
      <c r="M7213" t="str">
        <f t="shared" si="748"/>
        <v xml:space="preserve">N35DC   </v>
      </c>
      <c r="N7213">
        <v>1</v>
      </c>
      <c r="O7213">
        <v>625</v>
      </c>
    </row>
    <row r="7214" spans="1:15" x14ac:dyDescent="0.25">
      <c r="A7214" t="str">
        <f>"10/21/2020 19:04:38.622"</f>
        <v>10/21/2020 19:04:38.622</v>
      </c>
      <c r="B7214" t="str">
        <f>"19:04:46.586"</f>
        <v>19:04:46.586</v>
      </c>
      <c r="C7214" t="str">
        <f>"19:04:46.286"</f>
        <v>19:04:46.286</v>
      </c>
      <c r="D7214" t="s">
        <v>2935</v>
      </c>
      <c r="E7214">
        <v>30.366403999999999</v>
      </c>
      <c r="F7214" t="s">
        <v>2936</v>
      </c>
      <c r="G7214">
        <v>-89.817330999999996</v>
      </c>
      <c r="H7214">
        <v>600</v>
      </c>
      <c r="I7214">
        <v>75</v>
      </c>
      <c r="J7214">
        <v>-83</v>
      </c>
      <c r="K7214">
        <v>384</v>
      </c>
      <c r="L7214">
        <v>1200</v>
      </c>
      <c r="M7214" t="str">
        <f t="shared" si="748"/>
        <v xml:space="preserve">N35DC   </v>
      </c>
      <c r="N7214">
        <v>1</v>
      </c>
      <c r="O7214">
        <v>625</v>
      </c>
    </row>
    <row r="7215" spans="1:15" x14ac:dyDescent="0.25">
      <c r="A7215" t="str">
        <f>"10/21/2020 19:04:41.684"</f>
        <v>10/21/2020 19:04:41.684</v>
      </c>
      <c r="B7215" t="str">
        <f>"19:04:49.602"</f>
        <v>19:04:49.602</v>
      </c>
      <c r="C7215" t="str">
        <f>"19:04:49.302"</f>
        <v>19:04:49.302</v>
      </c>
      <c r="D7215" t="s">
        <v>2937</v>
      </c>
      <c r="E7215">
        <v>30.365438000000001</v>
      </c>
      <c r="F7215" t="s">
        <v>2938</v>
      </c>
      <c r="G7215">
        <v>-89.815978999999999</v>
      </c>
      <c r="H7215">
        <v>700</v>
      </c>
      <c r="I7215">
        <v>86</v>
      </c>
      <c r="J7215">
        <v>-62</v>
      </c>
      <c r="K7215">
        <v>1088</v>
      </c>
      <c r="L7215">
        <v>1200</v>
      </c>
      <c r="M7215" t="str">
        <f t="shared" si="748"/>
        <v xml:space="preserve">N35DC   </v>
      </c>
      <c r="N7215">
        <v>1</v>
      </c>
      <c r="O7215">
        <v>675</v>
      </c>
    </row>
    <row r="7216" spans="1:15" x14ac:dyDescent="0.25">
      <c r="A7216" t="str">
        <f>"10/21/2020 19:04:41.684"</f>
        <v>10/21/2020 19:04:41.684</v>
      </c>
      <c r="B7216" t="str">
        <f>"19:04:49.602"</f>
        <v>19:04:49.602</v>
      </c>
      <c r="C7216" t="str">
        <f>"19:04:49.302"</f>
        <v>19:04:49.302</v>
      </c>
      <c r="D7216" t="s">
        <v>2937</v>
      </c>
      <c r="E7216">
        <v>30.365438000000001</v>
      </c>
      <c r="F7216" t="s">
        <v>2938</v>
      </c>
      <c r="G7216">
        <v>-89.815978999999999</v>
      </c>
      <c r="H7216">
        <v>700</v>
      </c>
      <c r="I7216">
        <v>86</v>
      </c>
      <c r="J7216">
        <v>-62</v>
      </c>
      <c r="K7216">
        <v>1088</v>
      </c>
      <c r="L7216">
        <v>1200</v>
      </c>
      <c r="M7216" t="str">
        <f t="shared" si="748"/>
        <v xml:space="preserve">N35DC   </v>
      </c>
      <c r="N7216">
        <v>1</v>
      </c>
      <c r="O7216">
        <v>675</v>
      </c>
    </row>
    <row r="7217" spans="1:15" x14ac:dyDescent="0.25">
      <c r="A7217" t="str">
        <f>"10/21/2020 19:04:41.684"</f>
        <v>10/21/2020 19:04:41.684</v>
      </c>
      <c r="B7217" t="str">
        <f>"19:04:49.602"</f>
        <v>19:04:49.602</v>
      </c>
      <c r="C7217" t="str">
        <f>"19:04:49.302"</f>
        <v>19:04:49.302</v>
      </c>
      <c r="D7217" t="s">
        <v>2937</v>
      </c>
      <c r="E7217">
        <v>30.365438000000001</v>
      </c>
      <c r="F7217" t="s">
        <v>2938</v>
      </c>
      <c r="G7217">
        <v>-89.815978999999999</v>
      </c>
      <c r="H7217">
        <v>700</v>
      </c>
      <c r="I7217">
        <v>86</v>
      </c>
      <c r="J7217">
        <v>-62</v>
      </c>
      <c r="K7217">
        <v>1088</v>
      </c>
      <c r="L7217">
        <v>1200</v>
      </c>
      <c r="M7217" t="str">
        <f t="shared" si="748"/>
        <v xml:space="preserve">N35DC   </v>
      </c>
      <c r="N7217">
        <v>1</v>
      </c>
      <c r="O7217">
        <v>675</v>
      </c>
    </row>
    <row r="7218" spans="1:15" x14ac:dyDescent="0.25">
      <c r="A7218" t="str">
        <f>"10/21/2020 19:04:41.684"</f>
        <v>10/21/2020 19:04:41.684</v>
      </c>
      <c r="B7218" t="str">
        <f>"19:04:49.602"</f>
        <v>19:04:49.602</v>
      </c>
      <c r="C7218" t="str">
        <f>"19:04:49.302"</f>
        <v>19:04:49.302</v>
      </c>
      <c r="D7218" t="s">
        <v>2937</v>
      </c>
      <c r="E7218">
        <v>30.365438000000001</v>
      </c>
      <c r="F7218" t="s">
        <v>2938</v>
      </c>
      <c r="G7218">
        <v>-89.815978999999999</v>
      </c>
      <c r="H7218">
        <v>700</v>
      </c>
      <c r="I7218">
        <v>86</v>
      </c>
      <c r="J7218">
        <v>-62</v>
      </c>
      <c r="K7218">
        <v>1088</v>
      </c>
      <c r="L7218">
        <v>1200</v>
      </c>
      <c r="M7218" t="str">
        <f t="shared" si="748"/>
        <v xml:space="preserve">N35DC   </v>
      </c>
      <c r="N7218">
        <v>1</v>
      </c>
      <c r="O7218">
        <v>675</v>
      </c>
    </row>
    <row r="7219" spans="1:15" x14ac:dyDescent="0.25">
      <c r="A7219" t="str">
        <f>"10/21/2020 19:04:41.684"</f>
        <v>10/21/2020 19:04:41.684</v>
      </c>
      <c r="B7219" t="str">
        <f>"19:04:49.602"</f>
        <v>19:04:49.602</v>
      </c>
      <c r="C7219" t="str">
        <f>"19:04:49.302"</f>
        <v>19:04:49.302</v>
      </c>
      <c r="D7219" t="s">
        <v>2937</v>
      </c>
      <c r="E7219">
        <v>30.365438000000001</v>
      </c>
      <c r="F7219" t="s">
        <v>2938</v>
      </c>
      <c r="G7219">
        <v>-89.815978999999999</v>
      </c>
      <c r="H7219">
        <v>700</v>
      </c>
      <c r="I7219">
        <v>86</v>
      </c>
      <c r="J7219">
        <v>-62</v>
      </c>
      <c r="K7219">
        <v>1088</v>
      </c>
      <c r="L7219">
        <v>1200</v>
      </c>
      <c r="M7219" t="str">
        <f t="shared" si="748"/>
        <v xml:space="preserve">N35DC   </v>
      </c>
      <c r="N7219">
        <v>1</v>
      </c>
      <c r="O7219">
        <v>675</v>
      </c>
    </row>
    <row r="7220" spans="1:15" x14ac:dyDescent="0.25">
      <c r="A7220" t="str">
        <f>"10/21/2020 19:04:44.762"</f>
        <v>10/21/2020 19:04:44.762</v>
      </c>
      <c r="B7220" t="str">
        <f>"19:04:52.703"</f>
        <v>19:04:52.703</v>
      </c>
      <c r="C7220" t="str">
        <f>"19:04:52.603"</f>
        <v>19:04:52.603</v>
      </c>
      <c r="D7220" t="s">
        <v>2939</v>
      </c>
      <c r="E7220">
        <v>30.364730000000002</v>
      </c>
      <c r="F7220" t="s">
        <v>2940</v>
      </c>
      <c r="G7220">
        <v>-89.814498</v>
      </c>
      <c r="H7220">
        <v>700</v>
      </c>
      <c r="I7220">
        <v>94</v>
      </c>
      <c r="J7220">
        <v>-40</v>
      </c>
      <c r="K7220">
        <v>640</v>
      </c>
      <c r="L7220">
        <v>1200</v>
      </c>
      <c r="M7220" t="str">
        <f t="shared" si="748"/>
        <v xml:space="preserve">N35DC   </v>
      </c>
      <c r="N7220">
        <v>1</v>
      </c>
      <c r="O7220">
        <v>725</v>
      </c>
    </row>
    <row r="7221" spans="1:15" x14ac:dyDescent="0.25">
      <c r="A7221" t="str">
        <f>"10/21/2020 19:04:44.762"</f>
        <v>10/21/2020 19:04:44.762</v>
      </c>
      <c r="B7221" t="str">
        <f>"19:04:52.703"</f>
        <v>19:04:52.703</v>
      </c>
      <c r="C7221" t="str">
        <f>"19:04:52.603"</f>
        <v>19:04:52.603</v>
      </c>
      <c r="D7221" t="s">
        <v>2939</v>
      </c>
      <c r="E7221">
        <v>30.364730000000002</v>
      </c>
      <c r="F7221" t="s">
        <v>2940</v>
      </c>
      <c r="G7221">
        <v>-89.814498</v>
      </c>
      <c r="H7221">
        <v>700</v>
      </c>
      <c r="I7221">
        <v>94</v>
      </c>
      <c r="J7221">
        <v>-40</v>
      </c>
      <c r="K7221">
        <v>640</v>
      </c>
      <c r="L7221">
        <v>1200</v>
      </c>
      <c r="M7221" t="str">
        <f t="shared" si="748"/>
        <v xml:space="preserve">N35DC   </v>
      </c>
      <c r="N7221">
        <v>1</v>
      </c>
      <c r="O7221">
        <v>725</v>
      </c>
    </row>
    <row r="7222" spans="1:15" x14ac:dyDescent="0.25">
      <c r="A7222" t="str">
        <f>"10/21/2020 19:04:44.762"</f>
        <v>10/21/2020 19:04:44.762</v>
      </c>
      <c r="B7222" t="str">
        <f>"19:04:52.703"</f>
        <v>19:04:52.703</v>
      </c>
      <c r="C7222" t="str">
        <f>"19:04:52.603"</f>
        <v>19:04:52.603</v>
      </c>
      <c r="D7222" t="s">
        <v>2939</v>
      </c>
      <c r="E7222">
        <v>30.364730000000002</v>
      </c>
      <c r="F7222" t="s">
        <v>2940</v>
      </c>
      <c r="G7222">
        <v>-89.814498</v>
      </c>
      <c r="H7222">
        <v>700</v>
      </c>
      <c r="I7222">
        <v>94</v>
      </c>
      <c r="J7222">
        <v>-40</v>
      </c>
      <c r="K7222">
        <v>640</v>
      </c>
      <c r="L7222">
        <v>1200</v>
      </c>
      <c r="M7222" t="str">
        <f t="shared" si="748"/>
        <v xml:space="preserve">N35DC   </v>
      </c>
      <c r="N7222">
        <v>1</v>
      </c>
      <c r="O7222">
        <v>725</v>
      </c>
    </row>
    <row r="7223" spans="1:15" x14ac:dyDescent="0.25">
      <c r="A7223" t="str">
        <f>"10/21/2020 19:04:44.762"</f>
        <v>10/21/2020 19:04:44.762</v>
      </c>
      <c r="B7223" t="str">
        <f>"19:04:52.703"</f>
        <v>19:04:52.703</v>
      </c>
      <c r="C7223" t="str">
        <f>"19:04:52.603"</f>
        <v>19:04:52.603</v>
      </c>
      <c r="D7223" t="s">
        <v>2939</v>
      </c>
      <c r="E7223">
        <v>30.364730000000002</v>
      </c>
      <c r="F7223" t="s">
        <v>2940</v>
      </c>
      <c r="G7223">
        <v>-89.814498</v>
      </c>
      <c r="H7223">
        <v>700</v>
      </c>
      <c r="I7223">
        <v>94</v>
      </c>
      <c r="J7223">
        <v>-40</v>
      </c>
      <c r="K7223">
        <v>640</v>
      </c>
      <c r="L7223">
        <v>1200</v>
      </c>
      <c r="M7223" t="str">
        <f t="shared" si="748"/>
        <v xml:space="preserve">N35DC   </v>
      </c>
      <c r="N7223">
        <v>1</v>
      </c>
      <c r="O7223">
        <v>725</v>
      </c>
    </row>
    <row r="7224" spans="1:15" x14ac:dyDescent="0.25">
      <c r="A7224" t="str">
        <f>"10/21/2020 19:04:44.762"</f>
        <v>10/21/2020 19:04:44.762</v>
      </c>
      <c r="B7224" t="str">
        <f>"19:04:52.703"</f>
        <v>19:04:52.703</v>
      </c>
      <c r="C7224" t="str">
        <f>"19:04:52.603"</f>
        <v>19:04:52.603</v>
      </c>
      <c r="D7224" t="s">
        <v>2939</v>
      </c>
      <c r="E7224">
        <v>30.364730000000002</v>
      </c>
      <c r="F7224" t="s">
        <v>2940</v>
      </c>
      <c r="G7224">
        <v>-89.814498</v>
      </c>
      <c r="H7224">
        <v>700</v>
      </c>
      <c r="I7224">
        <v>94</v>
      </c>
      <c r="J7224">
        <v>-40</v>
      </c>
      <c r="K7224">
        <v>640</v>
      </c>
      <c r="L7224">
        <v>1200</v>
      </c>
      <c r="M7224" t="str">
        <f t="shared" si="748"/>
        <v xml:space="preserve">N35DC   </v>
      </c>
      <c r="N7224">
        <v>1</v>
      </c>
      <c r="O7224">
        <v>725</v>
      </c>
    </row>
    <row r="7225" spans="1:15" x14ac:dyDescent="0.25">
      <c r="A7225" t="str">
        <f>"10/21/2020 19:04:45.820"</f>
        <v>10/21/2020 19:04:45.820</v>
      </c>
      <c r="B7225" t="str">
        <f>"19:04:53.766"</f>
        <v>19:04:53.766</v>
      </c>
      <c r="C7225" t="str">
        <f>"19:04:53.566"</f>
        <v>19:04:53.566</v>
      </c>
      <c r="D7225" t="s">
        <v>2941</v>
      </c>
      <c r="E7225">
        <v>30.364559</v>
      </c>
      <c r="F7225" t="s">
        <v>2729</v>
      </c>
      <c r="G7225">
        <v>-89.813875999999993</v>
      </c>
      <c r="H7225">
        <v>700</v>
      </c>
      <c r="I7225">
        <v>97</v>
      </c>
      <c r="J7225">
        <v>-34</v>
      </c>
      <c r="K7225">
        <v>512</v>
      </c>
      <c r="L7225">
        <v>1200</v>
      </c>
      <c r="M7225" t="str">
        <f t="shared" si="748"/>
        <v xml:space="preserve">N35DC   </v>
      </c>
      <c r="N7225">
        <v>1</v>
      </c>
      <c r="O7225">
        <v>725</v>
      </c>
    </row>
    <row r="7226" spans="1:15" x14ac:dyDescent="0.25">
      <c r="A7226" t="str">
        <f>"10/21/2020 19:04:45.820"</f>
        <v>10/21/2020 19:04:45.820</v>
      </c>
      <c r="B7226" t="str">
        <f>"19:04:53.766"</f>
        <v>19:04:53.766</v>
      </c>
      <c r="C7226" t="str">
        <f>"19:04:53.566"</f>
        <v>19:04:53.566</v>
      </c>
      <c r="D7226" t="s">
        <v>2941</v>
      </c>
      <c r="E7226">
        <v>30.364559</v>
      </c>
      <c r="F7226" t="s">
        <v>2729</v>
      </c>
      <c r="G7226">
        <v>-89.813875999999993</v>
      </c>
      <c r="H7226">
        <v>700</v>
      </c>
      <c r="I7226">
        <v>97</v>
      </c>
      <c r="J7226">
        <v>-34</v>
      </c>
      <c r="K7226">
        <v>512</v>
      </c>
      <c r="L7226">
        <v>1200</v>
      </c>
      <c r="M7226" t="str">
        <f t="shared" si="748"/>
        <v xml:space="preserve">N35DC   </v>
      </c>
      <c r="N7226">
        <v>1</v>
      </c>
      <c r="O7226">
        <v>725</v>
      </c>
    </row>
    <row r="7227" spans="1:15" x14ac:dyDescent="0.25">
      <c r="A7227" t="str">
        <f>"10/21/2020 19:04:45.820"</f>
        <v>10/21/2020 19:04:45.820</v>
      </c>
      <c r="B7227" t="str">
        <f>"19:04:53.766"</f>
        <v>19:04:53.766</v>
      </c>
      <c r="C7227" t="str">
        <f>"19:04:53.566"</f>
        <v>19:04:53.566</v>
      </c>
      <c r="D7227" t="s">
        <v>2941</v>
      </c>
      <c r="E7227">
        <v>30.364559</v>
      </c>
      <c r="F7227" t="s">
        <v>2729</v>
      </c>
      <c r="G7227">
        <v>-89.813875999999993</v>
      </c>
      <c r="H7227">
        <v>700</v>
      </c>
      <c r="I7227">
        <v>97</v>
      </c>
      <c r="J7227">
        <v>-34</v>
      </c>
      <c r="K7227">
        <v>512</v>
      </c>
      <c r="L7227">
        <v>1200</v>
      </c>
      <c r="M7227" t="str">
        <f t="shared" si="748"/>
        <v xml:space="preserve">N35DC   </v>
      </c>
      <c r="N7227">
        <v>1</v>
      </c>
      <c r="O7227">
        <v>725</v>
      </c>
    </row>
    <row r="7228" spans="1:15" x14ac:dyDescent="0.25">
      <c r="A7228" t="str">
        <f>"10/21/2020 19:04:45.820"</f>
        <v>10/21/2020 19:04:45.820</v>
      </c>
      <c r="B7228" t="str">
        <f>"19:04:53.766"</f>
        <v>19:04:53.766</v>
      </c>
      <c r="C7228" t="str">
        <f>"19:04:53.566"</f>
        <v>19:04:53.566</v>
      </c>
      <c r="D7228" t="s">
        <v>2941</v>
      </c>
      <c r="E7228">
        <v>30.364559</v>
      </c>
      <c r="F7228" t="s">
        <v>2729</v>
      </c>
      <c r="G7228">
        <v>-89.813875999999993</v>
      </c>
      <c r="H7228">
        <v>700</v>
      </c>
      <c r="I7228">
        <v>97</v>
      </c>
      <c r="J7228">
        <v>-34</v>
      </c>
      <c r="K7228">
        <v>512</v>
      </c>
      <c r="L7228">
        <v>1200</v>
      </c>
      <c r="M7228" t="str">
        <f t="shared" si="748"/>
        <v xml:space="preserve">N35DC   </v>
      </c>
      <c r="N7228">
        <v>1</v>
      </c>
      <c r="O7228">
        <v>725</v>
      </c>
    </row>
    <row r="7229" spans="1:15" x14ac:dyDescent="0.25">
      <c r="A7229" t="str">
        <f>"10/21/2020 19:04:45.820"</f>
        <v>10/21/2020 19:04:45.820</v>
      </c>
      <c r="B7229" t="str">
        <f>"19:04:53.766"</f>
        <v>19:04:53.766</v>
      </c>
      <c r="C7229" t="str">
        <f>"19:04:53.566"</f>
        <v>19:04:53.566</v>
      </c>
      <c r="D7229" t="s">
        <v>2941</v>
      </c>
      <c r="E7229">
        <v>30.364559</v>
      </c>
      <c r="F7229" t="s">
        <v>2729</v>
      </c>
      <c r="G7229">
        <v>-89.813875999999993</v>
      </c>
      <c r="H7229">
        <v>700</v>
      </c>
      <c r="I7229">
        <v>97</v>
      </c>
      <c r="J7229">
        <v>-34</v>
      </c>
      <c r="K7229">
        <v>512</v>
      </c>
      <c r="L7229">
        <v>1200</v>
      </c>
      <c r="M7229" t="str">
        <f t="shared" si="748"/>
        <v xml:space="preserve">N35DC   </v>
      </c>
      <c r="N7229">
        <v>1</v>
      </c>
      <c r="O7229">
        <v>725</v>
      </c>
    </row>
    <row r="7230" spans="1:15" x14ac:dyDescent="0.25">
      <c r="A7230" t="str">
        <f>"10/21/2020 19:04:46.878"</f>
        <v>10/21/2020 19:04:46.878</v>
      </c>
      <c r="B7230" t="str">
        <f>"19:04:54.836"</f>
        <v>19:04:54.836</v>
      </c>
      <c r="C7230" t="str">
        <f>"19:04:54.536"</f>
        <v>19:04:54.536</v>
      </c>
      <c r="D7230" t="s">
        <v>2942</v>
      </c>
      <c r="E7230">
        <v>30.364429999999999</v>
      </c>
      <c r="F7230" t="s">
        <v>2820</v>
      </c>
      <c r="G7230">
        <v>-89.813339999999997</v>
      </c>
      <c r="H7230">
        <v>700</v>
      </c>
      <c r="I7230">
        <v>99</v>
      </c>
      <c r="J7230">
        <v>-28</v>
      </c>
      <c r="K7230">
        <v>320</v>
      </c>
      <c r="L7230">
        <v>1200</v>
      </c>
      <c r="M7230" t="str">
        <f t="shared" si="748"/>
        <v xml:space="preserve">N35DC   </v>
      </c>
      <c r="N7230">
        <v>1</v>
      </c>
      <c r="O7230">
        <v>725</v>
      </c>
    </row>
    <row r="7231" spans="1:15" x14ac:dyDescent="0.25">
      <c r="A7231" t="str">
        <f>"10/21/2020 19:04:46.878"</f>
        <v>10/21/2020 19:04:46.878</v>
      </c>
      <c r="B7231" t="str">
        <f>"19:04:54.836"</f>
        <v>19:04:54.836</v>
      </c>
      <c r="C7231" t="str">
        <f>"19:04:54.536"</f>
        <v>19:04:54.536</v>
      </c>
      <c r="D7231" t="s">
        <v>2942</v>
      </c>
      <c r="E7231">
        <v>30.364429999999999</v>
      </c>
      <c r="F7231" t="s">
        <v>2820</v>
      </c>
      <c r="G7231">
        <v>-89.813339999999997</v>
      </c>
      <c r="H7231">
        <v>700</v>
      </c>
      <c r="I7231">
        <v>99</v>
      </c>
      <c r="J7231">
        <v>-28</v>
      </c>
      <c r="K7231">
        <v>320</v>
      </c>
      <c r="L7231">
        <v>1200</v>
      </c>
      <c r="M7231" t="str">
        <f t="shared" si="748"/>
        <v xml:space="preserve">N35DC   </v>
      </c>
      <c r="N7231">
        <v>1</v>
      </c>
      <c r="O7231">
        <v>725</v>
      </c>
    </row>
    <row r="7232" spans="1:15" x14ac:dyDescent="0.25">
      <c r="A7232" t="str">
        <f>"10/21/2020 19:04:46.878"</f>
        <v>10/21/2020 19:04:46.878</v>
      </c>
      <c r="B7232" t="str">
        <f>"19:04:54.836"</f>
        <v>19:04:54.836</v>
      </c>
      <c r="C7232" t="str">
        <f>"19:04:54.536"</f>
        <v>19:04:54.536</v>
      </c>
      <c r="D7232" t="s">
        <v>2942</v>
      </c>
      <c r="E7232">
        <v>30.364429999999999</v>
      </c>
      <c r="F7232" t="s">
        <v>2820</v>
      </c>
      <c r="G7232">
        <v>-89.813339999999997</v>
      </c>
      <c r="H7232">
        <v>700</v>
      </c>
      <c r="I7232">
        <v>99</v>
      </c>
      <c r="J7232">
        <v>-28</v>
      </c>
      <c r="K7232">
        <v>320</v>
      </c>
      <c r="L7232">
        <v>1200</v>
      </c>
      <c r="M7232" t="str">
        <f t="shared" si="748"/>
        <v xml:space="preserve">N35DC   </v>
      </c>
      <c r="N7232">
        <v>1</v>
      </c>
      <c r="O7232">
        <v>725</v>
      </c>
    </row>
    <row r="7233" spans="1:15" x14ac:dyDescent="0.25">
      <c r="A7233" t="str">
        <f>"10/21/2020 19:04:46.878"</f>
        <v>10/21/2020 19:04:46.878</v>
      </c>
      <c r="B7233" t="str">
        <f>"19:04:54.836"</f>
        <v>19:04:54.836</v>
      </c>
      <c r="C7233" t="str">
        <f>"19:04:54.536"</f>
        <v>19:04:54.536</v>
      </c>
      <c r="D7233" t="s">
        <v>2942</v>
      </c>
      <c r="E7233">
        <v>30.364429999999999</v>
      </c>
      <c r="F7233" t="s">
        <v>2820</v>
      </c>
      <c r="G7233">
        <v>-89.813339999999997</v>
      </c>
      <c r="H7233">
        <v>700</v>
      </c>
      <c r="I7233">
        <v>99</v>
      </c>
      <c r="J7233">
        <v>-28</v>
      </c>
      <c r="K7233">
        <v>320</v>
      </c>
      <c r="L7233">
        <v>1200</v>
      </c>
      <c r="M7233" t="str">
        <f t="shared" si="748"/>
        <v xml:space="preserve">N35DC   </v>
      </c>
      <c r="N7233">
        <v>1</v>
      </c>
      <c r="O7233">
        <v>725</v>
      </c>
    </row>
    <row r="7234" spans="1:15" x14ac:dyDescent="0.25">
      <c r="A7234" t="str">
        <f>"10/21/2020 19:04:46.878"</f>
        <v>10/21/2020 19:04:46.878</v>
      </c>
      <c r="B7234" t="str">
        <f>"19:04:54.836"</f>
        <v>19:04:54.836</v>
      </c>
      <c r="C7234" t="str">
        <f>"19:04:54.536"</f>
        <v>19:04:54.536</v>
      </c>
      <c r="D7234" t="s">
        <v>2942</v>
      </c>
      <c r="E7234">
        <v>30.364429999999999</v>
      </c>
      <c r="F7234" t="s">
        <v>2820</v>
      </c>
      <c r="G7234">
        <v>-89.813339999999997</v>
      </c>
      <c r="H7234">
        <v>700</v>
      </c>
      <c r="I7234">
        <v>99</v>
      </c>
      <c r="J7234">
        <v>-28</v>
      </c>
      <c r="K7234">
        <v>320</v>
      </c>
      <c r="L7234">
        <v>1200</v>
      </c>
      <c r="M7234" t="str">
        <f t="shared" si="748"/>
        <v xml:space="preserve">N35DC   </v>
      </c>
      <c r="N7234">
        <v>1</v>
      </c>
      <c r="O7234">
        <v>725</v>
      </c>
    </row>
    <row r="7235" spans="1:15" x14ac:dyDescent="0.25">
      <c r="A7235" t="str">
        <f>"10/21/2020 19:04:49.821"</f>
        <v>10/21/2020 19:04:49.821</v>
      </c>
      <c r="B7235" t="str">
        <f>"19:04:57.805"</f>
        <v>19:04:57.805</v>
      </c>
      <c r="C7235" t="str">
        <f>"19:04:57.405"</f>
        <v>19:04:57.405</v>
      </c>
      <c r="D7235" t="s">
        <v>2943</v>
      </c>
      <c r="E7235">
        <v>30.364258</v>
      </c>
      <c r="F7235" t="s">
        <v>2944</v>
      </c>
      <c r="G7235">
        <v>-89.811687000000006</v>
      </c>
      <c r="H7235">
        <v>700</v>
      </c>
      <c r="I7235">
        <v>106</v>
      </c>
      <c r="J7235">
        <v>-6</v>
      </c>
      <c r="K7235">
        <v>128</v>
      </c>
      <c r="L7235">
        <v>1200</v>
      </c>
      <c r="M7235" t="str">
        <f t="shared" si="748"/>
        <v xml:space="preserve">N35DC   </v>
      </c>
      <c r="N7235">
        <v>1</v>
      </c>
      <c r="O7235">
        <v>750</v>
      </c>
    </row>
    <row r="7236" spans="1:15" x14ac:dyDescent="0.25">
      <c r="A7236" t="str">
        <f>"10/21/2020 19:04:49.821"</f>
        <v>10/21/2020 19:04:49.821</v>
      </c>
      <c r="B7236" t="str">
        <f>"19:04:57.805"</f>
        <v>19:04:57.805</v>
      </c>
      <c r="C7236" t="str">
        <f>"19:04:57.405"</f>
        <v>19:04:57.405</v>
      </c>
      <c r="D7236" t="s">
        <v>2943</v>
      </c>
      <c r="E7236">
        <v>30.364258</v>
      </c>
      <c r="F7236" t="s">
        <v>2944</v>
      </c>
      <c r="G7236">
        <v>-89.811687000000006</v>
      </c>
      <c r="H7236">
        <v>700</v>
      </c>
      <c r="I7236">
        <v>106</v>
      </c>
      <c r="J7236">
        <v>-6</v>
      </c>
      <c r="K7236">
        <v>128</v>
      </c>
      <c r="L7236">
        <v>1200</v>
      </c>
      <c r="M7236" t="str">
        <f t="shared" si="748"/>
        <v xml:space="preserve">N35DC   </v>
      </c>
      <c r="N7236">
        <v>1</v>
      </c>
      <c r="O7236">
        <v>750</v>
      </c>
    </row>
    <row r="7237" spans="1:15" x14ac:dyDescent="0.25">
      <c r="A7237" t="str">
        <f>"10/21/2020 19:04:49.821"</f>
        <v>10/21/2020 19:04:49.821</v>
      </c>
      <c r="B7237" t="str">
        <f>"19:04:57.805"</f>
        <v>19:04:57.805</v>
      </c>
      <c r="C7237" t="str">
        <f>"19:04:57.405"</f>
        <v>19:04:57.405</v>
      </c>
      <c r="D7237" t="s">
        <v>2943</v>
      </c>
      <c r="E7237">
        <v>30.364258</v>
      </c>
      <c r="F7237" t="s">
        <v>2944</v>
      </c>
      <c r="G7237">
        <v>-89.811687000000006</v>
      </c>
      <c r="H7237">
        <v>700</v>
      </c>
      <c r="I7237">
        <v>106</v>
      </c>
      <c r="J7237">
        <v>-6</v>
      </c>
      <c r="K7237">
        <v>128</v>
      </c>
      <c r="L7237">
        <v>1200</v>
      </c>
      <c r="M7237" t="str">
        <f t="shared" si="748"/>
        <v xml:space="preserve">N35DC   </v>
      </c>
      <c r="N7237">
        <v>1</v>
      </c>
      <c r="O7237">
        <v>750</v>
      </c>
    </row>
    <row r="7238" spans="1:15" x14ac:dyDescent="0.25">
      <c r="A7238" t="str">
        <f>"10/21/2020 19:04:49.821"</f>
        <v>10/21/2020 19:04:49.821</v>
      </c>
      <c r="B7238" t="str">
        <f>"19:04:57.805"</f>
        <v>19:04:57.805</v>
      </c>
      <c r="C7238" t="str">
        <f>"19:04:57.405"</f>
        <v>19:04:57.405</v>
      </c>
      <c r="D7238" t="s">
        <v>2943</v>
      </c>
      <c r="E7238">
        <v>30.364258</v>
      </c>
      <c r="F7238" t="s">
        <v>2944</v>
      </c>
      <c r="G7238">
        <v>-89.811687000000006</v>
      </c>
      <c r="H7238">
        <v>700</v>
      </c>
      <c r="I7238">
        <v>106</v>
      </c>
      <c r="J7238">
        <v>-6</v>
      </c>
      <c r="K7238">
        <v>128</v>
      </c>
      <c r="L7238">
        <v>1200</v>
      </c>
      <c r="M7238" t="str">
        <f t="shared" si="748"/>
        <v xml:space="preserve">N35DC   </v>
      </c>
      <c r="N7238">
        <v>1</v>
      </c>
      <c r="O7238">
        <v>750</v>
      </c>
    </row>
    <row r="7239" spans="1:15" x14ac:dyDescent="0.25">
      <c r="A7239" t="str">
        <f>"10/21/2020 19:04:49.821"</f>
        <v>10/21/2020 19:04:49.821</v>
      </c>
      <c r="B7239" t="str">
        <f>"19:04:57.805"</f>
        <v>19:04:57.805</v>
      </c>
      <c r="C7239" t="str">
        <f>"19:04:57.405"</f>
        <v>19:04:57.405</v>
      </c>
      <c r="D7239" t="s">
        <v>2943</v>
      </c>
      <c r="E7239">
        <v>30.364258</v>
      </c>
      <c r="F7239" t="s">
        <v>2944</v>
      </c>
      <c r="G7239">
        <v>-89.811687000000006</v>
      </c>
      <c r="H7239">
        <v>700</v>
      </c>
      <c r="I7239">
        <v>106</v>
      </c>
      <c r="J7239">
        <v>-6</v>
      </c>
      <c r="K7239">
        <v>128</v>
      </c>
      <c r="L7239">
        <v>1200</v>
      </c>
      <c r="M7239" t="str">
        <f t="shared" ref="M7239:M7302" si="750">"N35DC   "</f>
        <v xml:space="preserve">N35DC   </v>
      </c>
      <c r="N7239">
        <v>1</v>
      </c>
      <c r="O7239">
        <v>750</v>
      </c>
    </row>
    <row r="7240" spans="1:15" x14ac:dyDescent="0.25">
      <c r="A7240" t="str">
        <f>"10/21/2020 19:04:50.933"</f>
        <v>10/21/2020 19:04:50.933</v>
      </c>
      <c r="B7240" t="str">
        <f t="shared" ref="B7240:C7244" si="751">"19:04:58.867"</f>
        <v>19:04:58.867</v>
      </c>
      <c r="C7240" t="str">
        <f t="shared" si="751"/>
        <v>19:04:58.867</v>
      </c>
      <c r="D7240" t="s">
        <v>2945</v>
      </c>
      <c r="E7240">
        <v>30.364343999999999</v>
      </c>
      <c r="F7240" t="s">
        <v>2724</v>
      </c>
      <c r="G7240">
        <v>-89.811087000000001</v>
      </c>
      <c r="H7240">
        <v>700</v>
      </c>
      <c r="I7240">
        <v>107</v>
      </c>
      <c r="J7240">
        <v>10</v>
      </c>
      <c r="K7240">
        <v>128</v>
      </c>
      <c r="L7240">
        <v>1200</v>
      </c>
      <c r="M7240" t="str">
        <f t="shared" si="750"/>
        <v xml:space="preserve">N35DC   </v>
      </c>
      <c r="N7240">
        <v>1</v>
      </c>
      <c r="O7240">
        <v>750</v>
      </c>
    </row>
    <row r="7241" spans="1:15" x14ac:dyDescent="0.25">
      <c r="A7241" t="str">
        <f>"10/21/2020 19:04:50.933"</f>
        <v>10/21/2020 19:04:50.933</v>
      </c>
      <c r="B7241" t="str">
        <f t="shared" si="751"/>
        <v>19:04:58.867</v>
      </c>
      <c r="C7241" t="str">
        <f t="shared" si="751"/>
        <v>19:04:58.867</v>
      </c>
      <c r="D7241" t="s">
        <v>2945</v>
      </c>
      <c r="E7241">
        <v>30.364343999999999</v>
      </c>
      <c r="F7241" t="s">
        <v>2724</v>
      </c>
      <c r="G7241">
        <v>-89.811087000000001</v>
      </c>
      <c r="H7241">
        <v>700</v>
      </c>
      <c r="I7241">
        <v>107</v>
      </c>
      <c r="J7241">
        <v>10</v>
      </c>
      <c r="K7241">
        <v>128</v>
      </c>
      <c r="L7241">
        <v>1200</v>
      </c>
      <c r="M7241" t="str">
        <f t="shared" si="750"/>
        <v xml:space="preserve">N35DC   </v>
      </c>
      <c r="N7241">
        <v>1</v>
      </c>
      <c r="O7241">
        <v>750</v>
      </c>
    </row>
    <row r="7242" spans="1:15" x14ac:dyDescent="0.25">
      <c r="A7242" t="str">
        <f>"10/21/2020 19:04:50.933"</f>
        <v>10/21/2020 19:04:50.933</v>
      </c>
      <c r="B7242" t="str">
        <f t="shared" si="751"/>
        <v>19:04:58.867</v>
      </c>
      <c r="C7242" t="str">
        <f t="shared" si="751"/>
        <v>19:04:58.867</v>
      </c>
      <c r="D7242" t="s">
        <v>2945</v>
      </c>
      <c r="E7242">
        <v>30.364343999999999</v>
      </c>
      <c r="F7242" t="s">
        <v>2724</v>
      </c>
      <c r="G7242">
        <v>-89.811087000000001</v>
      </c>
      <c r="H7242">
        <v>700</v>
      </c>
      <c r="I7242">
        <v>107</v>
      </c>
      <c r="J7242">
        <v>10</v>
      </c>
      <c r="K7242">
        <v>128</v>
      </c>
      <c r="L7242">
        <v>1200</v>
      </c>
      <c r="M7242" t="str">
        <f t="shared" si="750"/>
        <v xml:space="preserve">N35DC   </v>
      </c>
      <c r="N7242">
        <v>1</v>
      </c>
      <c r="O7242">
        <v>750</v>
      </c>
    </row>
    <row r="7243" spans="1:15" x14ac:dyDescent="0.25">
      <c r="A7243" t="str">
        <f>"10/21/2020 19:04:50.933"</f>
        <v>10/21/2020 19:04:50.933</v>
      </c>
      <c r="B7243" t="str">
        <f t="shared" si="751"/>
        <v>19:04:58.867</v>
      </c>
      <c r="C7243" t="str">
        <f t="shared" si="751"/>
        <v>19:04:58.867</v>
      </c>
      <c r="D7243" t="s">
        <v>2945</v>
      </c>
      <c r="E7243">
        <v>30.364343999999999</v>
      </c>
      <c r="F7243" t="s">
        <v>2724</v>
      </c>
      <c r="G7243">
        <v>-89.811087000000001</v>
      </c>
      <c r="H7243">
        <v>700</v>
      </c>
      <c r="I7243">
        <v>107</v>
      </c>
      <c r="J7243">
        <v>10</v>
      </c>
      <c r="K7243">
        <v>128</v>
      </c>
      <c r="L7243">
        <v>1200</v>
      </c>
      <c r="M7243" t="str">
        <f t="shared" si="750"/>
        <v xml:space="preserve">N35DC   </v>
      </c>
      <c r="N7243">
        <v>1</v>
      </c>
      <c r="O7243">
        <v>750</v>
      </c>
    </row>
    <row r="7244" spans="1:15" x14ac:dyDescent="0.25">
      <c r="A7244" t="str">
        <f>"10/21/2020 19:04:50.933"</f>
        <v>10/21/2020 19:04:50.933</v>
      </c>
      <c r="B7244" t="str">
        <f t="shared" si="751"/>
        <v>19:04:58.867</v>
      </c>
      <c r="C7244" t="str">
        <f t="shared" si="751"/>
        <v>19:04:58.867</v>
      </c>
      <c r="D7244" t="s">
        <v>2945</v>
      </c>
      <c r="E7244">
        <v>30.364343999999999</v>
      </c>
      <c r="F7244" t="s">
        <v>2724</v>
      </c>
      <c r="G7244">
        <v>-89.811087000000001</v>
      </c>
      <c r="H7244">
        <v>700</v>
      </c>
      <c r="I7244">
        <v>107</v>
      </c>
      <c r="J7244">
        <v>10</v>
      </c>
      <c r="K7244">
        <v>128</v>
      </c>
      <c r="L7244">
        <v>1200</v>
      </c>
      <c r="M7244" t="str">
        <f t="shared" si="750"/>
        <v xml:space="preserve">N35DC   </v>
      </c>
      <c r="N7244">
        <v>1</v>
      </c>
      <c r="O7244">
        <v>750</v>
      </c>
    </row>
    <row r="7245" spans="1:15" x14ac:dyDescent="0.25">
      <c r="A7245" t="str">
        <f>"10/21/2020 19:04:53.765"</f>
        <v>10/21/2020 19:04:53.765</v>
      </c>
      <c r="B7245" t="str">
        <f>"19:05:01.703"</f>
        <v>19:05:01.703</v>
      </c>
      <c r="C7245" t="str">
        <f>"19:05:01.503"</f>
        <v>19:05:01.503</v>
      </c>
      <c r="D7245" t="s">
        <v>31</v>
      </c>
      <c r="E7245">
        <v>30.364644999999999</v>
      </c>
      <c r="F7245" t="s">
        <v>2946</v>
      </c>
      <c r="G7245">
        <v>-89.809455999999997</v>
      </c>
      <c r="H7245">
        <v>700</v>
      </c>
      <c r="I7245">
        <v>104</v>
      </c>
      <c r="J7245">
        <v>34</v>
      </c>
      <c r="K7245">
        <v>448</v>
      </c>
      <c r="L7245">
        <v>1200</v>
      </c>
      <c r="M7245" t="str">
        <f t="shared" si="750"/>
        <v xml:space="preserve">N35DC   </v>
      </c>
      <c r="N7245">
        <v>1</v>
      </c>
      <c r="O7245">
        <v>750</v>
      </c>
    </row>
    <row r="7246" spans="1:15" x14ac:dyDescent="0.25">
      <c r="A7246" t="str">
        <f>"10/21/2020 19:04:53.765"</f>
        <v>10/21/2020 19:04:53.765</v>
      </c>
      <c r="B7246" t="str">
        <f>"19:05:01.703"</f>
        <v>19:05:01.703</v>
      </c>
      <c r="C7246" t="str">
        <f>"19:05:01.503"</f>
        <v>19:05:01.503</v>
      </c>
      <c r="D7246" t="s">
        <v>31</v>
      </c>
      <c r="E7246">
        <v>30.364644999999999</v>
      </c>
      <c r="F7246" t="s">
        <v>2946</v>
      </c>
      <c r="G7246">
        <v>-89.809455999999997</v>
      </c>
      <c r="H7246">
        <v>700</v>
      </c>
      <c r="I7246">
        <v>104</v>
      </c>
      <c r="J7246">
        <v>34</v>
      </c>
      <c r="K7246">
        <v>448</v>
      </c>
      <c r="L7246">
        <v>1200</v>
      </c>
      <c r="M7246" t="str">
        <f t="shared" si="750"/>
        <v xml:space="preserve">N35DC   </v>
      </c>
      <c r="N7246">
        <v>1</v>
      </c>
      <c r="O7246">
        <v>750</v>
      </c>
    </row>
    <row r="7247" spans="1:15" x14ac:dyDescent="0.25">
      <c r="A7247" t="str">
        <f>"10/21/2020 19:04:53.765"</f>
        <v>10/21/2020 19:04:53.765</v>
      </c>
      <c r="B7247" t="str">
        <f>"19:05:01.703"</f>
        <v>19:05:01.703</v>
      </c>
      <c r="C7247" t="str">
        <f>"19:05:01.503"</f>
        <v>19:05:01.503</v>
      </c>
      <c r="D7247" t="s">
        <v>31</v>
      </c>
      <c r="E7247">
        <v>30.364644999999999</v>
      </c>
      <c r="F7247" t="s">
        <v>2946</v>
      </c>
      <c r="G7247">
        <v>-89.809455999999997</v>
      </c>
      <c r="H7247">
        <v>700</v>
      </c>
      <c r="I7247">
        <v>104</v>
      </c>
      <c r="J7247">
        <v>34</v>
      </c>
      <c r="K7247">
        <v>448</v>
      </c>
      <c r="L7247">
        <v>1200</v>
      </c>
      <c r="M7247" t="str">
        <f t="shared" si="750"/>
        <v xml:space="preserve">N35DC   </v>
      </c>
      <c r="N7247">
        <v>1</v>
      </c>
      <c r="O7247">
        <v>750</v>
      </c>
    </row>
    <row r="7248" spans="1:15" x14ac:dyDescent="0.25">
      <c r="A7248" t="str">
        <f>"10/21/2020 19:04:53.765"</f>
        <v>10/21/2020 19:04:53.765</v>
      </c>
      <c r="B7248" t="str">
        <f>"19:05:01.703"</f>
        <v>19:05:01.703</v>
      </c>
      <c r="C7248" t="str">
        <f>"19:05:01.503"</f>
        <v>19:05:01.503</v>
      </c>
      <c r="D7248" t="s">
        <v>31</v>
      </c>
      <c r="E7248">
        <v>30.364644999999999</v>
      </c>
      <c r="F7248" t="s">
        <v>2946</v>
      </c>
      <c r="G7248">
        <v>-89.809455999999997</v>
      </c>
      <c r="H7248">
        <v>700</v>
      </c>
      <c r="I7248">
        <v>104</v>
      </c>
      <c r="J7248">
        <v>34</v>
      </c>
      <c r="K7248">
        <v>448</v>
      </c>
      <c r="L7248">
        <v>1200</v>
      </c>
      <c r="M7248" t="str">
        <f t="shared" si="750"/>
        <v xml:space="preserve">N35DC   </v>
      </c>
      <c r="N7248">
        <v>1</v>
      </c>
      <c r="O7248">
        <v>750</v>
      </c>
    </row>
    <row r="7249" spans="1:15" x14ac:dyDescent="0.25">
      <c r="A7249" t="str">
        <f>"10/21/2020 19:04:53.765"</f>
        <v>10/21/2020 19:04:53.765</v>
      </c>
      <c r="B7249" t="str">
        <f>"19:05:01.703"</f>
        <v>19:05:01.703</v>
      </c>
      <c r="C7249" t="str">
        <f>"19:05:01.503"</f>
        <v>19:05:01.503</v>
      </c>
      <c r="D7249" t="s">
        <v>31</v>
      </c>
      <c r="E7249">
        <v>30.364644999999999</v>
      </c>
      <c r="F7249" t="s">
        <v>2946</v>
      </c>
      <c r="G7249">
        <v>-89.809455999999997</v>
      </c>
      <c r="H7249">
        <v>700</v>
      </c>
      <c r="I7249">
        <v>104</v>
      </c>
      <c r="J7249">
        <v>34</v>
      </c>
      <c r="K7249">
        <v>448</v>
      </c>
      <c r="L7249">
        <v>1200</v>
      </c>
      <c r="M7249" t="str">
        <f t="shared" si="750"/>
        <v xml:space="preserve">N35DC   </v>
      </c>
      <c r="N7249">
        <v>1</v>
      </c>
      <c r="O7249">
        <v>750</v>
      </c>
    </row>
    <row r="7250" spans="1:15" x14ac:dyDescent="0.25">
      <c r="A7250" t="str">
        <f>"10/21/2020 19:04:54.624"</f>
        <v>10/21/2020 19:04:54.624</v>
      </c>
      <c r="B7250" t="str">
        <f>"19:05:02.570"</f>
        <v>19:05:02.570</v>
      </c>
      <c r="C7250" t="str">
        <f>"19:05:02.070"</f>
        <v>19:05:02.070</v>
      </c>
      <c r="D7250" t="s">
        <v>2947</v>
      </c>
      <c r="E7250">
        <v>30.364837999999999</v>
      </c>
      <c r="F7250" t="s">
        <v>2948</v>
      </c>
      <c r="G7250">
        <v>-89.809027</v>
      </c>
      <c r="H7250">
        <v>700</v>
      </c>
      <c r="I7250">
        <v>103</v>
      </c>
      <c r="J7250">
        <v>39</v>
      </c>
      <c r="K7250">
        <v>512</v>
      </c>
      <c r="L7250">
        <v>1200</v>
      </c>
      <c r="M7250" t="str">
        <f t="shared" si="750"/>
        <v xml:space="preserve">N35DC   </v>
      </c>
      <c r="N7250">
        <v>1</v>
      </c>
      <c r="O7250">
        <v>750</v>
      </c>
    </row>
    <row r="7251" spans="1:15" x14ac:dyDescent="0.25">
      <c r="A7251" t="str">
        <f>"10/21/2020 19:04:54.624"</f>
        <v>10/21/2020 19:04:54.624</v>
      </c>
      <c r="B7251" t="str">
        <f>"19:05:02.570"</f>
        <v>19:05:02.570</v>
      </c>
      <c r="C7251" t="str">
        <f>"19:05:02.070"</f>
        <v>19:05:02.070</v>
      </c>
      <c r="D7251" t="s">
        <v>2947</v>
      </c>
      <c r="E7251">
        <v>30.364837999999999</v>
      </c>
      <c r="F7251" t="s">
        <v>2948</v>
      </c>
      <c r="G7251">
        <v>-89.809027</v>
      </c>
      <c r="H7251">
        <v>700</v>
      </c>
      <c r="I7251">
        <v>103</v>
      </c>
      <c r="J7251">
        <v>39</v>
      </c>
      <c r="K7251">
        <v>512</v>
      </c>
      <c r="L7251">
        <v>1200</v>
      </c>
      <c r="M7251" t="str">
        <f t="shared" si="750"/>
        <v xml:space="preserve">N35DC   </v>
      </c>
      <c r="N7251">
        <v>1</v>
      </c>
      <c r="O7251">
        <v>750</v>
      </c>
    </row>
    <row r="7252" spans="1:15" x14ac:dyDescent="0.25">
      <c r="A7252" t="str">
        <f>"10/21/2020 19:04:54.624"</f>
        <v>10/21/2020 19:04:54.624</v>
      </c>
      <c r="B7252" t="str">
        <f>"19:05:02.570"</f>
        <v>19:05:02.570</v>
      </c>
      <c r="C7252" t="str">
        <f>"19:05:02.070"</f>
        <v>19:05:02.070</v>
      </c>
      <c r="D7252" t="s">
        <v>2947</v>
      </c>
      <c r="E7252">
        <v>30.364837999999999</v>
      </c>
      <c r="F7252" t="s">
        <v>2948</v>
      </c>
      <c r="G7252">
        <v>-89.809027</v>
      </c>
      <c r="H7252">
        <v>700</v>
      </c>
      <c r="I7252">
        <v>103</v>
      </c>
      <c r="J7252">
        <v>39</v>
      </c>
      <c r="K7252">
        <v>512</v>
      </c>
      <c r="L7252">
        <v>1200</v>
      </c>
      <c r="M7252" t="str">
        <f t="shared" si="750"/>
        <v xml:space="preserve">N35DC   </v>
      </c>
      <c r="N7252">
        <v>1</v>
      </c>
      <c r="O7252">
        <v>750</v>
      </c>
    </row>
    <row r="7253" spans="1:15" x14ac:dyDescent="0.25">
      <c r="A7253" t="str">
        <f>"10/21/2020 19:04:54.624"</f>
        <v>10/21/2020 19:04:54.624</v>
      </c>
      <c r="B7253" t="str">
        <f>"19:05:02.570"</f>
        <v>19:05:02.570</v>
      </c>
      <c r="C7253" t="str">
        <f>"19:05:02.070"</f>
        <v>19:05:02.070</v>
      </c>
      <c r="D7253" t="s">
        <v>2947</v>
      </c>
      <c r="E7253">
        <v>30.364837999999999</v>
      </c>
      <c r="F7253" t="s">
        <v>2948</v>
      </c>
      <c r="G7253">
        <v>-89.809027</v>
      </c>
      <c r="H7253">
        <v>700</v>
      </c>
      <c r="I7253">
        <v>103</v>
      </c>
      <c r="J7253">
        <v>39</v>
      </c>
      <c r="K7253">
        <v>512</v>
      </c>
      <c r="L7253">
        <v>1200</v>
      </c>
      <c r="M7253" t="str">
        <f t="shared" si="750"/>
        <v xml:space="preserve">N35DC   </v>
      </c>
      <c r="N7253">
        <v>1</v>
      </c>
      <c r="O7253">
        <v>750</v>
      </c>
    </row>
    <row r="7254" spans="1:15" x14ac:dyDescent="0.25">
      <c r="A7254" t="str">
        <f>"10/21/2020 19:04:54.624"</f>
        <v>10/21/2020 19:04:54.624</v>
      </c>
      <c r="B7254" t="str">
        <f>"19:05:02.570"</f>
        <v>19:05:02.570</v>
      </c>
      <c r="C7254" t="str">
        <f>"19:05:02.070"</f>
        <v>19:05:02.070</v>
      </c>
      <c r="D7254" t="s">
        <v>2947</v>
      </c>
      <c r="E7254">
        <v>30.364837999999999</v>
      </c>
      <c r="F7254" t="s">
        <v>2948</v>
      </c>
      <c r="G7254">
        <v>-89.809027</v>
      </c>
      <c r="H7254">
        <v>700</v>
      </c>
      <c r="I7254">
        <v>103</v>
      </c>
      <c r="J7254">
        <v>39</v>
      </c>
      <c r="K7254">
        <v>512</v>
      </c>
      <c r="L7254">
        <v>1200</v>
      </c>
      <c r="M7254" t="str">
        <f t="shared" si="750"/>
        <v xml:space="preserve">N35DC   </v>
      </c>
      <c r="N7254">
        <v>1</v>
      </c>
      <c r="O7254">
        <v>750</v>
      </c>
    </row>
    <row r="7255" spans="1:15" x14ac:dyDescent="0.25">
      <c r="A7255" t="str">
        <f>"10/21/2020 19:04:57.860"</f>
        <v>10/21/2020 19:04:57.860</v>
      </c>
      <c r="B7255" t="str">
        <f>"19:05:05.766"</f>
        <v>19:05:05.766</v>
      </c>
      <c r="C7255" t="str">
        <f>"19:05:05.566"</f>
        <v>19:05:05.566</v>
      </c>
      <c r="D7255" t="s">
        <v>35</v>
      </c>
      <c r="E7255">
        <v>30.365566999999999</v>
      </c>
      <c r="F7255" t="s">
        <v>2949</v>
      </c>
      <c r="G7255">
        <v>-89.807353000000006</v>
      </c>
      <c r="H7255">
        <v>800</v>
      </c>
      <c r="I7255">
        <v>92</v>
      </c>
      <c r="J7255">
        <v>55</v>
      </c>
      <c r="K7255">
        <v>1600</v>
      </c>
      <c r="L7255">
        <v>1200</v>
      </c>
      <c r="M7255" t="str">
        <f t="shared" si="750"/>
        <v xml:space="preserve">N35DC   </v>
      </c>
      <c r="N7255">
        <v>1</v>
      </c>
      <c r="O7255">
        <v>825</v>
      </c>
    </row>
    <row r="7256" spans="1:15" x14ac:dyDescent="0.25">
      <c r="A7256" t="str">
        <f>"10/21/2020 19:04:57.860"</f>
        <v>10/21/2020 19:04:57.860</v>
      </c>
      <c r="B7256" t="str">
        <f>"19:05:05.766"</f>
        <v>19:05:05.766</v>
      </c>
      <c r="C7256" t="str">
        <f>"19:05:05.566"</f>
        <v>19:05:05.566</v>
      </c>
      <c r="D7256" t="s">
        <v>35</v>
      </c>
      <c r="E7256">
        <v>30.365566999999999</v>
      </c>
      <c r="F7256" t="s">
        <v>2949</v>
      </c>
      <c r="G7256">
        <v>-89.807353000000006</v>
      </c>
      <c r="H7256">
        <v>800</v>
      </c>
      <c r="I7256">
        <v>92</v>
      </c>
      <c r="J7256">
        <v>55</v>
      </c>
      <c r="K7256">
        <v>1600</v>
      </c>
      <c r="L7256">
        <v>1200</v>
      </c>
      <c r="M7256" t="str">
        <f t="shared" si="750"/>
        <v xml:space="preserve">N35DC   </v>
      </c>
      <c r="N7256">
        <v>1</v>
      </c>
      <c r="O7256">
        <v>825</v>
      </c>
    </row>
    <row r="7257" spans="1:15" x14ac:dyDescent="0.25">
      <c r="A7257" t="str">
        <f>"10/21/2020 19:04:57.860"</f>
        <v>10/21/2020 19:04:57.860</v>
      </c>
      <c r="B7257" t="str">
        <f>"19:05:05.766"</f>
        <v>19:05:05.766</v>
      </c>
      <c r="C7257" t="str">
        <f>"19:05:05.566"</f>
        <v>19:05:05.566</v>
      </c>
      <c r="D7257" t="s">
        <v>35</v>
      </c>
      <c r="E7257">
        <v>30.365566999999999</v>
      </c>
      <c r="F7257" t="s">
        <v>2949</v>
      </c>
      <c r="G7257">
        <v>-89.807353000000006</v>
      </c>
      <c r="H7257">
        <v>800</v>
      </c>
      <c r="I7257">
        <v>92</v>
      </c>
      <c r="J7257">
        <v>55</v>
      </c>
      <c r="K7257">
        <v>1600</v>
      </c>
      <c r="L7257">
        <v>1200</v>
      </c>
      <c r="M7257" t="str">
        <f t="shared" si="750"/>
        <v xml:space="preserve">N35DC   </v>
      </c>
      <c r="N7257">
        <v>1</v>
      </c>
      <c r="O7257">
        <v>825</v>
      </c>
    </row>
    <row r="7258" spans="1:15" x14ac:dyDescent="0.25">
      <c r="A7258" t="str">
        <f>"10/21/2020 19:04:57.860"</f>
        <v>10/21/2020 19:04:57.860</v>
      </c>
      <c r="B7258" t="str">
        <f>"19:05:05.766"</f>
        <v>19:05:05.766</v>
      </c>
      <c r="C7258" t="str">
        <f>"19:05:05.566"</f>
        <v>19:05:05.566</v>
      </c>
      <c r="D7258" t="s">
        <v>35</v>
      </c>
      <c r="E7258">
        <v>30.365566999999999</v>
      </c>
      <c r="F7258" t="s">
        <v>2949</v>
      </c>
      <c r="G7258">
        <v>-89.807353000000006</v>
      </c>
      <c r="H7258">
        <v>800</v>
      </c>
      <c r="I7258">
        <v>92</v>
      </c>
      <c r="J7258">
        <v>55</v>
      </c>
      <c r="K7258">
        <v>1600</v>
      </c>
      <c r="L7258">
        <v>1200</v>
      </c>
      <c r="M7258" t="str">
        <f t="shared" si="750"/>
        <v xml:space="preserve">N35DC   </v>
      </c>
      <c r="N7258">
        <v>1</v>
      </c>
      <c r="O7258">
        <v>825</v>
      </c>
    </row>
    <row r="7259" spans="1:15" x14ac:dyDescent="0.25">
      <c r="A7259" t="str">
        <f>"10/21/2020 19:04:57.860"</f>
        <v>10/21/2020 19:04:57.860</v>
      </c>
      <c r="B7259" t="str">
        <f>"19:05:05.766"</f>
        <v>19:05:05.766</v>
      </c>
      <c r="C7259" t="str">
        <f>"19:05:05.566"</f>
        <v>19:05:05.566</v>
      </c>
      <c r="D7259" t="s">
        <v>35</v>
      </c>
      <c r="E7259">
        <v>30.365566999999999</v>
      </c>
      <c r="F7259" t="s">
        <v>2949</v>
      </c>
      <c r="G7259">
        <v>-89.807353000000006</v>
      </c>
      <c r="H7259">
        <v>800</v>
      </c>
      <c r="I7259">
        <v>92</v>
      </c>
      <c r="J7259">
        <v>55</v>
      </c>
      <c r="K7259">
        <v>1600</v>
      </c>
      <c r="L7259">
        <v>1200</v>
      </c>
      <c r="M7259" t="str">
        <f t="shared" si="750"/>
        <v xml:space="preserve">N35DC   </v>
      </c>
      <c r="N7259">
        <v>1</v>
      </c>
      <c r="O7259">
        <v>825</v>
      </c>
    </row>
    <row r="7260" spans="1:15" x14ac:dyDescent="0.25">
      <c r="A7260" t="str">
        <f>"10/21/2020 19:04:58.770"</f>
        <v>10/21/2020 19:04:58.770</v>
      </c>
      <c r="B7260" t="str">
        <f>"19:05:06.727"</f>
        <v>19:05:06.727</v>
      </c>
      <c r="C7260" t="str">
        <f>"19:05:05.927"</f>
        <v>19:05:05.927</v>
      </c>
      <c r="D7260" t="s">
        <v>2950</v>
      </c>
      <c r="E7260">
        <v>30.365846000000001</v>
      </c>
      <c r="F7260" t="s">
        <v>2951</v>
      </c>
      <c r="G7260">
        <v>-89.806923999999995</v>
      </c>
      <c r="H7260">
        <v>800</v>
      </c>
      <c r="I7260">
        <v>90</v>
      </c>
      <c r="J7260">
        <v>56</v>
      </c>
      <c r="K7260">
        <v>1728</v>
      </c>
      <c r="L7260">
        <v>1200</v>
      </c>
      <c r="M7260" t="str">
        <f t="shared" si="750"/>
        <v xml:space="preserve">N35DC   </v>
      </c>
      <c r="N7260">
        <v>1</v>
      </c>
      <c r="O7260">
        <v>825</v>
      </c>
    </row>
    <row r="7261" spans="1:15" x14ac:dyDescent="0.25">
      <c r="A7261" t="str">
        <f>"10/21/2020 19:04:58.770"</f>
        <v>10/21/2020 19:04:58.770</v>
      </c>
      <c r="B7261" t="str">
        <f>"19:05:06.727"</f>
        <v>19:05:06.727</v>
      </c>
      <c r="C7261" t="str">
        <f>"19:05:05.927"</f>
        <v>19:05:05.927</v>
      </c>
      <c r="D7261" t="s">
        <v>2950</v>
      </c>
      <c r="E7261">
        <v>30.365846000000001</v>
      </c>
      <c r="F7261" t="s">
        <v>2951</v>
      </c>
      <c r="G7261">
        <v>-89.806923999999995</v>
      </c>
      <c r="H7261">
        <v>800</v>
      </c>
      <c r="I7261">
        <v>90</v>
      </c>
      <c r="J7261">
        <v>56</v>
      </c>
      <c r="K7261">
        <v>1728</v>
      </c>
      <c r="L7261">
        <v>1200</v>
      </c>
      <c r="M7261" t="str">
        <f t="shared" si="750"/>
        <v xml:space="preserve">N35DC   </v>
      </c>
      <c r="N7261">
        <v>1</v>
      </c>
      <c r="O7261">
        <v>825</v>
      </c>
    </row>
    <row r="7262" spans="1:15" x14ac:dyDescent="0.25">
      <c r="A7262" t="str">
        <f>"10/21/2020 19:04:58.770"</f>
        <v>10/21/2020 19:04:58.770</v>
      </c>
      <c r="B7262" t="str">
        <f>"19:05:06.727"</f>
        <v>19:05:06.727</v>
      </c>
      <c r="C7262" t="str">
        <f>"19:05:05.927"</f>
        <v>19:05:05.927</v>
      </c>
      <c r="D7262" t="s">
        <v>2950</v>
      </c>
      <c r="E7262">
        <v>30.365846000000001</v>
      </c>
      <c r="F7262" t="s">
        <v>2951</v>
      </c>
      <c r="G7262">
        <v>-89.806923999999995</v>
      </c>
      <c r="H7262">
        <v>800</v>
      </c>
      <c r="I7262">
        <v>90</v>
      </c>
      <c r="J7262">
        <v>56</v>
      </c>
      <c r="K7262">
        <v>1728</v>
      </c>
      <c r="L7262">
        <v>1200</v>
      </c>
      <c r="M7262" t="str">
        <f t="shared" si="750"/>
        <v xml:space="preserve">N35DC   </v>
      </c>
      <c r="N7262">
        <v>1</v>
      </c>
      <c r="O7262">
        <v>825</v>
      </c>
    </row>
    <row r="7263" spans="1:15" x14ac:dyDescent="0.25">
      <c r="A7263" t="str">
        <f>"10/21/2020 19:04:58.770"</f>
        <v>10/21/2020 19:04:58.770</v>
      </c>
      <c r="B7263" t="str">
        <f>"19:05:06.727"</f>
        <v>19:05:06.727</v>
      </c>
      <c r="C7263" t="str">
        <f>"19:05:05.927"</f>
        <v>19:05:05.927</v>
      </c>
      <c r="D7263" t="s">
        <v>2950</v>
      </c>
      <c r="E7263">
        <v>30.365846000000001</v>
      </c>
      <c r="F7263" t="s">
        <v>2951</v>
      </c>
      <c r="G7263">
        <v>-89.806923999999995</v>
      </c>
      <c r="H7263">
        <v>800</v>
      </c>
      <c r="I7263">
        <v>90</v>
      </c>
      <c r="J7263">
        <v>56</v>
      </c>
      <c r="K7263">
        <v>1728</v>
      </c>
      <c r="L7263">
        <v>1200</v>
      </c>
      <c r="M7263" t="str">
        <f t="shared" si="750"/>
        <v xml:space="preserve">N35DC   </v>
      </c>
      <c r="N7263">
        <v>1</v>
      </c>
      <c r="O7263">
        <v>825</v>
      </c>
    </row>
    <row r="7264" spans="1:15" x14ac:dyDescent="0.25">
      <c r="A7264" t="str">
        <f>"10/21/2020 19:04:58.770"</f>
        <v>10/21/2020 19:04:58.770</v>
      </c>
      <c r="B7264" t="str">
        <f>"19:05:06.727"</f>
        <v>19:05:06.727</v>
      </c>
      <c r="C7264" t="str">
        <f>"19:05:05.927"</f>
        <v>19:05:05.927</v>
      </c>
      <c r="D7264" t="s">
        <v>2950</v>
      </c>
      <c r="E7264">
        <v>30.365846000000001</v>
      </c>
      <c r="F7264" t="s">
        <v>2951</v>
      </c>
      <c r="G7264">
        <v>-89.806923999999995</v>
      </c>
      <c r="H7264">
        <v>800</v>
      </c>
      <c r="I7264">
        <v>90</v>
      </c>
      <c r="J7264">
        <v>56</v>
      </c>
      <c r="K7264">
        <v>1728</v>
      </c>
      <c r="L7264">
        <v>1200</v>
      </c>
      <c r="M7264" t="str">
        <f t="shared" si="750"/>
        <v xml:space="preserve">N35DC   </v>
      </c>
      <c r="N7264">
        <v>1</v>
      </c>
      <c r="O7264">
        <v>825</v>
      </c>
    </row>
    <row r="7265" spans="1:15" x14ac:dyDescent="0.25">
      <c r="A7265" t="str">
        <f>"10/21/2020 19:05:00.734"</f>
        <v>10/21/2020 19:05:00.734</v>
      </c>
      <c r="B7265" t="str">
        <f>"19:05:08.695"</f>
        <v>19:05:08.695</v>
      </c>
      <c r="C7265" t="str">
        <f>"19:05:08.495"</f>
        <v>19:05:08.495</v>
      </c>
      <c r="D7265" t="s">
        <v>2935</v>
      </c>
      <c r="E7265">
        <v>30.366403999999999</v>
      </c>
      <c r="F7265" t="s">
        <v>2952</v>
      </c>
      <c r="G7265">
        <v>-89.806044</v>
      </c>
      <c r="H7265">
        <v>900</v>
      </c>
      <c r="I7265">
        <v>80</v>
      </c>
      <c r="J7265">
        <v>66</v>
      </c>
      <c r="K7265">
        <v>1472</v>
      </c>
      <c r="L7265">
        <v>1200</v>
      </c>
      <c r="M7265" t="str">
        <f t="shared" si="750"/>
        <v xml:space="preserve">N35DC   </v>
      </c>
      <c r="N7265">
        <v>1</v>
      </c>
      <c r="O7265">
        <v>900</v>
      </c>
    </row>
    <row r="7266" spans="1:15" x14ac:dyDescent="0.25">
      <c r="A7266" t="str">
        <f>"10/21/2020 19:05:00.734"</f>
        <v>10/21/2020 19:05:00.734</v>
      </c>
      <c r="B7266" t="str">
        <f>"19:05:08.695"</f>
        <v>19:05:08.695</v>
      </c>
      <c r="C7266" t="str">
        <f>"19:05:08.495"</f>
        <v>19:05:08.495</v>
      </c>
      <c r="D7266" t="s">
        <v>2935</v>
      </c>
      <c r="E7266">
        <v>30.366403999999999</v>
      </c>
      <c r="F7266" t="s">
        <v>2952</v>
      </c>
      <c r="G7266">
        <v>-89.806044</v>
      </c>
      <c r="H7266">
        <v>900</v>
      </c>
      <c r="I7266">
        <v>80</v>
      </c>
      <c r="J7266">
        <v>66</v>
      </c>
      <c r="K7266">
        <v>1472</v>
      </c>
      <c r="L7266">
        <v>1200</v>
      </c>
      <c r="M7266" t="str">
        <f t="shared" si="750"/>
        <v xml:space="preserve">N35DC   </v>
      </c>
      <c r="N7266">
        <v>1</v>
      </c>
      <c r="O7266">
        <v>900</v>
      </c>
    </row>
    <row r="7267" spans="1:15" x14ac:dyDescent="0.25">
      <c r="A7267" t="str">
        <f>"10/21/2020 19:05:00.734"</f>
        <v>10/21/2020 19:05:00.734</v>
      </c>
      <c r="B7267" t="str">
        <f>"19:05:08.695"</f>
        <v>19:05:08.695</v>
      </c>
      <c r="C7267" t="str">
        <f>"19:05:08.495"</f>
        <v>19:05:08.495</v>
      </c>
      <c r="D7267" t="s">
        <v>2935</v>
      </c>
      <c r="E7267">
        <v>30.366403999999999</v>
      </c>
      <c r="F7267" t="s">
        <v>2952</v>
      </c>
      <c r="G7267">
        <v>-89.806044</v>
      </c>
      <c r="H7267">
        <v>900</v>
      </c>
      <c r="I7267">
        <v>80</v>
      </c>
      <c r="J7267">
        <v>66</v>
      </c>
      <c r="K7267">
        <v>1472</v>
      </c>
      <c r="L7267">
        <v>1200</v>
      </c>
      <c r="M7267" t="str">
        <f t="shared" si="750"/>
        <v xml:space="preserve">N35DC   </v>
      </c>
      <c r="N7267">
        <v>1</v>
      </c>
      <c r="O7267">
        <v>900</v>
      </c>
    </row>
    <row r="7268" spans="1:15" x14ac:dyDescent="0.25">
      <c r="A7268" t="str">
        <f>"10/21/2020 19:05:00.734"</f>
        <v>10/21/2020 19:05:00.734</v>
      </c>
      <c r="B7268" t="str">
        <f>"19:05:08.695"</f>
        <v>19:05:08.695</v>
      </c>
      <c r="C7268" t="str">
        <f>"19:05:08.495"</f>
        <v>19:05:08.495</v>
      </c>
      <c r="D7268" t="s">
        <v>2935</v>
      </c>
      <c r="E7268">
        <v>30.366403999999999</v>
      </c>
      <c r="F7268" t="s">
        <v>2952</v>
      </c>
      <c r="G7268">
        <v>-89.806044</v>
      </c>
      <c r="H7268">
        <v>900</v>
      </c>
      <c r="I7268">
        <v>80</v>
      </c>
      <c r="J7268">
        <v>66</v>
      </c>
      <c r="K7268">
        <v>1472</v>
      </c>
      <c r="L7268">
        <v>1200</v>
      </c>
      <c r="M7268" t="str">
        <f t="shared" si="750"/>
        <v xml:space="preserve">N35DC   </v>
      </c>
      <c r="N7268">
        <v>1</v>
      </c>
      <c r="O7268">
        <v>900</v>
      </c>
    </row>
    <row r="7269" spans="1:15" x14ac:dyDescent="0.25">
      <c r="A7269" t="str">
        <f>"10/21/2020 19:05:00.734"</f>
        <v>10/21/2020 19:05:00.734</v>
      </c>
      <c r="B7269" t="str">
        <f>"19:05:08.695"</f>
        <v>19:05:08.695</v>
      </c>
      <c r="C7269" t="str">
        <f>"19:05:08.495"</f>
        <v>19:05:08.495</v>
      </c>
      <c r="D7269" t="s">
        <v>2935</v>
      </c>
      <c r="E7269">
        <v>30.366403999999999</v>
      </c>
      <c r="F7269" t="s">
        <v>2952</v>
      </c>
      <c r="G7269">
        <v>-89.806044</v>
      </c>
      <c r="H7269">
        <v>900</v>
      </c>
      <c r="I7269">
        <v>80</v>
      </c>
      <c r="J7269">
        <v>66</v>
      </c>
      <c r="K7269">
        <v>1472</v>
      </c>
      <c r="L7269">
        <v>1200</v>
      </c>
      <c r="M7269" t="str">
        <f t="shared" si="750"/>
        <v xml:space="preserve">N35DC   </v>
      </c>
      <c r="N7269">
        <v>1</v>
      </c>
      <c r="O7269">
        <v>900</v>
      </c>
    </row>
    <row r="7270" spans="1:15" x14ac:dyDescent="0.25">
      <c r="A7270" t="str">
        <f>"10/21/2020 19:05:01.752"</f>
        <v>10/21/2020 19:05:01.752</v>
      </c>
      <c r="B7270" t="str">
        <f>"19:05:09.680"</f>
        <v>19:05:09.680</v>
      </c>
      <c r="C7270" t="str">
        <f>"19:05:09.480"</f>
        <v>19:05:09.480</v>
      </c>
      <c r="D7270" t="s">
        <v>2953</v>
      </c>
      <c r="E7270">
        <v>30.366769000000001</v>
      </c>
      <c r="F7270" t="s">
        <v>2954</v>
      </c>
      <c r="G7270">
        <v>-89.805636000000007</v>
      </c>
      <c r="H7270">
        <v>900</v>
      </c>
      <c r="I7270">
        <v>74</v>
      </c>
      <c r="J7270">
        <v>72</v>
      </c>
      <c r="K7270">
        <v>1344</v>
      </c>
      <c r="L7270">
        <v>1200</v>
      </c>
      <c r="M7270" t="str">
        <f t="shared" si="750"/>
        <v xml:space="preserve">N35DC   </v>
      </c>
      <c r="N7270">
        <v>1</v>
      </c>
      <c r="O7270">
        <v>925</v>
      </c>
    </row>
    <row r="7271" spans="1:15" x14ac:dyDescent="0.25">
      <c r="A7271" t="str">
        <f>"10/21/2020 19:05:01.752"</f>
        <v>10/21/2020 19:05:01.752</v>
      </c>
      <c r="B7271" t="str">
        <f>"19:05:09.680"</f>
        <v>19:05:09.680</v>
      </c>
      <c r="C7271" t="str">
        <f>"19:05:09.480"</f>
        <v>19:05:09.480</v>
      </c>
      <c r="D7271" t="s">
        <v>2953</v>
      </c>
      <c r="E7271">
        <v>30.366769000000001</v>
      </c>
      <c r="F7271" t="s">
        <v>2954</v>
      </c>
      <c r="G7271">
        <v>-89.805636000000007</v>
      </c>
      <c r="H7271">
        <v>900</v>
      </c>
      <c r="I7271">
        <v>74</v>
      </c>
      <c r="J7271">
        <v>72</v>
      </c>
      <c r="K7271">
        <v>1344</v>
      </c>
      <c r="L7271">
        <v>1200</v>
      </c>
      <c r="M7271" t="str">
        <f t="shared" si="750"/>
        <v xml:space="preserve">N35DC   </v>
      </c>
      <c r="N7271">
        <v>1</v>
      </c>
      <c r="O7271">
        <v>925</v>
      </c>
    </row>
    <row r="7272" spans="1:15" x14ac:dyDescent="0.25">
      <c r="A7272" t="str">
        <f>"10/21/2020 19:05:01.752"</f>
        <v>10/21/2020 19:05:01.752</v>
      </c>
      <c r="B7272" t="str">
        <f>"19:05:09.680"</f>
        <v>19:05:09.680</v>
      </c>
      <c r="C7272" t="str">
        <f>"19:05:09.480"</f>
        <v>19:05:09.480</v>
      </c>
      <c r="D7272" t="s">
        <v>2953</v>
      </c>
      <c r="E7272">
        <v>30.366769000000001</v>
      </c>
      <c r="F7272" t="s">
        <v>2954</v>
      </c>
      <c r="G7272">
        <v>-89.805636000000007</v>
      </c>
      <c r="H7272">
        <v>900</v>
      </c>
      <c r="I7272">
        <v>74</v>
      </c>
      <c r="J7272">
        <v>72</v>
      </c>
      <c r="K7272">
        <v>1344</v>
      </c>
      <c r="L7272">
        <v>1200</v>
      </c>
      <c r="M7272" t="str">
        <f t="shared" si="750"/>
        <v xml:space="preserve">N35DC   </v>
      </c>
      <c r="N7272">
        <v>1</v>
      </c>
      <c r="O7272">
        <v>925</v>
      </c>
    </row>
    <row r="7273" spans="1:15" x14ac:dyDescent="0.25">
      <c r="A7273" t="str">
        <f>"10/21/2020 19:05:01.752"</f>
        <v>10/21/2020 19:05:01.752</v>
      </c>
      <c r="B7273" t="str">
        <f>"19:05:09.680"</f>
        <v>19:05:09.680</v>
      </c>
      <c r="C7273" t="str">
        <f>"19:05:09.480"</f>
        <v>19:05:09.480</v>
      </c>
      <c r="D7273" t="s">
        <v>2953</v>
      </c>
      <c r="E7273">
        <v>30.366769000000001</v>
      </c>
      <c r="F7273" t="s">
        <v>2954</v>
      </c>
      <c r="G7273">
        <v>-89.805636000000007</v>
      </c>
      <c r="H7273">
        <v>900</v>
      </c>
      <c r="I7273">
        <v>74</v>
      </c>
      <c r="J7273">
        <v>72</v>
      </c>
      <c r="K7273">
        <v>1344</v>
      </c>
      <c r="L7273">
        <v>1200</v>
      </c>
      <c r="M7273" t="str">
        <f t="shared" si="750"/>
        <v xml:space="preserve">N35DC   </v>
      </c>
      <c r="N7273">
        <v>1</v>
      </c>
      <c r="O7273">
        <v>925</v>
      </c>
    </row>
    <row r="7274" spans="1:15" x14ac:dyDescent="0.25">
      <c r="A7274" t="str">
        <f>"10/21/2020 19:05:01.752"</f>
        <v>10/21/2020 19:05:01.752</v>
      </c>
      <c r="B7274" t="str">
        <f>"19:05:09.680"</f>
        <v>19:05:09.680</v>
      </c>
      <c r="C7274" t="str">
        <f>"19:05:09.480"</f>
        <v>19:05:09.480</v>
      </c>
      <c r="D7274" t="s">
        <v>2953</v>
      </c>
      <c r="E7274">
        <v>30.366769000000001</v>
      </c>
      <c r="F7274" t="s">
        <v>2954</v>
      </c>
      <c r="G7274">
        <v>-89.805636000000007</v>
      </c>
      <c r="H7274">
        <v>900</v>
      </c>
      <c r="I7274">
        <v>74</v>
      </c>
      <c r="J7274">
        <v>72</v>
      </c>
      <c r="K7274">
        <v>1344</v>
      </c>
      <c r="L7274">
        <v>1200</v>
      </c>
      <c r="M7274" t="str">
        <f t="shared" si="750"/>
        <v xml:space="preserve">N35DC   </v>
      </c>
      <c r="N7274">
        <v>1</v>
      </c>
      <c r="O7274">
        <v>925</v>
      </c>
    </row>
    <row r="7275" spans="1:15" x14ac:dyDescent="0.25">
      <c r="A7275" t="str">
        <f>"10/21/2020 19:05:05.002"</f>
        <v>10/21/2020 19:05:05.002</v>
      </c>
      <c r="B7275" t="str">
        <f>"19:05:12.953"</f>
        <v>19:05:12.953</v>
      </c>
      <c r="C7275" t="str">
        <f>"19:05:12.453"</f>
        <v>19:05:12.453</v>
      </c>
      <c r="D7275" t="s">
        <v>2955</v>
      </c>
      <c r="E7275">
        <v>30.367992000000001</v>
      </c>
      <c r="F7275" t="s">
        <v>2956</v>
      </c>
      <c r="G7275">
        <v>-89.804499000000007</v>
      </c>
      <c r="H7275">
        <v>1000</v>
      </c>
      <c r="I7275">
        <v>61</v>
      </c>
      <c r="J7275">
        <v>86</v>
      </c>
      <c r="K7275">
        <v>768</v>
      </c>
      <c r="L7275">
        <v>1200</v>
      </c>
      <c r="M7275" t="str">
        <f t="shared" si="750"/>
        <v xml:space="preserve">N35DC   </v>
      </c>
      <c r="N7275">
        <v>1</v>
      </c>
      <c r="O7275">
        <v>975</v>
      </c>
    </row>
    <row r="7276" spans="1:15" x14ac:dyDescent="0.25">
      <c r="A7276" t="str">
        <f>"10/21/2020 19:05:05.002"</f>
        <v>10/21/2020 19:05:05.002</v>
      </c>
      <c r="B7276" t="str">
        <f>"19:05:12.953"</f>
        <v>19:05:12.953</v>
      </c>
      <c r="C7276" t="str">
        <f>"19:05:12.453"</f>
        <v>19:05:12.453</v>
      </c>
      <c r="D7276" t="s">
        <v>2955</v>
      </c>
      <c r="E7276">
        <v>30.367992000000001</v>
      </c>
      <c r="F7276" t="s">
        <v>2956</v>
      </c>
      <c r="G7276">
        <v>-89.804499000000007</v>
      </c>
      <c r="H7276">
        <v>1000</v>
      </c>
      <c r="I7276">
        <v>61</v>
      </c>
      <c r="J7276">
        <v>86</v>
      </c>
      <c r="K7276">
        <v>768</v>
      </c>
      <c r="L7276">
        <v>1200</v>
      </c>
      <c r="M7276" t="str">
        <f t="shared" si="750"/>
        <v xml:space="preserve">N35DC   </v>
      </c>
      <c r="N7276">
        <v>1</v>
      </c>
      <c r="O7276">
        <v>975</v>
      </c>
    </row>
    <row r="7277" spans="1:15" x14ac:dyDescent="0.25">
      <c r="A7277" t="str">
        <f>"10/21/2020 19:05:05.002"</f>
        <v>10/21/2020 19:05:05.002</v>
      </c>
      <c r="B7277" t="str">
        <f>"19:05:12.953"</f>
        <v>19:05:12.953</v>
      </c>
      <c r="C7277" t="str">
        <f>"19:05:12.453"</f>
        <v>19:05:12.453</v>
      </c>
      <c r="D7277" t="s">
        <v>2955</v>
      </c>
      <c r="E7277">
        <v>30.367992000000001</v>
      </c>
      <c r="F7277" t="s">
        <v>2956</v>
      </c>
      <c r="G7277">
        <v>-89.804499000000007</v>
      </c>
      <c r="H7277">
        <v>1000</v>
      </c>
      <c r="I7277">
        <v>61</v>
      </c>
      <c r="J7277">
        <v>86</v>
      </c>
      <c r="K7277">
        <v>768</v>
      </c>
      <c r="L7277">
        <v>1200</v>
      </c>
      <c r="M7277" t="str">
        <f t="shared" si="750"/>
        <v xml:space="preserve">N35DC   </v>
      </c>
      <c r="N7277">
        <v>1</v>
      </c>
      <c r="O7277">
        <v>975</v>
      </c>
    </row>
    <row r="7278" spans="1:15" x14ac:dyDescent="0.25">
      <c r="A7278" t="str">
        <f>"10/21/2020 19:05:05.002"</f>
        <v>10/21/2020 19:05:05.002</v>
      </c>
      <c r="B7278" t="str">
        <f>"19:05:12.953"</f>
        <v>19:05:12.953</v>
      </c>
      <c r="C7278" t="str">
        <f>"19:05:12.453"</f>
        <v>19:05:12.453</v>
      </c>
      <c r="D7278" t="s">
        <v>2955</v>
      </c>
      <c r="E7278">
        <v>30.367992000000001</v>
      </c>
      <c r="F7278" t="s">
        <v>2956</v>
      </c>
      <c r="G7278">
        <v>-89.804499000000007</v>
      </c>
      <c r="H7278">
        <v>1000</v>
      </c>
      <c r="I7278">
        <v>61</v>
      </c>
      <c r="J7278">
        <v>86</v>
      </c>
      <c r="K7278">
        <v>768</v>
      </c>
      <c r="L7278">
        <v>1200</v>
      </c>
      <c r="M7278" t="str">
        <f t="shared" si="750"/>
        <v xml:space="preserve">N35DC   </v>
      </c>
      <c r="N7278">
        <v>1</v>
      </c>
      <c r="O7278">
        <v>975</v>
      </c>
    </row>
    <row r="7279" spans="1:15" x14ac:dyDescent="0.25">
      <c r="A7279" t="str">
        <f>"10/21/2020 19:05:05.002"</f>
        <v>10/21/2020 19:05:05.002</v>
      </c>
      <c r="B7279" t="str">
        <f>"19:05:12.953"</f>
        <v>19:05:12.953</v>
      </c>
      <c r="C7279" t="str">
        <f>"19:05:12.453"</f>
        <v>19:05:12.453</v>
      </c>
      <c r="D7279" t="s">
        <v>2955</v>
      </c>
      <c r="E7279">
        <v>30.367992000000001</v>
      </c>
      <c r="F7279" t="s">
        <v>2956</v>
      </c>
      <c r="G7279">
        <v>-89.804499000000007</v>
      </c>
      <c r="H7279">
        <v>1000</v>
      </c>
      <c r="I7279">
        <v>61</v>
      </c>
      <c r="J7279">
        <v>86</v>
      </c>
      <c r="K7279">
        <v>768</v>
      </c>
      <c r="L7279">
        <v>1200</v>
      </c>
      <c r="M7279" t="str">
        <f t="shared" si="750"/>
        <v xml:space="preserve">N35DC   </v>
      </c>
      <c r="N7279">
        <v>1</v>
      </c>
      <c r="O7279">
        <v>975</v>
      </c>
    </row>
    <row r="7280" spans="1:15" x14ac:dyDescent="0.25">
      <c r="A7280" t="str">
        <f>"10/21/2020 19:05:05.945"</f>
        <v>10/21/2020 19:05:05.945</v>
      </c>
      <c r="B7280" t="str">
        <f>"19:05:13.898"</f>
        <v>19:05:13.898</v>
      </c>
      <c r="C7280" t="str">
        <f>"19:05:13.498"</f>
        <v>19:05:13.498</v>
      </c>
      <c r="D7280" t="s">
        <v>2957</v>
      </c>
      <c r="E7280">
        <v>30.368400000000001</v>
      </c>
      <c r="F7280" t="s">
        <v>99</v>
      </c>
      <c r="G7280">
        <v>-89.804284999999993</v>
      </c>
      <c r="H7280">
        <v>1000</v>
      </c>
      <c r="I7280">
        <v>55</v>
      </c>
      <c r="J7280">
        <v>92</v>
      </c>
      <c r="K7280">
        <v>640</v>
      </c>
      <c r="L7280">
        <v>1200</v>
      </c>
      <c r="M7280" t="str">
        <f t="shared" si="750"/>
        <v xml:space="preserve">N35DC   </v>
      </c>
      <c r="N7280">
        <v>1</v>
      </c>
      <c r="O7280">
        <v>975</v>
      </c>
    </row>
    <row r="7281" spans="1:15" x14ac:dyDescent="0.25">
      <c r="A7281" t="str">
        <f>"10/21/2020 19:05:05.945"</f>
        <v>10/21/2020 19:05:05.945</v>
      </c>
      <c r="B7281" t="str">
        <f>"19:05:13.898"</f>
        <v>19:05:13.898</v>
      </c>
      <c r="C7281" t="str">
        <f>"19:05:13.498"</f>
        <v>19:05:13.498</v>
      </c>
      <c r="D7281" t="s">
        <v>2957</v>
      </c>
      <c r="E7281">
        <v>30.368400000000001</v>
      </c>
      <c r="F7281" t="s">
        <v>99</v>
      </c>
      <c r="G7281">
        <v>-89.804284999999993</v>
      </c>
      <c r="H7281">
        <v>1000</v>
      </c>
      <c r="I7281">
        <v>55</v>
      </c>
      <c r="J7281">
        <v>92</v>
      </c>
      <c r="K7281">
        <v>640</v>
      </c>
      <c r="L7281">
        <v>1200</v>
      </c>
      <c r="M7281" t="str">
        <f t="shared" si="750"/>
        <v xml:space="preserve">N35DC   </v>
      </c>
      <c r="N7281">
        <v>1</v>
      </c>
      <c r="O7281">
        <v>975</v>
      </c>
    </row>
    <row r="7282" spans="1:15" x14ac:dyDescent="0.25">
      <c r="A7282" t="str">
        <f>"10/21/2020 19:05:05.945"</f>
        <v>10/21/2020 19:05:05.945</v>
      </c>
      <c r="B7282" t="str">
        <f>"19:05:13.898"</f>
        <v>19:05:13.898</v>
      </c>
      <c r="C7282" t="str">
        <f>"19:05:13.498"</f>
        <v>19:05:13.498</v>
      </c>
      <c r="D7282" t="s">
        <v>2957</v>
      </c>
      <c r="E7282">
        <v>30.368400000000001</v>
      </c>
      <c r="F7282" t="s">
        <v>99</v>
      </c>
      <c r="G7282">
        <v>-89.804284999999993</v>
      </c>
      <c r="H7282">
        <v>1000</v>
      </c>
      <c r="I7282">
        <v>55</v>
      </c>
      <c r="J7282">
        <v>92</v>
      </c>
      <c r="K7282">
        <v>640</v>
      </c>
      <c r="L7282">
        <v>1200</v>
      </c>
      <c r="M7282" t="str">
        <f t="shared" si="750"/>
        <v xml:space="preserve">N35DC   </v>
      </c>
      <c r="N7282">
        <v>1</v>
      </c>
      <c r="O7282">
        <v>975</v>
      </c>
    </row>
    <row r="7283" spans="1:15" x14ac:dyDescent="0.25">
      <c r="A7283" t="str">
        <f>"10/21/2020 19:05:05.945"</f>
        <v>10/21/2020 19:05:05.945</v>
      </c>
      <c r="B7283" t="str">
        <f>"19:05:13.898"</f>
        <v>19:05:13.898</v>
      </c>
      <c r="C7283" t="str">
        <f>"19:05:13.498"</f>
        <v>19:05:13.498</v>
      </c>
      <c r="D7283" t="s">
        <v>2957</v>
      </c>
      <c r="E7283">
        <v>30.368400000000001</v>
      </c>
      <c r="F7283" t="s">
        <v>99</v>
      </c>
      <c r="G7283">
        <v>-89.804284999999993</v>
      </c>
      <c r="H7283">
        <v>1000</v>
      </c>
      <c r="I7283">
        <v>55</v>
      </c>
      <c r="J7283">
        <v>92</v>
      </c>
      <c r="K7283">
        <v>640</v>
      </c>
      <c r="L7283">
        <v>1200</v>
      </c>
      <c r="M7283" t="str">
        <f t="shared" si="750"/>
        <v xml:space="preserve">N35DC   </v>
      </c>
      <c r="N7283">
        <v>1</v>
      </c>
      <c r="O7283">
        <v>975</v>
      </c>
    </row>
    <row r="7284" spans="1:15" x14ac:dyDescent="0.25">
      <c r="A7284" t="str">
        <f>"10/21/2020 19:05:05.945"</f>
        <v>10/21/2020 19:05:05.945</v>
      </c>
      <c r="B7284" t="str">
        <f>"19:05:13.898"</f>
        <v>19:05:13.898</v>
      </c>
      <c r="C7284" t="str">
        <f>"19:05:13.498"</f>
        <v>19:05:13.498</v>
      </c>
      <c r="D7284" t="s">
        <v>2957</v>
      </c>
      <c r="E7284">
        <v>30.368400000000001</v>
      </c>
      <c r="F7284" t="s">
        <v>99</v>
      </c>
      <c r="G7284">
        <v>-89.804284999999993</v>
      </c>
      <c r="H7284">
        <v>1000</v>
      </c>
      <c r="I7284">
        <v>55</v>
      </c>
      <c r="J7284">
        <v>92</v>
      </c>
      <c r="K7284">
        <v>640</v>
      </c>
      <c r="L7284">
        <v>1200</v>
      </c>
      <c r="M7284" t="str">
        <f t="shared" si="750"/>
        <v xml:space="preserve">N35DC   </v>
      </c>
      <c r="N7284">
        <v>1</v>
      </c>
      <c r="O7284">
        <v>975</v>
      </c>
    </row>
    <row r="7285" spans="1:15" x14ac:dyDescent="0.25">
      <c r="A7285" t="str">
        <f>"10/21/2020 19:05:08.994"</f>
        <v>10/21/2020 19:05:08.994</v>
      </c>
      <c r="B7285" t="str">
        <f>"19:05:16.938"</f>
        <v>19:05:16.938</v>
      </c>
      <c r="C7285" t="str">
        <f>"19:05:16.538"</f>
        <v>19:05:16.538</v>
      </c>
      <c r="D7285" t="s">
        <v>2931</v>
      </c>
      <c r="E7285">
        <v>30.369837</v>
      </c>
      <c r="F7285" t="s">
        <v>2958</v>
      </c>
      <c r="G7285">
        <v>-89.803533999999999</v>
      </c>
      <c r="H7285">
        <v>1000</v>
      </c>
      <c r="I7285">
        <v>39</v>
      </c>
      <c r="J7285">
        <v>103</v>
      </c>
      <c r="K7285">
        <v>320</v>
      </c>
      <c r="L7285">
        <v>1200</v>
      </c>
      <c r="M7285" t="str">
        <f t="shared" si="750"/>
        <v xml:space="preserve">N35DC   </v>
      </c>
      <c r="N7285">
        <v>1</v>
      </c>
      <c r="O7285">
        <v>1000</v>
      </c>
    </row>
    <row r="7286" spans="1:15" x14ac:dyDescent="0.25">
      <c r="A7286" t="str">
        <f>"10/21/2020 19:05:08.994"</f>
        <v>10/21/2020 19:05:08.994</v>
      </c>
      <c r="B7286" t="str">
        <f>"19:05:16.938"</f>
        <v>19:05:16.938</v>
      </c>
      <c r="C7286" t="str">
        <f>"19:05:16.538"</f>
        <v>19:05:16.538</v>
      </c>
      <c r="D7286" t="s">
        <v>2931</v>
      </c>
      <c r="E7286">
        <v>30.369837</v>
      </c>
      <c r="F7286" t="s">
        <v>2958</v>
      </c>
      <c r="G7286">
        <v>-89.803533999999999</v>
      </c>
      <c r="H7286">
        <v>1000</v>
      </c>
      <c r="I7286">
        <v>39</v>
      </c>
      <c r="J7286">
        <v>103</v>
      </c>
      <c r="K7286">
        <v>320</v>
      </c>
      <c r="L7286">
        <v>1200</v>
      </c>
      <c r="M7286" t="str">
        <f t="shared" si="750"/>
        <v xml:space="preserve">N35DC   </v>
      </c>
      <c r="N7286">
        <v>1</v>
      </c>
      <c r="O7286">
        <v>1000</v>
      </c>
    </row>
    <row r="7287" spans="1:15" x14ac:dyDescent="0.25">
      <c r="A7287" t="str">
        <f>"10/21/2020 19:05:08.994"</f>
        <v>10/21/2020 19:05:08.994</v>
      </c>
      <c r="B7287" t="str">
        <f>"19:05:16.938"</f>
        <v>19:05:16.938</v>
      </c>
      <c r="C7287" t="str">
        <f>"19:05:16.538"</f>
        <v>19:05:16.538</v>
      </c>
      <c r="D7287" t="s">
        <v>2931</v>
      </c>
      <c r="E7287">
        <v>30.369837</v>
      </c>
      <c r="F7287" t="s">
        <v>2958</v>
      </c>
      <c r="G7287">
        <v>-89.803533999999999</v>
      </c>
      <c r="H7287">
        <v>1000</v>
      </c>
      <c r="I7287">
        <v>39</v>
      </c>
      <c r="J7287">
        <v>103</v>
      </c>
      <c r="K7287">
        <v>320</v>
      </c>
      <c r="L7287">
        <v>1200</v>
      </c>
      <c r="M7287" t="str">
        <f t="shared" si="750"/>
        <v xml:space="preserve">N35DC   </v>
      </c>
      <c r="N7287">
        <v>1</v>
      </c>
      <c r="O7287">
        <v>1000</v>
      </c>
    </row>
    <row r="7288" spans="1:15" x14ac:dyDescent="0.25">
      <c r="A7288" t="str">
        <f>"10/21/2020 19:05:08.994"</f>
        <v>10/21/2020 19:05:08.994</v>
      </c>
      <c r="B7288" t="str">
        <f>"19:05:16.938"</f>
        <v>19:05:16.938</v>
      </c>
      <c r="C7288" t="str">
        <f>"19:05:16.538"</f>
        <v>19:05:16.538</v>
      </c>
      <c r="D7288" t="s">
        <v>2931</v>
      </c>
      <c r="E7288">
        <v>30.369837</v>
      </c>
      <c r="F7288" t="s">
        <v>2958</v>
      </c>
      <c r="G7288">
        <v>-89.803533999999999</v>
      </c>
      <c r="H7288">
        <v>1000</v>
      </c>
      <c r="I7288">
        <v>39</v>
      </c>
      <c r="J7288">
        <v>103</v>
      </c>
      <c r="K7288">
        <v>320</v>
      </c>
      <c r="L7288">
        <v>1200</v>
      </c>
      <c r="M7288" t="str">
        <f t="shared" si="750"/>
        <v xml:space="preserve">N35DC   </v>
      </c>
      <c r="N7288">
        <v>1</v>
      </c>
      <c r="O7288">
        <v>1000</v>
      </c>
    </row>
    <row r="7289" spans="1:15" x14ac:dyDescent="0.25">
      <c r="A7289" t="str">
        <f>"10/21/2020 19:05:08.994"</f>
        <v>10/21/2020 19:05:08.994</v>
      </c>
      <c r="B7289" t="str">
        <f>"19:05:16.938"</f>
        <v>19:05:16.938</v>
      </c>
      <c r="C7289" t="str">
        <f>"19:05:16.538"</f>
        <v>19:05:16.538</v>
      </c>
      <c r="D7289" t="s">
        <v>2931</v>
      </c>
      <c r="E7289">
        <v>30.369837</v>
      </c>
      <c r="F7289" t="s">
        <v>2958</v>
      </c>
      <c r="G7289">
        <v>-89.803533999999999</v>
      </c>
      <c r="H7289">
        <v>1000</v>
      </c>
      <c r="I7289">
        <v>39</v>
      </c>
      <c r="J7289">
        <v>103</v>
      </c>
      <c r="K7289">
        <v>320</v>
      </c>
      <c r="L7289">
        <v>1200</v>
      </c>
      <c r="M7289" t="str">
        <f t="shared" si="750"/>
        <v xml:space="preserve">N35DC   </v>
      </c>
      <c r="N7289">
        <v>1</v>
      </c>
      <c r="O7289">
        <v>1000</v>
      </c>
    </row>
    <row r="7290" spans="1:15" x14ac:dyDescent="0.25">
      <c r="A7290" t="str">
        <f>"10/21/2020 19:05:09.851"</f>
        <v>10/21/2020 19:05:09.851</v>
      </c>
      <c r="B7290" t="str">
        <f>"19:05:17.766"</f>
        <v>19:05:17.766</v>
      </c>
      <c r="C7290" t="str">
        <f>"19:05:17.566"</f>
        <v>19:05:17.566</v>
      </c>
      <c r="D7290" t="s">
        <v>2959</v>
      </c>
      <c r="E7290">
        <v>30.370245000000001</v>
      </c>
      <c r="F7290" t="s">
        <v>2960</v>
      </c>
      <c r="G7290">
        <v>-89.803382999999997</v>
      </c>
      <c r="H7290">
        <v>1000</v>
      </c>
      <c r="I7290">
        <v>32</v>
      </c>
      <c r="J7290">
        <v>106</v>
      </c>
      <c r="K7290">
        <v>384</v>
      </c>
      <c r="L7290">
        <v>1200</v>
      </c>
      <c r="M7290" t="str">
        <f t="shared" si="750"/>
        <v xml:space="preserve">N35DC   </v>
      </c>
      <c r="N7290">
        <v>1</v>
      </c>
      <c r="O7290">
        <v>1000</v>
      </c>
    </row>
    <row r="7291" spans="1:15" x14ac:dyDescent="0.25">
      <c r="A7291" t="str">
        <f>"10/21/2020 19:05:09.851"</f>
        <v>10/21/2020 19:05:09.851</v>
      </c>
      <c r="B7291" t="str">
        <f>"19:05:17.766"</f>
        <v>19:05:17.766</v>
      </c>
      <c r="C7291" t="str">
        <f>"19:05:17.566"</f>
        <v>19:05:17.566</v>
      </c>
      <c r="D7291" t="s">
        <v>2959</v>
      </c>
      <c r="E7291">
        <v>30.370245000000001</v>
      </c>
      <c r="F7291" t="s">
        <v>2960</v>
      </c>
      <c r="G7291">
        <v>-89.803382999999997</v>
      </c>
      <c r="H7291">
        <v>1000</v>
      </c>
      <c r="I7291">
        <v>32</v>
      </c>
      <c r="J7291">
        <v>106</v>
      </c>
      <c r="K7291">
        <v>384</v>
      </c>
      <c r="L7291">
        <v>1200</v>
      </c>
      <c r="M7291" t="str">
        <f t="shared" si="750"/>
        <v xml:space="preserve">N35DC   </v>
      </c>
      <c r="N7291">
        <v>1</v>
      </c>
      <c r="O7291">
        <v>1000</v>
      </c>
    </row>
    <row r="7292" spans="1:15" x14ac:dyDescent="0.25">
      <c r="A7292" t="str">
        <f>"10/21/2020 19:05:09.851"</f>
        <v>10/21/2020 19:05:09.851</v>
      </c>
      <c r="B7292" t="str">
        <f>"19:05:17.766"</f>
        <v>19:05:17.766</v>
      </c>
      <c r="C7292" t="str">
        <f>"19:05:17.566"</f>
        <v>19:05:17.566</v>
      </c>
      <c r="D7292" t="s">
        <v>2959</v>
      </c>
      <c r="E7292">
        <v>30.370245000000001</v>
      </c>
      <c r="F7292" t="s">
        <v>2960</v>
      </c>
      <c r="G7292">
        <v>-89.803382999999997</v>
      </c>
      <c r="H7292">
        <v>1000</v>
      </c>
      <c r="I7292">
        <v>32</v>
      </c>
      <c r="J7292">
        <v>106</v>
      </c>
      <c r="K7292">
        <v>384</v>
      </c>
      <c r="L7292">
        <v>1200</v>
      </c>
      <c r="M7292" t="str">
        <f t="shared" si="750"/>
        <v xml:space="preserve">N35DC   </v>
      </c>
      <c r="N7292">
        <v>1</v>
      </c>
      <c r="O7292">
        <v>1000</v>
      </c>
    </row>
    <row r="7293" spans="1:15" x14ac:dyDescent="0.25">
      <c r="A7293" t="str">
        <f>"10/21/2020 19:05:09.851"</f>
        <v>10/21/2020 19:05:09.851</v>
      </c>
      <c r="B7293" t="str">
        <f>"19:05:17.766"</f>
        <v>19:05:17.766</v>
      </c>
      <c r="C7293" t="str">
        <f>"19:05:17.566"</f>
        <v>19:05:17.566</v>
      </c>
      <c r="D7293" t="s">
        <v>2959</v>
      </c>
      <c r="E7293">
        <v>30.370245000000001</v>
      </c>
      <c r="F7293" t="s">
        <v>2960</v>
      </c>
      <c r="G7293">
        <v>-89.803382999999997</v>
      </c>
      <c r="H7293">
        <v>1000</v>
      </c>
      <c r="I7293">
        <v>32</v>
      </c>
      <c r="J7293">
        <v>106</v>
      </c>
      <c r="K7293">
        <v>384</v>
      </c>
      <c r="L7293">
        <v>1200</v>
      </c>
      <c r="M7293" t="str">
        <f t="shared" si="750"/>
        <v xml:space="preserve">N35DC   </v>
      </c>
      <c r="N7293">
        <v>1</v>
      </c>
      <c r="O7293">
        <v>1000</v>
      </c>
    </row>
    <row r="7294" spans="1:15" x14ac:dyDescent="0.25">
      <c r="A7294" t="str">
        <f>"10/21/2020 19:05:09.851"</f>
        <v>10/21/2020 19:05:09.851</v>
      </c>
      <c r="B7294" t="str">
        <f>"19:05:17.766"</f>
        <v>19:05:17.766</v>
      </c>
      <c r="C7294" t="str">
        <f>"19:05:17.566"</f>
        <v>19:05:17.566</v>
      </c>
      <c r="D7294" t="s">
        <v>2959</v>
      </c>
      <c r="E7294">
        <v>30.370245000000001</v>
      </c>
      <c r="F7294" t="s">
        <v>2960</v>
      </c>
      <c r="G7294">
        <v>-89.803382999999997</v>
      </c>
      <c r="H7294">
        <v>1000</v>
      </c>
      <c r="I7294">
        <v>32</v>
      </c>
      <c r="J7294">
        <v>106</v>
      </c>
      <c r="K7294">
        <v>384</v>
      </c>
      <c r="L7294">
        <v>1200</v>
      </c>
      <c r="M7294" t="str">
        <f t="shared" si="750"/>
        <v xml:space="preserve">N35DC   </v>
      </c>
      <c r="N7294">
        <v>1</v>
      </c>
      <c r="O7294">
        <v>1000</v>
      </c>
    </row>
    <row r="7295" spans="1:15" x14ac:dyDescent="0.25">
      <c r="A7295" t="str">
        <f>"10/21/2020 19:05:11.959"</f>
        <v>10/21/2020 19:05:11.959</v>
      </c>
      <c r="B7295" t="str">
        <f>"19:05:19.914"</f>
        <v>19:05:19.914</v>
      </c>
      <c r="C7295" t="str">
        <f>"19:05:19.714"</f>
        <v>19:05:19.714</v>
      </c>
      <c r="D7295" t="s">
        <v>2961</v>
      </c>
      <c r="E7295">
        <v>30.371338999999999</v>
      </c>
      <c r="F7295" t="s">
        <v>2962</v>
      </c>
      <c r="G7295">
        <v>-89.803190000000001</v>
      </c>
      <c r="H7295">
        <v>1000</v>
      </c>
      <c r="I7295">
        <v>18</v>
      </c>
      <c r="J7295">
        <v>110</v>
      </c>
      <c r="K7295">
        <v>832</v>
      </c>
      <c r="L7295">
        <v>1200</v>
      </c>
      <c r="M7295" t="str">
        <f t="shared" si="750"/>
        <v xml:space="preserve">N35DC   </v>
      </c>
      <c r="N7295">
        <v>1</v>
      </c>
      <c r="O7295">
        <v>1025</v>
      </c>
    </row>
    <row r="7296" spans="1:15" x14ac:dyDescent="0.25">
      <c r="A7296" t="str">
        <f>"10/21/2020 19:05:11.959"</f>
        <v>10/21/2020 19:05:11.959</v>
      </c>
      <c r="B7296" t="str">
        <f>"19:05:19.914"</f>
        <v>19:05:19.914</v>
      </c>
      <c r="C7296" t="str">
        <f>"19:05:19.714"</f>
        <v>19:05:19.714</v>
      </c>
      <c r="D7296" t="s">
        <v>2961</v>
      </c>
      <c r="E7296">
        <v>30.371338999999999</v>
      </c>
      <c r="F7296" t="s">
        <v>2962</v>
      </c>
      <c r="G7296">
        <v>-89.803190000000001</v>
      </c>
      <c r="H7296">
        <v>1000</v>
      </c>
      <c r="I7296">
        <v>18</v>
      </c>
      <c r="J7296">
        <v>110</v>
      </c>
      <c r="K7296">
        <v>832</v>
      </c>
      <c r="L7296">
        <v>1200</v>
      </c>
      <c r="M7296" t="str">
        <f t="shared" si="750"/>
        <v xml:space="preserve">N35DC   </v>
      </c>
      <c r="N7296">
        <v>1</v>
      </c>
      <c r="O7296">
        <v>1025</v>
      </c>
    </row>
    <row r="7297" spans="1:15" x14ac:dyDescent="0.25">
      <c r="A7297" t="str">
        <f>"10/21/2020 19:05:11.959"</f>
        <v>10/21/2020 19:05:11.959</v>
      </c>
      <c r="B7297" t="str">
        <f>"19:05:19.914"</f>
        <v>19:05:19.914</v>
      </c>
      <c r="C7297" t="str">
        <f>"19:05:19.714"</f>
        <v>19:05:19.714</v>
      </c>
      <c r="D7297" t="s">
        <v>2961</v>
      </c>
      <c r="E7297">
        <v>30.371338999999999</v>
      </c>
      <c r="F7297" t="s">
        <v>2962</v>
      </c>
      <c r="G7297">
        <v>-89.803190000000001</v>
      </c>
      <c r="H7297">
        <v>1000</v>
      </c>
      <c r="I7297">
        <v>18</v>
      </c>
      <c r="J7297">
        <v>110</v>
      </c>
      <c r="K7297">
        <v>832</v>
      </c>
      <c r="L7297">
        <v>1200</v>
      </c>
      <c r="M7297" t="str">
        <f t="shared" si="750"/>
        <v xml:space="preserve">N35DC   </v>
      </c>
      <c r="N7297">
        <v>1</v>
      </c>
      <c r="O7297">
        <v>1025</v>
      </c>
    </row>
    <row r="7298" spans="1:15" x14ac:dyDescent="0.25">
      <c r="A7298" t="str">
        <f>"10/21/2020 19:05:11.959"</f>
        <v>10/21/2020 19:05:11.959</v>
      </c>
      <c r="B7298" t="str">
        <f>"19:05:19.914"</f>
        <v>19:05:19.914</v>
      </c>
      <c r="C7298" t="str">
        <f>"19:05:19.714"</f>
        <v>19:05:19.714</v>
      </c>
      <c r="D7298" t="s">
        <v>2961</v>
      </c>
      <c r="E7298">
        <v>30.371338999999999</v>
      </c>
      <c r="F7298" t="s">
        <v>2962</v>
      </c>
      <c r="G7298">
        <v>-89.803190000000001</v>
      </c>
      <c r="H7298">
        <v>1000</v>
      </c>
      <c r="I7298">
        <v>18</v>
      </c>
      <c r="J7298">
        <v>110</v>
      </c>
      <c r="K7298">
        <v>832</v>
      </c>
      <c r="L7298">
        <v>1200</v>
      </c>
      <c r="M7298" t="str">
        <f t="shared" si="750"/>
        <v xml:space="preserve">N35DC   </v>
      </c>
      <c r="N7298">
        <v>1</v>
      </c>
      <c r="O7298">
        <v>1025</v>
      </c>
    </row>
    <row r="7299" spans="1:15" x14ac:dyDescent="0.25">
      <c r="A7299" t="str">
        <f>"10/21/2020 19:05:11.959"</f>
        <v>10/21/2020 19:05:11.959</v>
      </c>
      <c r="B7299" t="str">
        <f>"19:05:19.914"</f>
        <v>19:05:19.914</v>
      </c>
      <c r="C7299" t="str">
        <f>"19:05:19.714"</f>
        <v>19:05:19.714</v>
      </c>
      <c r="D7299" t="s">
        <v>2961</v>
      </c>
      <c r="E7299">
        <v>30.371338999999999</v>
      </c>
      <c r="F7299" t="s">
        <v>2962</v>
      </c>
      <c r="G7299">
        <v>-89.803190000000001</v>
      </c>
      <c r="H7299">
        <v>1000</v>
      </c>
      <c r="I7299">
        <v>18</v>
      </c>
      <c r="J7299">
        <v>110</v>
      </c>
      <c r="K7299">
        <v>832</v>
      </c>
      <c r="L7299">
        <v>1200</v>
      </c>
      <c r="M7299" t="str">
        <f t="shared" si="750"/>
        <v xml:space="preserve">N35DC   </v>
      </c>
      <c r="N7299">
        <v>1</v>
      </c>
      <c r="O7299">
        <v>1025</v>
      </c>
    </row>
    <row r="7300" spans="1:15" x14ac:dyDescent="0.25">
      <c r="A7300" t="str">
        <f>"10/21/2020 19:05:13.123"</f>
        <v>10/21/2020 19:05:13.123</v>
      </c>
      <c r="B7300" t="str">
        <f>"19:05:21.063"</f>
        <v>19:05:21.063</v>
      </c>
      <c r="C7300" t="str">
        <f>"19:05:20.663"</f>
        <v>19:05:20.663</v>
      </c>
      <c r="D7300" t="s">
        <v>2963</v>
      </c>
      <c r="E7300">
        <v>30.371897000000001</v>
      </c>
      <c r="F7300" t="s">
        <v>2964</v>
      </c>
      <c r="G7300">
        <v>-89.803061</v>
      </c>
      <c r="H7300">
        <v>1000</v>
      </c>
      <c r="I7300">
        <v>14</v>
      </c>
      <c r="J7300">
        <v>111</v>
      </c>
      <c r="K7300">
        <v>704</v>
      </c>
      <c r="L7300">
        <v>1200</v>
      </c>
      <c r="M7300" t="str">
        <f t="shared" si="750"/>
        <v xml:space="preserve">N35DC   </v>
      </c>
      <c r="N7300">
        <v>1</v>
      </c>
      <c r="O7300">
        <v>1025</v>
      </c>
    </row>
    <row r="7301" spans="1:15" x14ac:dyDescent="0.25">
      <c r="A7301" t="str">
        <f>"10/21/2020 19:05:13.123"</f>
        <v>10/21/2020 19:05:13.123</v>
      </c>
      <c r="B7301" t="str">
        <f>"19:05:21.063"</f>
        <v>19:05:21.063</v>
      </c>
      <c r="C7301" t="str">
        <f>"19:05:20.663"</f>
        <v>19:05:20.663</v>
      </c>
      <c r="D7301" t="s">
        <v>2963</v>
      </c>
      <c r="E7301">
        <v>30.371897000000001</v>
      </c>
      <c r="F7301" t="s">
        <v>2964</v>
      </c>
      <c r="G7301">
        <v>-89.803061</v>
      </c>
      <c r="H7301">
        <v>1000</v>
      </c>
      <c r="I7301">
        <v>14</v>
      </c>
      <c r="J7301">
        <v>111</v>
      </c>
      <c r="K7301">
        <v>704</v>
      </c>
      <c r="L7301">
        <v>1200</v>
      </c>
      <c r="M7301" t="str">
        <f t="shared" si="750"/>
        <v xml:space="preserve">N35DC   </v>
      </c>
      <c r="N7301">
        <v>1</v>
      </c>
      <c r="O7301">
        <v>1025</v>
      </c>
    </row>
    <row r="7302" spans="1:15" x14ac:dyDescent="0.25">
      <c r="A7302" t="str">
        <f>"10/21/2020 19:05:13.123"</f>
        <v>10/21/2020 19:05:13.123</v>
      </c>
      <c r="B7302" t="str">
        <f>"19:05:21.063"</f>
        <v>19:05:21.063</v>
      </c>
      <c r="C7302" t="str">
        <f>"19:05:20.663"</f>
        <v>19:05:20.663</v>
      </c>
      <c r="D7302" t="s">
        <v>2963</v>
      </c>
      <c r="E7302">
        <v>30.371897000000001</v>
      </c>
      <c r="F7302" t="s">
        <v>2964</v>
      </c>
      <c r="G7302">
        <v>-89.803061</v>
      </c>
      <c r="H7302">
        <v>1000</v>
      </c>
      <c r="I7302">
        <v>14</v>
      </c>
      <c r="J7302">
        <v>111</v>
      </c>
      <c r="K7302">
        <v>704</v>
      </c>
      <c r="L7302">
        <v>1200</v>
      </c>
      <c r="M7302" t="str">
        <f t="shared" si="750"/>
        <v xml:space="preserve">N35DC   </v>
      </c>
      <c r="N7302">
        <v>1</v>
      </c>
      <c r="O7302">
        <v>1025</v>
      </c>
    </row>
    <row r="7303" spans="1:15" x14ac:dyDescent="0.25">
      <c r="A7303" t="str">
        <f>"10/21/2020 19:05:13.123"</f>
        <v>10/21/2020 19:05:13.123</v>
      </c>
      <c r="B7303" t="str">
        <f>"19:05:21.063"</f>
        <v>19:05:21.063</v>
      </c>
      <c r="C7303" t="str">
        <f>"19:05:20.663"</f>
        <v>19:05:20.663</v>
      </c>
      <c r="D7303" t="s">
        <v>2963</v>
      </c>
      <c r="E7303">
        <v>30.371897000000001</v>
      </c>
      <c r="F7303" t="s">
        <v>2964</v>
      </c>
      <c r="G7303">
        <v>-89.803061</v>
      </c>
      <c r="H7303">
        <v>1000</v>
      </c>
      <c r="I7303">
        <v>14</v>
      </c>
      <c r="J7303">
        <v>111</v>
      </c>
      <c r="K7303">
        <v>704</v>
      </c>
      <c r="L7303">
        <v>1200</v>
      </c>
      <c r="M7303" t="str">
        <f t="shared" ref="M7303:M7366" si="752">"N35DC   "</f>
        <v xml:space="preserve">N35DC   </v>
      </c>
      <c r="N7303">
        <v>1</v>
      </c>
      <c r="O7303">
        <v>1025</v>
      </c>
    </row>
    <row r="7304" spans="1:15" x14ac:dyDescent="0.25">
      <c r="A7304" t="str">
        <f>"10/21/2020 19:05:13.123"</f>
        <v>10/21/2020 19:05:13.123</v>
      </c>
      <c r="B7304" t="str">
        <f>"19:05:21.063"</f>
        <v>19:05:21.063</v>
      </c>
      <c r="C7304" t="str">
        <f>"19:05:20.663"</f>
        <v>19:05:20.663</v>
      </c>
      <c r="D7304" t="s">
        <v>2963</v>
      </c>
      <c r="E7304">
        <v>30.371897000000001</v>
      </c>
      <c r="F7304" t="s">
        <v>2964</v>
      </c>
      <c r="G7304">
        <v>-89.803061</v>
      </c>
      <c r="H7304">
        <v>1000</v>
      </c>
      <c r="I7304">
        <v>14</v>
      </c>
      <c r="J7304">
        <v>111</v>
      </c>
      <c r="K7304">
        <v>704</v>
      </c>
      <c r="L7304">
        <v>1200</v>
      </c>
      <c r="M7304" t="str">
        <f t="shared" si="752"/>
        <v xml:space="preserve">N35DC   </v>
      </c>
      <c r="N7304">
        <v>1</v>
      </c>
      <c r="O7304">
        <v>1025</v>
      </c>
    </row>
    <row r="7305" spans="1:15" x14ac:dyDescent="0.25">
      <c r="A7305" t="str">
        <f>"10/21/2020 19:05:16.104"</f>
        <v>10/21/2020 19:05:16.104</v>
      </c>
      <c r="B7305" t="str">
        <f t="shared" ref="B7305:C7309" si="753">"19:05:24.023"</f>
        <v>19:05:24.023</v>
      </c>
      <c r="C7305" t="str">
        <f t="shared" si="753"/>
        <v>19:05:24.023</v>
      </c>
      <c r="D7305" t="s">
        <v>2965</v>
      </c>
      <c r="E7305">
        <v>30.373442000000001</v>
      </c>
      <c r="F7305" t="s">
        <v>2966</v>
      </c>
      <c r="G7305">
        <v>-89.802954</v>
      </c>
      <c r="H7305">
        <v>1000</v>
      </c>
      <c r="I7305">
        <v>5</v>
      </c>
      <c r="J7305">
        <v>114</v>
      </c>
      <c r="K7305">
        <v>320</v>
      </c>
      <c r="L7305">
        <v>1200</v>
      </c>
      <c r="M7305" t="str">
        <f t="shared" si="752"/>
        <v xml:space="preserve">N35DC   </v>
      </c>
      <c r="N7305">
        <v>1</v>
      </c>
      <c r="O7305">
        <v>1050</v>
      </c>
    </row>
    <row r="7306" spans="1:15" x14ac:dyDescent="0.25">
      <c r="A7306" t="str">
        <f>"10/21/2020 19:05:16.104"</f>
        <v>10/21/2020 19:05:16.104</v>
      </c>
      <c r="B7306" t="str">
        <f t="shared" si="753"/>
        <v>19:05:24.023</v>
      </c>
      <c r="C7306" t="str">
        <f t="shared" si="753"/>
        <v>19:05:24.023</v>
      </c>
      <c r="D7306" t="s">
        <v>2965</v>
      </c>
      <c r="E7306">
        <v>30.373442000000001</v>
      </c>
      <c r="F7306" t="s">
        <v>2966</v>
      </c>
      <c r="G7306">
        <v>-89.802954</v>
      </c>
      <c r="H7306">
        <v>1000</v>
      </c>
      <c r="I7306">
        <v>5</v>
      </c>
      <c r="J7306">
        <v>114</v>
      </c>
      <c r="K7306">
        <v>320</v>
      </c>
      <c r="L7306">
        <v>1200</v>
      </c>
      <c r="M7306" t="str">
        <f t="shared" si="752"/>
        <v xml:space="preserve">N35DC   </v>
      </c>
      <c r="N7306">
        <v>1</v>
      </c>
      <c r="O7306">
        <v>1050</v>
      </c>
    </row>
    <row r="7307" spans="1:15" x14ac:dyDescent="0.25">
      <c r="A7307" t="str">
        <f>"10/21/2020 19:05:16.104"</f>
        <v>10/21/2020 19:05:16.104</v>
      </c>
      <c r="B7307" t="str">
        <f t="shared" si="753"/>
        <v>19:05:24.023</v>
      </c>
      <c r="C7307" t="str">
        <f t="shared" si="753"/>
        <v>19:05:24.023</v>
      </c>
      <c r="D7307" t="s">
        <v>2965</v>
      </c>
      <c r="E7307">
        <v>30.373442000000001</v>
      </c>
      <c r="F7307" t="s">
        <v>2966</v>
      </c>
      <c r="G7307">
        <v>-89.802954</v>
      </c>
      <c r="H7307">
        <v>1000</v>
      </c>
      <c r="I7307">
        <v>5</v>
      </c>
      <c r="J7307">
        <v>114</v>
      </c>
      <c r="K7307">
        <v>320</v>
      </c>
      <c r="L7307">
        <v>1200</v>
      </c>
      <c r="M7307" t="str">
        <f t="shared" si="752"/>
        <v xml:space="preserve">N35DC   </v>
      </c>
      <c r="N7307">
        <v>1</v>
      </c>
      <c r="O7307">
        <v>1050</v>
      </c>
    </row>
    <row r="7308" spans="1:15" x14ac:dyDescent="0.25">
      <c r="A7308" t="str">
        <f>"10/21/2020 19:05:16.104"</f>
        <v>10/21/2020 19:05:16.104</v>
      </c>
      <c r="B7308" t="str">
        <f t="shared" si="753"/>
        <v>19:05:24.023</v>
      </c>
      <c r="C7308" t="str">
        <f t="shared" si="753"/>
        <v>19:05:24.023</v>
      </c>
      <c r="D7308" t="s">
        <v>2965</v>
      </c>
      <c r="E7308">
        <v>30.373442000000001</v>
      </c>
      <c r="F7308" t="s">
        <v>2966</v>
      </c>
      <c r="G7308">
        <v>-89.802954</v>
      </c>
      <c r="H7308">
        <v>1000</v>
      </c>
      <c r="I7308">
        <v>5</v>
      </c>
      <c r="J7308">
        <v>114</v>
      </c>
      <c r="K7308">
        <v>320</v>
      </c>
      <c r="L7308">
        <v>1200</v>
      </c>
      <c r="M7308" t="str">
        <f t="shared" si="752"/>
        <v xml:space="preserve">N35DC   </v>
      </c>
      <c r="N7308">
        <v>1</v>
      </c>
      <c r="O7308">
        <v>1050</v>
      </c>
    </row>
    <row r="7309" spans="1:15" x14ac:dyDescent="0.25">
      <c r="A7309" t="str">
        <f>"10/21/2020 19:05:16.104"</f>
        <v>10/21/2020 19:05:16.104</v>
      </c>
      <c r="B7309" t="str">
        <f t="shared" si="753"/>
        <v>19:05:24.023</v>
      </c>
      <c r="C7309" t="str">
        <f t="shared" si="753"/>
        <v>19:05:24.023</v>
      </c>
      <c r="D7309" t="s">
        <v>2965</v>
      </c>
      <c r="E7309">
        <v>30.373442000000001</v>
      </c>
      <c r="F7309" t="s">
        <v>2966</v>
      </c>
      <c r="G7309">
        <v>-89.802954</v>
      </c>
      <c r="H7309">
        <v>1000</v>
      </c>
      <c r="I7309">
        <v>5</v>
      </c>
      <c r="J7309">
        <v>114</v>
      </c>
      <c r="K7309">
        <v>320</v>
      </c>
      <c r="L7309">
        <v>1200</v>
      </c>
      <c r="M7309" t="str">
        <f t="shared" si="752"/>
        <v xml:space="preserve">N35DC   </v>
      </c>
      <c r="N7309">
        <v>1</v>
      </c>
      <c r="O7309">
        <v>1050</v>
      </c>
    </row>
    <row r="7310" spans="1:15" x14ac:dyDescent="0.25">
      <c r="A7310" t="str">
        <f>"10/21/2020 19:05:17.013"</f>
        <v>10/21/2020 19:05:17.013</v>
      </c>
      <c r="B7310" t="str">
        <f>"19:05:24.938"</f>
        <v>19:05:24.938</v>
      </c>
      <c r="C7310" t="str">
        <f>"19:05:24.637"</f>
        <v>19:05:24.637</v>
      </c>
      <c r="D7310" t="s">
        <v>2967</v>
      </c>
      <c r="E7310">
        <v>30.373957000000001</v>
      </c>
      <c r="F7310" t="s">
        <v>2968</v>
      </c>
      <c r="G7310">
        <v>-89.802890000000005</v>
      </c>
      <c r="H7310">
        <v>1000</v>
      </c>
      <c r="I7310">
        <v>4</v>
      </c>
      <c r="J7310">
        <v>115</v>
      </c>
      <c r="K7310">
        <v>384</v>
      </c>
      <c r="L7310">
        <v>1200</v>
      </c>
      <c r="M7310" t="str">
        <f t="shared" si="752"/>
        <v xml:space="preserve">N35DC   </v>
      </c>
      <c r="N7310">
        <v>1</v>
      </c>
      <c r="O7310">
        <v>1075</v>
      </c>
    </row>
    <row r="7311" spans="1:15" x14ac:dyDescent="0.25">
      <c r="A7311" t="str">
        <f>"10/21/2020 19:05:17.013"</f>
        <v>10/21/2020 19:05:17.013</v>
      </c>
      <c r="B7311" t="str">
        <f>"19:05:24.938"</f>
        <v>19:05:24.938</v>
      </c>
      <c r="C7311" t="str">
        <f>"19:05:24.637"</f>
        <v>19:05:24.637</v>
      </c>
      <c r="D7311" t="s">
        <v>2967</v>
      </c>
      <c r="E7311">
        <v>30.373957000000001</v>
      </c>
      <c r="F7311" t="s">
        <v>2968</v>
      </c>
      <c r="G7311">
        <v>-89.802890000000005</v>
      </c>
      <c r="H7311">
        <v>1000</v>
      </c>
      <c r="I7311">
        <v>4</v>
      </c>
      <c r="J7311">
        <v>115</v>
      </c>
      <c r="K7311">
        <v>384</v>
      </c>
      <c r="L7311">
        <v>1200</v>
      </c>
      <c r="M7311" t="str">
        <f t="shared" si="752"/>
        <v xml:space="preserve">N35DC   </v>
      </c>
      <c r="N7311">
        <v>1</v>
      </c>
      <c r="O7311">
        <v>1075</v>
      </c>
    </row>
    <row r="7312" spans="1:15" x14ac:dyDescent="0.25">
      <c r="A7312" t="str">
        <f>"10/21/2020 19:05:17.013"</f>
        <v>10/21/2020 19:05:17.013</v>
      </c>
      <c r="B7312" t="str">
        <f>"19:05:24.938"</f>
        <v>19:05:24.938</v>
      </c>
      <c r="C7312" t="str">
        <f>"19:05:24.637"</f>
        <v>19:05:24.637</v>
      </c>
      <c r="D7312" t="s">
        <v>2967</v>
      </c>
      <c r="E7312">
        <v>30.373957000000001</v>
      </c>
      <c r="F7312" t="s">
        <v>2968</v>
      </c>
      <c r="G7312">
        <v>-89.802890000000005</v>
      </c>
      <c r="H7312">
        <v>1000</v>
      </c>
      <c r="I7312">
        <v>4</v>
      </c>
      <c r="J7312">
        <v>115</v>
      </c>
      <c r="K7312">
        <v>384</v>
      </c>
      <c r="L7312">
        <v>1200</v>
      </c>
      <c r="M7312" t="str">
        <f t="shared" si="752"/>
        <v xml:space="preserve">N35DC   </v>
      </c>
      <c r="N7312">
        <v>1</v>
      </c>
      <c r="O7312">
        <v>1075</v>
      </c>
    </row>
    <row r="7313" spans="1:15" x14ac:dyDescent="0.25">
      <c r="A7313" t="str">
        <f>"10/21/2020 19:05:17.013"</f>
        <v>10/21/2020 19:05:17.013</v>
      </c>
      <c r="B7313" t="str">
        <f>"19:05:24.938"</f>
        <v>19:05:24.938</v>
      </c>
      <c r="C7313" t="str">
        <f>"19:05:24.637"</f>
        <v>19:05:24.637</v>
      </c>
      <c r="D7313" t="s">
        <v>2967</v>
      </c>
      <c r="E7313">
        <v>30.373957000000001</v>
      </c>
      <c r="F7313" t="s">
        <v>2968</v>
      </c>
      <c r="G7313">
        <v>-89.802890000000005</v>
      </c>
      <c r="H7313">
        <v>1000</v>
      </c>
      <c r="I7313">
        <v>4</v>
      </c>
      <c r="J7313">
        <v>115</v>
      </c>
      <c r="K7313">
        <v>384</v>
      </c>
      <c r="L7313">
        <v>1200</v>
      </c>
      <c r="M7313" t="str">
        <f t="shared" si="752"/>
        <v xml:space="preserve">N35DC   </v>
      </c>
      <c r="N7313">
        <v>1</v>
      </c>
      <c r="O7313">
        <v>1075</v>
      </c>
    </row>
    <row r="7314" spans="1:15" x14ac:dyDescent="0.25">
      <c r="A7314" t="str">
        <f>"10/21/2020 19:05:17.013"</f>
        <v>10/21/2020 19:05:17.013</v>
      </c>
      <c r="B7314" t="str">
        <f>"19:05:24.938"</f>
        <v>19:05:24.938</v>
      </c>
      <c r="C7314" t="str">
        <f>"19:05:24.637"</f>
        <v>19:05:24.637</v>
      </c>
      <c r="D7314" t="s">
        <v>2967</v>
      </c>
      <c r="E7314">
        <v>30.373957000000001</v>
      </c>
      <c r="F7314" t="s">
        <v>2968</v>
      </c>
      <c r="G7314">
        <v>-89.802890000000005</v>
      </c>
      <c r="H7314">
        <v>1000</v>
      </c>
      <c r="I7314">
        <v>4</v>
      </c>
      <c r="J7314">
        <v>115</v>
      </c>
      <c r="K7314">
        <v>384</v>
      </c>
      <c r="L7314">
        <v>1200</v>
      </c>
      <c r="M7314" t="str">
        <f t="shared" si="752"/>
        <v xml:space="preserve">N35DC   </v>
      </c>
      <c r="N7314">
        <v>1</v>
      </c>
      <c r="O7314">
        <v>1075</v>
      </c>
    </row>
    <row r="7315" spans="1:15" x14ac:dyDescent="0.25">
      <c r="A7315" t="str">
        <f>"10/21/2020 19:05:20.015"</f>
        <v>10/21/2020 19:05:20.015</v>
      </c>
      <c r="B7315" t="str">
        <f>"19:05:27.977"</f>
        <v>19:05:27.977</v>
      </c>
      <c r="C7315" t="str">
        <f>"19:05:27.577"</f>
        <v>19:05:27.577</v>
      </c>
      <c r="D7315" t="s">
        <v>2969</v>
      </c>
      <c r="E7315">
        <v>30.375609000000001</v>
      </c>
      <c r="F7315" t="s">
        <v>2970</v>
      </c>
      <c r="G7315">
        <v>-89.802910999999995</v>
      </c>
      <c r="H7315">
        <v>1100</v>
      </c>
      <c r="I7315">
        <v>1</v>
      </c>
      <c r="J7315">
        <v>119</v>
      </c>
      <c r="K7315">
        <v>448</v>
      </c>
      <c r="L7315">
        <v>1200</v>
      </c>
      <c r="M7315" t="str">
        <f t="shared" si="752"/>
        <v xml:space="preserve">N35DC   </v>
      </c>
      <c r="N7315">
        <v>1</v>
      </c>
      <c r="O7315">
        <v>1075</v>
      </c>
    </row>
    <row r="7316" spans="1:15" x14ac:dyDescent="0.25">
      <c r="A7316" t="str">
        <f>"10/21/2020 19:05:20.015"</f>
        <v>10/21/2020 19:05:20.015</v>
      </c>
      <c r="B7316" t="str">
        <f>"19:05:27.977"</f>
        <v>19:05:27.977</v>
      </c>
      <c r="C7316" t="str">
        <f>"19:05:27.577"</f>
        <v>19:05:27.577</v>
      </c>
      <c r="D7316" t="s">
        <v>2969</v>
      </c>
      <c r="E7316">
        <v>30.375609000000001</v>
      </c>
      <c r="F7316" t="s">
        <v>2970</v>
      </c>
      <c r="G7316">
        <v>-89.802910999999995</v>
      </c>
      <c r="H7316">
        <v>1100</v>
      </c>
      <c r="I7316">
        <v>1</v>
      </c>
      <c r="J7316">
        <v>119</v>
      </c>
      <c r="K7316">
        <v>448</v>
      </c>
      <c r="L7316">
        <v>1200</v>
      </c>
      <c r="M7316" t="str">
        <f t="shared" si="752"/>
        <v xml:space="preserve">N35DC   </v>
      </c>
      <c r="N7316">
        <v>1</v>
      </c>
      <c r="O7316">
        <v>1075</v>
      </c>
    </row>
    <row r="7317" spans="1:15" x14ac:dyDescent="0.25">
      <c r="A7317" t="str">
        <f>"10/21/2020 19:05:20.015"</f>
        <v>10/21/2020 19:05:20.015</v>
      </c>
      <c r="B7317" t="str">
        <f>"19:05:27.977"</f>
        <v>19:05:27.977</v>
      </c>
      <c r="C7317" t="str">
        <f>"19:05:27.577"</f>
        <v>19:05:27.577</v>
      </c>
      <c r="D7317" t="s">
        <v>2969</v>
      </c>
      <c r="E7317">
        <v>30.375609000000001</v>
      </c>
      <c r="F7317" t="s">
        <v>2970</v>
      </c>
      <c r="G7317">
        <v>-89.802910999999995</v>
      </c>
      <c r="H7317">
        <v>1100</v>
      </c>
      <c r="I7317">
        <v>1</v>
      </c>
      <c r="J7317">
        <v>119</v>
      </c>
      <c r="K7317">
        <v>448</v>
      </c>
      <c r="L7317">
        <v>1200</v>
      </c>
      <c r="M7317" t="str">
        <f t="shared" si="752"/>
        <v xml:space="preserve">N35DC   </v>
      </c>
      <c r="N7317">
        <v>1</v>
      </c>
      <c r="O7317">
        <v>1075</v>
      </c>
    </row>
    <row r="7318" spans="1:15" x14ac:dyDescent="0.25">
      <c r="A7318" t="str">
        <f>"10/21/2020 19:05:20.015"</f>
        <v>10/21/2020 19:05:20.015</v>
      </c>
      <c r="B7318" t="str">
        <f>"19:05:27.977"</f>
        <v>19:05:27.977</v>
      </c>
      <c r="C7318" t="str">
        <f>"19:05:27.577"</f>
        <v>19:05:27.577</v>
      </c>
      <c r="D7318" t="s">
        <v>2969</v>
      </c>
      <c r="E7318">
        <v>30.375609000000001</v>
      </c>
      <c r="F7318" t="s">
        <v>2970</v>
      </c>
      <c r="G7318">
        <v>-89.802910999999995</v>
      </c>
      <c r="H7318">
        <v>1100</v>
      </c>
      <c r="I7318">
        <v>1</v>
      </c>
      <c r="J7318">
        <v>119</v>
      </c>
      <c r="K7318">
        <v>448</v>
      </c>
      <c r="L7318">
        <v>1200</v>
      </c>
      <c r="M7318" t="str">
        <f t="shared" si="752"/>
        <v xml:space="preserve">N35DC   </v>
      </c>
      <c r="N7318">
        <v>1</v>
      </c>
      <c r="O7318">
        <v>1075</v>
      </c>
    </row>
    <row r="7319" spans="1:15" x14ac:dyDescent="0.25">
      <c r="A7319" t="str">
        <f>"10/21/2020 19:05:20.015"</f>
        <v>10/21/2020 19:05:20.015</v>
      </c>
      <c r="B7319" t="str">
        <f>"19:05:27.977"</f>
        <v>19:05:27.977</v>
      </c>
      <c r="C7319" t="str">
        <f>"19:05:27.577"</f>
        <v>19:05:27.577</v>
      </c>
      <c r="D7319" t="s">
        <v>2969</v>
      </c>
      <c r="E7319">
        <v>30.375609000000001</v>
      </c>
      <c r="F7319" t="s">
        <v>2970</v>
      </c>
      <c r="G7319">
        <v>-89.802910999999995</v>
      </c>
      <c r="H7319">
        <v>1100</v>
      </c>
      <c r="I7319">
        <v>1</v>
      </c>
      <c r="J7319">
        <v>119</v>
      </c>
      <c r="K7319">
        <v>448</v>
      </c>
      <c r="L7319">
        <v>1200</v>
      </c>
      <c r="M7319" t="str">
        <f t="shared" si="752"/>
        <v xml:space="preserve">N35DC   </v>
      </c>
      <c r="N7319">
        <v>1</v>
      </c>
      <c r="O7319">
        <v>1075</v>
      </c>
    </row>
    <row r="7320" spans="1:15" x14ac:dyDescent="0.25">
      <c r="A7320" t="str">
        <f>"10/21/2020 19:05:22.989"</f>
        <v>10/21/2020 19:05:22.989</v>
      </c>
      <c r="B7320" t="str">
        <f>"19:05:30.938"</f>
        <v>19:05:30.938</v>
      </c>
      <c r="C7320" t="str">
        <f>"19:05:30.538"</f>
        <v>19:05:30.538</v>
      </c>
      <c r="D7320" t="s">
        <v>2971</v>
      </c>
      <c r="E7320">
        <v>30.37724</v>
      </c>
      <c r="F7320" t="s">
        <v>2968</v>
      </c>
      <c r="G7320">
        <v>-89.802890000000005</v>
      </c>
      <c r="H7320">
        <v>1100</v>
      </c>
      <c r="I7320">
        <v>-2</v>
      </c>
      <c r="J7320">
        <v>120</v>
      </c>
      <c r="K7320">
        <v>512</v>
      </c>
      <c r="L7320">
        <v>1200</v>
      </c>
      <c r="M7320" t="str">
        <f t="shared" si="752"/>
        <v xml:space="preserve">N35DC   </v>
      </c>
      <c r="N7320">
        <v>1</v>
      </c>
      <c r="O7320">
        <v>1125</v>
      </c>
    </row>
    <row r="7321" spans="1:15" x14ac:dyDescent="0.25">
      <c r="A7321" t="str">
        <f>"10/21/2020 19:05:22.989"</f>
        <v>10/21/2020 19:05:22.989</v>
      </c>
      <c r="B7321" t="str">
        <f>"19:05:30.938"</f>
        <v>19:05:30.938</v>
      </c>
      <c r="C7321" t="str">
        <f>"19:05:30.538"</f>
        <v>19:05:30.538</v>
      </c>
      <c r="D7321" t="s">
        <v>2971</v>
      </c>
      <c r="E7321">
        <v>30.37724</v>
      </c>
      <c r="F7321" t="s">
        <v>2968</v>
      </c>
      <c r="G7321">
        <v>-89.802890000000005</v>
      </c>
      <c r="H7321">
        <v>1100</v>
      </c>
      <c r="I7321">
        <v>-2</v>
      </c>
      <c r="J7321">
        <v>120</v>
      </c>
      <c r="K7321">
        <v>512</v>
      </c>
      <c r="L7321">
        <v>1200</v>
      </c>
      <c r="M7321" t="str">
        <f t="shared" si="752"/>
        <v xml:space="preserve">N35DC   </v>
      </c>
      <c r="N7321">
        <v>1</v>
      </c>
      <c r="O7321">
        <v>1125</v>
      </c>
    </row>
    <row r="7322" spans="1:15" x14ac:dyDescent="0.25">
      <c r="A7322" t="str">
        <f>"10/21/2020 19:05:22.989"</f>
        <v>10/21/2020 19:05:22.989</v>
      </c>
      <c r="B7322" t="str">
        <f>"19:05:30.938"</f>
        <v>19:05:30.938</v>
      </c>
      <c r="C7322" t="str">
        <f>"19:05:30.538"</f>
        <v>19:05:30.538</v>
      </c>
      <c r="D7322" t="s">
        <v>2971</v>
      </c>
      <c r="E7322">
        <v>30.37724</v>
      </c>
      <c r="F7322" t="s">
        <v>2968</v>
      </c>
      <c r="G7322">
        <v>-89.802890000000005</v>
      </c>
      <c r="H7322">
        <v>1100</v>
      </c>
      <c r="I7322">
        <v>-2</v>
      </c>
      <c r="J7322">
        <v>120</v>
      </c>
      <c r="K7322">
        <v>512</v>
      </c>
      <c r="L7322">
        <v>1200</v>
      </c>
      <c r="M7322" t="str">
        <f t="shared" si="752"/>
        <v xml:space="preserve">N35DC   </v>
      </c>
      <c r="N7322">
        <v>1</v>
      </c>
      <c r="O7322">
        <v>1125</v>
      </c>
    </row>
    <row r="7323" spans="1:15" x14ac:dyDescent="0.25">
      <c r="A7323" t="str">
        <f>"10/21/2020 19:05:22.989"</f>
        <v>10/21/2020 19:05:22.989</v>
      </c>
      <c r="B7323" t="str">
        <f>"19:05:30.938"</f>
        <v>19:05:30.938</v>
      </c>
      <c r="C7323" t="str">
        <f>"19:05:30.538"</f>
        <v>19:05:30.538</v>
      </c>
      <c r="D7323" t="s">
        <v>2971</v>
      </c>
      <c r="E7323">
        <v>30.37724</v>
      </c>
      <c r="F7323" t="s">
        <v>2968</v>
      </c>
      <c r="G7323">
        <v>-89.802890000000005</v>
      </c>
      <c r="H7323">
        <v>1100</v>
      </c>
      <c r="I7323">
        <v>-2</v>
      </c>
      <c r="J7323">
        <v>120</v>
      </c>
      <c r="K7323">
        <v>512</v>
      </c>
      <c r="L7323">
        <v>1200</v>
      </c>
      <c r="M7323" t="str">
        <f t="shared" si="752"/>
        <v xml:space="preserve">N35DC   </v>
      </c>
      <c r="N7323">
        <v>1</v>
      </c>
      <c r="O7323">
        <v>1125</v>
      </c>
    </row>
    <row r="7324" spans="1:15" x14ac:dyDescent="0.25">
      <c r="A7324" t="str">
        <f>"10/21/2020 19:05:22.989"</f>
        <v>10/21/2020 19:05:22.989</v>
      </c>
      <c r="B7324" t="str">
        <f>"19:05:30.938"</f>
        <v>19:05:30.938</v>
      </c>
      <c r="C7324" t="str">
        <f>"19:05:30.538"</f>
        <v>19:05:30.538</v>
      </c>
      <c r="D7324" t="s">
        <v>2971</v>
      </c>
      <c r="E7324">
        <v>30.37724</v>
      </c>
      <c r="F7324" t="s">
        <v>2968</v>
      </c>
      <c r="G7324">
        <v>-89.802890000000005</v>
      </c>
      <c r="H7324">
        <v>1100</v>
      </c>
      <c r="I7324">
        <v>-2</v>
      </c>
      <c r="J7324">
        <v>120</v>
      </c>
      <c r="K7324">
        <v>512</v>
      </c>
      <c r="L7324">
        <v>1200</v>
      </c>
      <c r="M7324" t="str">
        <f t="shared" si="752"/>
        <v xml:space="preserve">N35DC   </v>
      </c>
      <c r="N7324">
        <v>1</v>
      </c>
      <c r="O7324">
        <v>1125</v>
      </c>
    </row>
    <row r="7325" spans="1:15" x14ac:dyDescent="0.25">
      <c r="A7325" t="str">
        <f>"10/21/2020 19:05:23.949"</f>
        <v>10/21/2020 19:05:23.949</v>
      </c>
      <c r="B7325" t="str">
        <f>"19:05:31.898"</f>
        <v>19:05:31.898</v>
      </c>
      <c r="C7325" t="str">
        <f>"19:05:31.598"</f>
        <v>19:05:31.598</v>
      </c>
      <c r="D7325" t="s">
        <v>2972</v>
      </c>
      <c r="E7325">
        <v>30.377755000000001</v>
      </c>
      <c r="F7325" t="s">
        <v>2970</v>
      </c>
      <c r="G7325">
        <v>-89.802910999999995</v>
      </c>
      <c r="H7325">
        <v>1100</v>
      </c>
      <c r="I7325">
        <v>-2</v>
      </c>
      <c r="J7325">
        <v>120</v>
      </c>
      <c r="K7325">
        <v>512</v>
      </c>
      <c r="L7325">
        <v>1200</v>
      </c>
      <c r="M7325" t="str">
        <f t="shared" si="752"/>
        <v xml:space="preserve">N35DC   </v>
      </c>
      <c r="N7325">
        <v>1</v>
      </c>
      <c r="O7325">
        <v>1125</v>
      </c>
    </row>
    <row r="7326" spans="1:15" x14ac:dyDescent="0.25">
      <c r="A7326" t="str">
        <f>"10/21/2020 19:05:23.949"</f>
        <v>10/21/2020 19:05:23.949</v>
      </c>
      <c r="B7326" t="str">
        <f>"19:05:31.898"</f>
        <v>19:05:31.898</v>
      </c>
      <c r="C7326" t="str">
        <f>"19:05:31.598"</f>
        <v>19:05:31.598</v>
      </c>
      <c r="D7326" t="s">
        <v>2972</v>
      </c>
      <c r="E7326">
        <v>30.377755000000001</v>
      </c>
      <c r="F7326" t="s">
        <v>2970</v>
      </c>
      <c r="G7326">
        <v>-89.802910999999995</v>
      </c>
      <c r="H7326">
        <v>1100</v>
      </c>
      <c r="I7326">
        <v>-2</v>
      </c>
      <c r="J7326">
        <v>120</v>
      </c>
      <c r="K7326">
        <v>512</v>
      </c>
      <c r="L7326">
        <v>1200</v>
      </c>
      <c r="M7326" t="str">
        <f t="shared" si="752"/>
        <v xml:space="preserve">N35DC   </v>
      </c>
      <c r="N7326">
        <v>1</v>
      </c>
      <c r="O7326">
        <v>1125</v>
      </c>
    </row>
    <row r="7327" spans="1:15" x14ac:dyDescent="0.25">
      <c r="A7327" t="str">
        <f>"10/21/2020 19:05:23.949"</f>
        <v>10/21/2020 19:05:23.949</v>
      </c>
      <c r="B7327" t="str">
        <f>"19:05:31.898"</f>
        <v>19:05:31.898</v>
      </c>
      <c r="C7327" t="str">
        <f>"19:05:31.598"</f>
        <v>19:05:31.598</v>
      </c>
      <c r="D7327" t="s">
        <v>2972</v>
      </c>
      <c r="E7327">
        <v>30.377755000000001</v>
      </c>
      <c r="F7327" t="s">
        <v>2970</v>
      </c>
      <c r="G7327">
        <v>-89.802910999999995</v>
      </c>
      <c r="H7327">
        <v>1100</v>
      </c>
      <c r="I7327">
        <v>-2</v>
      </c>
      <c r="J7327">
        <v>120</v>
      </c>
      <c r="K7327">
        <v>512</v>
      </c>
      <c r="L7327">
        <v>1200</v>
      </c>
      <c r="M7327" t="str">
        <f t="shared" si="752"/>
        <v xml:space="preserve">N35DC   </v>
      </c>
      <c r="N7327">
        <v>1</v>
      </c>
      <c r="O7327">
        <v>1125</v>
      </c>
    </row>
    <row r="7328" spans="1:15" x14ac:dyDescent="0.25">
      <c r="A7328" t="str">
        <f>"10/21/2020 19:05:23.949"</f>
        <v>10/21/2020 19:05:23.949</v>
      </c>
      <c r="B7328" t="str">
        <f>"19:05:31.898"</f>
        <v>19:05:31.898</v>
      </c>
      <c r="C7328" t="str">
        <f>"19:05:31.598"</f>
        <v>19:05:31.598</v>
      </c>
      <c r="D7328" t="s">
        <v>2972</v>
      </c>
      <c r="E7328">
        <v>30.377755000000001</v>
      </c>
      <c r="F7328" t="s">
        <v>2970</v>
      </c>
      <c r="G7328">
        <v>-89.802910999999995</v>
      </c>
      <c r="H7328">
        <v>1100</v>
      </c>
      <c r="I7328">
        <v>-2</v>
      </c>
      <c r="J7328">
        <v>120</v>
      </c>
      <c r="K7328">
        <v>512</v>
      </c>
      <c r="L7328">
        <v>1200</v>
      </c>
      <c r="M7328" t="str">
        <f t="shared" si="752"/>
        <v xml:space="preserve">N35DC   </v>
      </c>
      <c r="N7328">
        <v>1</v>
      </c>
      <c r="O7328">
        <v>1125</v>
      </c>
    </row>
    <row r="7329" spans="1:15" x14ac:dyDescent="0.25">
      <c r="A7329" t="str">
        <f>"10/21/2020 19:05:23.949"</f>
        <v>10/21/2020 19:05:23.949</v>
      </c>
      <c r="B7329" t="str">
        <f>"19:05:31.898"</f>
        <v>19:05:31.898</v>
      </c>
      <c r="C7329" t="str">
        <f>"19:05:31.598"</f>
        <v>19:05:31.598</v>
      </c>
      <c r="D7329" t="s">
        <v>2972</v>
      </c>
      <c r="E7329">
        <v>30.377755000000001</v>
      </c>
      <c r="F7329" t="s">
        <v>2970</v>
      </c>
      <c r="G7329">
        <v>-89.802910999999995</v>
      </c>
      <c r="H7329">
        <v>1100</v>
      </c>
      <c r="I7329">
        <v>-2</v>
      </c>
      <c r="J7329">
        <v>120</v>
      </c>
      <c r="K7329">
        <v>512</v>
      </c>
      <c r="L7329">
        <v>1200</v>
      </c>
      <c r="M7329" t="str">
        <f t="shared" si="752"/>
        <v xml:space="preserve">N35DC   </v>
      </c>
      <c r="N7329">
        <v>1</v>
      </c>
      <c r="O7329">
        <v>1125</v>
      </c>
    </row>
    <row r="7330" spans="1:15" x14ac:dyDescent="0.25">
      <c r="A7330" t="str">
        <f>"10/21/2020 19:05:26.999"</f>
        <v>10/21/2020 19:05:26.999</v>
      </c>
      <c r="B7330" t="str">
        <f>"19:05:34.953"</f>
        <v>19:05:34.953</v>
      </c>
      <c r="C7330" t="str">
        <f>"19:05:34.653"</f>
        <v>19:05:34.653</v>
      </c>
      <c r="D7330" t="s">
        <v>2973</v>
      </c>
      <c r="E7330">
        <v>30.379493</v>
      </c>
      <c r="F7330" t="s">
        <v>2964</v>
      </c>
      <c r="G7330">
        <v>-89.803061</v>
      </c>
      <c r="H7330">
        <v>1100</v>
      </c>
      <c r="I7330">
        <v>-7</v>
      </c>
      <c r="J7330">
        <v>122</v>
      </c>
      <c r="K7330">
        <v>256</v>
      </c>
      <c r="L7330">
        <v>1200</v>
      </c>
      <c r="M7330" t="str">
        <f t="shared" si="752"/>
        <v xml:space="preserve">N35DC   </v>
      </c>
      <c r="N7330">
        <v>1</v>
      </c>
      <c r="O7330">
        <v>1150</v>
      </c>
    </row>
    <row r="7331" spans="1:15" x14ac:dyDescent="0.25">
      <c r="A7331" t="str">
        <f>"10/21/2020 19:05:26.999"</f>
        <v>10/21/2020 19:05:26.999</v>
      </c>
      <c r="B7331" t="str">
        <f>"19:05:34.953"</f>
        <v>19:05:34.953</v>
      </c>
      <c r="C7331" t="str">
        <f>"19:05:34.653"</f>
        <v>19:05:34.653</v>
      </c>
      <c r="D7331" t="s">
        <v>2973</v>
      </c>
      <c r="E7331">
        <v>30.379493</v>
      </c>
      <c r="F7331" t="s">
        <v>2964</v>
      </c>
      <c r="G7331">
        <v>-89.803061</v>
      </c>
      <c r="H7331">
        <v>1100</v>
      </c>
      <c r="I7331">
        <v>-7</v>
      </c>
      <c r="J7331">
        <v>122</v>
      </c>
      <c r="K7331">
        <v>256</v>
      </c>
      <c r="L7331">
        <v>1200</v>
      </c>
      <c r="M7331" t="str">
        <f t="shared" si="752"/>
        <v xml:space="preserve">N35DC   </v>
      </c>
      <c r="N7331">
        <v>1</v>
      </c>
      <c r="O7331">
        <v>1150</v>
      </c>
    </row>
    <row r="7332" spans="1:15" x14ac:dyDescent="0.25">
      <c r="A7332" t="str">
        <f>"10/21/2020 19:05:26.999"</f>
        <v>10/21/2020 19:05:26.999</v>
      </c>
      <c r="B7332" t="str">
        <f>"19:05:34.953"</f>
        <v>19:05:34.953</v>
      </c>
      <c r="C7332" t="str">
        <f>"19:05:34.653"</f>
        <v>19:05:34.653</v>
      </c>
      <c r="D7332" t="s">
        <v>2973</v>
      </c>
      <c r="E7332">
        <v>30.379493</v>
      </c>
      <c r="F7332" t="s">
        <v>2964</v>
      </c>
      <c r="G7332">
        <v>-89.803061</v>
      </c>
      <c r="H7332">
        <v>1100</v>
      </c>
      <c r="I7332">
        <v>-7</v>
      </c>
      <c r="J7332">
        <v>122</v>
      </c>
      <c r="K7332">
        <v>256</v>
      </c>
      <c r="L7332">
        <v>1200</v>
      </c>
      <c r="M7332" t="str">
        <f t="shared" si="752"/>
        <v xml:space="preserve">N35DC   </v>
      </c>
      <c r="N7332">
        <v>1</v>
      </c>
      <c r="O7332">
        <v>1150</v>
      </c>
    </row>
    <row r="7333" spans="1:15" x14ac:dyDescent="0.25">
      <c r="A7333" t="str">
        <f>"10/21/2020 19:05:26.999"</f>
        <v>10/21/2020 19:05:26.999</v>
      </c>
      <c r="B7333" t="str">
        <f>"19:05:34.953"</f>
        <v>19:05:34.953</v>
      </c>
      <c r="C7333" t="str">
        <f>"19:05:34.653"</f>
        <v>19:05:34.653</v>
      </c>
      <c r="D7333" t="s">
        <v>2973</v>
      </c>
      <c r="E7333">
        <v>30.379493</v>
      </c>
      <c r="F7333" t="s">
        <v>2964</v>
      </c>
      <c r="G7333">
        <v>-89.803061</v>
      </c>
      <c r="H7333">
        <v>1100</v>
      </c>
      <c r="I7333">
        <v>-7</v>
      </c>
      <c r="J7333">
        <v>122</v>
      </c>
      <c r="K7333">
        <v>256</v>
      </c>
      <c r="L7333">
        <v>1200</v>
      </c>
      <c r="M7333" t="str">
        <f t="shared" si="752"/>
        <v xml:space="preserve">N35DC   </v>
      </c>
      <c r="N7333">
        <v>1</v>
      </c>
      <c r="O7333">
        <v>1150</v>
      </c>
    </row>
    <row r="7334" spans="1:15" x14ac:dyDescent="0.25">
      <c r="A7334" t="str">
        <f>"10/21/2020 19:05:26.999"</f>
        <v>10/21/2020 19:05:26.999</v>
      </c>
      <c r="B7334" t="str">
        <f>"19:05:34.953"</f>
        <v>19:05:34.953</v>
      </c>
      <c r="C7334" t="str">
        <f>"19:05:34.653"</f>
        <v>19:05:34.653</v>
      </c>
      <c r="D7334" t="s">
        <v>2973</v>
      </c>
      <c r="E7334">
        <v>30.379493</v>
      </c>
      <c r="F7334" t="s">
        <v>2964</v>
      </c>
      <c r="G7334">
        <v>-89.803061</v>
      </c>
      <c r="H7334">
        <v>1100</v>
      </c>
      <c r="I7334">
        <v>-7</v>
      </c>
      <c r="J7334">
        <v>122</v>
      </c>
      <c r="K7334">
        <v>256</v>
      </c>
      <c r="L7334">
        <v>1200</v>
      </c>
      <c r="M7334" t="str">
        <f t="shared" si="752"/>
        <v xml:space="preserve">N35DC   </v>
      </c>
      <c r="N7334">
        <v>1</v>
      </c>
      <c r="O7334">
        <v>1150</v>
      </c>
    </row>
    <row r="7335" spans="1:15" x14ac:dyDescent="0.25">
      <c r="A7335" t="str">
        <f>"10/21/2020 19:05:30.110"</f>
        <v>10/21/2020 19:05:30.110</v>
      </c>
      <c r="B7335" t="str">
        <f>"19:05:38.016"</f>
        <v>19:05:38.016</v>
      </c>
      <c r="C7335" t="str">
        <f>"19:05:37.916"</f>
        <v>19:05:37.916</v>
      </c>
      <c r="D7335" t="s">
        <v>2974</v>
      </c>
      <c r="E7335">
        <v>30.381231</v>
      </c>
      <c r="F7335" t="s">
        <v>2975</v>
      </c>
      <c r="G7335">
        <v>-89.803212000000002</v>
      </c>
      <c r="H7335">
        <v>1100</v>
      </c>
      <c r="I7335">
        <v>-12</v>
      </c>
      <c r="J7335">
        <v>122</v>
      </c>
      <c r="K7335">
        <v>640</v>
      </c>
      <c r="L7335">
        <v>1200</v>
      </c>
      <c r="M7335" t="str">
        <f t="shared" si="752"/>
        <v xml:space="preserve">N35DC   </v>
      </c>
      <c r="N7335">
        <v>1</v>
      </c>
      <c r="O7335">
        <v>1175</v>
      </c>
    </row>
    <row r="7336" spans="1:15" x14ac:dyDescent="0.25">
      <c r="A7336" t="str">
        <f>"10/21/2020 19:05:30.110"</f>
        <v>10/21/2020 19:05:30.110</v>
      </c>
      <c r="B7336" t="str">
        <f>"19:05:38.016"</f>
        <v>19:05:38.016</v>
      </c>
      <c r="C7336" t="str">
        <f>"19:05:37.916"</f>
        <v>19:05:37.916</v>
      </c>
      <c r="D7336" t="s">
        <v>2974</v>
      </c>
      <c r="E7336">
        <v>30.381231</v>
      </c>
      <c r="F7336" t="s">
        <v>2975</v>
      </c>
      <c r="G7336">
        <v>-89.803212000000002</v>
      </c>
      <c r="H7336">
        <v>1100</v>
      </c>
      <c r="I7336">
        <v>-12</v>
      </c>
      <c r="J7336">
        <v>122</v>
      </c>
      <c r="K7336">
        <v>640</v>
      </c>
      <c r="L7336">
        <v>1200</v>
      </c>
      <c r="M7336" t="str">
        <f t="shared" si="752"/>
        <v xml:space="preserve">N35DC   </v>
      </c>
      <c r="N7336">
        <v>1</v>
      </c>
      <c r="O7336">
        <v>1175</v>
      </c>
    </row>
    <row r="7337" spans="1:15" x14ac:dyDescent="0.25">
      <c r="A7337" t="str">
        <f>"10/21/2020 19:05:30.110"</f>
        <v>10/21/2020 19:05:30.110</v>
      </c>
      <c r="B7337" t="str">
        <f>"19:05:38.016"</f>
        <v>19:05:38.016</v>
      </c>
      <c r="C7337" t="str">
        <f>"19:05:37.916"</f>
        <v>19:05:37.916</v>
      </c>
      <c r="D7337" t="s">
        <v>2974</v>
      </c>
      <c r="E7337">
        <v>30.381231</v>
      </c>
      <c r="F7337" t="s">
        <v>2975</v>
      </c>
      <c r="G7337">
        <v>-89.803212000000002</v>
      </c>
      <c r="H7337">
        <v>1100</v>
      </c>
      <c r="I7337">
        <v>-12</v>
      </c>
      <c r="J7337">
        <v>122</v>
      </c>
      <c r="K7337">
        <v>640</v>
      </c>
      <c r="L7337">
        <v>1200</v>
      </c>
      <c r="M7337" t="str">
        <f t="shared" si="752"/>
        <v xml:space="preserve">N35DC   </v>
      </c>
      <c r="N7337">
        <v>1</v>
      </c>
      <c r="O7337">
        <v>1175</v>
      </c>
    </row>
    <row r="7338" spans="1:15" x14ac:dyDescent="0.25">
      <c r="A7338" t="str">
        <f>"10/21/2020 19:05:30.110"</f>
        <v>10/21/2020 19:05:30.110</v>
      </c>
      <c r="B7338" t="str">
        <f>"19:05:38.016"</f>
        <v>19:05:38.016</v>
      </c>
      <c r="C7338" t="str">
        <f>"19:05:37.916"</f>
        <v>19:05:37.916</v>
      </c>
      <c r="D7338" t="s">
        <v>2974</v>
      </c>
      <c r="E7338">
        <v>30.381231</v>
      </c>
      <c r="F7338" t="s">
        <v>2975</v>
      </c>
      <c r="G7338">
        <v>-89.803212000000002</v>
      </c>
      <c r="H7338">
        <v>1100</v>
      </c>
      <c r="I7338">
        <v>-12</v>
      </c>
      <c r="J7338">
        <v>122</v>
      </c>
      <c r="K7338">
        <v>640</v>
      </c>
      <c r="L7338">
        <v>1200</v>
      </c>
      <c r="M7338" t="str">
        <f t="shared" si="752"/>
        <v xml:space="preserve">N35DC   </v>
      </c>
      <c r="N7338">
        <v>1</v>
      </c>
      <c r="O7338">
        <v>1175</v>
      </c>
    </row>
    <row r="7339" spans="1:15" x14ac:dyDescent="0.25">
      <c r="A7339" t="str">
        <f>"10/21/2020 19:05:30.110"</f>
        <v>10/21/2020 19:05:30.110</v>
      </c>
      <c r="B7339" t="str">
        <f>"19:05:38.016"</f>
        <v>19:05:38.016</v>
      </c>
      <c r="C7339" t="str">
        <f>"19:05:37.916"</f>
        <v>19:05:37.916</v>
      </c>
      <c r="D7339" t="s">
        <v>2974</v>
      </c>
      <c r="E7339">
        <v>30.381231</v>
      </c>
      <c r="F7339" t="s">
        <v>2975</v>
      </c>
      <c r="G7339">
        <v>-89.803212000000002</v>
      </c>
      <c r="H7339">
        <v>1100</v>
      </c>
      <c r="I7339">
        <v>-12</v>
      </c>
      <c r="J7339">
        <v>122</v>
      </c>
      <c r="K7339">
        <v>640</v>
      </c>
      <c r="L7339">
        <v>1200</v>
      </c>
      <c r="M7339" t="str">
        <f t="shared" si="752"/>
        <v xml:space="preserve">N35DC   </v>
      </c>
      <c r="N7339">
        <v>1</v>
      </c>
      <c r="O7339">
        <v>1175</v>
      </c>
    </row>
    <row r="7340" spans="1:15" x14ac:dyDescent="0.25">
      <c r="A7340" t="str">
        <f>"10/21/2020 19:05:31.118"</f>
        <v>10/21/2020 19:05:31.118</v>
      </c>
      <c r="B7340" t="str">
        <f t="shared" ref="B7340:C7344" si="754">"19:05:39.031"</f>
        <v>19:05:39.031</v>
      </c>
      <c r="C7340" t="str">
        <f t="shared" si="754"/>
        <v>19:05:39.031</v>
      </c>
      <c r="D7340" t="s">
        <v>2976</v>
      </c>
      <c r="E7340">
        <v>30.381810999999999</v>
      </c>
      <c r="F7340" t="s">
        <v>2977</v>
      </c>
      <c r="G7340">
        <v>-89.803297999999998</v>
      </c>
      <c r="H7340">
        <v>1100</v>
      </c>
      <c r="I7340">
        <v>-13</v>
      </c>
      <c r="J7340">
        <v>122</v>
      </c>
      <c r="K7340">
        <v>704</v>
      </c>
      <c r="L7340">
        <v>1200</v>
      </c>
      <c r="M7340" t="str">
        <f t="shared" si="752"/>
        <v xml:space="preserve">N35DC   </v>
      </c>
      <c r="N7340">
        <v>1</v>
      </c>
      <c r="O7340">
        <v>1175</v>
      </c>
    </row>
    <row r="7341" spans="1:15" x14ac:dyDescent="0.25">
      <c r="A7341" t="str">
        <f>"10/21/2020 19:05:31.118"</f>
        <v>10/21/2020 19:05:31.118</v>
      </c>
      <c r="B7341" t="str">
        <f t="shared" si="754"/>
        <v>19:05:39.031</v>
      </c>
      <c r="C7341" t="str">
        <f t="shared" si="754"/>
        <v>19:05:39.031</v>
      </c>
      <c r="D7341" t="s">
        <v>2976</v>
      </c>
      <c r="E7341">
        <v>30.381810999999999</v>
      </c>
      <c r="F7341" t="s">
        <v>2977</v>
      </c>
      <c r="G7341">
        <v>-89.803297999999998</v>
      </c>
      <c r="H7341">
        <v>1100</v>
      </c>
      <c r="I7341">
        <v>-13</v>
      </c>
      <c r="J7341">
        <v>122</v>
      </c>
      <c r="K7341">
        <v>704</v>
      </c>
      <c r="L7341">
        <v>1200</v>
      </c>
      <c r="M7341" t="str">
        <f t="shared" si="752"/>
        <v xml:space="preserve">N35DC   </v>
      </c>
      <c r="N7341">
        <v>1</v>
      </c>
      <c r="O7341">
        <v>1175</v>
      </c>
    </row>
    <row r="7342" spans="1:15" x14ac:dyDescent="0.25">
      <c r="A7342" t="str">
        <f>"10/21/2020 19:05:31.118"</f>
        <v>10/21/2020 19:05:31.118</v>
      </c>
      <c r="B7342" t="str">
        <f t="shared" si="754"/>
        <v>19:05:39.031</v>
      </c>
      <c r="C7342" t="str">
        <f t="shared" si="754"/>
        <v>19:05:39.031</v>
      </c>
      <c r="D7342" t="s">
        <v>2976</v>
      </c>
      <c r="E7342">
        <v>30.381810999999999</v>
      </c>
      <c r="F7342" t="s">
        <v>2977</v>
      </c>
      <c r="G7342">
        <v>-89.803297999999998</v>
      </c>
      <c r="H7342">
        <v>1100</v>
      </c>
      <c r="I7342">
        <v>-13</v>
      </c>
      <c r="J7342">
        <v>122</v>
      </c>
      <c r="K7342">
        <v>704</v>
      </c>
      <c r="L7342">
        <v>1200</v>
      </c>
      <c r="M7342" t="str">
        <f t="shared" si="752"/>
        <v xml:space="preserve">N35DC   </v>
      </c>
      <c r="N7342">
        <v>1</v>
      </c>
      <c r="O7342">
        <v>1175</v>
      </c>
    </row>
    <row r="7343" spans="1:15" x14ac:dyDescent="0.25">
      <c r="A7343" t="str">
        <f>"10/21/2020 19:05:31.118"</f>
        <v>10/21/2020 19:05:31.118</v>
      </c>
      <c r="B7343" t="str">
        <f t="shared" si="754"/>
        <v>19:05:39.031</v>
      </c>
      <c r="C7343" t="str">
        <f t="shared" si="754"/>
        <v>19:05:39.031</v>
      </c>
      <c r="D7343" t="s">
        <v>2976</v>
      </c>
      <c r="E7343">
        <v>30.381810999999999</v>
      </c>
      <c r="F7343" t="s">
        <v>2977</v>
      </c>
      <c r="G7343">
        <v>-89.803297999999998</v>
      </c>
      <c r="H7343">
        <v>1100</v>
      </c>
      <c r="I7343">
        <v>-13</v>
      </c>
      <c r="J7343">
        <v>122</v>
      </c>
      <c r="K7343">
        <v>704</v>
      </c>
      <c r="L7343">
        <v>1200</v>
      </c>
      <c r="M7343" t="str">
        <f t="shared" si="752"/>
        <v xml:space="preserve">N35DC   </v>
      </c>
      <c r="N7343">
        <v>1</v>
      </c>
      <c r="O7343">
        <v>1175</v>
      </c>
    </row>
    <row r="7344" spans="1:15" x14ac:dyDescent="0.25">
      <c r="A7344" t="str">
        <f>"10/21/2020 19:05:31.118"</f>
        <v>10/21/2020 19:05:31.118</v>
      </c>
      <c r="B7344" t="str">
        <f t="shared" si="754"/>
        <v>19:05:39.031</v>
      </c>
      <c r="C7344" t="str">
        <f t="shared" si="754"/>
        <v>19:05:39.031</v>
      </c>
      <c r="D7344" t="s">
        <v>2976</v>
      </c>
      <c r="E7344">
        <v>30.381810999999999</v>
      </c>
      <c r="F7344" t="s">
        <v>2977</v>
      </c>
      <c r="G7344">
        <v>-89.803297999999998</v>
      </c>
      <c r="H7344">
        <v>1100</v>
      </c>
      <c r="I7344">
        <v>-13</v>
      </c>
      <c r="J7344">
        <v>122</v>
      </c>
      <c r="K7344">
        <v>704</v>
      </c>
      <c r="L7344">
        <v>1200</v>
      </c>
      <c r="M7344" t="str">
        <f t="shared" si="752"/>
        <v xml:space="preserve">N35DC   </v>
      </c>
      <c r="N7344">
        <v>1</v>
      </c>
      <c r="O7344">
        <v>1175</v>
      </c>
    </row>
    <row r="7345" spans="1:15" x14ac:dyDescent="0.25">
      <c r="A7345" t="str">
        <f>"10/21/2020 19:05:32.078"</f>
        <v>10/21/2020 19:05:32.078</v>
      </c>
      <c r="B7345" t="str">
        <f>"19:05:40.008"</f>
        <v>19:05:40.008</v>
      </c>
      <c r="C7345" t="str">
        <f>"19:05:39.608"</f>
        <v>19:05:39.608</v>
      </c>
      <c r="D7345" t="s">
        <v>2978</v>
      </c>
      <c r="E7345">
        <v>30.382369000000001</v>
      </c>
      <c r="F7345" t="s">
        <v>103</v>
      </c>
      <c r="G7345">
        <v>-89.803319000000002</v>
      </c>
      <c r="H7345">
        <v>1200</v>
      </c>
      <c r="I7345">
        <v>-14</v>
      </c>
      <c r="J7345">
        <v>122</v>
      </c>
      <c r="K7345">
        <v>832</v>
      </c>
      <c r="L7345">
        <v>1200</v>
      </c>
      <c r="M7345" t="str">
        <f t="shared" si="752"/>
        <v xml:space="preserve">N35DC   </v>
      </c>
      <c r="N7345">
        <v>1</v>
      </c>
      <c r="O7345">
        <v>1200</v>
      </c>
    </row>
    <row r="7346" spans="1:15" x14ac:dyDescent="0.25">
      <c r="A7346" t="str">
        <f>"10/21/2020 19:05:32.078"</f>
        <v>10/21/2020 19:05:32.078</v>
      </c>
      <c r="B7346" t="str">
        <f>"19:05:40.008"</f>
        <v>19:05:40.008</v>
      </c>
      <c r="C7346" t="str">
        <f>"19:05:39.608"</f>
        <v>19:05:39.608</v>
      </c>
      <c r="D7346" t="s">
        <v>2978</v>
      </c>
      <c r="E7346">
        <v>30.382369000000001</v>
      </c>
      <c r="F7346" t="s">
        <v>103</v>
      </c>
      <c r="G7346">
        <v>-89.803319000000002</v>
      </c>
      <c r="H7346">
        <v>1200</v>
      </c>
      <c r="I7346">
        <v>-14</v>
      </c>
      <c r="J7346">
        <v>122</v>
      </c>
      <c r="K7346">
        <v>832</v>
      </c>
      <c r="L7346">
        <v>1200</v>
      </c>
      <c r="M7346" t="str">
        <f t="shared" si="752"/>
        <v xml:space="preserve">N35DC   </v>
      </c>
      <c r="N7346">
        <v>1</v>
      </c>
      <c r="O7346">
        <v>1200</v>
      </c>
    </row>
    <row r="7347" spans="1:15" x14ac:dyDescent="0.25">
      <c r="A7347" t="str">
        <f>"10/21/2020 19:05:32.078"</f>
        <v>10/21/2020 19:05:32.078</v>
      </c>
      <c r="B7347" t="str">
        <f>"19:05:40.008"</f>
        <v>19:05:40.008</v>
      </c>
      <c r="C7347" t="str">
        <f>"19:05:39.608"</f>
        <v>19:05:39.608</v>
      </c>
      <c r="D7347" t="s">
        <v>2978</v>
      </c>
      <c r="E7347">
        <v>30.382369000000001</v>
      </c>
      <c r="F7347" t="s">
        <v>103</v>
      </c>
      <c r="G7347">
        <v>-89.803319000000002</v>
      </c>
      <c r="H7347">
        <v>1200</v>
      </c>
      <c r="I7347">
        <v>-14</v>
      </c>
      <c r="J7347">
        <v>122</v>
      </c>
      <c r="K7347">
        <v>832</v>
      </c>
      <c r="L7347">
        <v>1200</v>
      </c>
      <c r="M7347" t="str">
        <f t="shared" si="752"/>
        <v xml:space="preserve">N35DC   </v>
      </c>
      <c r="N7347">
        <v>1</v>
      </c>
      <c r="O7347">
        <v>1200</v>
      </c>
    </row>
    <row r="7348" spans="1:15" x14ac:dyDescent="0.25">
      <c r="A7348" t="str">
        <f>"10/21/2020 19:05:32.078"</f>
        <v>10/21/2020 19:05:32.078</v>
      </c>
      <c r="B7348" t="str">
        <f>"19:05:40.008"</f>
        <v>19:05:40.008</v>
      </c>
      <c r="C7348" t="str">
        <f>"19:05:39.608"</f>
        <v>19:05:39.608</v>
      </c>
      <c r="D7348" t="s">
        <v>2978</v>
      </c>
      <c r="E7348">
        <v>30.382369000000001</v>
      </c>
      <c r="F7348" t="s">
        <v>103</v>
      </c>
      <c r="G7348">
        <v>-89.803319000000002</v>
      </c>
      <c r="H7348">
        <v>1200</v>
      </c>
      <c r="I7348">
        <v>-14</v>
      </c>
      <c r="J7348">
        <v>122</v>
      </c>
      <c r="K7348">
        <v>832</v>
      </c>
      <c r="L7348">
        <v>1200</v>
      </c>
      <c r="M7348" t="str">
        <f t="shared" si="752"/>
        <v xml:space="preserve">N35DC   </v>
      </c>
      <c r="N7348">
        <v>1</v>
      </c>
      <c r="O7348">
        <v>1200</v>
      </c>
    </row>
    <row r="7349" spans="1:15" x14ac:dyDescent="0.25">
      <c r="A7349" t="str">
        <f>"10/21/2020 19:05:32.078"</f>
        <v>10/21/2020 19:05:32.078</v>
      </c>
      <c r="B7349" t="str">
        <f>"19:05:40.008"</f>
        <v>19:05:40.008</v>
      </c>
      <c r="C7349" t="str">
        <f>"19:05:39.608"</f>
        <v>19:05:39.608</v>
      </c>
      <c r="D7349" t="s">
        <v>2978</v>
      </c>
      <c r="E7349">
        <v>30.382369000000001</v>
      </c>
      <c r="F7349" t="s">
        <v>103</v>
      </c>
      <c r="G7349">
        <v>-89.803319000000002</v>
      </c>
      <c r="H7349">
        <v>1200</v>
      </c>
      <c r="I7349">
        <v>-14</v>
      </c>
      <c r="J7349">
        <v>122</v>
      </c>
      <c r="K7349">
        <v>832</v>
      </c>
      <c r="L7349">
        <v>1200</v>
      </c>
      <c r="M7349" t="str">
        <f t="shared" si="752"/>
        <v xml:space="preserve">N35DC   </v>
      </c>
      <c r="N7349">
        <v>1</v>
      </c>
      <c r="O7349">
        <v>1200</v>
      </c>
    </row>
    <row r="7350" spans="1:15" x14ac:dyDescent="0.25">
      <c r="A7350" t="str">
        <f>"10/21/2020 19:05:34.934"</f>
        <v>10/21/2020 19:05:34.934</v>
      </c>
      <c r="B7350" t="str">
        <f>"19:05:42.891"</f>
        <v>19:05:42.891</v>
      </c>
      <c r="C7350" t="str">
        <f>"19:05:42.591"</f>
        <v>19:05:42.591</v>
      </c>
      <c r="D7350" t="s">
        <v>2979</v>
      </c>
      <c r="E7350">
        <v>30.383977999999999</v>
      </c>
      <c r="F7350" t="s">
        <v>2980</v>
      </c>
      <c r="G7350">
        <v>-89.803640999999999</v>
      </c>
      <c r="H7350">
        <v>1200</v>
      </c>
      <c r="I7350">
        <v>-22</v>
      </c>
      <c r="J7350">
        <v>120</v>
      </c>
      <c r="K7350">
        <v>832</v>
      </c>
      <c r="L7350">
        <v>1200</v>
      </c>
      <c r="M7350" t="str">
        <f t="shared" si="752"/>
        <v xml:space="preserve">N35DC   </v>
      </c>
      <c r="N7350">
        <v>1</v>
      </c>
      <c r="O7350">
        <v>1225</v>
      </c>
    </row>
    <row r="7351" spans="1:15" x14ac:dyDescent="0.25">
      <c r="A7351" t="str">
        <f>"10/21/2020 19:05:34.934"</f>
        <v>10/21/2020 19:05:34.934</v>
      </c>
      <c r="B7351" t="str">
        <f>"19:05:42.891"</f>
        <v>19:05:42.891</v>
      </c>
      <c r="C7351" t="str">
        <f>"19:05:42.591"</f>
        <v>19:05:42.591</v>
      </c>
      <c r="D7351" t="s">
        <v>2979</v>
      </c>
      <c r="E7351">
        <v>30.383977999999999</v>
      </c>
      <c r="F7351" t="s">
        <v>2980</v>
      </c>
      <c r="G7351">
        <v>-89.803640999999999</v>
      </c>
      <c r="H7351">
        <v>1200</v>
      </c>
      <c r="I7351">
        <v>-22</v>
      </c>
      <c r="J7351">
        <v>120</v>
      </c>
      <c r="K7351">
        <v>832</v>
      </c>
      <c r="L7351">
        <v>1200</v>
      </c>
      <c r="M7351" t="str">
        <f t="shared" si="752"/>
        <v xml:space="preserve">N35DC   </v>
      </c>
      <c r="N7351">
        <v>1</v>
      </c>
      <c r="O7351">
        <v>1225</v>
      </c>
    </row>
    <row r="7352" spans="1:15" x14ac:dyDescent="0.25">
      <c r="A7352" t="str">
        <f>"10/21/2020 19:05:34.934"</f>
        <v>10/21/2020 19:05:34.934</v>
      </c>
      <c r="B7352" t="str">
        <f>"19:05:42.891"</f>
        <v>19:05:42.891</v>
      </c>
      <c r="C7352" t="str">
        <f>"19:05:42.591"</f>
        <v>19:05:42.591</v>
      </c>
      <c r="D7352" t="s">
        <v>2979</v>
      </c>
      <c r="E7352">
        <v>30.383977999999999</v>
      </c>
      <c r="F7352" t="s">
        <v>2980</v>
      </c>
      <c r="G7352">
        <v>-89.803640999999999</v>
      </c>
      <c r="H7352">
        <v>1200</v>
      </c>
      <c r="I7352">
        <v>-22</v>
      </c>
      <c r="J7352">
        <v>120</v>
      </c>
      <c r="K7352">
        <v>832</v>
      </c>
      <c r="L7352">
        <v>1200</v>
      </c>
      <c r="M7352" t="str">
        <f t="shared" si="752"/>
        <v xml:space="preserve">N35DC   </v>
      </c>
      <c r="N7352">
        <v>1</v>
      </c>
      <c r="O7352">
        <v>1225</v>
      </c>
    </row>
    <row r="7353" spans="1:15" x14ac:dyDescent="0.25">
      <c r="A7353" t="str">
        <f>"10/21/2020 19:05:34.934"</f>
        <v>10/21/2020 19:05:34.934</v>
      </c>
      <c r="B7353" t="str">
        <f>"19:05:42.891"</f>
        <v>19:05:42.891</v>
      </c>
      <c r="C7353" t="str">
        <f>"19:05:42.591"</f>
        <v>19:05:42.591</v>
      </c>
      <c r="D7353" t="s">
        <v>2979</v>
      </c>
      <c r="E7353">
        <v>30.383977999999999</v>
      </c>
      <c r="F7353" t="s">
        <v>2980</v>
      </c>
      <c r="G7353">
        <v>-89.803640999999999</v>
      </c>
      <c r="H7353">
        <v>1200</v>
      </c>
      <c r="I7353">
        <v>-22</v>
      </c>
      <c r="J7353">
        <v>120</v>
      </c>
      <c r="K7353">
        <v>832</v>
      </c>
      <c r="L7353">
        <v>1200</v>
      </c>
      <c r="M7353" t="str">
        <f t="shared" si="752"/>
        <v xml:space="preserve">N35DC   </v>
      </c>
      <c r="N7353">
        <v>1</v>
      </c>
      <c r="O7353">
        <v>1225</v>
      </c>
    </row>
    <row r="7354" spans="1:15" x14ac:dyDescent="0.25">
      <c r="A7354" t="str">
        <f>"10/21/2020 19:05:34.934"</f>
        <v>10/21/2020 19:05:34.934</v>
      </c>
      <c r="B7354" t="str">
        <f>"19:05:42.891"</f>
        <v>19:05:42.891</v>
      </c>
      <c r="C7354" t="str">
        <f>"19:05:42.591"</f>
        <v>19:05:42.591</v>
      </c>
      <c r="D7354" t="s">
        <v>2979</v>
      </c>
      <c r="E7354">
        <v>30.383977999999999</v>
      </c>
      <c r="F7354" t="s">
        <v>2980</v>
      </c>
      <c r="G7354">
        <v>-89.803640999999999</v>
      </c>
      <c r="H7354">
        <v>1200</v>
      </c>
      <c r="I7354">
        <v>-22</v>
      </c>
      <c r="J7354">
        <v>120</v>
      </c>
      <c r="K7354">
        <v>832</v>
      </c>
      <c r="L7354">
        <v>1200</v>
      </c>
      <c r="M7354" t="str">
        <f t="shared" si="752"/>
        <v xml:space="preserve">N35DC   </v>
      </c>
      <c r="N7354">
        <v>1</v>
      </c>
      <c r="O7354">
        <v>1225</v>
      </c>
    </row>
    <row r="7355" spans="1:15" x14ac:dyDescent="0.25">
      <c r="A7355" t="str">
        <f>"10/21/2020 19:05:35.879"</f>
        <v>10/21/2020 19:05:35.879</v>
      </c>
      <c r="B7355" t="str">
        <f>"19:05:43.836"</f>
        <v>19:05:43.836</v>
      </c>
      <c r="C7355" t="str">
        <f>"19:05:43.736"</f>
        <v>19:05:43.736</v>
      </c>
      <c r="D7355" t="s">
        <v>2981</v>
      </c>
      <c r="E7355">
        <v>30.384513999999999</v>
      </c>
      <c r="F7355" t="s">
        <v>2982</v>
      </c>
      <c r="G7355">
        <v>-89.803791000000004</v>
      </c>
      <c r="H7355">
        <v>1200</v>
      </c>
      <c r="I7355">
        <v>-27</v>
      </c>
      <c r="J7355">
        <v>118</v>
      </c>
      <c r="K7355">
        <v>896</v>
      </c>
      <c r="L7355">
        <v>1200</v>
      </c>
      <c r="M7355" t="str">
        <f t="shared" si="752"/>
        <v xml:space="preserve">N35DC   </v>
      </c>
      <c r="N7355">
        <v>1</v>
      </c>
      <c r="O7355">
        <v>1250</v>
      </c>
    </row>
    <row r="7356" spans="1:15" x14ac:dyDescent="0.25">
      <c r="A7356" t="str">
        <f>"10/21/2020 19:05:35.879"</f>
        <v>10/21/2020 19:05:35.879</v>
      </c>
      <c r="B7356" t="str">
        <f>"19:05:43.836"</f>
        <v>19:05:43.836</v>
      </c>
      <c r="C7356" t="str">
        <f>"19:05:43.736"</f>
        <v>19:05:43.736</v>
      </c>
      <c r="D7356" t="s">
        <v>2981</v>
      </c>
      <c r="E7356">
        <v>30.384513999999999</v>
      </c>
      <c r="F7356" t="s">
        <v>2982</v>
      </c>
      <c r="G7356">
        <v>-89.803791000000004</v>
      </c>
      <c r="H7356">
        <v>1200</v>
      </c>
      <c r="I7356">
        <v>-27</v>
      </c>
      <c r="J7356">
        <v>118</v>
      </c>
      <c r="K7356">
        <v>896</v>
      </c>
      <c r="L7356">
        <v>1200</v>
      </c>
      <c r="M7356" t="str">
        <f t="shared" si="752"/>
        <v xml:space="preserve">N35DC   </v>
      </c>
      <c r="N7356">
        <v>1</v>
      </c>
      <c r="O7356">
        <v>1250</v>
      </c>
    </row>
    <row r="7357" spans="1:15" x14ac:dyDescent="0.25">
      <c r="A7357" t="str">
        <f>"10/21/2020 19:05:35.879"</f>
        <v>10/21/2020 19:05:35.879</v>
      </c>
      <c r="B7357" t="str">
        <f>"19:05:43.836"</f>
        <v>19:05:43.836</v>
      </c>
      <c r="C7357" t="str">
        <f>"19:05:43.736"</f>
        <v>19:05:43.736</v>
      </c>
      <c r="D7357" t="s">
        <v>2981</v>
      </c>
      <c r="E7357">
        <v>30.384513999999999</v>
      </c>
      <c r="F7357" t="s">
        <v>2982</v>
      </c>
      <c r="G7357">
        <v>-89.803791000000004</v>
      </c>
      <c r="H7357">
        <v>1200</v>
      </c>
      <c r="I7357">
        <v>-27</v>
      </c>
      <c r="J7357">
        <v>118</v>
      </c>
      <c r="K7357">
        <v>896</v>
      </c>
      <c r="L7357">
        <v>1200</v>
      </c>
      <c r="M7357" t="str">
        <f t="shared" si="752"/>
        <v xml:space="preserve">N35DC   </v>
      </c>
      <c r="N7357">
        <v>1</v>
      </c>
      <c r="O7357">
        <v>1250</v>
      </c>
    </row>
    <row r="7358" spans="1:15" x14ac:dyDescent="0.25">
      <c r="A7358" t="str">
        <f>"10/21/2020 19:05:35.879"</f>
        <v>10/21/2020 19:05:35.879</v>
      </c>
      <c r="B7358" t="str">
        <f>"19:05:43.836"</f>
        <v>19:05:43.836</v>
      </c>
      <c r="C7358" t="str">
        <f>"19:05:43.736"</f>
        <v>19:05:43.736</v>
      </c>
      <c r="D7358" t="s">
        <v>2981</v>
      </c>
      <c r="E7358">
        <v>30.384513999999999</v>
      </c>
      <c r="F7358" t="s">
        <v>2982</v>
      </c>
      <c r="G7358">
        <v>-89.803791000000004</v>
      </c>
      <c r="H7358">
        <v>1200</v>
      </c>
      <c r="I7358">
        <v>-27</v>
      </c>
      <c r="J7358">
        <v>118</v>
      </c>
      <c r="K7358">
        <v>896</v>
      </c>
      <c r="L7358">
        <v>1200</v>
      </c>
      <c r="M7358" t="str">
        <f t="shared" si="752"/>
        <v xml:space="preserve">N35DC   </v>
      </c>
      <c r="N7358">
        <v>1</v>
      </c>
      <c r="O7358">
        <v>1250</v>
      </c>
    </row>
    <row r="7359" spans="1:15" x14ac:dyDescent="0.25">
      <c r="A7359" t="str">
        <f>"10/21/2020 19:05:35.879"</f>
        <v>10/21/2020 19:05:35.879</v>
      </c>
      <c r="B7359" t="str">
        <f>"19:05:43.836"</f>
        <v>19:05:43.836</v>
      </c>
      <c r="C7359" t="str">
        <f>"19:05:43.736"</f>
        <v>19:05:43.736</v>
      </c>
      <c r="D7359" t="s">
        <v>2981</v>
      </c>
      <c r="E7359">
        <v>30.384513999999999</v>
      </c>
      <c r="F7359" t="s">
        <v>2982</v>
      </c>
      <c r="G7359">
        <v>-89.803791000000004</v>
      </c>
      <c r="H7359">
        <v>1200</v>
      </c>
      <c r="I7359">
        <v>-27</v>
      </c>
      <c r="J7359">
        <v>118</v>
      </c>
      <c r="K7359">
        <v>896</v>
      </c>
      <c r="L7359">
        <v>1200</v>
      </c>
      <c r="M7359" t="str">
        <f t="shared" si="752"/>
        <v xml:space="preserve">N35DC   </v>
      </c>
      <c r="N7359">
        <v>1</v>
      </c>
      <c r="O7359">
        <v>1250</v>
      </c>
    </row>
    <row r="7360" spans="1:15" x14ac:dyDescent="0.25">
      <c r="A7360" t="str">
        <f>"10/21/2020 19:05:36.940"</f>
        <v>10/21/2020 19:05:36.940</v>
      </c>
      <c r="B7360" t="str">
        <f>"19:05:44.867"</f>
        <v>19:05:44.867</v>
      </c>
      <c r="C7360" t="str">
        <f>"19:05:44.767"</f>
        <v>19:05:44.767</v>
      </c>
      <c r="D7360" t="s">
        <v>2983</v>
      </c>
      <c r="E7360">
        <v>30.385072000000001</v>
      </c>
      <c r="F7360" t="s">
        <v>2984</v>
      </c>
      <c r="G7360">
        <v>-89.803962999999996</v>
      </c>
      <c r="H7360">
        <v>1200</v>
      </c>
      <c r="I7360">
        <v>-31</v>
      </c>
      <c r="J7360">
        <v>117</v>
      </c>
      <c r="K7360">
        <v>896</v>
      </c>
      <c r="L7360">
        <v>1200</v>
      </c>
      <c r="M7360" t="str">
        <f t="shared" si="752"/>
        <v xml:space="preserve">N35DC   </v>
      </c>
      <c r="N7360">
        <v>1</v>
      </c>
      <c r="O7360">
        <v>1250</v>
      </c>
    </row>
    <row r="7361" spans="1:15" x14ac:dyDescent="0.25">
      <c r="A7361" t="str">
        <f>"10/21/2020 19:05:36.940"</f>
        <v>10/21/2020 19:05:36.940</v>
      </c>
      <c r="B7361" t="str">
        <f>"19:05:44.867"</f>
        <v>19:05:44.867</v>
      </c>
      <c r="C7361" t="str">
        <f>"19:05:44.767"</f>
        <v>19:05:44.767</v>
      </c>
      <c r="D7361" t="s">
        <v>2983</v>
      </c>
      <c r="E7361">
        <v>30.385072000000001</v>
      </c>
      <c r="F7361" t="s">
        <v>2984</v>
      </c>
      <c r="G7361">
        <v>-89.803962999999996</v>
      </c>
      <c r="H7361">
        <v>1200</v>
      </c>
      <c r="I7361">
        <v>-31</v>
      </c>
      <c r="J7361">
        <v>117</v>
      </c>
      <c r="K7361">
        <v>896</v>
      </c>
      <c r="L7361">
        <v>1200</v>
      </c>
      <c r="M7361" t="str">
        <f t="shared" si="752"/>
        <v xml:space="preserve">N35DC   </v>
      </c>
      <c r="N7361">
        <v>1</v>
      </c>
      <c r="O7361">
        <v>1250</v>
      </c>
    </row>
    <row r="7362" spans="1:15" x14ac:dyDescent="0.25">
      <c r="A7362" t="str">
        <f>"10/21/2020 19:05:36.940"</f>
        <v>10/21/2020 19:05:36.940</v>
      </c>
      <c r="B7362" t="str">
        <f>"19:05:44.867"</f>
        <v>19:05:44.867</v>
      </c>
      <c r="C7362" t="str">
        <f>"19:05:44.767"</f>
        <v>19:05:44.767</v>
      </c>
      <c r="D7362" t="s">
        <v>2983</v>
      </c>
      <c r="E7362">
        <v>30.385072000000001</v>
      </c>
      <c r="F7362" t="s">
        <v>2984</v>
      </c>
      <c r="G7362">
        <v>-89.803962999999996</v>
      </c>
      <c r="H7362">
        <v>1200</v>
      </c>
      <c r="I7362">
        <v>-31</v>
      </c>
      <c r="J7362">
        <v>117</v>
      </c>
      <c r="K7362">
        <v>896</v>
      </c>
      <c r="L7362">
        <v>1200</v>
      </c>
      <c r="M7362" t="str">
        <f t="shared" si="752"/>
        <v xml:space="preserve">N35DC   </v>
      </c>
      <c r="N7362">
        <v>1</v>
      </c>
      <c r="O7362">
        <v>1250</v>
      </c>
    </row>
    <row r="7363" spans="1:15" x14ac:dyDescent="0.25">
      <c r="A7363" t="str">
        <f>"10/21/2020 19:05:36.940"</f>
        <v>10/21/2020 19:05:36.940</v>
      </c>
      <c r="B7363" t="str">
        <f>"19:05:44.867"</f>
        <v>19:05:44.867</v>
      </c>
      <c r="C7363" t="str">
        <f>"19:05:44.767"</f>
        <v>19:05:44.767</v>
      </c>
      <c r="D7363" t="s">
        <v>2983</v>
      </c>
      <c r="E7363">
        <v>30.385072000000001</v>
      </c>
      <c r="F7363" t="s">
        <v>2984</v>
      </c>
      <c r="G7363">
        <v>-89.803962999999996</v>
      </c>
      <c r="H7363">
        <v>1200</v>
      </c>
      <c r="I7363">
        <v>-31</v>
      </c>
      <c r="J7363">
        <v>117</v>
      </c>
      <c r="K7363">
        <v>896</v>
      </c>
      <c r="L7363">
        <v>1200</v>
      </c>
      <c r="M7363" t="str">
        <f t="shared" si="752"/>
        <v xml:space="preserve">N35DC   </v>
      </c>
      <c r="N7363">
        <v>1</v>
      </c>
      <c r="O7363">
        <v>1250</v>
      </c>
    </row>
    <row r="7364" spans="1:15" x14ac:dyDescent="0.25">
      <c r="A7364" t="str">
        <f>"10/21/2020 19:05:36.940"</f>
        <v>10/21/2020 19:05:36.940</v>
      </c>
      <c r="B7364" t="str">
        <f>"19:05:44.867"</f>
        <v>19:05:44.867</v>
      </c>
      <c r="C7364" t="str">
        <f>"19:05:44.767"</f>
        <v>19:05:44.767</v>
      </c>
      <c r="D7364" t="s">
        <v>2983</v>
      </c>
      <c r="E7364">
        <v>30.385072000000001</v>
      </c>
      <c r="F7364" t="s">
        <v>2984</v>
      </c>
      <c r="G7364">
        <v>-89.803962999999996</v>
      </c>
      <c r="H7364">
        <v>1200</v>
      </c>
      <c r="I7364">
        <v>-31</v>
      </c>
      <c r="J7364">
        <v>117</v>
      </c>
      <c r="K7364">
        <v>896</v>
      </c>
      <c r="L7364">
        <v>1200</v>
      </c>
      <c r="M7364" t="str">
        <f t="shared" si="752"/>
        <v xml:space="preserve">N35DC   </v>
      </c>
      <c r="N7364">
        <v>1</v>
      </c>
      <c r="O7364">
        <v>1250</v>
      </c>
    </row>
    <row r="7365" spans="1:15" x14ac:dyDescent="0.25">
      <c r="A7365" t="str">
        <f>"10/21/2020 19:05:39.962"</f>
        <v>10/21/2020 19:05:39.962</v>
      </c>
      <c r="B7365" t="str">
        <f>"19:05:47.930"</f>
        <v>19:05:47.930</v>
      </c>
      <c r="C7365" t="str">
        <f>"19:05:47.630"</f>
        <v>19:05:47.630</v>
      </c>
      <c r="D7365" t="s">
        <v>2985</v>
      </c>
      <c r="E7365">
        <v>30.386703000000001</v>
      </c>
      <c r="F7365" t="s">
        <v>2986</v>
      </c>
      <c r="G7365">
        <v>-89.804563999999999</v>
      </c>
      <c r="H7365">
        <v>1300</v>
      </c>
      <c r="I7365">
        <v>-39</v>
      </c>
      <c r="J7365">
        <v>115</v>
      </c>
      <c r="K7365">
        <v>704</v>
      </c>
      <c r="L7365">
        <v>1200</v>
      </c>
      <c r="M7365" t="str">
        <f t="shared" si="752"/>
        <v xml:space="preserve">N35DC   </v>
      </c>
      <c r="N7365">
        <v>1</v>
      </c>
      <c r="O7365">
        <v>1300</v>
      </c>
    </row>
    <row r="7366" spans="1:15" x14ac:dyDescent="0.25">
      <c r="A7366" t="str">
        <f>"10/21/2020 19:05:39.962"</f>
        <v>10/21/2020 19:05:39.962</v>
      </c>
      <c r="B7366" t="str">
        <f>"19:05:47.930"</f>
        <v>19:05:47.930</v>
      </c>
      <c r="C7366" t="str">
        <f>"19:05:47.630"</f>
        <v>19:05:47.630</v>
      </c>
      <c r="D7366" t="s">
        <v>2985</v>
      </c>
      <c r="E7366">
        <v>30.386703000000001</v>
      </c>
      <c r="F7366" t="s">
        <v>2986</v>
      </c>
      <c r="G7366">
        <v>-89.804563999999999</v>
      </c>
      <c r="H7366">
        <v>1300</v>
      </c>
      <c r="I7366">
        <v>-39</v>
      </c>
      <c r="J7366">
        <v>115</v>
      </c>
      <c r="K7366">
        <v>704</v>
      </c>
      <c r="L7366">
        <v>1200</v>
      </c>
      <c r="M7366" t="str">
        <f t="shared" si="752"/>
        <v xml:space="preserve">N35DC   </v>
      </c>
      <c r="N7366">
        <v>1</v>
      </c>
      <c r="O7366">
        <v>1300</v>
      </c>
    </row>
    <row r="7367" spans="1:15" x14ac:dyDescent="0.25">
      <c r="A7367" t="str">
        <f>"10/21/2020 19:05:39.962"</f>
        <v>10/21/2020 19:05:39.962</v>
      </c>
      <c r="B7367" t="str">
        <f>"19:05:47.930"</f>
        <v>19:05:47.930</v>
      </c>
      <c r="C7367" t="str">
        <f>"19:05:47.630"</f>
        <v>19:05:47.630</v>
      </c>
      <c r="D7367" t="s">
        <v>2985</v>
      </c>
      <c r="E7367">
        <v>30.386703000000001</v>
      </c>
      <c r="F7367" t="s">
        <v>2986</v>
      </c>
      <c r="G7367">
        <v>-89.804563999999999</v>
      </c>
      <c r="H7367">
        <v>1300</v>
      </c>
      <c r="I7367">
        <v>-39</v>
      </c>
      <c r="J7367">
        <v>115</v>
      </c>
      <c r="K7367">
        <v>704</v>
      </c>
      <c r="L7367">
        <v>1200</v>
      </c>
      <c r="M7367" t="str">
        <f t="shared" ref="M7367:M7430" si="755">"N35DC   "</f>
        <v xml:space="preserve">N35DC   </v>
      </c>
      <c r="N7367">
        <v>1</v>
      </c>
      <c r="O7367">
        <v>1300</v>
      </c>
    </row>
    <row r="7368" spans="1:15" x14ac:dyDescent="0.25">
      <c r="A7368" t="str">
        <f>"10/21/2020 19:05:39.962"</f>
        <v>10/21/2020 19:05:39.962</v>
      </c>
      <c r="B7368" t="str">
        <f>"19:05:47.930"</f>
        <v>19:05:47.930</v>
      </c>
      <c r="C7368" t="str">
        <f>"19:05:47.630"</f>
        <v>19:05:47.630</v>
      </c>
      <c r="D7368" t="s">
        <v>2985</v>
      </c>
      <c r="E7368">
        <v>30.386703000000001</v>
      </c>
      <c r="F7368" t="s">
        <v>2986</v>
      </c>
      <c r="G7368">
        <v>-89.804563999999999</v>
      </c>
      <c r="H7368">
        <v>1300</v>
      </c>
      <c r="I7368">
        <v>-39</v>
      </c>
      <c r="J7368">
        <v>115</v>
      </c>
      <c r="K7368">
        <v>704</v>
      </c>
      <c r="L7368">
        <v>1200</v>
      </c>
      <c r="M7368" t="str">
        <f t="shared" si="755"/>
        <v xml:space="preserve">N35DC   </v>
      </c>
      <c r="N7368">
        <v>1</v>
      </c>
      <c r="O7368">
        <v>1300</v>
      </c>
    </row>
    <row r="7369" spans="1:15" x14ac:dyDescent="0.25">
      <c r="A7369" t="str">
        <f>"10/21/2020 19:05:39.962"</f>
        <v>10/21/2020 19:05:39.962</v>
      </c>
      <c r="B7369" t="str">
        <f>"19:05:47.930"</f>
        <v>19:05:47.930</v>
      </c>
      <c r="C7369" t="str">
        <f>"19:05:47.630"</f>
        <v>19:05:47.630</v>
      </c>
      <c r="D7369" t="s">
        <v>2985</v>
      </c>
      <c r="E7369">
        <v>30.386703000000001</v>
      </c>
      <c r="F7369" t="s">
        <v>2986</v>
      </c>
      <c r="G7369">
        <v>-89.804563999999999</v>
      </c>
      <c r="H7369">
        <v>1300</v>
      </c>
      <c r="I7369">
        <v>-39</v>
      </c>
      <c r="J7369">
        <v>115</v>
      </c>
      <c r="K7369">
        <v>704</v>
      </c>
      <c r="L7369">
        <v>1200</v>
      </c>
      <c r="M7369" t="str">
        <f t="shared" si="755"/>
        <v xml:space="preserve">N35DC   </v>
      </c>
      <c r="N7369">
        <v>1</v>
      </c>
      <c r="O7369">
        <v>1300</v>
      </c>
    </row>
    <row r="7370" spans="1:15" x14ac:dyDescent="0.25">
      <c r="A7370" t="str">
        <f>"10/21/2020 19:05:40.922"</f>
        <v>10/21/2020 19:05:40.922</v>
      </c>
      <c r="B7370" t="str">
        <f>"19:05:48.875"</f>
        <v>19:05:48.875</v>
      </c>
      <c r="C7370" t="str">
        <f>"19:05:48.675"</f>
        <v>19:05:48.675</v>
      </c>
      <c r="D7370" t="s">
        <v>2987</v>
      </c>
      <c r="E7370">
        <v>30.387218000000001</v>
      </c>
      <c r="F7370" t="s">
        <v>2988</v>
      </c>
      <c r="G7370">
        <v>-89.804714000000004</v>
      </c>
      <c r="H7370">
        <v>1300</v>
      </c>
      <c r="I7370">
        <v>-38</v>
      </c>
      <c r="J7370">
        <v>115</v>
      </c>
      <c r="K7370">
        <v>640</v>
      </c>
      <c r="L7370">
        <v>1200</v>
      </c>
      <c r="M7370" t="str">
        <f t="shared" si="755"/>
        <v xml:space="preserve">N35DC   </v>
      </c>
      <c r="N7370">
        <v>1</v>
      </c>
      <c r="O7370">
        <v>1325</v>
      </c>
    </row>
    <row r="7371" spans="1:15" x14ac:dyDescent="0.25">
      <c r="A7371" t="str">
        <f>"10/21/2020 19:05:40.922"</f>
        <v>10/21/2020 19:05:40.922</v>
      </c>
      <c r="B7371" t="str">
        <f>"19:05:48.875"</f>
        <v>19:05:48.875</v>
      </c>
      <c r="C7371" t="str">
        <f>"19:05:48.675"</f>
        <v>19:05:48.675</v>
      </c>
      <c r="D7371" t="s">
        <v>2987</v>
      </c>
      <c r="E7371">
        <v>30.387218000000001</v>
      </c>
      <c r="F7371" t="s">
        <v>2988</v>
      </c>
      <c r="G7371">
        <v>-89.804714000000004</v>
      </c>
      <c r="H7371">
        <v>1300</v>
      </c>
      <c r="I7371">
        <v>-38</v>
      </c>
      <c r="J7371">
        <v>115</v>
      </c>
      <c r="K7371">
        <v>640</v>
      </c>
      <c r="L7371">
        <v>1200</v>
      </c>
      <c r="M7371" t="str">
        <f t="shared" si="755"/>
        <v xml:space="preserve">N35DC   </v>
      </c>
      <c r="N7371">
        <v>1</v>
      </c>
      <c r="O7371">
        <v>1325</v>
      </c>
    </row>
    <row r="7372" spans="1:15" x14ac:dyDescent="0.25">
      <c r="A7372" t="str">
        <f>"10/21/2020 19:05:40.922"</f>
        <v>10/21/2020 19:05:40.922</v>
      </c>
      <c r="B7372" t="str">
        <f>"19:05:48.875"</f>
        <v>19:05:48.875</v>
      </c>
      <c r="C7372" t="str">
        <f>"19:05:48.675"</f>
        <v>19:05:48.675</v>
      </c>
      <c r="D7372" t="s">
        <v>2987</v>
      </c>
      <c r="E7372">
        <v>30.387218000000001</v>
      </c>
      <c r="F7372" t="s">
        <v>2988</v>
      </c>
      <c r="G7372">
        <v>-89.804714000000004</v>
      </c>
      <c r="H7372">
        <v>1300</v>
      </c>
      <c r="I7372">
        <v>-38</v>
      </c>
      <c r="J7372">
        <v>115</v>
      </c>
      <c r="K7372">
        <v>640</v>
      </c>
      <c r="L7372">
        <v>1200</v>
      </c>
      <c r="M7372" t="str">
        <f t="shared" si="755"/>
        <v xml:space="preserve">N35DC   </v>
      </c>
      <c r="N7372">
        <v>1</v>
      </c>
      <c r="O7372">
        <v>1325</v>
      </c>
    </row>
    <row r="7373" spans="1:15" x14ac:dyDescent="0.25">
      <c r="A7373" t="str">
        <f>"10/21/2020 19:05:40.922"</f>
        <v>10/21/2020 19:05:40.922</v>
      </c>
      <c r="B7373" t="str">
        <f>"19:05:48.875"</f>
        <v>19:05:48.875</v>
      </c>
      <c r="C7373" t="str">
        <f>"19:05:48.675"</f>
        <v>19:05:48.675</v>
      </c>
      <c r="D7373" t="s">
        <v>2987</v>
      </c>
      <c r="E7373">
        <v>30.387218000000001</v>
      </c>
      <c r="F7373" t="s">
        <v>2988</v>
      </c>
      <c r="G7373">
        <v>-89.804714000000004</v>
      </c>
      <c r="H7373">
        <v>1300</v>
      </c>
      <c r="I7373">
        <v>-38</v>
      </c>
      <c r="J7373">
        <v>115</v>
      </c>
      <c r="K7373">
        <v>640</v>
      </c>
      <c r="L7373">
        <v>1200</v>
      </c>
      <c r="M7373" t="str">
        <f t="shared" si="755"/>
        <v xml:space="preserve">N35DC   </v>
      </c>
      <c r="N7373">
        <v>1</v>
      </c>
      <c r="O7373">
        <v>1325</v>
      </c>
    </row>
    <row r="7374" spans="1:15" x14ac:dyDescent="0.25">
      <c r="A7374" t="str">
        <f>"10/21/2020 19:05:40.922"</f>
        <v>10/21/2020 19:05:40.922</v>
      </c>
      <c r="B7374" t="str">
        <f>"19:05:48.875"</f>
        <v>19:05:48.875</v>
      </c>
      <c r="C7374" t="str">
        <f>"19:05:48.675"</f>
        <v>19:05:48.675</v>
      </c>
      <c r="D7374" t="s">
        <v>2987</v>
      </c>
      <c r="E7374">
        <v>30.387218000000001</v>
      </c>
      <c r="F7374" t="s">
        <v>2988</v>
      </c>
      <c r="G7374">
        <v>-89.804714000000004</v>
      </c>
      <c r="H7374">
        <v>1300</v>
      </c>
      <c r="I7374">
        <v>-38</v>
      </c>
      <c r="J7374">
        <v>115</v>
      </c>
      <c r="K7374">
        <v>640</v>
      </c>
      <c r="L7374">
        <v>1200</v>
      </c>
      <c r="M7374" t="str">
        <f t="shared" si="755"/>
        <v xml:space="preserve">N35DC   </v>
      </c>
      <c r="N7374">
        <v>1</v>
      </c>
      <c r="O7374">
        <v>1325</v>
      </c>
    </row>
    <row r="7375" spans="1:15" x14ac:dyDescent="0.25">
      <c r="A7375" t="str">
        <f>"10/21/2020 19:05:46.129"</f>
        <v>10/21/2020 19:05:46.129</v>
      </c>
      <c r="B7375" t="str">
        <f>"19:05:54.078"</f>
        <v>19:05:54.078</v>
      </c>
      <c r="C7375" t="str">
        <f>"19:05:53.678"</f>
        <v>19:05:53.678</v>
      </c>
      <c r="D7375" t="s">
        <v>2989</v>
      </c>
      <c r="E7375">
        <v>30.390049999999999</v>
      </c>
      <c r="F7375" t="s">
        <v>2990</v>
      </c>
      <c r="G7375">
        <v>-89.805700999999999</v>
      </c>
      <c r="H7375">
        <v>1300</v>
      </c>
      <c r="I7375">
        <v>-29</v>
      </c>
      <c r="J7375">
        <v>119</v>
      </c>
      <c r="K7375">
        <v>256</v>
      </c>
      <c r="L7375">
        <v>1200</v>
      </c>
      <c r="M7375" t="str">
        <f t="shared" si="755"/>
        <v xml:space="preserve">N35DC   </v>
      </c>
      <c r="N7375">
        <v>1</v>
      </c>
      <c r="O7375">
        <v>1350</v>
      </c>
    </row>
    <row r="7376" spans="1:15" x14ac:dyDescent="0.25">
      <c r="A7376" t="str">
        <f>"10/21/2020 19:05:46.129"</f>
        <v>10/21/2020 19:05:46.129</v>
      </c>
      <c r="B7376" t="str">
        <f>"19:05:54.078"</f>
        <v>19:05:54.078</v>
      </c>
      <c r="C7376" t="str">
        <f>"19:05:53.678"</f>
        <v>19:05:53.678</v>
      </c>
      <c r="D7376" t="s">
        <v>2989</v>
      </c>
      <c r="E7376">
        <v>30.390049999999999</v>
      </c>
      <c r="F7376" t="s">
        <v>2990</v>
      </c>
      <c r="G7376">
        <v>-89.805700999999999</v>
      </c>
      <c r="H7376">
        <v>1300</v>
      </c>
      <c r="I7376">
        <v>-29</v>
      </c>
      <c r="J7376">
        <v>119</v>
      </c>
      <c r="K7376">
        <v>256</v>
      </c>
      <c r="L7376">
        <v>1200</v>
      </c>
      <c r="M7376" t="str">
        <f t="shared" si="755"/>
        <v xml:space="preserve">N35DC   </v>
      </c>
      <c r="N7376">
        <v>1</v>
      </c>
      <c r="O7376">
        <v>1350</v>
      </c>
    </row>
    <row r="7377" spans="1:15" x14ac:dyDescent="0.25">
      <c r="A7377" t="str">
        <f>"10/21/2020 19:05:46.129"</f>
        <v>10/21/2020 19:05:46.129</v>
      </c>
      <c r="B7377" t="str">
        <f>"19:05:54.078"</f>
        <v>19:05:54.078</v>
      </c>
      <c r="C7377" t="str">
        <f>"19:05:53.678"</f>
        <v>19:05:53.678</v>
      </c>
      <c r="D7377" t="s">
        <v>2989</v>
      </c>
      <c r="E7377">
        <v>30.390049999999999</v>
      </c>
      <c r="F7377" t="s">
        <v>2990</v>
      </c>
      <c r="G7377">
        <v>-89.805700999999999</v>
      </c>
      <c r="H7377">
        <v>1300</v>
      </c>
      <c r="I7377">
        <v>-29</v>
      </c>
      <c r="J7377">
        <v>119</v>
      </c>
      <c r="K7377">
        <v>256</v>
      </c>
      <c r="L7377">
        <v>1200</v>
      </c>
      <c r="M7377" t="str">
        <f t="shared" si="755"/>
        <v xml:space="preserve">N35DC   </v>
      </c>
      <c r="N7377">
        <v>1</v>
      </c>
      <c r="O7377">
        <v>1350</v>
      </c>
    </row>
    <row r="7378" spans="1:15" x14ac:dyDescent="0.25">
      <c r="A7378" t="str">
        <f>"10/21/2020 19:05:46.129"</f>
        <v>10/21/2020 19:05:46.129</v>
      </c>
      <c r="B7378" t="str">
        <f>"19:05:54.078"</f>
        <v>19:05:54.078</v>
      </c>
      <c r="C7378" t="str">
        <f>"19:05:53.678"</f>
        <v>19:05:53.678</v>
      </c>
      <c r="D7378" t="s">
        <v>2989</v>
      </c>
      <c r="E7378">
        <v>30.390049999999999</v>
      </c>
      <c r="F7378" t="s">
        <v>2990</v>
      </c>
      <c r="G7378">
        <v>-89.805700999999999</v>
      </c>
      <c r="H7378">
        <v>1300</v>
      </c>
      <c r="I7378">
        <v>-29</v>
      </c>
      <c r="J7378">
        <v>119</v>
      </c>
      <c r="K7378">
        <v>256</v>
      </c>
      <c r="L7378">
        <v>1200</v>
      </c>
      <c r="M7378" t="str">
        <f t="shared" si="755"/>
        <v xml:space="preserve">N35DC   </v>
      </c>
      <c r="N7378">
        <v>1</v>
      </c>
      <c r="O7378">
        <v>1350</v>
      </c>
    </row>
    <row r="7379" spans="1:15" x14ac:dyDescent="0.25">
      <c r="A7379" t="str">
        <f>"10/21/2020 19:05:46.129"</f>
        <v>10/21/2020 19:05:46.129</v>
      </c>
      <c r="B7379" t="str">
        <f>"19:05:54.078"</f>
        <v>19:05:54.078</v>
      </c>
      <c r="C7379" t="str">
        <f>"19:05:53.678"</f>
        <v>19:05:53.678</v>
      </c>
      <c r="D7379" t="s">
        <v>2989</v>
      </c>
      <c r="E7379">
        <v>30.390049999999999</v>
      </c>
      <c r="F7379" t="s">
        <v>2990</v>
      </c>
      <c r="G7379">
        <v>-89.805700999999999</v>
      </c>
      <c r="H7379">
        <v>1300</v>
      </c>
      <c r="I7379">
        <v>-29</v>
      </c>
      <c r="J7379">
        <v>119</v>
      </c>
      <c r="K7379">
        <v>256</v>
      </c>
      <c r="L7379">
        <v>1200</v>
      </c>
      <c r="M7379" t="str">
        <f t="shared" si="755"/>
        <v xml:space="preserve">N35DC   </v>
      </c>
      <c r="N7379">
        <v>1</v>
      </c>
      <c r="O7379">
        <v>1350</v>
      </c>
    </row>
    <row r="7380" spans="1:15" x14ac:dyDescent="0.25">
      <c r="A7380" t="str">
        <f>"10/21/2020 19:05:47.121"</f>
        <v>10/21/2020 19:05:47.121</v>
      </c>
      <c r="B7380" t="str">
        <f>"19:05:55.086"</f>
        <v>19:05:55.086</v>
      </c>
      <c r="C7380" t="str">
        <f>"19:05:54.886"</f>
        <v>19:05:54.886</v>
      </c>
      <c r="D7380" t="s">
        <v>2991</v>
      </c>
      <c r="E7380">
        <v>30.390608</v>
      </c>
      <c r="F7380" t="s">
        <v>2992</v>
      </c>
      <c r="G7380">
        <v>-89.805807999999999</v>
      </c>
      <c r="H7380">
        <v>1300</v>
      </c>
      <c r="I7380">
        <v>-27</v>
      </c>
      <c r="J7380">
        <v>120</v>
      </c>
      <c r="K7380">
        <v>384</v>
      </c>
      <c r="L7380">
        <v>1200</v>
      </c>
      <c r="M7380" t="str">
        <f t="shared" si="755"/>
        <v xml:space="preserve">N35DC   </v>
      </c>
      <c r="N7380">
        <v>1</v>
      </c>
      <c r="O7380">
        <v>1350</v>
      </c>
    </row>
    <row r="7381" spans="1:15" x14ac:dyDescent="0.25">
      <c r="A7381" t="str">
        <f>"10/21/2020 19:05:47.121"</f>
        <v>10/21/2020 19:05:47.121</v>
      </c>
      <c r="B7381" t="str">
        <f>"19:05:55.086"</f>
        <v>19:05:55.086</v>
      </c>
      <c r="C7381" t="str">
        <f>"19:05:54.886"</f>
        <v>19:05:54.886</v>
      </c>
      <c r="D7381" t="s">
        <v>2991</v>
      </c>
      <c r="E7381">
        <v>30.390608</v>
      </c>
      <c r="F7381" t="s">
        <v>2992</v>
      </c>
      <c r="G7381">
        <v>-89.805807999999999</v>
      </c>
      <c r="H7381">
        <v>1300</v>
      </c>
      <c r="I7381">
        <v>-27</v>
      </c>
      <c r="J7381">
        <v>120</v>
      </c>
      <c r="K7381">
        <v>384</v>
      </c>
      <c r="L7381">
        <v>1200</v>
      </c>
      <c r="M7381" t="str">
        <f t="shared" si="755"/>
        <v xml:space="preserve">N35DC   </v>
      </c>
      <c r="N7381">
        <v>1</v>
      </c>
      <c r="O7381">
        <v>1350</v>
      </c>
    </row>
    <row r="7382" spans="1:15" x14ac:dyDescent="0.25">
      <c r="A7382" t="str">
        <f>"10/21/2020 19:05:47.121"</f>
        <v>10/21/2020 19:05:47.121</v>
      </c>
      <c r="B7382" t="str">
        <f>"19:05:55.086"</f>
        <v>19:05:55.086</v>
      </c>
      <c r="C7382" t="str">
        <f>"19:05:54.886"</f>
        <v>19:05:54.886</v>
      </c>
      <c r="D7382" t="s">
        <v>2991</v>
      </c>
      <c r="E7382">
        <v>30.390608</v>
      </c>
      <c r="F7382" t="s">
        <v>2992</v>
      </c>
      <c r="G7382">
        <v>-89.805807999999999</v>
      </c>
      <c r="H7382">
        <v>1300</v>
      </c>
      <c r="I7382">
        <v>-27</v>
      </c>
      <c r="J7382">
        <v>120</v>
      </c>
      <c r="K7382">
        <v>384</v>
      </c>
      <c r="L7382">
        <v>1200</v>
      </c>
      <c r="M7382" t="str">
        <f t="shared" si="755"/>
        <v xml:space="preserve">N35DC   </v>
      </c>
      <c r="N7382">
        <v>1</v>
      </c>
      <c r="O7382">
        <v>1350</v>
      </c>
    </row>
    <row r="7383" spans="1:15" x14ac:dyDescent="0.25">
      <c r="A7383" t="str">
        <f>"10/21/2020 19:05:47.121"</f>
        <v>10/21/2020 19:05:47.121</v>
      </c>
      <c r="B7383" t="str">
        <f>"19:05:55.086"</f>
        <v>19:05:55.086</v>
      </c>
      <c r="C7383" t="str">
        <f>"19:05:54.886"</f>
        <v>19:05:54.886</v>
      </c>
      <c r="D7383" t="s">
        <v>2991</v>
      </c>
      <c r="E7383">
        <v>30.390608</v>
      </c>
      <c r="F7383" t="s">
        <v>2992</v>
      </c>
      <c r="G7383">
        <v>-89.805807999999999</v>
      </c>
      <c r="H7383">
        <v>1300</v>
      </c>
      <c r="I7383">
        <v>-27</v>
      </c>
      <c r="J7383">
        <v>120</v>
      </c>
      <c r="K7383">
        <v>384</v>
      </c>
      <c r="L7383">
        <v>1200</v>
      </c>
      <c r="M7383" t="str">
        <f t="shared" si="755"/>
        <v xml:space="preserve">N35DC   </v>
      </c>
      <c r="N7383">
        <v>1</v>
      </c>
      <c r="O7383">
        <v>1350</v>
      </c>
    </row>
    <row r="7384" spans="1:15" x14ac:dyDescent="0.25">
      <c r="A7384" t="str">
        <f>"10/21/2020 19:05:47.121"</f>
        <v>10/21/2020 19:05:47.121</v>
      </c>
      <c r="B7384" t="str">
        <f>"19:05:55.086"</f>
        <v>19:05:55.086</v>
      </c>
      <c r="C7384" t="str">
        <f>"19:05:54.886"</f>
        <v>19:05:54.886</v>
      </c>
      <c r="D7384" t="s">
        <v>2991</v>
      </c>
      <c r="E7384">
        <v>30.390608</v>
      </c>
      <c r="F7384" t="s">
        <v>2992</v>
      </c>
      <c r="G7384">
        <v>-89.805807999999999</v>
      </c>
      <c r="H7384">
        <v>1300</v>
      </c>
      <c r="I7384">
        <v>-27</v>
      </c>
      <c r="J7384">
        <v>120</v>
      </c>
      <c r="K7384">
        <v>384</v>
      </c>
      <c r="L7384">
        <v>1200</v>
      </c>
      <c r="M7384" t="str">
        <f t="shared" si="755"/>
        <v xml:space="preserve">N35DC   </v>
      </c>
      <c r="N7384">
        <v>1</v>
      </c>
      <c r="O7384">
        <v>1350</v>
      </c>
    </row>
    <row r="7385" spans="1:15" x14ac:dyDescent="0.25">
      <c r="A7385" t="str">
        <f>"10/21/2020 19:05:50.203"</f>
        <v>10/21/2020 19:05:50.203</v>
      </c>
      <c r="B7385" t="str">
        <f t="shared" ref="B7385:C7389" si="756">"19:05:58.156"</f>
        <v>19:05:58.156</v>
      </c>
      <c r="C7385" t="str">
        <f t="shared" si="756"/>
        <v>19:05:58.156</v>
      </c>
      <c r="D7385" t="s">
        <v>2993</v>
      </c>
      <c r="E7385">
        <v>30.392346</v>
      </c>
      <c r="F7385" t="s">
        <v>2994</v>
      </c>
      <c r="G7385">
        <v>-89.806236999999996</v>
      </c>
      <c r="H7385">
        <v>1300</v>
      </c>
      <c r="I7385">
        <v>-19</v>
      </c>
      <c r="J7385">
        <v>123</v>
      </c>
      <c r="K7385">
        <v>832</v>
      </c>
      <c r="L7385">
        <v>1200</v>
      </c>
      <c r="M7385" t="str">
        <f t="shared" si="755"/>
        <v xml:space="preserve">N35DC   </v>
      </c>
      <c r="N7385">
        <v>1</v>
      </c>
      <c r="O7385">
        <v>1400</v>
      </c>
    </row>
    <row r="7386" spans="1:15" x14ac:dyDescent="0.25">
      <c r="A7386" t="str">
        <f>"10/21/2020 19:05:50.203"</f>
        <v>10/21/2020 19:05:50.203</v>
      </c>
      <c r="B7386" t="str">
        <f t="shared" si="756"/>
        <v>19:05:58.156</v>
      </c>
      <c r="C7386" t="str">
        <f t="shared" si="756"/>
        <v>19:05:58.156</v>
      </c>
      <c r="D7386" t="s">
        <v>2993</v>
      </c>
      <c r="E7386">
        <v>30.392346</v>
      </c>
      <c r="F7386" t="s">
        <v>2994</v>
      </c>
      <c r="G7386">
        <v>-89.806236999999996</v>
      </c>
      <c r="H7386">
        <v>1300</v>
      </c>
      <c r="I7386">
        <v>-19</v>
      </c>
      <c r="J7386">
        <v>123</v>
      </c>
      <c r="K7386">
        <v>832</v>
      </c>
      <c r="L7386">
        <v>1200</v>
      </c>
      <c r="M7386" t="str">
        <f t="shared" si="755"/>
        <v xml:space="preserve">N35DC   </v>
      </c>
      <c r="N7386">
        <v>1</v>
      </c>
      <c r="O7386">
        <v>1400</v>
      </c>
    </row>
    <row r="7387" spans="1:15" x14ac:dyDescent="0.25">
      <c r="A7387" t="str">
        <f>"10/21/2020 19:05:50.203"</f>
        <v>10/21/2020 19:05:50.203</v>
      </c>
      <c r="B7387" t="str">
        <f t="shared" si="756"/>
        <v>19:05:58.156</v>
      </c>
      <c r="C7387" t="str">
        <f t="shared" si="756"/>
        <v>19:05:58.156</v>
      </c>
      <c r="D7387" t="s">
        <v>2993</v>
      </c>
      <c r="E7387">
        <v>30.392346</v>
      </c>
      <c r="F7387" t="s">
        <v>2994</v>
      </c>
      <c r="G7387">
        <v>-89.806236999999996</v>
      </c>
      <c r="H7387">
        <v>1300</v>
      </c>
      <c r="I7387">
        <v>-19</v>
      </c>
      <c r="J7387">
        <v>123</v>
      </c>
      <c r="K7387">
        <v>832</v>
      </c>
      <c r="L7387">
        <v>1200</v>
      </c>
      <c r="M7387" t="str">
        <f t="shared" si="755"/>
        <v xml:space="preserve">N35DC   </v>
      </c>
      <c r="N7387">
        <v>1</v>
      </c>
      <c r="O7387">
        <v>1400</v>
      </c>
    </row>
    <row r="7388" spans="1:15" x14ac:dyDescent="0.25">
      <c r="A7388" t="str">
        <f>"10/21/2020 19:05:50.203"</f>
        <v>10/21/2020 19:05:50.203</v>
      </c>
      <c r="B7388" t="str">
        <f t="shared" si="756"/>
        <v>19:05:58.156</v>
      </c>
      <c r="C7388" t="str">
        <f t="shared" si="756"/>
        <v>19:05:58.156</v>
      </c>
      <c r="D7388" t="s">
        <v>2993</v>
      </c>
      <c r="E7388">
        <v>30.392346</v>
      </c>
      <c r="F7388" t="s">
        <v>2994</v>
      </c>
      <c r="G7388">
        <v>-89.806236999999996</v>
      </c>
      <c r="H7388">
        <v>1300</v>
      </c>
      <c r="I7388">
        <v>-19</v>
      </c>
      <c r="J7388">
        <v>123</v>
      </c>
      <c r="K7388">
        <v>832</v>
      </c>
      <c r="L7388">
        <v>1200</v>
      </c>
      <c r="M7388" t="str">
        <f t="shared" si="755"/>
        <v xml:space="preserve">N35DC   </v>
      </c>
      <c r="N7388">
        <v>1</v>
      </c>
      <c r="O7388">
        <v>1400</v>
      </c>
    </row>
    <row r="7389" spans="1:15" x14ac:dyDescent="0.25">
      <c r="A7389" t="str">
        <f>"10/21/2020 19:05:50.203"</f>
        <v>10/21/2020 19:05:50.203</v>
      </c>
      <c r="B7389" t="str">
        <f t="shared" si="756"/>
        <v>19:05:58.156</v>
      </c>
      <c r="C7389" t="str">
        <f t="shared" si="756"/>
        <v>19:05:58.156</v>
      </c>
      <c r="D7389" t="s">
        <v>2993</v>
      </c>
      <c r="E7389">
        <v>30.392346</v>
      </c>
      <c r="F7389" t="s">
        <v>2994</v>
      </c>
      <c r="G7389">
        <v>-89.806236999999996</v>
      </c>
      <c r="H7389">
        <v>1300</v>
      </c>
      <c r="I7389">
        <v>-19</v>
      </c>
      <c r="J7389">
        <v>123</v>
      </c>
      <c r="K7389">
        <v>832</v>
      </c>
      <c r="L7389">
        <v>1200</v>
      </c>
      <c r="M7389" t="str">
        <f t="shared" si="755"/>
        <v xml:space="preserve">N35DC   </v>
      </c>
      <c r="N7389">
        <v>1</v>
      </c>
      <c r="O7389">
        <v>1400</v>
      </c>
    </row>
    <row r="7390" spans="1:15" x14ac:dyDescent="0.25">
      <c r="A7390" t="str">
        <f>"10/21/2020 19:05:52.205"</f>
        <v>10/21/2020 19:05:52.205</v>
      </c>
      <c r="B7390" t="str">
        <f>"19:06:00.141"</f>
        <v>19:06:00.141</v>
      </c>
      <c r="C7390" t="str">
        <f>"19:05:59.741"</f>
        <v>19:05:59.741</v>
      </c>
      <c r="D7390" t="s">
        <v>2995</v>
      </c>
      <c r="E7390">
        <v>30.393484000000001</v>
      </c>
      <c r="F7390" t="s">
        <v>2715</v>
      </c>
      <c r="G7390">
        <v>-89.806344999999993</v>
      </c>
      <c r="H7390">
        <v>1400</v>
      </c>
      <c r="I7390">
        <v>-15</v>
      </c>
      <c r="J7390">
        <v>123</v>
      </c>
      <c r="K7390">
        <v>960</v>
      </c>
      <c r="L7390">
        <v>1200</v>
      </c>
      <c r="M7390" t="str">
        <f t="shared" si="755"/>
        <v xml:space="preserve">N35DC   </v>
      </c>
      <c r="N7390">
        <v>1</v>
      </c>
      <c r="O7390">
        <v>1425</v>
      </c>
    </row>
    <row r="7391" spans="1:15" x14ac:dyDescent="0.25">
      <c r="A7391" t="str">
        <f>"10/21/2020 19:05:52.205"</f>
        <v>10/21/2020 19:05:52.205</v>
      </c>
      <c r="B7391" t="str">
        <f>"19:06:00.141"</f>
        <v>19:06:00.141</v>
      </c>
      <c r="C7391" t="str">
        <f>"19:05:59.741"</f>
        <v>19:05:59.741</v>
      </c>
      <c r="D7391" t="s">
        <v>2995</v>
      </c>
      <c r="E7391">
        <v>30.393484000000001</v>
      </c>
      <c r="F7391" t="s">
        <v>2715</v>
      </c>
      <c r="G7391">
        <v>-89.806344999999993</v>
      </c>
      <c r="H7391">
        <v>1400</v>
      </c>
      <c r="I7391">
        <v>-15</v>
      </c>
      <c r="J7391">
        <v>123</v>
      </c>
      <c r="K7391">
        <v>960</v>
      </c>
      <c r="L7391">
        <v>1200</v>
      </c>
      <c r="M7391" t="str">
        <f t="shared" si="755"/>
        <v xml:space="preserve">N35DC   </v>
      </c>
      <c r="N7391">
        <v>1</v>
      </c>
      <c r="O7391">
        <v>1425</v>
      </c>
    </row>
    <row r="7392" spans="1:15" x14ac:dyDescent="0.25">
      <c r="A7392" t="str">
        <f>"10/21/2020 19:05:52.205"</f>
        <v>10/21/2020 19:05:52.205</v>
      </c>
      <c r="B7392" t="str">
        <f>"19:06:00.141"</f>
        <v>19:06:00.141</v>
      </c>
      <c r="C7392" t="str">
        <f>"19:05:59.741"</f>
        <v>19:05:59.741</v>
      </c>
      <c r="D7392" t="s">
        <v>2995</v>
      </c>
      <c r="E7392">
        <v>30.393484000000001</v>
      </c>
      <c r="F7392" t="s">
        <v>2715</v>
      </c>
      <c r="G7392">
        <v>-89.806344999999993</v>
      </c>
      <c r="H7392">
        <v>1400</v>
      </c>
      <c r="I7392">
        <v>-15</v>
      </c>
      <c r="J7392">
        <v>123</v>
      </c>
      <c r="K7392">
        <v>960</v>
      </c>
      <c r="L7392">
        <v>1200</v>
      </c>
      <c r="M7392" t="str">
        <f t="shared" si="755"/>
        <v xml:space="preserve">N35DC   </v>
      </c>
      <c r="N7392">
        <v>1</v>
      </c>
      <c r="O7392">
        <v>1425</v>
      </c>
    </row>
    <row r="7393" spans="1:15" x14ac:dyDescent="0.25">
      <c r="A7393" t="str">
        <f>"10/21/2020 19:05:52.205"</f>
        <v>10/21/2020 19:05:52.205</v>
      </c>
      <c r="B7393" t="str">
        <f>"19:06:00.141"</f>
        <v>19:06:00.141</v>
      </c>
      <c r="C7393" t="str">
        <f>"19:05:59.741"</f>
        <v>19:05:59.741</v>
      </c>
      <c r="D7393" t="s">
        <v>2995</v>
      </c>
      <c r="E7393">
        <v>30.393484000000001</v>
      </c>
      <c r="F7393" t="s">
        <v>2715</v>
      </c>
      <c r="G7393">
        <v>-89.806344999999993</v>
      </c>
      <c r="H7393">
        <v>1400</v>
      </c>
      <c r="I7393">
        <v>-15</v>
      </c>
      <c r="J7393">
        <v>123</v>
      </c>
      <c r="K7393">
        <v>960</v>
      </c>
      <c r="L7393">
        <v>1200</v>
      </c>
      <c r="M7393" t="str">
        <f t="shared" si="755"/>
        <v xml:space="preserve">N35DC   </v>
      </c>
      <c r="N7393">
        <v>1</v>
      </c>
      <c r="O7393">
        <v>1425</v>
      </c>
    </row>
    <row r="7394" spans="1:15" x14ac:dyDescent="0.25">
      <c r="A7394" t="str">
        <f>"10/21/2020 19:05:52.205"</f>
        <v>10/21/2020 19:05:52.205</v>
      </c>
      <c r="B7394" t="str">
        <f>"19:06:00.141"</f>
        <v>19:06:00.141</v>
      </c>
      <c r="C7394" t="str">
        <f>"19:05:59.741"</f>
        <v>19:05:59.741</v>
      </c>
      <c r="D7394" t="s">
        <v>2995</v>
      </c>
      <c r="E7394">
        <v>30.393484000000001</v>
      </c>
      <c r="F7394" t="s">
        <v>2715</v>
      </c>
      <c r="G7394">
        <v>-89.806344999999993</v>
      </c>
      <c r="H7394">
        <v>1400</v>
      </c>
      <c r="I7394">
        <v>-15</v>
      </c>
      <c r="J7394">
        <v>123</v>
      </c>
      <c r="K7394">
        <v>960</v>
      </c>
      <c r="L7394">
        <v>1200</v>
      </c>
      <c r="M7394" t="str">
        <f t="shared" si="755"/>
        <v xml:space="preserve">N35DC   </v>
      </c>
      <c r="N7394">
        <v>1</v>
      </c>
      <c r="O7394">
        <v>1425</v>
      </c>
    </row>
    <row r="7395" spans="1:15" x14ac:dyDescent="0.25">
      <c r="A7395" t="str">
        <f>"10/21/2020 19:05:55.084"</f>
        <v>10/21/2020 19:05:55.084</v>
      </c>
      <c r="B7395" t="str">
        <f>"19:06:03.047"</f>
        <v>19:06:03.047</v>
      </c>
      <c r="C7395" t="str">
        <f>"19:06:02.647"</f>
        <v>19:06:02.647</v>
      </c>
      <c r="D7395" t="s">
        <v>2996</v>
      </c>
      <c r="E7395">
        <v>30.395114</v>
      </c>
      <c r="F7395" t="s">
        <v>2997</v>
      </c>
      <c r="G7395">
        <v>-89.806538000000003</v>
      </c>
      <c r="H7395">
        <v>1400</v>
      </c>
      <c r="I7395">
        <v>-7</v>
      </c>
      <c r="J7395">
        <v>122</v>
      </c>
      <c r="K7395">
        <v>1280</v>
      </c>
      <c r="L7395">
        <v>1200</v>
      </c>
      <c r="M7395" t="str">
        <f t="shared" si="755"/>
        <v xml:space="preserve">N35DC   </v>
      </c>
      <c r="N7395">
        <v>1</v>
      </c>
      <c r="O7395">
        <v>1475</v>
      </c>
    </row>
    <row r="7396" spans="1:15" x14ac:dyDescent="0.25">
      <c r="A7396" t="str">
        <f>"10/21/2020 19:05:55.084"</f>
        <v>10/21/2020 19:05:55.084</v>
      </c>
      <c r="B7396" t="str">
        <f>"19:06:03.047"</f>
        <v>19:06:03.047</v>
      </c>
      <c r="C7396" t="str">
        <f>"19:06:02.647"</f>
        <v>19:06:02.647</v>
      </c>
      <c r="D7396" t="s">
        <v>2996</v>
      </c>
      <c r="E7396">
        <v>30.395114</v>
      </c>
      <c r="F7396" t="s">
        <v>2997</v>
      </c>
      <c r="G7396">
        <v>-89.806538000000003</v>
      </c>
      <c r="H7396">
        <v>1400</v>
      </c>
      <c r="I7396">
        <v>-7</v>
      </c>
      <c r="J7396">
        <v>122</v>
      </c>
      <c r="K7396">
        <v>1280</v>
      </c>
      <c r="L7396">
        <v>1200</v>
      </c>
      <c r="M7396" t="str">
        <f t="shared" si="755"/>
        <v xml:space="preserve">N35DC   </v>
      </c>
      <c r="N7396">
        <v>1</v>
      </c>
      <c r="O7396">
        <v>1475</v>
      </c>
    </row>
    <row r="7397" spans="1:15" x14ac:dyDescent="0.25">
      <c r="A7397" t="str">
        <f>"10/21/2020 19:05:55.084"</f>
        <v>10/21/2020 19:05:55.084</v>
      </c>
      <c r="B7397" t="str">
        <f>"19:06:03.047"</f>
        <v>19:06:03.047</v>
      </c>
      <c r="C7397" t="str">
        <f>"19:06:02.647"</f>
        <v>19:06:02.647</v>
      </c>
      <c r="D7397" t="s">
        <v>2996</v>
      </c>
      <c r="E7397">
        <v>30.395114</v>
      </c>
      <c r="F7397" t="s">
        <v>2997</v>
      </c>
      <c r="G7397">
        <v>-89.806538000000003</v>
      </c>
      <c r="H7397">
        <v>1400</v>
      </c>
      <c r="I7397">
        <v>-7</v>
      </c>
      <c r="J7397">
        <v>122</v>
      </c>
      <c r="K7397">
        <v>1280</v>
      </c>
      <c r="L7397">
        <v>1200</v>
      </c>
      <c r="M7397" t="str">
        <f t="shared" si="755"/>
        <v xml:space="preserve">N35DC   </v>
      </c>
      <c r="N7397">
        <v>1</v>
      </c>
      <c r="O7397">
        <v>1475</v>
      </c>
    </row>
    <row r="7398" spans="1:15" x14ac:dyDescent="0.25">
      <c r="A7398" t="str">
        <f>"10/21/2020 19:05:55.084"</f>
        <v>10/21/2020 19:05:55.084</v>
      </c>
      <c r="B7398" t="str">
        <f>"19:06:03.047"</f>
        <v>19:06:03.047</v>
      </c>
      <c r="C7398" t="str">
        <f>"19:06:02.647"</f>
        <v>19:06:02.647</v>
      </c>
      <c r="D7398" t="s">
        <v>2996</v>
      </c>
      <c r="E7398">
        <v>30.395114</v>
      </c>
      <c r="F7398" t="s">
        <v>2997</v>
      </c>
      <c r="G7398">
        <v>-89.806538000000003</v>
      </c>
      <c r="H7398">
        <v>1400</v>
      </c>
      <c r="I7398">
        <v>-7</v>
      </c>
      <c r="J7398">
        <v>122</v>
      </c>
      <c r="K7398">
        <v>1280</v>
      </c>
      <c r="L7398">
        <v>1200</v>
      </c>
      <c r="M7398" t="str">
        <f t="shared" si="755"/>
        <v xml:space="preserve">N35DC   </v>
      </c>
      <c r="N7398">
        <v>1</v>
      </c>
      <c r="O7398">
        <v>1475</v>
      </c>
    </row>
    <row r="7399" spans="1:15" x14ac:dyDescent="0.25">
      <c r="A7399" t="str">
        <f>"10/21/2020 19:05:55.084"</f>
        <v>10/21/2020 19:05:55.084</v>
      </c>
      <c r="B7399" t="str">
        <f>"19:06:03.047"</f>
        <v>19:06:03.047</v>
      </c>
      <c r="C7399" t="str">
        <f>"19:06:02.647"</f>
        <v>19:06:02.647</v>
      </c>
      <c r="D7399" t="s">
        <v>2996</v>
      </c>
      <c r="E7399">
        <v>30.395114</v>
      </c>
      <c r="F7399" t="s">
        <v>2997</v>
      </c>
      <c r="G7399">
        <v>-89.806538000000003</v>
      </c>
      <c r="H7399">
        <v>1400</v>
      </c>
      <c r="I7399">
        <v>-7</v>
      </c>
      <c r="J7399">
        <v>122</v>
      </c>
      <c r="K7399">
        <v>1280</v>
      </c>
      <c r="L7399">
        <v>1200</v>
      </c>
      <c r="M7399" t="str">
        <f t="shared" si="755"/>
        <v xml:space="preserve">N35DC   </v>
      </c>
      <c r="N7399">
        <v>1</v>
      </c>
      <c r="O7399">
        <v>1475</v>
      </c>
    </row>
    <row r="7400" spans="1:15" x14ac:dyDescent="0.25">
      <c r="A7400" t="str">
        <f>"10/21/2020 19:05:56.131"</f>
        <v>10/21/2020 19:05:56.131</v>
      </c>
      <c r="B7400" t="str">
        <f t="shared" ref="B7400:C7404" si="757">"19:06:04.094"</f>
        <v>19:06:04.094</v>
      </c>
      <c r="C7400" t="str">
        <f t="shared" si="757"/>
        <v>19:06:04.094</v>
      </c>
      <c r="D7400" t="s">
        <v>2998</v>
      </c>
      <c r="E7400">
        <v>30.395737</v>
      </c>
      <c r="F7400" t="s">
        <v>2999</v>
      </c>
      <c r="G7400">
        <v>-89.806494999999998</v>
      </c>
      <c r="H7400">
        <v>1400</v>
      </c>
      <c r="I7400">
        <v>-4</v>
      </c>
      <c r="J7400">
        <v>121</v>
      </c>
      <c r="K7400">
        <v>1280</v>
      </c>
      <c r="L7400">
        <v>1200</v>
      </c>
      <c r="M7400" t="str">
        <f t="shared" si="755"/>
        <v xml:space="preserve">N35DC   </v>
      </c>
      <c r="N7400">
        <v>1</v>
      </c>
      <c r="O7400">
        <v>1500</v>
      </c>
    </row>
    <row r="7401" spans="1:15" x14ac:dyDescent="0.25">
      <c r="A7401" t="str">
        <f>"10/21/2020 19:05:56.131"</f>
        <v>10/21/2020 19:05:56.131</v>
      </c>
      <c r="B7401" t="str">
        <f t="shared" si="757"/>
        <v>19:06:04.094</v>
      </c>
      <c r="C7401" t="str">
        <f t="shared" si="757"/>
        <v>19:06:04.094</v>
      </c>
      <c r="D7401" t="s">
        <v>2998</v>
      </c>
      <c r="E7401">
        <v>30.395737</v>
      </c>
      <c r="F7401" t="s">
        <v>2999</v>
      </c>
      <c r="G7401">
        <v>-89.806494999999998</v>
      </c>
      <c r="H7401">
        <v>1400</v>
      </c>
      <c r="I7401">
        <v>-4</v>
      </c>
      <c r="J7401">
        <v>121</v>
      </c>
      <c r="K7401">
        <v>1280</v>
      </c>
      <c r="L7401">
        <v>1200</v>
      </c>
      <c r="M7401" t="str">
        <f t="shared" si="755"/>
        <v xml:space="preserve">N35DC   </v>
      </c>
      <c r="N7401">
        <v>1</v>
      </c>
      <c r="O7401">
        <v>1500</v>
      </c>
    </row>
    <row r="7402" spans="1:15" x14ac:dyDescent="0.25">
      <c r="A7402" t="str">
        <f>"10/21/2020 19:05:56.131"</f>
        <v>10/21/2020 19:05:56.131</v>
      </c>
      <c r="B7402" t="str">
        <f t="shared" si="757"/>
        <v>19:06:04.094</v>
      </c>
      <c r="C7402" t="str">
        <f t="shared" si="757"/>
        <v>19:06:04.094</v>
      </c>
      <c r="D7402" t="s">
        <v>2998</v>
      </c>
      <c r="E7402">
        <v>30.395737</v>
      </c>
      <c r="F7402" t="s">
        <v>2999</v>
      </c>
      <c r="G7402">
        <v>-89.806494999999998</v>
      </c>
      <c r="H7402">
        <v>1400</v>
      </c>
      <c r="I7402">
        <v>-4</v>
      </c>
      <c r="J7402">
        <v>121</v>
      </c>
      <c r="K7402">
        <v>1280</v>
      </c>
      <c r="L7402">
        <v>1200</v>
      </c>
      <c r="M7402" t="str">
        <f t="shared" si="755"/>
        <v xml:space="preserve">N35DC   </v>
      </c>
      <c r="N7402">
        <v>1</v>
      </c>
      <c r="O7402">
        <v>1500</v>
      </c>
    </row>
    <row r="7403" spans="1:15" x14ac:dyDescent="0.25">
      <c r="A7403" t="str">
        <f>"10/21/2020 19:05:56.131"</f>
        <v>10/21/2020 19:05:56.131</v>
      </c>
      <c r="B7403" t="str">
        <f t="shared" si="757"/>
        <v>19:06:04.094</v>
      </c>
      <c r="C7403" t="str">
        <f t="shared" si="757"/>
        <v>19:06:04.094</v>
      </c>
      <c r="D7403" t="s">
        <v>2998</v>
      </c>
      <c r="E7403">
        <v>30.395737</v>
      </c>
      <c r="F7403" t="s">
        <v>2999</v>
      </c>
      <c r="G7403">
        <v>-89.806494999999998</v>
      </c>
      <c r="H7403">
        <v>1400</v>
      </c>
      <c r="I7403">
        <v>-4</v>
      </c>
      <c r="J7403">
        <v>121</v>
      </c>
      <c r="K7403">
        <v>1280</v>
      </c>
      <c r="L7403">
        <v>1200</v>
      </c>
      <c r="M7403" t="str">
        <f t="shared" si="755"/>
        <v xml:space="preserve">N35DC   </v>
      </c>
      <c r="N7403">
        <v>1</v>
      </c>
      <c r="O7403">
        <v>1500</v>
      </c>
    </row>
    <row r="7404" spans="1:15" x14ac:dyDescent="0.25">
      <c r="A7404" t="str">
        <f>"10/21/2020 19:05:56.131"</f>
        <v>10/21/2020 19:05:56.131</v>
      </c>
      <c r="B7404" t="str">
        <f t="shared" si="757"/>
        <v>19:06:04.094</v>
      </c>
      <c r="C7404" t="str">
        <f t="shared" si="757"/>
        <v>19:06:04.094</v>
      </c>
      <c r="D7404" t="s">
        <v>2998</v>
      </c>
      <c r="E7404">
        <v>30.395737</v>
      </c>
      <c r="F7404" t="s">
        <v>2999</v>
      </c>
      <c r="G7404">
        <v>-89.806494999999998</v>
      </c>
      <c r="H7404">
        <v>1400</v>
      </c>
      <c r="I7404">
        <v>-4</v>
      </c>
      <c r="J7404">
        <v>121</v>
      </c>
      <c r="K7404">
        <v>1280</v>
      </c>
      <c r="L7404">
        <v>1200</v>
      </c>
      <c r="M7404" t="str">
        <f t="shared" si="755"/>
        <v xml:space="preserve">N35DC   </v>
      </c>
      <c r="N7404">
        <v>1</v>
      </c>
      <c r="O7404">
        <v>1500</v>
      </c>
    </row>
    <row r="7405" spans="1:15" x14ac:dyDescent="0.25">
      <c r="A7405" t="str">
        <f>"10/21/2020 19:05:59.215"</f>
        <v>10/21/2020 19:05:59.215</v>
      </c>
      <c r="B7405" t="str">
        <f>"19:06:07.172"</f>
        <v>19:06:07.172</v>
      </c>
      <c r="C7405" t="str">
        <f>"19:06:06.672"</f>
        <v>19:06:06.672</v>
      </c>
      <c r="D7405" t="s">
        <v>3000</v>
      </c>
      <c r="E7405">
        <v>30.397410000000001</v>
      </c>
      <c r="F7405" t="s">
        <v>2997</v>
      </c>
      <c r="G7405">
        <v>-89.806538000000003</v>
      </c>
      <c r="H7405">
        <v>1500</v>
      </c>
      <c r="I7405">
        <v>-1</v>
      </c>
      <c r="J7405">
        <v>119</v>
      </c>
      <c r="K7405">
        <v>1216</v>
      </c>
      <c r="L7405">
        <v>1200</v>
      </c>
      <c r="M7405" t="str">
        <f t="shared" si="755"/>
        <v xml:space="preserve">N35DC   </v>
      </c>
      <c r="N7405">
        <v>1</v>
      </c>
      <c r="O7405">
        <v>1550</v>
      </c>
    </row>
    <row r="7406" spans="1:15" x14ac:dyDescent="0.25">
      <c r="A7406" t="str">
        <f>"10/21/2020 19:05:59.215"</f>
        <v>10/21/2020 19:05:59.215</v>
      </c>
      <c r="B7406" t="str">
        <f>"19:06:07.172"</f>
        <v>19:06:07.172</v>
      </c>
      <c r="C7406" t="str">
        <f>"19:06:06.672"</f>
        <v>19:06:06.672</v>
      </c>
      <c r="D7406" t="s">
        <v>3000</v>
      </c>
      <c r="E7406">
        <v>30.397410000000001</v>
      </c>
      <c r="F7406" t="s">
        <v>2997</v>
      </c>
      <c r="G7406">
        <v>-89.806538000000003</v>
      </c>
      <c r="H7406">
        <v>1500</v>
      </c>
      <c r="I7406">
        <v>-1</v>
      </c>
      <c r="J7406">
        <v>119</v>
      </c>
      <c r="K7406">
        <v>1216</v>
      </c>
      <c r="L7406">
        <v>1200</v>
      </c>
      <c r="M7406" t="str">
        <f t="shared" si="755"/>
        <v xml:space="preserve">N35DC   </v>
      </c>
      <c r="N7406">
        <v>1</v>
      </c>
      <c r="O7406">
        <v>1550</v>
      </c>
    </row>
    <row r="7407" spans="1:15" x14ac:dyDescent="0.25">
      <c r="A7407" t="str">
        <f>"10/21/2020 19:05:59.215"</f>
        <v>10/21/2020 19:05:59.215</v>
      </c>
      <c r="B7407" t="str">
        <f>"19:06:07.172"</f>
        <v>19:06:07.172</v>
      </c>
      <c r="C7407" t="str">
        <f>"19:06:06.672"</f>
        <v>19:06:06.672</v>
      </c>
      <c r="D7407" t="s">
        <v>3000</v>
      </c>
      <c r="E7407">
        <v>30.397410000000001</v>
      </c>
      <c r="F7407" t="s">
        <v>2997</v>
      </c>
      <c r="G7407">
        <v>-89.806538000000003</v>
      </c>
      <c r="H7407">
        <v>1500</v>
      </c>
      <c r="I7407">
        <v>-1</v>
      </c>
      <c r="J7407">
        <v>119</v>
      </c>
      <c r="K7407">
        <v>1216</v>
      </c>
      <c r="L7407">
        <v>1200</v>
      </c>
      <c r="M7407" t="str">
        <f t="shared" si="755"/>
        <v xml:space="preserve">N35DC   </v>
      </c>
      <c r="N7407">
        <v>1</v>
      </c>
      <c r="O7407">
        <v>1550</v>
      </c>
    </row>
    <row r="7408" spans="1:15" x14ac:dyDescent="0.25">
      <c r="A7408" t="str">
        <f>"10/21/2020 19:05:59.215"</f>
        <v>10/21/2020 19:05:59.215</v>
      </c>
      <c r="B7408" t="str">
        <f>"19:06:07.172"</f>
        <v>19:06:07.172</v>
      </c>
      <c r="C7408" t="str">
        <f>"19:06:06.672"</f>
        <v>19:06:06.672</v>
      </c>
      <c r="D7408" t="s">
        <v>3000</v>
      </c>
      <c r="E7408">
        <v>30.397410000000001</v>
      </c>
      <c r="F7408" t="s">
        <v>2997</v>
      </c>
      <c r="G7408">
        <v>-89.806538000000003</v>
      </c>
      <c r="H7408">
        <v>1500</v>
      </c>
      <c r="I7408">
        <v>-1</v>
      </c>
      <c r="J7408">
        <v>119</v>
      </c>
      <c r="K7408">
        <v>1216</v>
      </c>
      <c r="L7408">
        <v>1200</v>
      </c>
      <c r="M7408" t="str">
        <f t="shared" si="755"/>
        <v xml:space="preserve">N35DC   </v>
      </c>
      <c r="N7408">
        <v>1</v>
      </c>
      <c r="O7408">
        <v>1550</v>
      </c>
    </row>
    <row r="7409" spans="1:15" x14ac:dyDescent="0.25">
      <c r="A7409" t="str">
        <f>"10/21/2020 19:05:59.215"</f>
        <v>10/21/2020 19:05:59.215</v>
      </c>
      <c r="B7409" t="str">
        <f>"19:06:07.172"</f>
        <v>19:06:07.172</v>
      </c>
      <c r="C7409" t="str">
        <f>"19:06:06.672"</f>
        <v>19:06:06.672</v>
      </c>
      <c r="D7409" t="s">
        <v>3000</v>
      </c>
      <c r="E7409">
        <v>30.397410000000001</v>
      </c>
      <c r="F7409" t="s">
        <v>2997</v>
      </c>
      <c r="G7409">
        <v>-89.806538000000003</v>
      </c>
      <c r="H7409">
        <v>1500</v>
      </c>
      <c r="I7409">
        <v>-1</v>
      </c>
      <c r="J7409">
        <v>119</v>
      </c>
      <c r="K7409">
        <v>1216</v>
      </c>
      <c r="L7409">
        <v>1200</v>
      </c>
      <c r="M7409" t="str">
        <f t="shared" si="755"/>
        <v xml:space="preserve">N35DC   </v>
      </c>
      <c r="N7409">
        <v>1</v>
      </c>
      <c r="O7409">
        <v>1550</v>
      </c>
    </row>
    <row r="7410" spans="1:15" x14ac:dyDescent="0.25">
      <c r="A7410" t="str">
        <f>"10/21/2020 19:06:00.188"</f>
        <v>10/21/2020 19:06:00.188</v>
      </c>
      <c r="B7410" t="str">
        <f>"19:06:08.148"</f>
        <v>19:06:08.148</v>
      </c>
      <c r="C7410" t="str">
        <f>"19:06:07.748"</f>
        <v>19:06:07.748</v>
      </c>
      <c r="D7410" t="s">
        <v>3001</v>
      </c>
      <c r="E7410">
        <v>30.39799</v>
      </c>
      <c r="F7410" t="s">
        <v>3002</v>
      </c>
      <c r="G7410">
        <v>-89.806558999999993</v>
      </c>
      <c r="H7410">
        <v>1500</v>
      </c>
      <c r="I7410">
        <v>-2</v>
      </c>
      <c r="J7410">
        <v>119</v>
      </c>
      <c r="K7410">
        <v>1216</v>
      </c>
      <c r="L7410">
        <v>1200</v>
      </c>
      <c r="M7410" t="str">
        <f t="shared" si="755"/>
        <v xml:space="preserve">N35DC   </v>
      </c>
      <c r="N7410">
        <v>1</v>
      </c>
      <c r="O7410">
        <v>1575</v>
      </c>
    </row>
    <row r="7411" spans="1:15" x14ac:dyDescent="0.25">
      <c r="A7411" t="str">
        <f>"10/21/2020 19:06:00.188"</f>
        <v>10/21/2020 19:06:00.188</v>
      </c>
      <c r="B7411" t="str">
        <f>"19:06:08.148"</f>
        <v>19:06:08.148</v>
      </c>
      <c r="C7411" t="str">
        <f>"19:06:07.748"</f>
        <v>19:06:07.748</v>
      </c>
      <c r="D7411" t="s">
        <v>3001</v>
      </c>
      <c r="E7411">
        <v>30.39799</v>
      </c>
      <c r="F7411" t="s">
        <v>3002</v>
      </c>
      <c r="G7411">
        <v>-89.806558999999993</v>
      </c>
      <c r="H7411">
        <v>1500</v>
      </c>
      <c r="I7411">
        <v>-2</v>
      </c>
      <c r="J7411">
        <v>119</v>
      </c>
      <c r="K7411">
        <v>1216</v>
      </c>
      <c r="L7411">
        <v>1200</v>
      </c>
      <c r="M7411" t="str">
        <f t="shared" si="755"/>
        <v xml:space="preserve">N35DC   </v>
      </c>
      <c r="N7411">
        <v>1</v>
      </c>
      <c r="O7411">
        <v>1575</v>
      </c>
    </row>
    <row r="7412" spans="1:15" x14ac:dyDescent="0.25">
      <c r="A7412" t="str">
        <f>"10/21/2020 19:06:00.188"</f>
        <v>10/21/2020 19:06:00.188</v>
      </c>
      <c r="B7412" t="str">
        <f>"19:06:08.148"</f>
        <v>19:06:08.148</v>
      </c>
      <c r="C7412" t="str">
        <f>"19:06:07.748"</f>
        <v>19:06:07.748</v>
      </c>
      <c r="D7412" t="s">
        <v>3001</v>
      </c>
      <c r="E7412">
        <v>30.39799</v>
      </c>
      <c r="F7412" t="s">
        <v>3002</v>
      </c>
      <c r="G7412">
        <v>-89.806558999999993</v>
      </c>
      <c r="H7412">
        <v>1500</v>
      </c>
      <c r="I7412">
        <v>-2</v>
      </c>
      <c r="J7412">
        <v>119</v>
      </c>
      <c r="K7412">
        <v>1216</v>
      </c>
      <c r="L7412">
        <v>1200</v>
      </c>
      <c r="M7412" t="str">
        <f t="shared" si="755"/>
        <v xml:space="preserve">N35DC   </v>
      </c>
      <c r="N7412">
        <v>1</v>
      </c>
      <c r="O7412">
        <v>1575</v>
      </c>
    </row>
    <row r="7413" spans="1:15" x14ac:dyDescent="0.25">
      <c r="A7413" t="str">
        <f>"10/21/2020 19:06:00.188"</f>
        <v>10/21/2020 19:06:00.188</v>
      </c>
      <c r="B7413" t="str">
        <f>"19:06:08.148"</f>
        <v>19:06:08.148</v>
      </c>
      <c r="C7413" t="str">
        <f>"19:06:07.748"</f>
        <v>19:06:07.748</v>
      </c>
      <c r="D7413" t="s">
        <v>3001</v>
      </c>
      <c r="E7413">
        <v>30.39799</v>
      </c>
      <c r="F7413" t="s">
        <v>3002</v>
      </c>
      <c r="G7413">
        <v>-89.806558999999993</v>
      </c>
      <c r="H7413">
        <v>1500</v>
      </c>
      <c r="I7413">
        <v>-2</v>
      </c>
      <c r="J7413">
        <v>119</v>
      </c>
      <c r="K7413">
        <v>1216</v>
      </c>
      <c r="L7413">
        <v>1200</v>
      </c>
      <c r="M7413" t="str">
        <f t="shared" si="755"/>
        <v xml:space="preserve">N35DC   </v>
      </c>
      <c r="N7413">
        <v>1</v>
      </c>
      <c r="O7413">
        <v>1575</v>
      </c>
    </row>
    <row r="7414" spans="1:15" x14ac:dyDescent="0.25">
      <c r="A7414" t="str">
        <f>"10/21/2020 19:06:00.188"</f>
        <v>10/21/2020 19:06:00.188</v>
      </c>
      <c r="B7414" t="str">
        <f>"19:06:08.148"</f>
        <v>19:06:08.148</v>
      </c>
      <c r="C7414" t="str">
        <f>"19:06:07.748"</f>
        <v>19:06:07.748</v>
      </c>
      <c r="D7414" t="s">
        <v>3001</v>
      </c>
      <c r="E7414">
        <v>30.39799</v>
      </c>
      <c r="F7414" t="s">
        <v>3002</v>
      </c>
      <c r="G7414">
        <v>-89.806558999999993</v>
      </c>
      <c r="H7414">
        <v>1500</v>
      </c>
      <c r="I7414">
        <v>-2</v>
      </c>
      <c r="J7414">
        <v>119</v>
      </c>
      <c r="K7414">
        <v>1216</v>
      </c>
      <c r="L7414">
        <v>1200</v>
      </c>
      <c r="M7414" t="str">
        <f t="shared" si="755"/>
        <v xml:space="preserve">N35DC   </v>
      </c>
      <c r="N7414">
        <v>1</v>
      </c>
      <c r="O7414">
        <v>1575</v>
      </c>
    </row>
    <row r="7415" spans="1:15" x14ac:dyDescent="0.25">
      <c r="A7415" t="str">
        <f>"10/21/2020 19:06:01.220"</f>
        <v>10/21/2020 19:06:01.220</v>
      </c>
      <c r="B7415" t="str">
        <f>"19:06:09.164"</f>
        <v>19:06:09.164</v>
      </c>
      <c r="C7415" t="str">
        <f>"19:06:08.764"</f>
        <v>19:06:08.764</v>
      </c>
      <c r="D7415" t="s">
        <v>3003</v>
      </c>
      <c r="E7415">
        <v>30.398526</v>
      </c>
      <c r="F7415" t="s">
        <v>3004</v>
      </c>
      <c r="G7415">
        <v>-89.806580999999994</v>
      </c>
      <c r="H7415">
        <v>1500</v>
      </c>
      <c r="I7415">
        <v>-2</v>
      </c>
      <c r="J7415">
        <v>118</v>
      </c>
      <c r="K7415">
        <v>1088</v>
      </c>
      <c r="L7415">
        <v>1200</v>
      </c>
      <c r="M7415" t="str">
        <f t="shared" si="755"/>
        <v xml:space="preserve">N35DC   </v>
      </c>
      <c r="N7415">
        <v>1</v>
      </c>
      <c r="O7415">
        <v>1600</v>
      </c>
    </row>
    <row r="7416" spans="1:15" x14ac:dyDescent="0.25">
      <c r="A7416" t="str">
        <f>"10/21/2020 19:06:01.220"</f>
        <v>10/21/2020 19:06:01.220</v>
      </c>
      <c r="B7416" t="str">
        <f>"19:06:09.164"</f>
        <v>19:06:09.164</v>
      </c>
      <c r="C7416" t="str">
        <f>"19:06:08.764"</f>
        <v>19:06:08.764</v>
      </c>
      <c r="D7416" t="s">
        <v>3003</v>
      </c>
      <c r="E7416">
        <v>30.398526</v>
      </c>
      <c r="F7416" t="s">
        <v>3004</v>
      </c>
      <c r="G7416">
        <v>-89.806580999999994</v>
      </c>
      <c r="H7416">
        <v>1500</v>
      </c>
      <c r="I7416">
        <v>-2</v>
      </c>
      <c r="J7416">
        <v>118</v>
      </c>
      <c r="K7416">
        <v>1088</v>
      </c>
      <c r="L7416">
        <v>1200</v>
      </c>
      <c r="M7416" t="str">
        <f t="shared" si="755"/>
        <v xml:space="preserve">N35DC   </v>
      </c>
      <c r="N7416">
        <v>1</v>
      </c>
      <c r="O7416">
        <v>1600</v>
      </c>
    </row>
    <row r="7417" spans="1:15" x14ac:dyDescent="0.25">
      <c r="A7417" t="str">
        <f>"10/21/2020 19:06:01.220"</f>
        <v>10/21/2020 19:06:01.220</v>
      </c>
      <c r="B7417" t="str">
        <f>"19:06:09.164"</f>
        <v>19:06:09.164</v>
      </c>
      <c r="C7417" t="str">
        <f>"19:06:08.764"</f>
        <v>19:06:08.764</v>
      </c>
      <c r="D7417" t="s">
        <v>3003</v>
      </c>
      <c r="E7417">
        <v>30.398526</v>
      </c>
      <c r="F7417" t="s">
        <v>3004</v>
      </c>
      <c r="G7417">
        <v>-89.806580999999994</v>
      </c>
      <c r="H7417">
        <v>1500</v>
      </c>
      <c r="I7417">
        <v>-2</v>
      </c>
      <c r="J7417">
        <v>118</v>
      </c>
      <c r="K7417">
        <v>1088</v>
      </c>
      <c r="L7417">
        <v>1200</v>
      </c>
      <c r="M7417" t="str">
        <f t="shared" si="755"/>
        <v xml:space="preserve">N35DC   </v>
      </c>
      <c r="N7417">
        <v>1</v>
      </c>
      <c r="O7417">
        <v>1600</v>
      </c>
    </row>
    <row r="7418" spans="1:15" x14ac:dyDescent="0.25">
      <c r="A7418" t="str">
        <f>"10/21/2020 19:06:01.220"</f>
        <v>10/21/2020 19:06:01.220</v>
      </c>
      <c r="B7418" t="str">
        <f>"19:06:09.164"</f>
        <v>19:06:09.164</v>
      </c>
      <c r="C7418" t="str">
        <f>"19:06:08.764"</f>
        <v>19:06:08.764</v>
      </c>
      <c r="D7418" t="s">
        <v>3003</v>
      </c>
      <c r="E7418">
        <v>30.398526</v>
      </c>
      <c r="F7418" t="s">
        <v>3004</v>
      </c>
      <c r="G7418">
        <v>-89.806580999999994</v>
      </c>
      <c r="H7418">
        <v>1500</v>
      </c>
      <c r="I7418">
        <v>-2</v>
      </c>
      <c r="J7418">
        <v>118</v>
      </c>
      <c r="K7418">
        <v>1088</v>
      </c>
      <c r="L7418">
        <v>1200</v>
      </c>
      <c r="M7418" t="str">
        <f t="shared" si="755"/>
        <v xml:space="preserve">N35DC   </v>
      </c>
      <c r="N7418">
        <v>1</v>
      </c>
      <c r="O7418">
        <v>1600</v>
      </c>
    </row>
    <row r="7419" spans="1:15" x14ac:dyDescent="0.25">
      <c r="A7419" t="str">
        <f>"10/21/2020 19:06:01.220"</f>
        <v>10/21/2020 19:06:01.220</v>
      </c>
      <c r="B7419" t="str">
        <f>"19:06:09.164"</f>
        <v>19:06:09.164</v>
      </c>
      <c r="C7419" t="str">
        <f>"19:06:08.764"</f>
        <v>19:06:08.764</v>
      </c>
      <c r="D7419" t="s">
        <v>3003</v>
      </c>
      <c r="E7419">
        <v>30.398526</v>
      </c>
      <c r="F7419" t="s">
        <v>3004</v>
      </c>
      <c r="G7419">
        <v>-89.806580999999994</v>
      </c>
      <c r="H7419">
        <v>1500</v>
      </c>
      <c r="I7419">
        <v>-2</v>
      </c>
      <c r="J7419">
        <v>118</v>
      </c>
      <c r="K7419">
        <v>1088</v>
      </c>
      <c r="L7419">
        <v>1200</v>
      </c>
      <c r="M7419" t="str">
        <f t="shared" si="755"/>
        <v xml:space="preserve">N35DC   </v>
      </c>
      <c r="N7419">
        <v>1</v>
      </c>
      <c r="O7419">
        <v>1600</v>
      </c>
    </row>
    <row r="7420" spans="1:15" x14ac:dyDescent="0.25">
      <c r="A7420" t="str">
        <f>"10/21/2020 19:06:04.178"</f>
        <v>10/21/2020 19:06:04.178</v>
      </c>
      <c r="B7420" t="str">
        <f>"19:06:12.117"</f>
        <v>19:06:12.117</v>
      </c>
      <c r="C7420" t="str">
        <f>"19:06:11.817"</f>
        <v>19:06:11.817</v>
      </c>
      <c r="D7420" t="s">
        <v>3005</v>
      </c>
      <c r="E7420">
        <v>30.400136</v>
      </c>
      <c r="F7420" t="s">
        <v>368</v>
      </c>
      <c r="G7420">
        <v>-89.806666000000007</v>
      </c>
      <c r="H7420">
        <v>1600</v>
      </c>
      <c r="I7420">
        <v>-4</v>
      </c>
      <c r="J7420">
        <v>118</v>
      </c>
      <c r="K7420">
        <v>896</v>
      </c>
      <c r="L7420">
        <v>1200</v>
      </c>
      <c r="M7420" t="str">
        <f t="shared" si="755"/>
        <v xml:space="preserve">N35DC   </v>
      </c>
      <c r="N7420">
        <v>1</v>
      </c>
      <c r="O7420">
        <v>1650</v>
      </c>
    </row>
    <row r="7421" spans="1:15" x14ac:dyDescent="0.25">
      <c r="A7421" t="str">
        <f>"10/21/2020 19:06:04.178"</f>
        <v>10/21/2020 19:06:04.178</v>
      </c>
      <c r="B7421" t="str">
        <f>"19:06:12.117"</f>
        <v>19:06:12.117</v>
      </c>
      <c r="C7421" t="str">
        <f>"19:06:11.817"</f>
        <v>19:06:11.817</v>
      </c>
      <c r="D7421" t="s">
        <v>3005</v>
      </c>
      <c r="E7421">
        <v>30.400136</v>
      </c>
      <c r="F7421" t="s">
        <v>368</v>
      </c>
      <c r="G7421">
        <v>-89.806666000000007</v>
      </c>
      <c r="H7421">
        <v>1600</v>
      </c>
      <c r="I7421">
        <v>-4</v>
      </c>
      <c r="J7421">
        <v>118</v>
      </c>
      <c r="K7421">
        <v>896</v>
      </c>
      <c r="L7421">
        <v>1200</v>
      </c>
      <c r="M7421" t="str">
        <f t="shared" si="755"/>
        <v xml:space="preserve">N35DC   </v>
      </c>
      <c r="N7421">
        <v>1</v>
      </c>
      <c r="O7421">
        <v>1650</v>
      </c>
    </row>
    <row r="7422" spans="1:15" x14ac:dyDescent="0.25">
      <c r="A7422" t="str">
        <f>"10/21/2020 19:06:04.178"</f>
        <v>10/21/2020 19:06:04.178</v>
      </c>
      <c r="B7422" t="str">
        <f>"19:06:12.117"</f>
        <v>19:06:12.117</v>
      </c>
      <c r="C7422" t="str">
        <f>"19:06:11.817"</f>
        <v>19:06:11.817</v>
      </c>
      <c r="D7422" t="s">
        <v>3005</v>
      </c>
      <c r="E7422">
        <v>30.400136</v>
      </c>
      <c r="F7422" t="s">
        <v>368</v>
      </c>
      <c r="G7422">
        <v>-89.806666000000007</v>
      </c>
      <c r="H7422">
        <v>1600</v>
      </c>
      <c r="I7422">
        <v>-4</v>
      </c>
      <c r="J7422">
        <v>118</v>
      </c>
      <c r="K7422">
        <v>896</v>
      </c>
      <c r="L7422">
        <v>1200</v>
      </c>
      <c r="M7422" t="str">
        <f t="shared" si="755"/>
        <v xml:space="preserve">N35DC   </v>
      </c>
      <c r="N7422">
        <v>1</v>
      </c>
      <c r="O7422">
        <v>1650</v>
      </c>
    </row>
    <row r="7423" spans="1:15" x14ac:dyDescent="0.25">
      <c r="A7423" t="str">
        <f>"10/21/2020 19:06:04.178"</f>
        <v>10/21/2020 19:06:04.178</v>
      </c>
      <c r="B7423" t="str">
        <f>"19:06:12.117"</f>
        <v>19:06:12.117</v>
      </c>
      <c r="C7423" t="str">
        <f>"19:06:11.817"</f>
        <v>19:06:11.817</v>
      </c>
      <c r="D7423" t="s">
        <v>3005</v>
      </c>
      <c r="E7423">
        <v>30.400136</v>
      </c>
      <c r="F7423" t="s">
        <v>368</v>
      </c>
      <c r="G7423">
        <v>-89.806666000000007</v>
      </c>
      <c r="H7423">
        <v>1600</v>
      </c>
      <c r="I7423">
        <v>-4</v>
      </c>
      <c r="J7423">
        <v>118</v>
      </c>
      <c r="K7423">
        <v>896</v>
      </c>
      <c r="L7423">
        <v>1200</v>
      </c>
      <c r="M7423" t="str">
        <f t="shared" si="755"/>
        <v xml:space="preserve">N35DC   </v>
      </c>
      <c r="N7423">
        <v>1</v>
      </c>
      <c r="O7423">
        <v>1650</v>
      </c>
    </row>
    <row r="7424" spans="1:15" x14ac:dyDescent="0.25">
      <c r="A7424" t="str">
        <f>"10/21/2020 19:06:04.178"</f>
        <v>10/21/2020 19:06:04.178</v>
      </c>
      <c r="B7424" t="str">
        <f>"19:06:12.117"</f>
        <v>19:06:12.117</v>
      </c>
      <c r="C7424" t="str">
        <f>"19:06:11.817"</f>
        <v>19:06:11.817</v>
      </c>
      <c r="D7424" t="s">
        <v>3005</v>
      </c>
      <c r="E7424">
        <v>30.400136</v>
      </c>
      <c r="F7424" t="s">
        <v>368</v>
      </c>
      <c r="G7424">
        <v>-89.806666000000007</v>
      </c>
      <c r="H7424">
        <v>1600</v>
      </c>
      <c r="I7424">
        <v>-4</v>
      </c>
      <c r="J7424">
        <v>118</v>
      </c>
      <c r="K7424">
        <v>896</v>
      </c>
      <c r="L7424">
        <v>1200</v>
      </c>
      <c r="M7424" t="str">
        <f t="shared" si="755"/>
        <v xml:space="preserve">N35DC   </v>
      </c>
      <c r="N7424">
        <v>1</v>
      </c>
      <c r="O7424">
        <v>1650</v>
      </c>
    </row>
    <row r="7425" spans="1:15" x14ac:dyDescent="0.25">
      <c r="A7425" t="str">
        <f>"10/21/2020 19:06:05.168"</f>
        <v>10/21/2020 19:06:05.168</v>
      </c>
      <c r="B7425" t="str">
        <f>"19:06:13.125"</f>
        <v>19:06:13.125</v>
      </c>
      <c r="C7425" t="str">
        <f>"19:06:12.825"</f>
        <v>19:06:12.825</v>
      </c>
      <c r="D7425" t="s">
        <v>3006</v>
      </c>
      <c r="E7425">
        <v>30.400715000000002</v>
      </c>
      <c r="F7425" t="s">
        <v>3007</v>
      </c>
      <c r="G7425">
        <v>-89.806645000000003</v>
      </c>
      <c r="H7425">
        <v>1600</v>
      </c>
      <c r="I7425">
        <v>-4</v>
      </c>
      <c r="J7425">
        <v>118</v>
      </c>
      <c r="K7425">
        <v>704</v>
      </c>
      <c r="L7425">
        <v>1200</v>
      </c>
      <c r="M7425" t="str">
        <f t="shared" si="755"/>
        <v xml:space="preserve">N35DC   </v>
      </c>
      <c r="N7425">
        <v>1</v>
      </c>
      <c r="O7425">
        <v>1675</v>
      </c>
    </row>
    <row r="7426" spans="1:15" x14ac:dyDescent="0.25">
      <c r="A7426" t="str">
        <f>"10/21/2020 19:06:05.168"</f>
        <v>10/21/2020 19:06:05.168</v>
      </c>
      <c r="B7426" t="str">
        <f>"19:06:13.125"</f>
        <v>19:06:13.125</v>
      </c>
      <c r="C7426" t="str">
        <f>"19:06:12.825"</f>
        <v>19:06:12.825</v>
      </c>
      <c r="D7426" t="s">
        <v>3006</v>
      </c>
      <c r="E7426">
        <v>30.400715000000002</v>
      </c>
      <c r="F7426" t="s">
        <v>3007</v>
      </c>
      <c r="G7426">
        <v>-89.806645000000003</v>
      </c>
      <c r="H7426">
        <v>1600</v>
      </c>
      <c r="I7426">
        <v>-4</v>
      </c>
      <c r="J7426">
        <v>118</v>
      </c>
      <c r="K7426">
        <v>704</v>
      </c>
      <c r="L7426">
        <v>1200</v>
      </c>
      <c r="M7426" t="str">
        <f t="shared" si="755"/>
        <v xml:space="preserve">N35DC   </v>
      </c>
      <c r="N7426">
        <v>1</v>
      </c>
      <c r="O7426">
        <v>1675</v>
      </c>
    </row>
    <row r="7427" spans="1:15" x14ac:dyDescent="0.25">
      <c r="A7427" t="str">
        <f>"10/21/2020 19:06:05.168"</f>
        <v>10/21/2020 19:06:05.168</v>
      </c>
      <c r="B7427" t="str">
        <f>"19:06:13.125"</f>
        <v>19:06:13.125</v>
      </c>
      <c r="C7427" t="str">
        <f>"19:06:12.825"</f>
        <v>19:06:12.825</v>
      </c>
      <c r="D7427" t="s">
        <v>3006</v>
      </c>
      <c r="E7427">
        <v>30.400715000000002</v>
      </c>
      <c r="F7427" t="s">
        <v>3007</v>
      </c>
      <c r="G7427">
        <v>-89.806645000000003</v>
      </c>
      <c r="H7427">
        <v>1600</v>
      </c>
      <c r="I7427">
        <v>-4</v>
      </c>
      <c r="J7427">
        <v>118</v>
      </c>
      <c r="K7427">
        <v>704</v>
      </c>
      <c r="L7427">
        <v>1200</v>
      </c>
      <c r="M7427" t="str">
        <f t="shared" si="755"/>
        <v xml:space="preserve">N35DC   </v>
      </c>
      <c r="N7427">
        <v>1</v>
      </c>
      <c r="O7427">
        <v>1675</v>
      </c>
    </row>
    <row r="7428" spans="1:15" x14ac:dyDescent="0.25">
      <c r="A7428" t="str">
        <f>"10/21/2020 19:06:05.168"</f>
        <v>10/21/2020 19:06:05.168</v>
      </c>
      <c r="B7428" t="str">
        <f>"19:06:13.125"</f>
        <v>19:06:13.125</v>
      </c>
      <c r="C7428" t="str">
        <f>"19:06:12.825"</f>
        <v>19:06:12.825</v>
      </c>
      <c r="D7428" t="s">
        <v>3006</v>
      </c>
      <c r="E7428">
        <v>30.400715000000002</v>
      </c>
      <c r="F7428" t="s">
        <v>3007</v>
      </c>
      <c r="G7428">
        <v>-89.806645000000003</v>
      </c>
      <c r="H7428">
        <v>1600</v>
      </c>
      <c r="I7428">
        <v>-4</v>
      </c>
      <c r="J7428">
        <v>118</v>
      </c>
      <c r="K7428">
        <v>704</v>
      </c>
      <c r="L7428">
        <v>1200</v>
      </c>
      <c r="M7428" t="str">
        <f t="shared" si="755"/>
        <v xml:space="preserve">N35DC   </v>
      </c>
      <c r="N7428">
        <v>1</v>
      </c>
      <c r="O7428">
        <v>1675</v>
      </c>
    </row>
    <row r="7429" spans="1:15" x14ac:dyDescent="0.25">
      <c r="A7429" t="str">
        <f>"10/21/2020 19:06:05.168"</f>
        <v>10/21/2020 19:06:05.168</v>
      </c>
      <c r="B7429" t="str">
        <f>"19:06:13.125"</f>
        <v>19:06:13.125</v>
      </c>
      <c r="C7429" t="str">
        <f>"19:06:12.825"</f>
        <v>19:06:12.825</v>
      </c>
      <c r="D7429" t="s">
        <v>3006</v>
      </c>
      <c r="E7429">
        <v>30.400715000000002</v>
      </c>
      <c r="F7429" t="s">
        <v>3007</v>
      </c>
      <c r="G7429">
        <v>-89.806645000000003</v>
      </c>
      <c r="H7429">
        <v>1600</v>
      </c>
      <c r="I7429">
        <v>-4</v>
      </c>
      <c r="J7429">
        <v>118</v>
      </c>
      <c r="K7429">
        <v>704</v>
      </c>
      <c r="L7429">
        <v>1200</v>
      </c>
      <c r="M7429" t="str">
        <f t="shared" si="755"/>
        <v xml:space="preserve">N35DC   </v>
      </c>
      <c r="N7429">
        <v>1</v>
      </c>
      <c r="O7429">
        <v>1675</v>
      </c>
    </row>
    <row r="7430" spans="1:15" x14ac:dyDescent="0.25">
      <c r="A7430" t="str">
        <f>"10/21/2020 19:06:07.231"</f>
        <v>10/21/2020 19:06:07.231</v>
      </c>
      <c r="B7430" t="str">
        <f>"19:06:15.180"</f>
        <v>19:06:15.180</v>
      </c>
      <c r="C7430" t="str">
        <f>"19:06:14.880"</f>
        <v>19:06:14.880</v>
      </c>
      <c r="D7430" t="s">
        <v>3008</v>
      </c>
      <c r="E7430">
        <v>30.401831000000001</v>
      </c>
      <c r="F7430" t="s">
        <v>2358</v>
      </c>
      <c r="G7430">
        <v>-89.806687999999994</v>
      </c>
      <c r="H7430">
        <v>1600</v>
      </c>
      <c r="I7430">
        <v>-4</v>
      </c>
      <c r="J7430">
        <v>119</v>
      </c>
      <c r="K7430">
        <v>448</v>
      </c>
      <c r="L7430">
        <v>1200</v>
      </c>
      <c r="M7430" t="str">
        <f t="shared" si="755"/>
        <v xml:space="preserve">N35DC   </v>
      </c>
      <c r="N7430">
        <v>1</v>
      </c>
      <c r="O7430">
        <v>1675</v>
      </c>
    </row>
    <row r="7431" spans="1:15" x14ac:dyDescent="0.25">
      <c r="A7431" t="str">
        <f>"10/21/2020 19:06:07.231"</f>
        <v>10/21/2020 19:06:07.231</v>
      </c>
      <c r="B7431" t="str">
        <f>"19:06:15.180"</f>
        <v>19:06:15.180</v>
      </c>
      <c r="C7431" t="str">
        <f>"19:06:14.880"</f>
        <v>19:06:14.880</v>
      </c>
      <c r="D7431" t="s">
        <v>3008</v>
      </c>
      <c r="E7431">
        <v>30.401831000000001</v>
      </c>
      <c r="F7431" t="s">
        <v>2358</v>
      </c>
      <c r="G7431">
        <v>-89.806687999999994</v>
      </c>
      <c r="H7431">
        <v>1600</v>
      </c>
      <c r="I7431">
        <v>-4</v>
      </c>
      <c r="J7431">
        <v>119</v>
      </c>
      <c r="K7431">
        <v>448</v>
      </c>
      <c r="L7431">
        <v>1200</v>
      </c>
      <c r="M7431" t="str">
        <f t="shared" ref="M7431:M7494" si="758">"N35DC   "</f>
        <v xml:space="preserve">N35DC   </v>
      </c>
      <c r="N7431">
        <v>1</v>
      </c>
      <c r="O7431">
        <v>1675</v>
      </c>
    </row>
    <row r="7432" spans="1:15" x14ac:dyDescent="0.25">
      <c r="A7432" t="str">
        <f>"10/21/2020 19:06:07.231"</f>
        <v>10/21/2020 19:06:07.231</v>
      </c>
      <c r="B7432" t="str">
        <f>"19:06:15.180"</f>
        <v>19:06:15.180</v>
      </c>
      <c r="C7432" t="str">
        <f>"19:06:14.880"</f>
        <v>19:06:14.880</v>
      </c>
      <c r="D7432" t="s">
        <v>3008</v>
      </c>
      <c r="E7432">
        <v>30.401831000000001</v>
      </c>
      <c r="F7432" t="s">
        <v>2358</v>
      </c>
      <c r="G7432">
        <v>-89.806687999999994</v>
      </c>
      <c r="H7432">
        <v>1600</v>
      </c>
      <c r="I7432">
        <v>-4</v>
      </c>
      <c r="J7432">
        <v>119</v>
      </c>
      <c r="K7432">
        <v>448</v>
      </c>
      <c r="L7432">
        <v>1200</v>
      </c>
      <c r="M7432" t="str">
        <f t="shared" si="758"/>
        <v xml:space="preserve">N35DC   </v>
      </c>
      <c r="N7432">
        <v>1</v>
      </c>
      <c r="O7432">
        <v>1675</v>
      </c>
    </row>
    <row r="7433" spans="1:15" x14ac:dyDescent="0.25">
      <c r="A7433" t="str">
        <f>"10/21/2020 19:06:07.231"</f>
        <v>10/21/2020 19:06:07.231</v>
      </c>
      <c r="B7433" t="str">
        <f>"19:06:15.180"</f>
        <v>19:06:15.180</v>
      </c>
      <c r="C7433" t="str">
        <f>"19:06:14.880"</f>
        <v>19:06:14.880</v>
      </c>
      <c r="D7433" t="s">
        <v>3008</v>
      </c>
      <c r="E7433">
        <v>30.401831000000001</v>
      </c>
      <c r="F7433" t="s">
        <v>2358</v>
      </c>
      <c r="G7433">
        <v>-89.806687999999994</v>
      </c>
      <c r="H7433">
        <v>1600</v>
      </c>
      <c r="I7433">
        <v>-4</v>
      </c>
      <c r="J7433">
        <v>119</v>
      </c>
      <c r="K7433">
        <v>448</v>
      </c>
      <c r="L7433">
        <v>1200</v>
      </c>
      <c r="M7433" t="str">
        <f t="shared" si="758"/>
        <v xml:space="preserve">N35DC   </v>
      </c>
      <c r="N7433">
        <v>1</v>
      </c>
      <c r="O7433">
        <v>1675</v>
      </c>
    </row>
    <row r="7434" spans="1:15" x14ac:dyDescent="0.25">
      <c r="A7434" t="str">
        <f>"10/21/2020 19:06:07.231"</f>
        <v>10/21/2020 19:06:07.231</v>
      </c>
      <c r="B7434" t="str">
        <f>"19:06:15.180"</f>
        <v>19:06:15.180</v>
      </c>
      <c r="C7434" t="str">
        <f>"19:06:14.880"</f>
        <v>19:06:14.880</v>
      </c>
      <c r="D7434" t="s">
        <v>3008</v>
      </c>
      <c r="E7434">
        <v>30.401831000000001</v>
      </c>
      <c r="F7434" t="s">
        <v>2358</v>
      </c>
      <c r="G7434">
        <v>-89.806687999999994</v>
      </c>
      <c r="H7434">
        <v>1600</v>
      </c>
      <c r="I7434">
        <v>-4</v>
      </c>
      <c r="J7434">
        <v>119</v>
      </c>
      <c r="K7434">
        <v>448</v>
      </c>
      <c r="L7434">
        <v>1200</v>
      </c>
      <c r="M7434" t="str">
        <f t="shared" si="758"/>
        <v xml:space="preserve">N35DC   </v>
      </c>
      <c r="N7434">
        <v>1</v>
      </c>
      <c r="O7434">
        <v>1675</v>
      </c>
    </row>
    <row r="7435" spans="1:15" x14ac:dyDescent="0.25">
      <c r="A7435" t="str">
        <f>"10/21/2020 19:06:08.117"</f>
        <v>10/21/2020 19:06:08.117</v>
      </c>
      <c r="B7435" t="str">
        <f>"19:06:16.063"</f>
        <v>19:06:16.063</v>
      </c>
      <c r="C7435" t="str">
        <f>"19:06:15.863"</f>
        <v>19:06:15.863</v>
      </c>
      <c r="D7435" t="s">
        <v>3009</v>
      </c>
      <c r="E7435">
        <v>30.402324</v>
      </c>
      <c r="F7435" t="s">
        <v>3010</v>
      </c>
      <c r="G7435">
        <v>-89.806708999999998</v>
      </c>
      <c r="H7435">
        <v>1600</v>
      </c>
      <c r="I7435">
        <v>-4</v>
      </c>
      <c r="J7435">
        <v>119</v>
      </c>
      <c r="K7435">
        <v>320</v>
      </c>
      <c r="L7435">
        <v>1200</v>
      </c>
      <c r="M7435" t="str">
        <f t="shared" si="758"/>
        <v xml:space="preserve">N35DC   </v>
      </c>
      <c r="N7435">
        <v>1</v>
      </c>
      <c r="O7435">
        <v>1700</v>
      </c>
    </row>
    <row r="7436" spans="1:15" x14ac:dyDescent="0.25">
      <c r="A7436" t="str">
        <f>"10/21/2020 19:06:08.117"</f>
        <v>10/21/2020 19:06:08.117</v>
      </c>
      <c r="B7436" t="str">
        <f>"19:06:16.063"</f>
        <v>19:06:16.063</v>
      </c>
      <c r="C7436" t="str">
        <f>"19:06:15.863"</f>
        <v>19:06:15.863</v>
      </c>
      <c r="D7436" t="s">
        <v>3009</v>
      </c>
      <c r="E7436">
        <v>30.402324</v>
      </c>
      <c r="F7436" t="s">
        <v>3010</v>
      </c>
      <c r="G7436">
        <v>-89.806708999999998</v>
      </c>
      <c r="H7436">
        <v>1600</v>
      </c>
      <c r="I7436">
        <v>-4</v>
      </c>
      <c r="J7436">
        <v>119</v>
      </c>
      <c r="K7436">
        <v>320</v>
      </c>
      <c r="L7436">
        <v>1200</v>
      </c>
      <c r="M7436" t="str">
        <f t="shared" si="758"/>
        <v xml:space="preserve">N35DC   </v>
      </c>
      <c r="N7436">
        <v>1</v>
      </c>
      <c r="O7436">
        <v>1700</v>
      </c>
    </row>
    <row r="7437" spans="1:15" x14ac:dyDescent="0.25">
      <c r="A7437" t="str">
        <f>"10/21/2020 19:06:08.117"</f>
        <v>10/21/2020 19:06:08.117</v>
      </c>
      <c r="B7437" t="str">
        <f>"19:06:16.063"</f>
        <v>19:06:16.063</v>
      </c>
      <c r="C7437" t="str">
        <f>"19:06:15.863"</f>
        <v>19:06:15.863</v>
      </c>
      <c r="D7437" t="s">
        <v>3009</v>
      </c>
      <c r="E7437">
        <v>30.402324</v>
      </c>
      <c r="F7437" t="s">
        <v>3010</v>
      </c>
      <c r="G7437">
        <v>-89.806708999999998</v>
      </c>
      <c r="H7437">
        <v>1600</v>
      </c>
      <c r="I7437">
        <v>-4</v>
      </c>
      <c r="J7437">
        <v>119</v>
      </c>
      <c r="K7437">
        <v>320</v>
      </c>
      <c r="L7437">
        <v>1200</v>
      </c>
      <c r="M7437" t="str">
        <f t="shared" si="758"/>
        <v xml:space="preserve">N35DC   </v>
      </c>
      <c r="N7437">
        <v>1</v>
      </c>
      <c r="O7437">
        <v>1700</v>
      </c>
    </row>
    <row r="7438" spans="1:15" x14ac:dyDescent="0.25">
      <c r="A7438" t="str">
        <f>"10/21/2020 19:06:08.117"</f>
        <v>10/21/2020 19:06:08.117</v>
      </c>
      <c r="B7438" t="str">
        <f>"19:06:16.063"</f>
        <v>19:06:16.063</v>
      </c>
      <c r="C7438" t="str">
        <f>"19:06:15.863"</f>
        <v>19:06:15.863</v>
      </c>
      <c r="D7438" t="s">
        <v>3009</v>
      </c>
      <c r="E7438">
        <v>30.402324</v>
      </c>
      <c r="F7438" t="s">
        <v>3010</v>
      </c>
      <c r="G7438">
        <v>-89.806708999999998</v>
      </c>
      <c r="H7438">
        <v>1600</v>
      </c>
      <c r="I7438">
        <v>-4</v>
      </c>
      <c r="J7438">
        <v>119</v>
      </c>
      <c r="K7438">
        <v>320</v>
      </c>
      <c r="L7438">
        <v>1200</v>
      </c>
      <c r="M7438" t="str">
        <f t="shared" si="758"/>
        <v xml:space="preserve">N35DC   </v>
      </c>
      <c r="N7438">
        <v>1</v>
      </c>
      <c r="O7438">
        <v>1700</v>
      </c>
    </row>
    <row r="7439" spans="1:15" x14ac:dyDescent="0.25">
      <c r="A7439" t="str">
        <f>"10/21/2020 19:06:08.117"</f>
        <v>10/21/2020 19:06:08.117</v>
      </c>
      <c r="B7439" t="str">
        <f>"19:06:16.063"</f>
        <v>19:06:16.063</v>
      </c>
      <c r="C7439" t="str">
        <f>"19:06:15.863"</f>
        <v>19:06:15.863</v>
      </c>
      <c r="D7439" t="s">
        <v>3009</v>
      </c>
      <c r="E7439">
        <v>30.402324</v>
      </c>
      <c r="F7439" t="s">
        <v>3010</v>
      </c>
      <c r="G7439">
        <v>-89.806708999999998</v>
      </c>
      <c r="H7439">
        <v>1600</v>
      </c>
      <c r="I7439">
        <v>-4</v>
      </c>
      <c r="J7439">
        <v>119</v>
      </c>
      <c r="K7439">
        <v>320</v>
      </c>
      <c r="L7439">
        <v>1200</v>
      </c>
      <c r="M7439" t="str">
        <f t="shared" si="758"/>
        <v xml:space="preserve">N35DC   </v>
      </c>
      <c r="N7439">
        <v>1</v>
      </c>
      <c r="O7439">
        <v>1700</v>
      </c>
    </row>
    <row r="7440" spans="1:15" x14ac:dyDescent="0.25">
      <c r="A7440" t="str">
        <f>"10/21/2020 19:06:11.066"</f>
        <v>10/21/2020 19:06:11.066</v>
      </c>
      <c r="B7440" t="str">
        <f>"19:06:19.008"</f>
        <v>19:06:19.008</v>
      </c>
      <c r="C7440" t="str">
        <f>"19:06:18.908"</f>
        <v>19:06:18.908</v>
      </c>
      <c r="D7440" t="s">
        <v>3011</v>
      </c>
      <c r="E7440">
        <v>30.403911999999998</v>
      </c>
      <c r="F7440" t="s">
        <v>3012</v>
      </c>
      <c r="G7440">
        <v>-89.806794999999994</v>
      </c>
      <c r="H7440">
        <v>1600</v>
      </c>
      <c r="I7440">
        <v>-5</v>
      </c>
      <c r="J7440">
        <v>121</v>
      </c>
      <c r="K7440">
        <v>192</v>
      </c>
      <c r="L7440">
        <v>1200</v>
      </c>
      <c r="M7440" t="str">
        <f t="shared" si="758"/>
        <v xml:space="preserve">N35DC   </v>
      </c>
      <c r="N7440">
        <v>1</v>
      </c>
      <c r="O7440">
        <v>1700</v>
      </c>
    </row>
    <row r="7441" spans="1:15" x14ac:dyDescent="0.25">
      <c r="A7441" t="str">
        <f>"10/21/2020 19:06:11.066"</f>
        <v>10/21/2020 19:06:11.066</v>
      </c>
      <c r="B7441" t="str">
        <f>"19:06:19.008"</f>
        <v>19:06:19.008</v>
      </c>
      <c r="C7441" t="str">
        <f>"19:06:18.908"</f>
        <v>19:06:18.908</v>
      </c>
      <c r="D7441" t="s">
        <v>3011</v>
      </c>
      <c r="E7441">
        <v>30.403911999999998</v>
      </c>
      <c r="F7441" t="s">
        <v>3012</v>
      </c>
      <c r="G7441">
        <v>-89.806794999999994</v>
      </c>
      <c r="H7441">
        <v>1600</v>
      </c>
      <c r="I7441">
        <v>-5</v>
      </c>
      <c r="J7441">
        <v>121</v>
      </c>
      <c r="K7441">
        <v>192</v>
      </c>
      <c r="L7441">
        <v>1200</v>
      </c>
      <c r="M7441" t="str">
        <f t="shared" si="758"/>
        <v xml:space="preserve">N35DC   </v>
      </c>
      <c r="N7441">
        <v>1</v>
      </c>
      <c r="O7441">
        <v>1700</v>
      </c>
    </row>
    <row r="7442" spans="1:15" x14ac:dyDescent="0.25">
      <c r="A7442" t="str">
        <f>"10/21/2020 19:06:11.066"</f>
        <v>10/21/2020 19:06:11.066</v>
      </c>
      <c r="B7442" t="str">
        <f>"19:06:19.008"</f>
        <v>19:06:19.008</v>
      </c>
      <c r="C7442" t="str">
        <f>"19:06:18.908"</f>
        <v>19:06:18.908</v>
      </c>
      <c r="D7442" t="s">
        <v>3011</v>
      </c>
      <c r="E7442">
        <v>30.403911999999998</v>
      </c>
      <c r="F7442" t="s">
        <v>3012</v>
      </c>
      <c r="G7442">
        <v>-89.806794999999994</v>
      </c>
      <c r="H7442">
        <v>1600</v>
      </c>
      <c r="I7442">
        <v>-5</v>
      </c>
      <c r="J7442">
        <v>121</v>
      </c>
      <c r="K7442">
        <v>192</v>
      </c>
      <c r="L7442">
        <v>1200</v>
      </c>
      <c r="M7442" t="str">
        <f t="shared" si="758"/>
        <v xml:space="preserve">N35DC   </v>
      </c>
      <c r="N7442">
        <v>1</v>
      </c>
      <c r="O7442">
        <v>1700</v>
      </c>
    </row>
    <row r="7443" spans="1:15" x14ac:dyDescent="0.25">
      <c r="A7443" t="str">
        <f>"10/21/2020 19:06:11.066"</f>
        <v>10/21/2020 19:06:11.066</v>
      </c>
      <c r="B7443" t="str">
        <f>"19:06:19.008"</f>
        <v>19:06:19.008</v>
      </c>
      <c r="C7443" t="str">
        <f>"19:06:18.908"</f>
        <v>19:06:18.908</v>
      </c>
      <c r="D7443" t="s">
        <v>3011</v>
      </c>
      <c r="E7443">
        <v>30.403911999999998</v>
      </c>
      <c r="F7443" t="s">
        <v>3012</v>
      </c>
      <c r="G7443">
        <v>-89.806794999999994</v>
      </c>
      <c r="H7443">
        <v>1600</v>
      </c>
      <c r="I7443">
        <v>-5</v>
      </c>
      <c r="J7443">
        <v>121</v>
      </c>
      <c r="K7443">
        <v>192</v>
      </c>
      <c r="L7443">
        <v>1200</v>
      </c>
      <c r="M7443" t="str">
        <f t="shared" si="758"/>
        <v xml:space="preserve">N35DC   </v>
      </c>
      <c r="N7443">
        <v>1</v>
      </c>
      <c r="O7443">
        <v>1700</v>
      </c>
    </row>
    <row r="7444" spans="1:15" x14ac:dyDescent="0.25">
      <c r="A7444" t="str">
        <f>"10/21/2020 19:06:11.066"</f>
        <v>10/21/2020 19:06:11.066</v>
      </c>
      <c r="B7444" t="str">
        <f>"19:06:19.008"</f>
        <v>19:06:19.008</v>
      </c>
      <c r="C7444" t="str">
        <f>"19:06:18.908"</f>
        <v>19:06:18.908</v>
      </c>
      <c r="D7444" t="s">
        <v>3011</v>
      </c>
      <c r="E7444">
        <v>30.403911999999998</v>
      </c>
      <c r="F7444" t="s">
        <v>3012</v>
      </c>
      <c r="G7444">
        <v>-89.806794999999994</v>
      </c>
      <c r="H7444">
        <v>1600</v>
      </c>
      <c r="I7444">
        <v>-5</v>
      </c>
      <c r="J7444">
        <v>121</v>
      </c>
      <c r="K7444">
        <v>192</v>
      </c>
      <c r="L7444">
        <v>1200</v>
      </c>
      <c r="M7444" t="str">
        <f t="shared" si="758"/>
        <v xml:space="preserve">N35DC   </v>
      </c>
      <c r="N7444">
        <v>1</v>
      </c>
      <c r="O7444">
        <v>1700</v>
      </c>
    </row>
    <row r="7445" spans="1:15" x14ac:dyDescent="0.25">
      <c r="A7445" t="str">
        <f>"10/21/2020 19:06:12.109"</f>
        <v>10/21/2020 19:06:12.109</v>
      </c>
      <c r="B7445" t="str">
        <f>"19:06:20.070"</f>
        <v>19:06:20.070</v>
      </c>
      <c r="C7445" t="str">
        <f>"19:06:19.870"</f>
        <v>19:06:19.870</v>
      </c>
      <c r="D7445" t="s">
        <v>3013</v>
      </c>
      <c r="E7445">
        <v>30.404534000000002</v>
      </c>
      <c r="F7445" t="s">
        <v>3014</v>
      </c>
      <c r="G7445">
        <v>-89.806816999999995</v>
      </c>
      <c r="H7445">
        <v>1600</v>
      </c>
      <c r="I7445">
        <v>-5</v>
      </c>
      <c r="J7445">
        <v>122</v>
      </c>
      <c r="K7445">
        <v>128</v>
      </c>
      <c r="L7445">
        <v>1200</v>
      </c>
      <c r="M7445" t="str">
        <f t="shared" si="758"/>
        <v xml:space="preserve">N35DC   </v>
      </c>
      <c r="N7445">
        <v>1</v>
      </c>
      <c r="O7445">
        <v>1700</v>
      </c>
    </row>
    <row r="7446" spans="1:15" x14ac:dyDescent="0.25">
      <c r="A7446" t="str">
        <f>"10/21/2020 19:06:12.109"</f>
        <v>10/21/2020 19:06:12.109</v>
      </c>
      <c r="B7446" t="str">
        <f>"19:06:20.070"</f>
        <v>19:06:20.070</v>
      </c>
      <c r="C7446" t="str">
        <f>"19:06:19.870"</f>
        <v>19:06:19.870</v>
      </c>
      <c r="D7446" t="s">
        <v>3013</v>
      </c>
      <c r="E7446">
        <v>30.404534000000002</v>
      </c>
      <c r="F7446" t="s">
        <v>3014</v>
      </c>
      <c r="G7446">
        <v>-89.806816999999995</v>
      </c>
      <c r="H7446">
        <v>1600</v>
      </c>
      <c r="I7446">
        <v>-5</v>
      </c>
      <c r="J7446">
        <v>122</v>
      </c>
      <c r="K7446">
        <v>128</v>
      </c>
      <c r="L7446">
        <v>1200</v>
      </c>
      <c r="M7446" t="str">
        <f t="shared" si="758"/>
        <v xml:space="preserve">N35DC   </v>
      </c>
      <c r="N7446">
        <v>1</v>
      </c>
      <c r="O7446">
        <v>1700</v>
      </c>
    </row>
    <row r="7447" spans="1:15" x14ac:dyDescent="0.25">
      <c r="A7447" t="str">
        <f>"10/21/2020 19:06:12.109"</f>
        <v>10/21/2020 19:06:12.109</v>
      </c>
      <c r="B7447" t="str">
        <f>"19:06:20.070"</f>
        <v>19:06:20.070</v>
      </c>
      <c r="C7447" t="str">
        <f>"19:06:19.870"</f>
        <v>19:06:19.870</v>
      </c>
      <c r="D7447" t="s">
        <v>3013</v>
      </c>
      <c r="E7447">
        <v>30.404534000000002</v>
      </c>
      <c r="F7447" t="s">
        <v>3014</v>
      </c>
      <c r="G7447">
        <v>-89.806816999999995</v>
      </c>
      <c r="H7447">
        <v>1600</v>
      </c>
      <c r="I7447">
        <v>-5</v>
      </c>
      <c r="J7447">
        <v>122</v>
      </c>
      <c r="K7447">
        <v>128</v>
      </c>
      <c r="L7447">
        <v>1200</v>
      </c>
      <c r="M7447" t="str">
        <f t="shared" si="758"/>
        <v xml:space="preserve">N35DC   </v>
      </c>
      <c r="N7447">
        <v>1</v>
      </c>
      <c r="O7447">
        <v>1700</v>
      </c>
    </row>
    <row r="7448" spans="1:15" x14ac:dyDescent="0.25">
      <c r="A7448" t="str">
        <f>"10/21/2020 19:06:12.109"</f>
        <v>10/21/2020 19:06:12.109</v>
      </c>
      <c r="B7448" t="str">
        <f>"19:06:20.070"</f>
        <v>19:06:20.070</v>
      </c>
      <c r="C7448" t="str">
        <f>"19:06:19.870"</f>
        <v>19:06:19.870</v>
      </c>
      <c r="D7448" t="s">
        <v>3013</v>
      </c>
      <c r="E7448">
        <v>30.404534000000002</v>
      </c>
      <c r="F7448" t="s">
        <v>3014</v>
      </c>
      <c r="G7448">
        <v>-89.806816999999995</v>
      </c>
      <c r="H7448">
        <v>1600</v>
      </c>
      <c r="I7448">
        <v>-5</v>
      </c>
      <c r="J7448">
        <v>122</v>
      </c>
      <c r="K7448">
        <v>128</v>
      </c>
      <c r="L7448">
        <v>1200</v>
      </c>
      <c r="M7448" t="str">
        <f t="shared" si="758"/>
        <v xml:space="preserve">N35DC   </v>
      </c>
      <c r="N7448">
        <v>1</v>
      </c>
      <c r="O7448">
        <v>1700</v>
      </c>
    </row>
    <row r="7449" spans="1:15" x14ac:dyDescent="0.25">
      <c r="A7449" t="str">
        <f>"10/21/2020 19:06:12.109"</f>
        <v>10/21/2020 19:06:12.109</v>
      </c>
      <c r="B7449" t="str">
        <f>"19:06:20.070"</f>
        <v>19:06:20.070</v>
      </c>
      <c r="C7449" t="str">
        <f>"19:06:19.870"</f>
        <v>19:06:19.870</v>
      </c>
      <c r="D7449" t="s">
        <v>3013</v>
      </c>
      <c r="E7449">
        <v>30.404534000000002</v>
      </c>
      <c r="F7449" t="s">
        <v>3014</v>
      </c>
      <c r="G7449">
        <v>-89.806816999999995</v>
      </c>
      <c r="H7449">
        <v>1600</v>
      </c>
      <c r="I7449">
        <v>-5</v>
      </c>
      <c r="J7449">
        <v>122</v>
      </c>
      <c r="K7449">
        <v>128</v>
      </c>
      <c r="L7449">
        <v>1200</v>
      </c>
      <c r="M7449" t="str">
        <f t="shared" si="758"/>
        <v xml:space="preserve">N35DC   </v>
      </c>
      <c r="N7449">
        <v>1</v>
      </c>
      <c r="O7449">
        <v>1700</v>
      </c>
    </row>
    <row r="7450" spans="1:15" x14ac:dyDescent="0.25">
      <c r="A7450" t="str">
        <f>"10/21/2020 19:06:15.078"</f>
        <v>10/21/2020 19:06:15.078</v>
      </c>
      <c r="B7450" t="str">
        <f>"19:06:23.039"</f>
        <v>19:06:23.039</v>
      </c>
      <c r="C7450" t="str">
        <f>"19:06:22.839"</f>
        <v>19:06:22.839</v>
      </c>
      <c r="D7450" t="s">
        <v>3015</v>
      </c>
      <c r="E7450">
        <v>30.406251000000001</v>
      </c>
      <c r="F7450" t="s">
        <v>2951</v>
      </c>
      <c r="G7450">
        <v>-89.806923999999995</v>
      </c>
      <c r="H7450">
        <v>1600</v>
      </c>
      <c r="I7450">
        <v>-7</v>
      </c>
      <c r="J7450">
        <v>124</v>
      </c>
      <c r="K7450">
        <v>0</v>
      </c>
      <c r="L7450">
        <v>1200</v>
      </c>
      <c r="M7450" t="str">
        <f t="shared" si="758"/>
        <v xml:space="preserve">N35DC   </v>
      </c>
      <c r="N7450">
        <v>1</v>
      </c>
      <c r="O7450">
        <v>1700</v>
      </c>
    </row>
    <row r="7451" spans="1:15" x14ac:dyDescent="0.25">
      <c r="A7451" t="str">
        <f>"10/21/2020 19:06:15.078"</f>
        <v>10/21/2020 19:06:15.078</v>
      </c>
      <c r="B7451" t="str">
        <f>"19:06:23.039"</f>
        <v>19:06:23.039</v>
      </c>
      <c r="C7451" t="str">
        <f>"19:06:22.839"</f>
        <v>19:06:22.839</v>
      </c>
      <c r="D7451" t="s">
        <v>3015</v>
      </c>
      <c r="E7451">
        <v>30.406251000000001</v>
      </c>
      <c r="F7451" t="s">
        <v>2951</v>
      </c>
      <c r="G7451">
        <v>-89.806923999999995</v>
      </c>
      <c r="H7451">
        <v>1600</v>
      </c>
      <c r="I7451">
        <v>-7</v>
      </c>
      <c r="J7451">
        <v>124</v>
      </c>
      <c r="K7451">
        <v>0</v>
      </c>
      <c r="L7451">
        <v>1200</v>
      </c>
      <c r="M7451" t="str">
        <f t="shared" si="758"/>
        <v xml:space="preserve">N35DC   </v>
      </c>
      <c r="N7451">
        <v>1</v>
      </c>
      <c r="O7451">
        <v>1700</v>
      </c>
    </row>
    <row r="7452" spans="1:15" x14ac:dyDescent="0.25">
      <c r="A7452" t="str">
        <f>"10/21/2020 19:06:15.078"</f>
        <v>10/21/2020 19:06:15.078</v>
      </c>
      <c r="B7452" t="str">
        <f>"19:06:23.039"</f>
        <v>19:06:23.039</v>
      </c>
      <c r="C7452" t="str">
        <f>"19:06:22.839"</f>
        <v>19:06:22.839</v>
      </c>
      <c r="D7452" t="s">
        <v>3015</v>
      </c>
      <c r="E7452">
        <v>30.406251000000001</v>
      </c>
      <c r="F7452" t="s">
        <v>2951</v>
      </c>
      <c r="G7452">
        <v>-89.806923999999995</v>
      </c>
      <c r="H7452">
        <v>1600</v>
      </c>
      <c r="I7452">
        <v>-7</v>
      </c>
      <c r="J7452">
        <v>124</v>
      </c>
      <c r="K7452">
        <v>0</v>
      </c>
      <c r="L7452">
        <v>1200</v>
      </c>
      <c r="M7452" t="str">
        <f t="shared" si="758"/>
        <v xml:space="preserve">N35DC   </v>
      </c>
      <c r="N7452">
        <v>1</v>
      </c>
      <c r="O7452">
        <v>1700</v>
      </c>
    </row>
    <row r="7453" spans="1:15" x14ac:dyDescent="0.25">
      <c r="A7453" t="str">
        <f>"10/21/2020 19:06:15.078"</f>
        <v>10/21/2020 19:06:15.078</v>
      </c>
      <c r="B7453" t="str">
        <f>"19:06:23.039"</f>
        <v>19:06:23.039</v>
      </c>
      <c r="C7453" t="str">
        <f>"19:06:22.839"</f>
        <v>19:06:22.839</v>
      </c>
      <c r="D7453" t="s">
        <v>3015</v>
      </c>
      <c r="E7453">
        <v>30.406251000000001</v>
      </c>
      <c r="F7453" t="s">
        <v>2951</v>
      </c>
      <c r="G7453">
        <v>-89.806923999999995</v>
      </c>
      <c r="H7453">
        <v>1600</v>
      </c>
      <c r="I7453">
        <v>-7</v>
      </c>
      <c r="J7453">
        <v>124</v>
      </c>
      <c r="K7453">
        <v>0</v>
      </c>
      <c r="L7453">
        <v>1200</v>
      </c>
      <c r="M7453" t="str">
        <f t="shared" si="758"/>
        <v xml:space="preserve">N35DC   </v>
      </c>
      <c r="N7453">
        <v>1</v>
      </c>
      <c r="O7453">
        <v>1700</v>
      </c>
    </row>
    <row r="7454" spans="1:15" x14ac:dyDescent="0.25">
      <c r="A7454" t="str">
        <f>"10/21/2020 19:06:15.078"</f>
        <v>10/21/2020 19:06:15.078</v>
      </c>
      <c r="B7454" t="str">
        <f>"19:06:23.039"</f>
        <v>19:06:23.039</v>
      </c>
      <c r="C7454" t="str">
        <f>"19:06:22.839"</f>
        <v>19:06:22.839</v>
      </c>
      <c r="D7454" t="s">
        <v>3015</v>
      </c>
      <c r="E7454">
        <v>30.406251000000001</v>
      </c>
      <c r="F7454" t="s">
        <v>2951</v>
      </c>
      <c r="G7454">
        <v>-89.806923999999995</v>
      </c>
      <c r="H7454">
        <v>1600</v>
      </c>
      <c r="I7454">
        <v>-7</v>
      </c>
      <c r="J7454">
        <v>124</v>
      </c>
      <c r="K7454">
        <v>0</v>
      </c>
      <c r="L7454">
        <v>1200</v>
      </c>
      <c r="M7454" t="str">
        <f t="shared" si="758"/>
        <v xml:space="preserve">N35DC   </v>
      </c>
      <c r="N7454">
        <v>1</v>
      </c>
      <c r="O7454">
        <v>1700</v>
      </c>
    </row>
    <row r="7455" spans="1:15" x14ac:dyDescent="0.25">
      <c r="A7455" t="str">
        <f>"10/21/2020 19:06:18.650"</f>
        <v>10/21/2020 19:06:18.650</v>
      </c>
      <c r="B7455" t="str">
        <f>"19:06:26.609"</f>
        <v>19:06:26.609</v>
      </c>
      <c r="C7455" t="str">
        <f>"19:06:26.309"</f>
        <v>19:06:26.309</v>
      </c>
      <c r="D7455" t="s">
        <v>3016</v>
      </c>
      <c r="E7455">
        <v>30.408332000000001</v>
      </c>
      <c r="F7455" t="s">
        <v>3017</v>
      </c>
      <c r="G7455">
        <v>-89.807074</v>
      </c>
      <c r="H7455">
        <v>1600</v>
      </c>
      <c r="I7455">
        <v>-8</v>
      </c>
      <c r="J7455">
        <v>127</v>
      </c>
      <c r="K7455">
        <v>-64</v>
      </c>
      <c r="L7455">
        <v>1200</v>
      </c>
      <c r="M7455" t="str">
        <f t="shared" si="758"/>
        <v xml:space="preserve">N35DC   </v>
      </c>
      <c r="N7455">
        <v>1</v>
      </c>
      <c r="O7455">
        <v>1700</v>
      </c>
    </row>
    <row r="7456" spans="1:15" x14ac:dyDescent="0.25">
      <c r="A7456" t="str">
        <f>"10/21/2020 19:06:18.650"</f>
        <v>10/21/2020 19:06:18.650</v>
      </c>
      <c r="B7456" t="str">
        <f>"19:06:26.609"</f>
        <v>19:06:26.609</v>
      </c>
      <c r="C7456" t="str">
        <f>"19:06:26.309"</f>
        <v>19:06:26.309</v>
      </c>
      <c r="D7456" t="s">
        <v>3016</v>
      </c>
      <c r="E7456">
        <v>30.408332000000001</v>
      </c>
      <c r="F7456" t="s">
        <v>3017</v>
      </c>
      <c r="G7456">
        <v>-89.807074</v>
      </c>
      <c r="H7456">
        <v>1600</v>
      </c>
      <c r="I7456">
        <v>-8</v>
      </c>
      <c r="J7456">
        <v>127</v>
      </c>
      <c r="K7456">
        <v>-64</v>
      </c>
      <c r="L7456">
        <v>1200</v>
      </c>
      <c r="M7456" t="str">
        <f t="shared" si="758"/>
        <v xml:space="preserve">N35DC   </v>
      </c>
      <c r="N7456">
        <v>1</v>
      </c>
      <c r="O7456">
        <v>1700</v>
      </c>
    </row>
    <row r="7457" spans="1:15" x14ac:dyDescent="0.25">
      <c r="A7457" t="str">
        <f>"10/21/2020 19:06:18.650"</f>
        <v>10/21/2020 19:06:18.650</v>
      </c>
      <c r="B7457" t="str">
        <f>"19:06:26.609"</f>
        <v>19:06:26.609</v>
      </c>
      <c r="C7457" t="str">
        <f>"19:06:26.309"</f>
        <v>19:06:26.309</v>
      </c>
      <c r="D7457" t="s">
        <v>3016</v>
      </c>
      <c r="E7457">
        <v>30.408332000000001</v>
      </c>
      <c r="F7457" t="s">
        <v>3017</v>
      </c>
      <c r="G7457">
        <v>-89.807074</v>
      </c>
      <c r="H7457">
        <v>1600</v>
      </c>
      <c r="I7457">
        <v>-8</v>
      </c>
      <c r="J7457">
        <v>127</v>
      </c>
      <c r="K7457">
        <v>-64</v>
      </c>
      <c r="L7457">
        <v>1200</v>
      </c>
      <c r="M7457" t="str">
        <f t="shared" si="758"/>
        <v xml:space="preserve">N35DC   </v>
      </c>
      <c r="N7457">
        <v>1</v>
      </c>
      <c r="O7457">
        <v>1700</v>
      </c>
    </row>
    <row r="7458" spans="1:15" x14ac:dyDescent="0.25">
      <c r="A7458" t="str">
        <f>"10/21/2020 19:06:18.650"</f>
        <v>10/21/2020 19:06:18.650</v>
      </c>
      <c r="B7458" t="str">
        <f>"19:06:26.609"</f>
        <v>19:06:26.609</v>
      </c>
      <c r="C7458" t="str">
        <f>"19:06:26.309"</f>
        <v>19:06:26.309</v>
      </c>
      <c r="D7458" t="s">
        <v>3016</v>
      </c>
      <c r="E7458">
        <v>30.408332000000001</v>
      </c>
      <c r="F7458" t="s">
        <v>3017</v>
      </c>
      <c r="G7458">
        <v>-89.807074</v>
      </c>
      <c r="H7458">
        <v>1600</v>
      </c>
      <c r="I7458">
        <v>-8</v>
      </c>
      <c r="J7458">
        <v>127</v>
      </c>
      <c r="K7458">
        <v>-64</v>
      </c>
      <c r="L7458">
        <v>1200</v>
      </c>
      <c r="M7458" t="str">
        <f t="shared" si="758"/>
        <v xml:space="preserve">N35DC   </v>
      </c>
      <c r="N7458">
        <v>1</v>
      </c>
      <c r="O7458">
        <v>1700</v>
      </c>
    </row>
    <row r="7459" spans="1:15" x14ac:dyDescent="0.25">
      <c r="A7459" t="str">
        <f>"10/21/2020 19:06:18.650"</f>
        <v>10/21/2020 19:06:18.650</v>
      </c>
      <c r="B7459" t="str">
        <f>"19:06:26.609"</f>
        <v>19:06:26.609</v>
      </c>
      <c r="C7459" t="str">
        <f>"19:06:26.309"</f>
        <v>19:06:26.309</v>
      </c>
      <c r="D7459" t="s">
        <v>3016</v>
      </c>
      <c r="E7459">
        <v>30.408332000000001</v>
      </c>
      <c r="F7459" t="s">
        <v>3017</v>
      </c>
      <c r="G7459">
        <v>-89.807074</v>
      </c>
      <c r="H7459">
        <v>1600</v>
      </c>
      <c r="I7459">
        <v>-8</v>
      </c>
      <c r="J7459">
        <v>127</v>
      </c>
      <c r="K7459">
        <v>-64</v>
      </c>
      <c r="L7459">
        <v>1200</v>
      </c>
      <c r="M7459" t="str">
        <f t="shared" si="758"/>
        <v xml:space="preserve">N35DC   </v>
      </c>
      <c r="N7459">
        <v>1</v>
      </c>
      <c r="O7459">
        <v>1700</v>
      </c>
    </row>
    <row r="7460" spans="1:15" x14ac:dyDescent="0.25">
      <c r="A7460" t="str">
        <f>"10/21/2020 19:06:19.689"</f>
        <v>10/21/2020 19:06:19.689</v>
      </c>
      <c r="B7460" t="str">
        <f>"19:06:27.633"</f>
        <v>19:06:27.633</v>
      </c>
      <c r="C7460" t="str">
        <f>"19:06:27.333"</f>
        <v>19:06:27.333</v>
      </c>
      <c r="D7460" t="s">
        <v>3018</v>
      </c>
      <c r="E7460">
        <v>30.408975999999999</v>
      </c>
      <c r="F7460" t="s">
        <v>3019</v>
      </c>
      <c r="G7460">
        <v>-89.807137999999995</v>
      </c>
      <c r="H7460">
        <v>1600</v>
      </c>
      <c r="I7460">
        <v>-9</v>
      </c>
      <c r="J7460">
        <v>128</v>
      </c>
      <c r="K7460">
        <v>0</v>
      </c>
      <c r="L7460">
        <v>1200</v>
      </c>
      <c r="M7460" t="str">
        <f t="shared" si="758"/>
        <v xml:space="preserve">N35DC   </v>
      </c>
      <c r="N7460">
        <v>1</v>
      </c>
      <c r="O7460">
        <v>1700</v>
      </c>
    </row>
    <row r="7461" spans="1:15" x14ac:dyDescent="0.25">
      <c r="A7461" t="str">
        <f>"10/21/2020 19:06:19.689"</f>
        <v>10/21/2020 19:06:19.689</v>
      </c>
      <c r="B7461" t="str">
        <f>"19:06:27.633"</f>
        <v>19:06:27.633</v>
      </c>
      <c r="C7461" t="str">
        <f>"19:06:27.333"</f>
        <v>19:06:27.333</v>
      </c>
      <c r="D7461" t="s">
        <v>3018</v>
      </c>
      <c r="E7461">
        <v>30.408975999999999</v>
      </c>
      <c r="F7461" t="s">
        <v>3019</v>
      </c>
      <c r="G7461">
        <v>-89.807137999999995</v>
      </c>
      <c r="H7461">
        <v>1600</v>
      </c>
      <c r="I7461">
        <v>-9</v>
      </c>
      <c r="J7461">
        <v>128</v>
      </c>
      <c r="K7461">
        <v>0</v>
      </c>
      <c r="L7461">
        <v>1200</v>
      </c>
      <c r="M7461" t="str">
        <f t="shared" si="758"/>
        <v xml:space="preserve">N35DC   </v>
      </c>
      <c r="N7461">
        <v>1</v>
      </c>
      <c r="O7461">
        <v>1700</v>
      </c>
    </row>
    <row r="7462" spans="1:15" x14ac:dyDescent="0.25">
      <c r="A7462" t="str">
        <f>"10/21/2020 19:06:19.689"</f>
        <v>10/21/2020 19:06:19.689</v>
      </c>
      <c r="B7462" t="str">
        <f>"19:06:27.633"</f>
        <v>19:06:27.633</v>
      </c>
      <c r="C7462" t="str">
        <f>"19:06:27.333"</f>
        <v>19:06:27.333</v>
      </c>
      <c r="D7462" t="s">
        <v>3018</v>
      </c>
      <c r="E7462">
        <v>30.408975999999999</v>
      </c>
      <c r="F7462" t="s">
        <v>3019</v>
      </c>
      <c r="G7462">
        <v>-89.807137999999995</v>
      </c>
      <c r="H7462">
        <v>1600</v>
      </c>
      <c r="I7462">
        <v>-9</v>
      </c>
      <c r="J7462">
        <v>128</v>
      </c>
      <c r="K7462">
        <v>0</v>
      </c>
      <c r="L7462">
        <v>1200</v>
      </c>
      <c r="M7462" t="str">
        <f t="shared" si="758"/>
        <v xml:space="preserve">N35DC   </v>
      </c>
      <c r="N7462">
        <v>1</v>
      </c>
      <c r="O7462">
        <v>1700</v>
      </c>
    </row>
    <row r="7463" spans="1:15" x14ac:dyDescent="0.25">
      <c r="A7463" t="str">
        <f>"10/21/2020 19:06:19.689"</f>
        <v>10/21/2020 19:06:19.689</v>
      </c>
      <c r="B7463" t="str">
        <f>"19:06:27.633"</f>
        <v>19:06:27.633</v>
      </c>
      <c r="C7463" t="str">
        <f>"19:06:27.333"</f>
        <v>19:06:27.333</v>
      </c>
      <c r="D7463" t="s">
        <v>3018</v>
      </c>
      <c r="E7463">
        <v>30.408975999999999</v>
      </c>
      <c r="F7463" t="s">
        <v>3019</v>
      </c>
      <c r="G7463">
        <v>-89.807137999999995</v>
      </c>
      <c r="H7463">
        <v>1600</v>
      </c>
      <c r="I7463">
        <v>-9</v>
      </c>
      <c r="J7463">
        <v>128</v>
      </c>
      <c r="K7463">
        <v>0</v>
      </c>
      <c r="L7463">
        <v>1200</v>
      </c>
      <c r="M7463" t="str">
        <f t="shared" si="758"/>
        <v xml:space="preserve">N35DC   </v>
      </c>
      <c r="N7463">
        <v>1</v>
      </c>
      <c r="O7463">
        <v>1700</v>
      </c>
    </row>
    <row r="7464" spans="1:15" x14ac:dyDescent="0.25">
      <c r="A7464" t="str">
        <f>"10/21/2020 19:06:19.689"</f>
        <v>10/21/2020 19:06:19.689</v>
      </c>
      <c r="B7464" t="str">
        <f>"19:06:27.633"</f>
        <v>19:06:27.633</v>
      </c>
      <c r="C7464" t="str">
        <f>"19:06:27.333"</f>
        <v>19:06:27.333</v>
      </c>
      <c r="D7464" t="s">
        <v>3018</v>
      </c>
      <c r="E7464">
        <v>30.408975999999999</v>
      </c>
      <c r="F7464" t="s">
        <v>3019</v>
      </c>
      <c r="G7464">
        <v>-89.807137999999995</v>
      </c>
      <c r="H7464">
        <v>1600</v>
      </c>
      <c r="I7464">
        <v>-9</v>
      </c>
      <c r="J7464">
        <v>128</v>
      </c>
      <c r="K7464">
        <v>0</v>
      </c>
      <c r="L7464">
        <v>1200</v>
      </c>
      <c r="M7464" t="str">
        <f t="shared" si="758"/>
        <v xml:space="preserve">N35DC   </v>
      </c>
      <c r="N7464">
        <v>1</v>
      </c>
      <c r="O7464">
        <v>1700</v>
      </c>
    </row>
    <row r="7465" spans="1:15" x14ac:dyDescent="0.25">
      <c r="A7465" t="str">
        <f>"10/21/2020 19:06:22.703"</f>
        <v>10/21/2020 19:06:22.703</v>
      </c>
      <c r="B7465" t="str">
        <f>"19:06:30.656"</f>
        <v>19:06:30.656</v>
      </c>
      <c r="C7465" t="str">
        <f>"19:06:30.356"</f>
        <v>19:06:30.356</v>
      </c>
      <c r="D7465" t="s">
        <v>3020</v>
      </c>
      <c r="E7465">
        <v>30.410757</v>
      </c>
      <c r="F7465" t="s">
        <v>3021</v>
      </c>
      <c r="G7465">
        <v>-89.807310000000001</v>
      </c>
      <c r="H7465">
        <v>1600</v>
      </c>
      <c r="I7465">
        <v>-11</v>
      </c>
      <c r="J7465">
        <v>130</v>
      </c>
      <c r="K7465">
        <v>0</v>
      </c>
      <c r="L7465">
        <v>1200</v>
      </c>
      <c r="M7465" t="str">
        <f t="shared" si="758"/>
        <v xml:space="preserve">N35DC   </v>
      </c>
      <c r="N7465">
        <v>1</v>
      </c>
      <c r="O7465">
        <v>1700</v>
      </c>
    </row>
    <row r="7466" spans="1:15" x14ac:dyDescent="0.25">
      <c r="A7466" t="str">
        <f>"10/21/2020 19:06:22.703"</f>
        <v>10/21/2020 19:06:22.703</v>
      </c>
      <c r="B7466" t="str">
        <f>"19:06:30.656"</f>
        <v>19:06:30.656</v>
      </c>
      <c r="C7466" t="str">
        <f>"19:06:30.356"</f>
        <v>19:06:30.356</v>
      </c>
      <c r="D7466" t="s">
        <v>3020</v>
      </c>
      <c r="E7466">
        <v>30.410757</v>
      </c>
      <c r="F7466" t="s">
        <v>3021</v>
      </c>
      <c r="G7466">
        <v>-89.807310000000001</v>
      </c>
      <c r="H7466">
        <v>1600</v>
      </c>
      <c r="I7466">
        <v>-11</v>
      </c>
      <c r="J7466">
        <v>130</v>
      </c>
      <c r="K7466">
        <v>0</v>
      </c>
      <c r="L7466">
        <v>1200</v>
      </c>
      <c r="M7466" t="str">
        <f t="shared" si="758"/>
        <v xml:space="preserve">N35DC   </v>
      </c>
      <c r="N7466">
        <v>1</v>
      </c>
      <c r="O7466">
        <v>1700</v>
      </c>
    </row>
    <row r="7467" spans="1:15" x14ac:dyDescent="0.25">
      <c r="A7467" t="str">
        <f>"10/21/2020 19:06:22.703"</f>
        <v>10/21/2020 19:06:22.703</v>
      </c>
      <c r="B7467" t="str">
        <f>"19:06:30.656"</f>
        <v>19:06:30.656</v>
      </c>
      <c r="C7467" t="str">
        <f>"19:06:30.356"</f>
        <v>19:06:30.356</v>
      </c>
      <c r="D7467" t="s">
        <v>3020</v>
      </c>
      <c r="E7467">
        <v>30.410757</v>
      </c>
      <c r="F7467" t="s">
        <v>3021</v>
      </c>
      <c r="G7467">
        <v>-89.807310000000001</v>
      </c>
      <c r="H7467">
        <v>1600</v>
      </c>
      <c r="I7467">
        <v>-11</v>
      </c>
      <c r="J7467">
        <v>130</v>
      </c>
      <c r="K7467">
        <v>0</v>
      </c>
      <c r="L7467">
        <v>1200</v>
      </c>
      <c r="M7467" t="str">
        <f t="shared" si="758"/>
        <v xml:space="preserve">N35DC   </v>
      </c>
      <c r="N7467">
        <v>1</v>
      </c>
      <c r="O7467">
        <v>1700</v>
      </c>
    </row>
    <row r="7468" spans="1:15" x14ac:dyDescent="0.25">
      <c r="A7468" t="str">
        <f>"10/21/2020 19:06:22.703"</f>
        <v>10/21/2020 19:06:22.703</v>
      </c>
      <c r="B7468" t="str">
        <f>"19:06:30.656"</f>
        <v>19:06:30.656</v>
      </c>
      <c r="C7468" t="str">
        <f>"19:06:30.356"</f>
        <v>19:06:30.356</v>
      </c>
      <c r="D7468" t="s">
        <v>3020</v>
      </c>
      <c r="E7468">
        <v>30.410757</v>
      </c>
      <c r="F7468" t="s">
        <v>3021</v>
      </c>
      <c r="G7468">
        <v>-89.807310000000001</v>
      </c>
      <c r="H7468">
        <v>1600</v>
      </c>
      <c r="I7468">
        <v>-11</v>
      </c>
      <c r="J7468">
        <v>130</v>
      </c>
      <c r="K7468">
        <v>0</v>
      </c>
      <c r="L7468">
        <v>1200</v>
      </c>
      <c r="M7468" t="str">
        <f t="shared" si="758"/>
        <v xml:space="preserve">N35DC   </v>
      </c>
      <c r="N7468">
        <v>1</v>
      </c>
      <c r="O7468">
        <v>1700</v>
      </c>
    </row>
    <row r="7469" spans="1:15" x14ac:dyDescent="0.25">
      <c r="A7469" t="str">
        <f>"10/21/2020 19:06:22.703"</f>
        <v>10/21/2020 19:06:22.703</v>
      </c>
      <c r="B7469" t="str">
        <f>"19:06:30.656"</f>
        <v>19:06:30.656</v>
      </c>
      <c r="C7469" t="str">
        <f>"19:06:30.356"</f>
        <v>19:06:30.356</v>
      </c>
      <c r="D7469" t="s">
        <v>3020</v>
      </c>
      <c r="E7469">
        <v>30.410757</v>
      </c>
      <c r="F7469" t="s">
        <v>3021</v>
      </c>
      <c r="G7469">
        <v>-89.807310000000001</v>
      </c>
      <c r="H7469">
        <v>1600</v>
      </c>
      <c r="I7469">
        <v>-11</v>
      </c>
      <c r="J7469">
        <v>130</v>
      </c>
      <c r="K7469">
        <v>0</v>
      </c>
      <c r="L7469">
        <v>1200</v>
      </c>
      <c r="M7469" t="str">
        <f t="shared" si="758"/>
        <v xml:space="preserve">N35DC   </v>
      </c>
      <c r="N7469">
        <v>1</v>
      </c>
      <c r="O7469">
        <v>1700</v>
      </c>
    </row>
    <row r="7470" spans="1:15" x14ac:dyDescent="0.25">
      <c r="A7470" t="str">
        <f>"10/21/2020 19:06:23.573"</f>
        <v>10/21/2020 19:06:23.573</v>
      </c>
      <c r="B7470" t="str">
        <f>"19:06:31.531"</f>
        <v>19:06:31.531</v>
      </c>
      <c r="C7470" t="str">
        <f>"19:06:31.331"</f>
        <v>19:06:31.331</v>
      </c>
      <c r="D7470" t="s">
        <v>3022</v>
      </c>
      <c r="E7470">
        <v>30.411314999999998</v>
      </c>
      <c r="F7470" t="s">
        <v>2949</v>
      </c>
      <c r="G7470">
        <v>-89.807353000000006</v>
      </c>
      <c r="H7470">
        <v>1600</v>
      </c>
      <c r="I7470">
        <v>-11</v>
      </c>
      <c r="J7470">
        <v>131</v>
      </c>
      <c r="K7470">
        <v>0</v>
      </c>
      <c r="L7470">
        <v>1200</v>
      </c>
      <c r="M7470" t="str">
        <f t="shared" si="758"/>
        <v xml:space="preserve">N35DC   </v>
      </c>
      <c r="N7470">
        <v>1</v>
      </c>
      <c r="O7470">
        <v>1700</v>
      </c>
    </row>
    <row r="7471" spans="1:15" x14ac:dyDescent="0.25">
      <c r="A7471" t="str">
        <f>"10/21/2020 19:06:23.573"</f>
        <v>10/21/2020 19:06:23.573</v>
      </c>
      <c r="B7471" t="str">
        <f>"19:06:31.531"</f>
        <v>19:06:31.531</v>
      </c>
      <c r="C7471" t="str">
        <f>"19:06:31.331"</f>
        <v>19:06:31.331</v>
      </c>
      <c r="D7471" t="s">
        <v>3022</v>
      </c>
      <c r="E7471">
        <v>30.411314999999998</v>
      </c>
      <c r="F7471" t="s">
        <v>2949</v>
      </c>
      <c r="G7471">
        <v>-89.807353000000006</v>
      </c>
      <c r="H7471">
        <v>1600</v>
      </c>
      <c r="I7471">
        <v>-11</v>
      </c>
      <c r="J7471">
        <v>131</v>
      </c>
      <c r="K7471">
        <v>0</v>
      </c>
      <c r="L7471">
        <v>1200</v>
      </c>
      <c r="M7471" t="str">
        <f t="shared" si="758"/>
        <v xml:space="preserve">N35DC   </v>
      </c>
      <c r="N7471">
        <v>1</v>
      </c>
      <c r="O7471">
        <v>1700</v>
      </c>
    </row>
    <row r="7472" spans="1:15" x14ac:dyDescent="0.25">
      <c r="A7472" t="str">
        <f>"10/21/2020 19:06:23.573"</f>
        <v>10/21/2020 19:06:23.573</v>
      </c>
      <c r="B7472" t="str">
        <f>"19:06:31.531"</f>
        <v>19:06:31.531</v>
      </c>
      <c r="C7472" t="str">
        <f>"19:06:31.331"</f>
        <v>19:06:31.331</v>
      </c>
      <c r="D7472" t="s">
        <v>3022</v>
      </c>
      <c r="E7472">
        <v>30.411314999999998</v>
      </c>
      <c r="F7472" t="s">
        <v>2949</v>
      </c>
      <c r="G7472">
        <v>-89.807353000000006</v>
      </c>
      <c r="H7472">
        <v>1600</v>
      </c>
      <c r="I7472">
        <v>-11</v>
      </c>
      <c r="J7472">
        <v>131</v>
      </c>
      <c r="K7472">
        <v>0</v>
      </c>
      <c r="L7472">
        <v>1200</v>
      </c>
      <c r="M7472" t="str">
        <f t="shared" si="758"/>
        <v xml:space="preserve">N35DC   </v>
      </c>
      <c r="N7472">
        <v>1</v>
      </c>
      <c r="O7472">
        <v>1700</v>
      </c>
    </row>
    <row r="7473" spans="1:15" x14ac:dyDescent="0.25">
      <c r="A7473" t="str">
        <f>"10/21/2020 19:06:23.573"</f>
        <v>10/21/2020 19:06:23.573</v>
      </c>
      <c r="B7473" t="str">
        <f>"19:06:31.531"</f>
        <v>19:06:31.531</v>
      </c>
      <c r="C7473" t="str">
        <f>"19:06:31.331"</f>
        <v>19:06:31.331</v>
      </c>
      <c r="D7473" t="s">
        <v>3022</v>
      </c>
      <c r="E7473">
        <v>30.411314999999998</v>
      </c>
      <c r="F7473" t="s">
        <v>2949</v>
      </c>
      <c r="G7473">
        <v>-89.807353000000006</v>
      </c>
      <c r="H7473">
        <v>1600</v>
      </c>
      <c r="I7473">
        <v>-11</v>
      </c>
      <c r="J7473">
        <v>131</v>
      </c>
      <c r="K7473">
        <v>0</v>
      </c>
      <c r="L7473">
        <v>1200</v>
      </c>
      <c r="M7473" t="str">
        <f t="shared" si="758"/>
        <v xml:space="preserve">N35DC   </v>
      </c>
      <c r="N7473">
        <v>1</v>
      </c>
      <c r="O7473">
        <v>1700</v>
      </c>
    </row>
    <row r="7474" spans="1:15" x14ac:dyDescent="0.25">
      <c r="A7474" t="str">
        <f>"10/21/2020 19:06:23.573"</f>
        <v>10/21/2020 19:06:23.573</v>
      </c>
      <c r="B7474" t="str">
        <f>"19:06:31.531"</f>
        <v>19:06:31.531</v>
      </c>
      <c r="C7474" t="str">
        <f>"19:06:31.331"</f>
        <v>19:06:31.331</v>
      </c>
      <c r="D7474" t="s">
        <v>3022</v>
      </c>
      <c r="E7474">
        <v>30.411314999999998</v>
      </c>
      <c r="F7474" t="s">
        <v>2949</v>
      </c>
      <c r="G7474">
        <v>-89.807353000000006</v>
      </c>
      <c r="H7474">
        <v>1600</v>
      </c>
      <c r="I7474">
        <v>-11</v>
      </c>
      <c r="J7474">
        <v>131</v>
      </c>
      <c r="K7474">
        <v>0</v>
      </c>
      <c r="L7474">
        <v>1200</v>
      </c>
      <c r="M7474" t="str">
        <f t="shared" si="758"/>
        <v xml:space="preserve">N35DC   </v>
      </c>
      <c r="N7474">
        <v>1</v>
      </c>
      <c r="O7474">
        <v>1700</v>
      </c>
    </row>
    <row r="7475" spans="1:15" x14ac:dyDescent="0.25">
      <c r="A7475" t="str">
        <f>"10/21/2020 19:06:25.724"</f>
        <v>10/21/2020 19:06:25.724</v>
      </c>
      <c r="B7475" t="str">
        <f t="shared" ref="B7475:C7479" si="759">"19:06:33.688"</f>
        <v>19:06:33.688</v>
      </c>
      <c r="C7475" t="str">
        <f t="shared" si="759"/>
        <v>19:06:33.688</v>
      </c>
      <c r="D7475" t="s">
        <v>3023</v>
      </c>
      <c r="E7475">
        <v>30.412624000000001</v>
      </c>
      <c r="F7475" t="s">
        <v>91</v>
      </c>
      <c r="G7475">
        <v>-89.807460000000006</v>
      </c>
      <c r="H7475">
        <v>1600</v>
      </c>
      <c r="I7475">
        <v>-12</v>
      </c>
      <c r="J7475">
        <v>132</v>
      </c>
      <c r="K7475">
        <v>64</v>
      </c>
      <c r="L7475">
        <v>1200</v>
      </c>
      <c r="M7475" t="str">
        <f t="shared" si="758"/>
        <v xml:space="preserve">N35DC   </v>
      </c>
      <c r="N7475">
        <v>1</v>
      </c>
      <c r="O7475">
        <v>1700</v>
      </c>
    </row>
    <row r="7476" spans="1:15" x14ac:dyDescent="0.25">
      <c r="A7476" t="str">
        <f>"10/21/2020 19:06:25.724"</f>
        <v>10/21/2020 19:06:25.724</v>
      </c>
      <c r="B7476" t="str">
        <f t="shared" si="759"/>
        <v>19:06:33.688</v>
      </c>
      <c r="C7476" t="str">
        <f t="shared" si="759"/>
        <v>19:06:33.688</v>
      </c>
      <c r="D7476" t="s">
        <v>3023</v>
      </c>
      <c r="E7476">
        <v>30.412624000000001</v>
      </c>
      <c r="F7476" t="s">
        <v>91</v>
      </c>
      <c r="G7476">
        <v>-89.807460000000006</v>
      </c>
      <c r="H7476">
        <v>1600</v>
      </c>
      <c r="I7476">
        <v>-12</v>
      </c>
      <c r="J7476">
        <v>132</v>
      </c>
      <c r="K7476">
        <v>64</v>
      </c>
      <c r="L7476">
        <v>1200</v>
      </c>
      <c r="M7476" t="str">
        <f t="shared" si="758"/>
        <v xml:space="preserve">N35DC   </v>
      </c>
      <c r="N7476">
        <v>1</v>
      </c>
      <c r="O7476">
        <v>1700</v>
      </c>
    </row>
    <row r="7477" spans="1:15" x14ac:dyDescent="0.25">
      <c r="A7477" t="str">
        <f>"10/21/2020 19:06:25.724"</f>
        <v>10/21/2020 19:06:25.724</v>
      </c>
      <c r="B7477" t="str">
        <f t="shared" si="759"/>
        <v>19:06:33.688</v>
      </c>
      <c r="C7477" t="str">
        <f t="shared" si="759"/>
        <v>19:06:33.688</v>
      </c>
      <c r="D7477" t="s">
        <v>3023</v>
      </c>
      <c r="E7477">
        <v>30.412624000000001</v>
      </c>
      <c r="F7477" t="s">
        <v>91</v>
      </c>
      <c r="G7477">
        <v>-89.807460000000006</v>
      </c>
      <c r="H7477">
        <v>1600</v>
      </c>
      <c r="I7477">
        <v>-12</v>
      </c>
      <c r="J7477">
        <v>132</v>
      </c>
      <c r="K7477">
        <v>64</v>
      </c>
      <c r="L7477">
        <v>1200</v>
      </c>
      <c r="M7477" t="str">
        <f t="shared" si="758"/>
        <v xml:space="preserve">N35DC   </v>
      </c>
      <c r="N7477">
        <v>1</v>
      </c>
      <c r="O7477">
        <v>1700</v>
      </c>
    </row>
    <row r="7478" spans="1:15" x14ac:dyDescent="0.25">
      <c r="A7478" t="str">
        <f>"10/21/2020 19:06:25.724"</f>
        <v>10/21/2020 19:06:25.724</v>
      </c>
      <c r="B7478" t="str">
        <f t="shared" si="759"/>
        <v>19:06:33.688</v>
      </c>
      <c r="C7478" t="str">
        <f t="shared" si="759"/>
        <v>19:06:33.688</v>
      </c>
      <c r="D7478" t="s">
        <v>3023</v>
      </c>
      <c r="E7478">
        <v>30.412624000000001</v>
      </c>
      <c r="F7478" t="s">
        <v>91</v>
      </c>
      <c r="G7478">
        <v>-89.807460000000006</v>
      </c>
      <c r="H7478">
        <v>1600</v>
      </c>
      <c r="I7478">
        <v>-12</v>
      </c>
      <c r="J7478">
        <v>132</v>
      </c>
      <c r="K7478">
        <v>64</v>
      </c>
      <c r="L7478">
        <v>1200</v>
      </c>
      <c r="M7478" t="str">
        <f t="shared" si="758"/>
        <v xml:space="preserve">N35DC   </v>
      </c>
      <c r="N7478">
        <v>1</v>
      </c>
      <c r="O7478">
        <v>1700</v>
      </c>
    </row>
    <row r="7479" spans="1:15" x14ac:dyDescent="0.25">
      <c r="A7479" t="str">
        <f>"10/21/2020 19:06:25.724"</f>
        <v>10/21/2020 19:06:25.724</v>
      </c>
      <c r="B7479" t="str">
        <f t="shared" si="759"/>
        <v>19:06:33.688</v>
      </c>
      <c r="C7479" t="str">
        <f t="shared" si="759"/>
        <v>19:06:33.688</v>
      </c>
      <c r="D7479" t="s">
        <v>3023</v>
      </c>
      <c r="E7479">
        <v>30.412624000000001</v>
      </c>
      <c r="F7479" t="s">
        <v>91</v>
      </c>
      <c r="G7479">
        <v>-89.807460000000006</v>
      </c>
      <c r="H7479">
        <v>1600</v>
      </c>
      <c r="I7479">
        <v>-12</v>
      </c>
      <c r="J7479">
        <v>132</v>
      </c>
      <c r="K7479">
        <v>64</v>
      </c>
      <c r="L7479">
        <v>1200</v>
      </c>
      <c r="M7479" t="str">
        <f t="shared" si="758"/>
        <v xml:space="preserve">N35DC   </v>
      </c>
      <c r="N7479">
        <v>1</v>
      </c>
      <c r="O7479">
        <v>1700</v>
      </c>
    </row>
    <row r="7480" spans="1:15" x14ac:dyDescent="0.25">
      <c r="A7480" t="str">
        <f>"10/21/2020 19:06:26.857"</f>
        <v>10/21/2020 19:06:26.857</v>
      </c>
      <c r="B7480" t="str">
        <f t="shared" ref="B7480:C7484" si="760">"19:06:34.813"</f>
        <v>19:06:34.813</v>
      </c>
      <c r="C7480" t="str">
        <f t="shared" si="760"/>
        <v>19:06:34.813</v>
      </c>
      <c r="D7480" t="s">
        <v>3024</v>
      </c>
      <c r="E7480">
        <v>30.413311</v>
      </c>
      <c r="F7480" t="s">
        <v>3025</v>
      </c>
      <c r="G7480">
        <v>-89.807568000000003</v>
      </c>
      <c r="H7480">
        <v>1600</v>
      </c>
      <c r="I7480">
        <v>-11</v>
      </c>
      <c r="J7480">
        <v>132</v>
      </c>
      <c r="K7480">
        <v>64</v>
      </c>
      <c r="L7480">
        <v>1200</v>
      </c>
      <c r="M7480" t="str">
        <f t="shared" si="758"/>
        <v xml:space="preserve">N35DC   </v>
      </c>
      <c r="N7480">
        <v>1</v>
      </c>
      <c r="O7480">
        <v>1700</v>
      </c>
    </row>
    <row r="7481" spans="1:15" x14ac:dyDescent="0.25">
      <c r="A7481" t="str">
        <f>"10/21/2020 19:06:26.857"</f>
        <v>10/21/2020 19:06:26.857</v>
      </c>
      <c r="B7481" t="str">
        <f t="shared" si="760"/>
        <v>19:06:34.813</v>
      </c>
      <c r="C7481" t="str">
        <f t="shared" si="760"/>
        <v>19:06:34.813</v>
      </c>
      <c r="D7481" t="s">
        <v>3024</v>
      </c>
      <c r="E7481">
        <v>30.413311</v>
      </c>
      <c r="F7481" t="s">
        <v>3025</v>
      </c>
      <c r="G7481">
        <v>-89.807568000000003</v>
      </c>
      <c r="H7481">
        <v>1600</v>
      </c>
      <c r="I7481">
        <v>-11</v>
      </c>
      <c r="J7481">
        <v>132</v>
      </c>
      <c r="K7481">
        <v>64</v>
      </c>
      <c r="L7481">
        <v>1200</v>
      </c>
      <c r="M7481" t="str">
        <f t="shared" si="758"/>
        <v xml:space="preserve">N35DC   </v>
      </c>
      <c r="N7481">
        <v>1</v>
      </c>
      <c r="O7481">
        <v>1700</v>
      </c>
    </row>
    <row r="7482" spans="1:15" x14ac:dyDescent="0.25">
      <c r="A7482" t="str">
        <f>"10/21/2020 19:06:26.857"</f>
        <v>10/21/2020 19:06:26.857</v>
      </c>
      <c r="B7482" t="str">
        <f t="shared" si="760"/>
        <v>19:06:34.813</v>
      </c>
      <c r="C7482" t="str">
        <f t="shared" si="760"/>
        <v>19:06:34.813</v>
      </c>
      <c r="D7482" t="s">
        <v>3024</v>
      </c>
      <c r="E7482">
        <v>30.413311</v>
      </c>
      <c r="F7482" t="s">
        <v>3025</v>
      </c>
      <c r="G7482">
        <v>-89.807568000000003</v>
      </c>
      <c r="H7482">
        <v>1600</v>
      </c>
      <c r="I7482">
        <v>-11</v>
      </c>
      <c r="J7482">
        <v>132</v>
      </c>
      <c r="K7482">
        <v>64</v>
      </c>
      <c r="L7482">
        <v>1200</v>
      </c>
      <c r="M7482" t="str">
        <f t="shared" si="758"/>
        <v xml:space="preserve">N35DC   </v>
      </c>
      <c r="N7482">
        <v>1</v>
      </c>
      <c r="O7482">
        <v>1700</v>
      </c>
    </row>
    <row r="7483" spans="1:15" x14ac:dyDescent="0.25">
      <c r="A7483" t="str">
        <f>"10/21/2020 19:06:26.857"</f>
        <v>10/21/2020 19:06:26.857</v>
      </c>
      <c r="B7483" t="str">
        <f t="shared" si="760"/>
        <v>19:06:34.813</v>
      </c>
      <c r="C7483" t="str">
        <f t="shared" si="760"/>
        <v>19:06:34.813</v>
      </c>
      <c r="D7483" t="s">
        <v>3024</v>
      </c>
      <c r="E7483">
        <v>30.413311</v>
      </c>
      <c r="F7483" t="s">
        <v>3025</v>
      </c>
      <c r="G7483">
        <v>-89.807568000000003</v>
      </c>
      <c r="H7483">
        <v>1600</v>
      </c>
      <c r="I7483">
        <v>-11</v>
      </c>
      <c r="J7483">
        <v>132</v>
      </c>
      <c r="K7483">
        <v>64</v>
      </c>
      <c r="L7483">
        <v>1200</v>
      </c>
      <c r="M7483" t="str">
        <f t="shared" si="758"/>
        <v xml:space="preserve">N35DC   </v>
      </c>
      <c r="N7483">
        <v>1</v>
      </c>
      <c r="O7483">
        <v>1700</v>
      </c>
    </row>
    <row r="7484" spans="1:15" x14ac:dyDescent="0.25">
      <c r="A7484" t="str">
        <f>"10/21/2020 19:06:26.857"</f>
        <v>10/21/2020 19:06:26.857</v>
      </c>
      <c r="B7484" t="str">
        <f t="shared" si="760"/>
        <v>19:06:34.813</v>
      </c>
      <c r="C7484" t="str">
        <f t="shared" si="760"/>
        <v>19:06:34.813</v>
      </c>
      <c r="D7484" t="s">
        <v>3024</v>
      </c>
      <c r="E7484">
        <v>30.413311</v>
      </c>
      <c r="F7484" t="s">
        <v>3025</v>
      </c>
      <c r="G7484">
        <v>-89.807568000000003</v>
      </c>
      <c r="H7484">
        <v>1600</v>
      </c>
      <c r="I7484">
        <v>-11</v>
      </c>
      <c r="J7484">
        <v>132</v>
      </c>
      <c r="K7484">
        <v>64</v>
      </c>
      <c r="L7484">
        <v>1200</v>
      </c>
      <c r="M7484" t="str">
        <f t="shared" si="758"/>
        <v xml:space="preserve">N35DC   </v>
      </c>
      <c r="N7484">
        <v>1</v>
      </c>
      <c r="O7484">
        <v>1700</v>
      </c>
    </row>
    <row r="7485" spans="1:15" x14ac:dyDescent="0.25">
      <c r="A7485" t="str">
        <f>"10/21/2020 19:06:27.815"</f>
        <v>10/21/2020 19:06:27.815</v>
      </c>
      <c r="B7485" t="str">
        <f>"19:06:35.758"</f>
        <v>19:06:35.758</v>
      </c>
      <c r="C7485" t="str">
        <f>"19:06:35.358"</f>
        <v>19:06:35.358</v>
      </c>
      <c r="D7485" t="s">
        <v>3026</v>
      </c>
      <c r="E7485">
        <v>30.413868000000001</v>
      </c>
      <c r="F7485" t="s">
        <v>3025</v>
      </c>
      <c r="G7485">
        <v>-89.807568000000003</v>
      </c>
      <c r="H7485">
        <v>1600</v>
      </c>
      <c r="I7485">
        <v>-11</v>
      </c>
      <c r="J7485">
        <v>132</v>
      </c>
      <c r="K7485">
        <v>0</v>
      </c>
      <c r="L7485">
        <v>1200</v>
      </c>
      <c r="M7485" t="str">
        <f t="shared" si="758"/>
        <v xml:space="preserve">N35DC   </v>
      </c>
      <c r="N7485">
        <v>1</v>
      </c>
      <c r="O7485">
        <v>1700</v>
      </c>
    </row>
    <row r="7486" spans="1:15" x14ac:dyDescent="0.25">
      <c r="A7486" t="str">
        <f>"10/21/2020 19:06:27.815"</f>
        <v>10/21/2020 19:06:27.815</v>
      </c>
      <c r="B7486" t="str">
        <f>"19:06:35.758"</f>
        <v>19:06:35.758</v>
      </c>
      <c r="C7486" t="str">
        <f>"19:06:35.358"</f>
        <v>19:06:35.358</v>
      </c>
      <c r="D7486" t="s">
        <v>3026</v>
      </c>
      <c r="E7486">
        <v>30.413868000000001</v>
      </c>
      <c r="F7486" t="s">
        <v>3025</v>
      </c>
      <c r="G7486">
        <v>-89.807568000000003</v>
      </c>
      <c r="H7486">
        <v>1600</v>
      </c>
      <c r="I7486">
        <v>-11</v>
      </c>
      <c r="J7486">
        <v>132</v>
      </c>
      <c r="K7486">
        <v>0</v>
      </c>
      <c r="L7486">
        <v>1200</v>
      </c>
      <c r="M7486" t="str">
        <f t="shared" si="758"/>
        <v xml:space="preserve">N35DC   </v>
      </c>
      <c r="N7486">
        <v>1</v>
      </c>
      <c r="O7486">
        <v>1700</v>
      </c>
    </row>
    <row r="7487" spans="1:15" x14ac:dyDescent="0.25">
      <c r="A7487" t="str">
        <f>"10/21/2020 19:06:27.815"</f>
        <v>10/21/2020 19:06:27.815</v>
      </c>
      <c r="B7487" t="str">
        <f>"19:06:35.758"</f>
        <v>19:06:35.758</v>
      </c>
      <c r="C7487" t="str">
        <f>"19:06:35.358"</f>
        <v>19:06:35.358</v>
      </c>
      <c r="D7487" t="s">
        <v>3026</v>
      </c>
      <c r="E7487">
        <v>30.413868000000001</v>
      </c>
      <c r="F7487" t="s">
        <v>3025</v>
      </c>
      <c r="G7487">
        <v>-89.807568000000003</v>
      </c>
      <c r="H7487">
        <v>1600</v>
      </c>
      <c r="I7487">
        <v>-11</v>
      </c>
      <c r="J7487">
        <v>132</v>
      </c>
      <c r="K7487">
        <v>0</v>
      </c>
      <c r="L7487">
        <v>1200</v>
      </c>
      <c r="M7487" t="str">
        <f t="shared" si="758"/>
        <v xml:space="preserve">N35DC   </v>
      </c>
      <c r="N7487">
        <v>1</v>
      </c>
      <c r="O7487">
        <v>1700</v>
      </c>
    </row>
    <row r="7488" spans="1:15" x14ac:dyDescent="0.25">
      <c r="A7488" t="str">
        <f>"10/21/2020 19:06:27.815"</f>
        <v>10/21/2020 19:06:27.815</v>
      </c>
      <c r="B7488" t="str">
        <f>"19:06:35.758"</f>
        <v>19:06:35.758</v>
      </c>
      <c r="C7488" t="str">
        <f>"19:06:35.358"</f>
        <v>19:06:35.358</v>
      </c>
      <c r="D7488" t="s">
        <v>3026</v>
      </c>
      <c r="E7488">
        <v>30.413868000000001</v>
      </c>
      <c r="F7488" t="s">
        <v>3025</v>
      </c>
      <c r="G7488">
        <v>-89.807568000000003</v>
      </c>
      <c r="H7488">
        <v>1600</v>
      </c>
      <c r="I7488">
        <v>-11</v>
      </c>
      <c r="J7488">
        <v>132</v>
      </c>
      <c r="K7488">
        <v>0</v>
      </c>
      <c r="L7488">
        <v>1200</v>
      </c>
      <c r="M7488" t="str">
        <f t="shared" si="758"/>
        <v xml:space="preserve">N35DC   </v>
      </c>
      <c r="N7488">
        <v>1</v>
      </c>
      <c r="O7488">
        <v>1700</v>
      </c>
    </row>
    <row r="7489" spans="1:15" x14ac:dyDescent="0.25">
      <c r="A7489" t="str">
        <f>"10/21/2020 19:06:27.815"</f>
        <v>10/21/2020 19:06:27.815</v>
      </c>
      <c r="B7489" t="str">
        <f>"19:06:35.758"</f>
        <v>19:06:35.758</v>
      </c>
      <c r="C7489" t="str">
        <f>"19:06:35.358"</f>
        <v>19:06:35.358</v>
      </c>
      <c r="D7489" t="s">
        <v>3026</v>
      </c>
      <c r="E7489">
        <v>30.413868000000001</v>
      </c>
      <c r="F7489" t="s">
        <v>3025</v>
      </c>
      <c r="G7489">
        <v>-89.807568000000003</v>
      </c>
      <c r="H7489">
        <v>1600</v>
      </c>
      <c r="I7489">
        <v>-11</v>
      </c>
      <c r="J7489">
        <v>132</v>
      </c>
      <c r="K7489">
        <v>0</v>
      </c>
      <c r="L7489">
        <v>1200</v>
      </c>
      <c r="M7489" t="str">
        <f t="shared" si="758"/>
        <v xml:space="preserve">N35DC   </v>
      </c>
      <c r="N7489">
        <v>1</v>
      </c>
      <c r="O7489">
        <v>1700</v>
      </c>
    </row>
    <row r="7490" spans="1:15" x14ac:dyDescent="0.25">
      <c r="A7490" t="str">
        <f>"10/21/2020 19:06:30.796"</f>
        <v>10/21/2020 19:06:30.796</v>
      </c>
      <c r="B7490" t="str">
        <f>"19:06:38.758"</f>
        <v>19:06:38.758</v>
      </c>
      <c r="C7490" t="str">
        <f>"19:06:38.458"</f>
        <v>19:06:38.458</v>
      </c>
      <c r="D7490" t="s">
        <v>3027</v>
      </c>
      <c r="E7490">
        <v>30.415735000000002</v>
      </c>
      <c r="F7490" t="s">
        <v>89</v>
      </c>
      <c r="G7490">
        <v>-89.807804000000004</v>
      </c>
      <c r="H7490">
        <v>1600</v>
      </c>
      <c r="I7490">
        <v>-12</v>
      </c>
      <c r="J7490">
        <v>134</v>
      </c>
      <c r="K7490">
        <v>-64</v>
      </c>
      <c r="L7490">
        <v>1200</v>
      </c>
      <c r="M7490" t="str">
        <f t="shared" si="758"/>
        <v xml:space="preserve">N35DC   </v>
      </c>
      <c r="N7490">
        <v>1</v>
      </c>
      <c r="O7490">
        <v>1700</v>
      </c>
    </row>
    <row r="7491" spans="1:15" x14ac:dyDescent="0.25">
      <c r="A7491" t="str">
        <f>"10/21/2020 19:06:30.796"</f>
        <v>10/21/2020 19:06:30.796</v>
      </c>
      <c r="B7491" t="str">
        <f>"19:06:38.758"</f>
        <v>19:06:38.758</v>
      </c>
      <c r="C7491" t="str">
        <f>"19:06:38.458"</f>
        <v>19:06:38.458</v>
      </c>
      <c r="D7491" t="s">
        <v>3027</v>
      </c>
      <c r="E7491">
        <v>30.415735000000002</v>
      </c>
      <c r="F7491" t="s">
        <v>89</v>
      </c>
      <c r="G7491">
        <v>-89.807804000000004</v>
      </c>
      <c r="H7491">
        <v>1600</v>
      </c>
      <c r="I7491">
        <v>-12</v>
      </c>
      <c r="J7491">
        <v>134</v>
      </c>
      <c r="K7491">
        <v>-64</v>
      </c>
      <c r="L7491">
        <v>1200</v>
      </c>
      <c r="M7491" t="str">
        <f t="shared" si="758"/>
        <v xml:space="preserve">N35DC   </v>
      </c>
      <c r="N7491">
        <v>1</v>
      </c>
      <c r="O7491">
        <v>1700</v>
      </c>
    </row>
    <row r="7492" spans="1:15" x14ac:dyDescent="0.25">
      <c r="A7492" t="str">
        <f>"10/21/2020 19:06:30.796"</f>
        <v>10/21/2020 19:06:30.796</v>
      </c>
      <c r="B7492" t="str">
        <f>"19:06:38.758"</f>
        <v>19:06:38.758</v>
      </c>
      <c r="C7492" t="str">
        <f>"19:06:38.458"</f>
        <v>19:06:38.458</v>
      </c>
      <c r="D7492" t="s">
        <v>3027</v>
      </c>
      <c r="E7492">
        <v>30.415735000000002</v>
      </c>
      <c r="F7492" t="s">
        <v>89</v>
      </c>
      <c r="G7492">
        <v>-89.807804000000004</v>
      </c>
      <c r="H7492">
        <v>1600</v>
      </c>
      <c r="I7492">
        <v>-12</v>
      </c>
      <c r="J7492">
        <v>134</v>
      </c>
      <c r="K7492">
        <v>-64</v>
      </c>
      <c r="L7492">
        <v>1200</v>
      </c>
      <c r="M7492" t="str">
        <f t="shared" si="758"/>
        <v xml:space="preserve">N35DC   </v>
      </c>
      <c r="N7492">
        <v>1</v>
      </c>
      <c r="O7492">
        <v>1700</v>
      </c>
    </row>
    <row r="7493" spans="1:15" x14ac:dyDescent="0.25">
      <c r="A7493" t="str">
        <f>"10/21/2020 19:06:30.796"</f>
        <v>10/21/2020 19:06:30.796</v>
      </c>
      <c r="B7493" t="str">
        <f>"19:06:38.758"</f>
        <v>19:06:38.758</v>
      </c>
      <c r="C7493" t="str">
        <f>"19:06:38.458"</f>
        <v>19:06:38.458</v>
      </c>
      <c r="D7493" t="s">
        <v>3027</v>
      </c>
      <c r="E7493">
        <v>30.415735000000002</v>
      </c>
      <c r="F7493" t="s">
        <v>89</v>
      </c>
      <c r="G7493">
        <v>-89.807804000000004</v>
      </c>
      <c r="H7493">
        <v>1600</v>
      </c>
      <c r="I7493">
        <v>-12</v>
      </c>
      <c r="J7493">
        <v>134</v>
      </c>
      <c r="K7493">
        <v>-64</v>
      </c>
      <c r="L7493">
        <v>1200</v>
      </c>
      <c r="M7493" t="str">
        <f t="shared" si="758"/>
        <v xml:space="preserve">N35DC   </v>
      </c>
      <c r="N7493">
        <v>1</v>
      </c>
      <c r="O7493">
        <v>1700</v>
      </c>
    </row>
    <row r="7494" spans="1:15" x14ac:dyDescent="0.25">
      <c r="A7494" t="str">
        <f>"10/21/2020 19:06:30.796"</f>
        <v>10/21/2020 19:06:30.796</v>
      </c>
      <c r="B7494" t="str">
        <f>"19:06:38.758"</f>
        <v>19:06:38.758</v>
      </c>
      <c r="C7494" t="str">
        <f>"19:06:38.458"</f>
        <v>19:06:38.458</v>
      </c>
      <c r="D7494" t="s">
        <v>3027</v>
      </c>
      <c r="E7494">
        <v>30.415735000000002</v>
      </c>
      <c r="F7494" t="s">
        <v>89</v>
      </c>
      <c r="G7494">
        <v>-89.807804000000004</v>
      </c>
      <c r="H7494">
        <v>1600</v>
      </c>
      <c r="I7494">
        <v>-12</v>
      </c>
      <c r="J7494">
        <v>134</v>
      </c>
      <c r="K7494">
        <v>-64</v>
      </c>
      <c r="L7494">
        <v>1200</v>
      </c>
      <c r="M7494" t="str">
        <f t="shared" si="758"/>
        <v xml:space="preserve">N35DC   </v>
      </c>
      <c r="N7494">
        <v>1</v>
      </c>
      <c r="O7494">
        <v>1700</v>
      </c>
    </row>
    <row r="7495" spans="1:15" x14ac:dyDescent="0.25">
      <c r="A7495" t="str">
        <f>"10/21/2020 19:06:31.770"</f>
        <v>10/21/2020 19:06:31.770</v>
      </c>
      <c r="B7495" t="str">
        <f>"19:06:39.734"</f>
        <v>19:06:39.734</v>
      </c>
      <c r="C7495" t="str">
        <f>"19:06:39.434"</f>
        <v>19:06:39.434</v>
      </c>
      <c r="D7495" t="s">
        <v>3028</v>
      </c>
      <c r="E7495">
        <v>30.416336000000001</v>
      </c>
      <c r="F7495" t="s">
        <v>3029</v>
      </c>
      <c r="G7495">
        <v>-89.807846999999995</v>
      </c>
      <c r="H7495">
        <v>1600</v>
      </c>
      <c r="I7495">
        <v>-13</v>
      </c>
      <c r="J7495">
        <v>135</v>
      </c>
      <c r="K7495">
        <v>0</v>
      </c>
      <c r="L7495">
        <v>1200</v>
      </c>
      <c r="M7495" t="str">
        <f t="shared" ref="M7495:M7558" si="761">"N35DC   "</f>
        <v xml:space="preserve">N35DC   </v>
      </c>
      <c r="N7495">
        <v>1</v>
      </c>
      <c r="O7495">
        <v>1700</v>
      </c>
    </row>
    <row r="7496" spans="1:15" x14ac:dyDescent="0.25">
      <c r="A7496" t="str">
        <f>"10/21/2020 19:06:31.770"</f>
        <v>10/21/2020 19:06:31.770</v>
      </c>
      <c r="B7496" t="str">
        <f>"19:06:39.734"</f>
        <v>19:06:39.734</v>
      </c>
      <c r="C7496" t="str">
        <f>"19:06:39.434"</f>
        <v>19:06:39.434</v>
      </c>
      <c r="D7496" t="s">
        <v>3028</v>
      </c>
      <c r="E7496">
        <v>30.416336000000001</v>
      </c>
      <c r="F7496" t="s">
        <v>3029</v>
      </c>
      <c r="G7496">
        <v>-89.807846999999995</v>
      </c>
      <c r="H7496">
        <v>1600</v>
      </c>
      <c r="I7496">
        <v>-13</v>
      </c>
      <c r="J7496">
        <v>135</v>
      </c>
      <c r="K7496">
        <v>0</v>
      </c>
      <c r="L7496">
        <v>1200</v>
      </c>
      <c r="M7496" t="str">
        <f t="shared" si="761"/>
        <v xml:space="preserve">N35DC   </v>
      </c>
      <c r="N7496">
        <v>1</v>
      </c>
      <c r="O7496">
        <v>1700</v>
      </c>
    </row>
    <row r="7497" spans="1:15" x14ac:dyDescent="0.25">
      <c r="A7497" t="str">
        <f>"10/21/2020 19:06:31.770"</f>
        <v>10/21/2020 19:06:31.770</v>
      </c>
      <c r="B7497" t="str">
        <f>"19:06:39.734"</f>
        <v>19:06:39.734</v>
      </c>
      <c r="C7497" t="str">
        <f>"19:06:39.434"</f>
        <v>19:06:39.434</v>
      </c>
      <c r="D7497" t="s">
        <v>3028</v>
      </c>
      <c r="E7497">
        <v>30.416336000000001</v>
      </c>
      <c r="F7497" t="s">
        <v>3029</v>
      </c>
      <c r="G7497">
        <v>-89.807846999999995</v>
      </c>
      <c r="H7497">
        <v>1600</v>
      </c>
      <c r="I7497">
        <v>-13</v>
      </c>
      <c r="J7497">
        <v>135</v>
      </c>
      <c r="K7497">
        <v>0</v>
      </c>
      <c r="L7497">
        <v>1200</v>
      </c>
      <c r="M7497" t="str">
        <f t="shared" si="761"/>
        <v xml:space="preserve">N35DC   </v>
      </c>
      <c r="N7497">
        <v>1</v>
      </c>
      <c r="O7497">
        <v>1700</v>
      </c>
    </row>
    <row r="7498" spans="1:15" x14ac:dyDescent="0.25">
      <c r="A7498" t="str">
        <f>"10/21/2020 19:06:31.770"</f>
        <v>10/21/2020 19:06:31.770</v>
      </c>
      <c r="B7498" t="str">
        <f>"19:06:39.734"</f>
        <v>19:06:39.734</v>
      </c>
      <c r="C7498" t="str">
        <f>"19:06:39.434"</f>
        <v>19:06:39.434</v>
      </c>
      <c r="D7498" t="s">
        <v>3028</v>
      </c>
      <c r="E7498">
        <v>30.416336000000001</v>
      </c>
      <c r="F7498" t="s">
        <v>3029</v>
      </c>
      <c r="G7498">
        <v>-89.807846999999995</v>
      </c>
      <c r="H7498">
        <v>1600</v>
      </c>
      <c r="I7498">
        <v>-13</v>
      </c>
      <c r="J7498">
        <v>135</v>
      </c>
      <c r="K7498">
        <v>0</v>
      </c>
      <c r="L7498">
        <v>1200</v>
      </c>
      <c r="M7498" t="str">
        <f t="shared" si="761"/>
        <v xml:space="preserve">N35DC   </v>
      </c>
      <c r="N7498">
        <v>1</v>
      </c>
      <c r="O7498">
        <v>1700</v>
      </c>
    </row>
    <row r="7499" spans="1:15" x14ac:dyDescent="0.25">
      <c r="A7499" t="str">
        <f>"10/21/2020 19:06:31.770"</f>
        <v>10/21/2020 19:06:31.770</v>
      </c>
      <c r="B7499" t="str">
        <f>"19:06:39.734"</f>
        <v>19:06:39.734</v>
      </c>
      <c r="C7499" t="str">
        <f>"19:06:39.434"</f>
        <v>19:06:39.434</v>
      </c>
      <c r="D7499" t="s">
        <v>3028</v>
      </c>
      <c r="E7499">
        <v>30.416336000000001</v>
      </c>
      <c r="F7499" t="s">
        <v>3029</v>
      </c>
      <c r="G7499">
        <v>-89.807846999999995</v>
      </c>
      <c r="H7499">
        <v>1600</v>
      </c>
      <c r="I7499">
        <v>-13</v>
      </c>
      <c r="J7499">
        <v>135</v>
      </c>
      <c r="K7499">
        <v>0</v>
      </c>
      <c r="L7499">
        <v>1200</v>
      </c>
      <c r="M7499" t="str">
        <f t="shared" si="761"/>
        <v xml:space="preserve">N35DC   </v>
      </c>
      <c r="N7499">
        <v>1</v>
      </c>
      <c r="O7499">
        <v>1700</v>
      </c>
    </row>
    <row r="7500" spans="1:15" x14ac:dyDescent="0.25">
      <c r="A7500" t="str">
        <f>"10/21/2020 19:06:32.694"</f>
        <v>10/21/2020 19:06:32.694</v>
      </c>
      <c r="B7500" t="str">
        <f>"19:06:40.648"</f>
        <v>19:06:40.648</v>
      </c>
      <c r="C7500" t="str">
        <f>"19:06:40.448"</f>
        <v>19:06:40.448</v>
      </c>
      <c r="D7500" t="s">
        <v>3030</v>
      </c>
      <c r="E7500">
        <v>30.416958000000001</v>
      </c>
      <c r="F7500" t="s">
        <v>3031</v>
      </c>
      <c r="G7500">
        <v>-89.807911000000004</v>
      </c>
      <c r="H7500">
        <v>1600</v>
      </c>
      <c r="I7500">
        <v>-13</v>
      </c>
      <c r="J7500">
        <v>135</v>
      </c>
      <c r="K7500">
        <v>0</v>
      </c>
      <c r="L7500">
        <v>1200</v>
      </c>
      <c r="M7500" t="str">
        <f t="shared" si="761"/>
        <v xml:space="preserve">N35DC   </v>
      </c>
      <c r="N7500">
        <v>1</v>
      </c>
      <c r="O7500">
        <v>1700</v>
      </c>
    </row>
    <row r="7501" spans="1:15" x14ac:dyDescent="0.25">
      <c r="A7501" t="str">
        <f>"10/21/2020 19:06:32.694"</f>
        <v>10/21/2020 19:06:32.694</v>
      </c>
      <c r="B7501" t="str">
        <f>"19:06:40.648"</f>
        <v>19:06:40.648</v>
      </c>
      <c r="C7501" t="str">
        <f>"19:06:40.448"</f>
        <v>19:06:40.448</v>
      </c>
      <c r="D7501" t="s">
        <v>3030</v>
      </c>
      <c r="E7501">
        <v>30.416958000000001</v>
      </c>
      <c r="F7501" t="s">
        <v>3031</v>
      </c>
      <c r="G7501">
        <v>-89.807911000000004</v>
      </c>
      <c r="H7501">
        <v>1600</v>
      </c>
      <c r="I7501">
        <v>-13</v>
      </c>
      <c r="J7501">
        <v>135</v>
      </c>
      <c r="K7501">
        <v>0</v>
      </c>
      <c r="L7501">
        <v>1200</v>
      </c>
      <c r="M7501" t="str">
        <f t="shared" si="761"/>
        <v xml:space="preserve">N35DC   </v>
      </c>
      <c r="N7501">
        <v>1</v>
      </c>
      <c r="O7501">
        <v>1700</v>
      </c>
    </row>
    <row r="7502" spans="1:15" x14ac:dyDescent="0.25">
      <c r="A7502" t="str">
        <f>"10/21/2020 19:06:32.694"</f>
        <v>10/21/2020 19:06:32.694</v>
      </c>
      <c r="B7502" t="str">
        <f>"19:06:40.648"</f>
        <v>19:06:40.648</v>
      </c>
      <c r="C7502" t="str">
        <f>"19:06:40.448"</f>
        <v>19:06:40.448</v>
      </c>
      <c r="D7502" t="s">
        <v>3030</v>
      </c>
      <c r="E7502">
        <v>30.416958000000001</v>
      </c>
      <c r="F7502" t="s">
        <v>3031</v>
      </c>
      <c r="G7502">
        <v>-89.807911000000004</v>
      </c>
      <c r="H7502">
        <v>1600</v>
      </c>
      <c r="I7502">
        <v>-13</v>
      </c>
      <c r="J7502">
        <v>135</v>
      </c>
      <c r="K7502">
        <v>0</v>
      </c>
      <c r="L7502">
        <v>1200</v>
      </c>
      <c r="M7502" t="str">
        <f t="shared" si="761"/>
        <v xml:space="preserve">N35DC   </v>
      </c>
      <c r="N7502">
        <v>1</v>
      </c>
      <c r="O7502">
        <v>1700</v>
      </c>
    </row>
    <row r="7503" spans="1:15" x14ac:dyDescent="0.25">
      <c r="A7503" t="str">
        <f>"10/21/2020 19:06:32.694"</f>
        <v>10/21/2020 19:06:32.694</v>
      </c>
      <c r="B7503" t="str">
        <f>"19:06:40.648"</f>
        <v>19:06:40.648</v>
      </c>
      <c r="C7503" t="str">
        <f>"19:06:40.448"</f>
        <v>19:06:40.448</v>
      </c>
      <c r="D7503" t="s">
        <v>3030</v>
      </c>
      <c r="E7503">
        <v>30.416958000000001</v>
      </c>
      <c r="F7503" t="s">
        <v>3031</v>
      </c>
      <c r="G7503">
        <v>-89.807911000000004</v>
      </c>
      <c r="H7503">
        <v>1600</v>
      </c>
      <c r="I7503">
        <v>-13</v>
      </c>
      <c r="J7503">
        <v>135</v>
      </c>
      <c r="K7503">
        <v>0</v>
      </c>
      <c r="L7503">
        <v>1200</v>
      </c>
      <c r="M7503" t="str">
        <f t="shared" si="761"/>
        <v xml:space="preserve">N35DC   </v>
      </c>
      <c r="N7503">
        <v>1</v>
      </c>
      <c r="O7503">
        <v>1700</v>
      </c>
    </row>
    <row r="7504" spans="1:15" x14ac:dyDescent="0.25">
      <c r="A7504" t="str">
        <f>"10/21/2020 19:06:32.694"</f>
        <v>10/21/2020 19:06:32.694</v>
      </c>
      <c r="B7504" t="str">
        <f>"19:06:40.648"</f>
        <v>19:06:40.648</v>
      </c>
      <c r="C7504" t="str">
        <f>"19:06:40.448"</f>
        <v>19:06:40.448</v>
      </c>
      <c r="D7504" t="s">
        <v>3030</v>
      </c>
      <c r="E7504">
        <v>30.416958000000001</v>
      </c>
      <c r="F7504" t="s">
        <v>3031</v>
      </c>
      <c r="G7504">
        <v>-89.807911000000004</v>
      </c>
      <c r="H7504">
        <v>1600</v>
      </c>
      <c r="I7504">
        <v>-13</v>
      </c>
      <c r="J7504">
        <v>135</v>
      </c>
      <c r="K7504">
        <v>0</v>
      </c>
      <c r="L7504">
        <v>1200</v>
      </c>
      <c r="M7504" t="str">
        <f t="shared" si="761"/>
        <v xml:space="preserve">N35DC   </v>
      </c>
      <c r="N7504">
        <v>1</v>
      </c>
      <c r="O7504">
        <v>1700</v>
      </c>
    </row>
    <row r="7505" spans="1:15" x14ac:dyDescent="0.25">
      <c r="A7505" t="str">
        <f>"10/21/2020 19:06:35.906"</f>
        <v>10/21/2020 19:06:35.906</v>
      </c>
      <c r="B7505" t="str">
        <f t="shared" ref="B7505:C7509" si="762">"19:06:43.859"</f>
        <v>19:06:43.859</v>
      </c>
      <c r="C7505" t="str">
        <f t="shared" si="762"/>
        <v>19:06:43.859</v>
      </c>
      <c r="D7505" t="s">
        <v>3032</v>
      </c>
      <c r="E7505">
        <v>30.418953999999999</v>
      </c>
      <c r="F7505" t="s">
        <v>3033</v>
      </c>
      <c r="G7505">
        <v>-89.808167999999995</v>
      </c>
      <c r="H7505">
        <v>1600</v>
      </c>
      <c r="I7505">
        <v>-14</v>
      </c>
      <c r="J7505">
        <v>136</v>
      </c>
      <c r="K7505">
        <v>0</v>
      </c>
      <c r="L7505">
        <v>1200</v>
      </c>
      <c r="M7505" t="str">
        <f t="shared" si="761"/>
        <v xml:space="preserve">N35DC   </v>
      </c>
      <c r="N7505">
        <v>1</v>
      </c>
      <c r="O7505">
        <v>1700</v>
      </c>
    </row>
    <row r="7506" spans="1:15" x14ac:dyDescent="0.25">
      <c r="A7506" t="str">
        <f>"10/21/2020 19:06:35.906"</f>
        <v>10/21/2020 19:06:35.906</v>
      </c>
      <c r="B7506" t="str">
        <f t="shared" si="762"/>
        <v>19:06:43.859</v>
      </c>
      <c r="C7506" t="str">
        <f t="shared" si="762"/>
        <v>19:06:43.859</v>
      </c>
      <c r="D7506" t="s">
        <v>3032</v>
      </c>
      <c r="E7506">
        <v>30.418953999999999</v>
      </c>
      <c r="F7506" t="s">
        <v>3033</v>
      </c>
      <c r="G7506">
        <v>-89.808167999999995</v>
      </c>
      <c r="H7506">
        <v>1600</v>
      </c>
      <c r="I7506">
        <v>-14</v>
      </c>
      <c r="J7506">
        <v>136</v>
      </c>
      <c r="K7506">
        <v>0</v>
      </c>
      <c r="L7506">
        <v>1200</v>
      </c>
      <c r="M7506" t="str">
        <f t="shared" si="761"/>
        <v xml:space="preserve">N35DC   </v>
      </c>
      <c r="N7506">
        <v>1</v>
      </c>
      <c r="O7506">
        <v>1700</v>
      </c>
    </row>
    <row r="7507" spans="1:15" x14ac:dyDescent="0.25">
      <c r="A7507" t="str">
        <f>"10/21/2020 19:06:35.906"</f>
        <v>10/21/2020 19:06:35.906</v>
      </c>
      <c r="B7507" t="str">
        <f t="shared" si="762"/>
        <v>19:06:43.859</v>
      </c>
      <c r="C7507" t="str">
        <f t="shared" si="762"/>
        <v>19:06:43.859</v>
      </c>
      <c r="D7507" t="s">
        <v>3032</v>
      </c>
      <c r="E7507">
        <v>30.418953999999999</v>
      </c>
      <c r="F7507" t="s">
        <v>3033</v>
      </c>
      <c r="G7507">
        <v>-89.808167999999995</v>
      </c>
      <c r="H7507">
        <v>1600</v>
      </c>
      <c r="I7507">
        <v>-14</v>
      </c>
      <c r="J7507">
        <v>136</v>
      </c>
      <c r="K7507">
        <v>0</v>
      </c>
      <c r="L7507">
        <v>1200</v>
      </c>
      <c r="M7507" t="str">
        <f t="shared" si="761"/>
        <v xml:space="preserve">N35DC   </v>
      </c>
      <c r="N7507">
        <v>1</v>
      </c>
      <c r="O7507">
        <v>1700</v>
      </c>
    </row>
    <row r="7508" spans="1:15" x14ac:dyDescent="0.25">
      <c r="A7508" t="str">
        <f>"10/21/2020 19:06:35.906"</f>
        <v>10/21/2020 19:06:35.906</v>
      </c>
      <c r="B7508" t="str">
        <f t="shared" si="762"/>
        <v>19:06:43.859</v>
      </c>
      <c r="C7508" t="str">
        <f t="shared" si="762"/>
        <v>19:06:43.859</v>
      </c>
      <c r="D7508" t="s">
        <v>3032</v>
      </c>
      <c r="E7508">
        <v>30.418953999999999</v>
      </c>
      <c r="F7508" t="s">
        <v>3033</v>
      </c>
      <c r="G7508">
        <v>-89.808167999999995</v>
      </c>
      <c r="H7508">
        <v>1600</v>
      </c>
      <c r="I7508">
        <v>-14</v>
      </c>
      <c r="J7508">
        <v>136</v>
      </c>
      <c r="K7508">
        <v>0</v>
      </c>
      <c r="L7508">
        <v>1200</v>
      </c>
      <c r="M7508" t="str">
        <f t="shared" si="761"/>
        <v xml:space="preserve">N35DC   </v>
      </c>
      <c r="N7508">
        <v>1</v>
      </c>
      <c r="O7508">
        <v>1700</v>
      </c>
    </row>
    <row r="7509" spans="1:15" x14ac:dyDescent="0.25">
      <c r="A7509" t="str">
        <f>"10/21/2020 19:06:35.906"</f>
        <v>10/21/2020 19:06:35.906</v>
      </c>
      <c r="B7509" t="str">
        <f t="shared" si="762"/>
        <v>19:06:43.859</v>
      </c>
      <c r="C7509" t="str">
        <f t="shared" si="762"/>
        <v>19:06:43.859</v>
      </c>
      <c r="D7509" t="s">
        <v>3032</v>
      </c>
      <c r="E7509">
        <v>30.418953999999999</v>
      </c>
      <c r="F7509" t="s">
        <v>3033</v>
      </c>
      <c r="G7509">
        <v>-89.808167999999995</v>
      </c>
      <c r="H7509">
        <v>1600</v>
      </c>
      <c r="I7509">
        <v>-14</v>
      </c>
      <c r="J7509">
        <v>136</v>
      </c>
      <c r="K7509">
        <v>0</v>
      </c>
      <c r="L7509">
        <v>1200</v>
      </c>
      <c r="M7509" t="str">
        <f t="shared" si="761"/>
        <v xml:space="preserve">N35DC   </v>
      </c>
      <c r="N7509">
        <v>1</v>
      </c>
      <c r="O7509">
        <v>1700</v>
      </c>
    </row>
    <row r="7510" spans="1:15" x14ac:dyDescent="0.25">
      <c r="A7510" t="str">
        <f>"10/21/2020 19:06:36.919"</f>
        <v>10/21/2020 19:06:36.919</v>
      </c>
      <c r="B7510" t="str">
        <f>"19:06:44.875"</f>
        <v>19:06:44.875</v>
      </c>
      <c r="C7510" t="str">
        <f>"19:06:44.775"</f>
        <v>19:06:44.775</v>
      </c>
      <c r="D7510" t="s">
        <v>3034</v>
      </c>
      <c r="E7510">
        <v>30.419575999999999</v>
      </c>
      <c r="F7510" t="s">
        <v>3035</v>
      </c>
      <c r="G7510">
        <v>-89.808233000000001</v>
      </c>
      <c r="H7510">
        <v>1600</v>
      </c>
      <c r="I7510">
        <v>-13</v>
      </c>
      <c r="J7510">
        <v>137</v>
      </c>
      <c r="K7510">
        <v>256</v>
      </c>
      <c r="L7510">
        <v>1200</v>
      </c>
      <c r="M7510" t="str">
        <f t="shared" si="761"/>
        <v xml:space="preserve">N35DC   </v>
      </c>
      <c r="N7510">
        <v>1</v>
      </c>
      <c r="O7510">
        <v>1700</v>
      </c>
    </row>
    <row r="7511" spans="1:15" x14ac:dyDescent="0.25">
      <c r="A7511" t="str">
        <f>"10/21/2020 19:06:36.919"</f>
        <v>10/21/2020 19:06:36.919</v>
      </c>
      <c r="B7511" t="str">
        <f>"19:06:44.875"</f>
        <v>19:06:44.875</v>
      </c>
      <c r="C7511" t="str">
        <f>"19:06:44.775"</f>
        <v>19:06:44.775</v>
      </c>
      <c r="D7511" t="s">
        <v>3034</v>
      </c>
      <c r="E7511">
        <v>30.419575999999999</v>
      </c>
      <c r="F7511" t="s">
        <v>3035</v>
      </c>
      <c r="G7511">
        <v>-89.808233000000001</v>
      </c>
      <c r="H7511">
        <v>1600</v>
      </c>
      <c r="I7511">
        <v>-13</v>
      </c>
      <c r="J7511">
        <v>137</v>
      </c>
      <c r="K7511">
        <v>256</v>
      </c>
      <c r="L7511">
        <v>1200</v>
      </c>
      <c r="M7511" t="str">
        <f t="shared" si="761"/>
        <v xml:space="preserve">N35DC   </v>
      </c>
      <c r="N7511">
        <v>1</v>
      </c>
      <c r="O7511">
        <v>1700</v>
      </c>
    </row>
    <row r="7512" spans="1:15" x14ac:dyDescent="0.25">
      <c r="A7512" t="str">
        <f>"10/21/2020 19:06:36.919"</f>
        <v>10/21/2020 19:06:36.919</v>
      </c>
      <c r="B7512" t="str">
        <f>"19:06:44.875"</f>
        <v>19:06:44.875</v>
      </c>
      <c r="C7512" t="str">
        <f>"19:06:44.775"</f>
        <v>19:06:44.775</v>
      </c>
      <c r="D7512" t="s">
        <v>3034</v>
      </c>
      <c r="E7512">
        <v>30.419575999999999</v>
      </c>
      <c r="F7512" t="s">
        <v>3035</v>
      </c>
      <c r="G7512">
        <v>-89.808233000000001</v>
      </c>
      <c r="H7512">
        <v>1600</v>
      </c>
      <c r="I7512">
        <v>-13</v>
      </c>
      <c r="J7512">
        <v>137</v>
      </c>
      <c r="K7512">
        <v>256</v>
      </c>
      <c r="L7512">
        <v>1200</v>
      </c>
      <c r="M7512" t="str">
        <f t="shared" si="761"/>
        <v xml:space="preserve">N35DC   </v>
      </c>
      <c r="N7512">
        <v>1</v>
      </c>
      <c r="O7512">
        <v>1700</v>
      </c>
    </row>
    <row r="7513" spans="1:15" x14ac:dyDescent="0.25">
      <c r="A7513" t="str">
        <f>"10/21/2020 19:06:36.919"</f>
        <v>10/21/2020 19:06:36.919</v>
      </c>
      <c r="B7513" t="str">
        <f>"19:06:44.875"</f>
        <v>19:06:44.875</v>
      </c>
      <c r="C7513" t="str">
        <f>"19:06:44.775"</f>
        <v>19:06:44.775</v>
      </c>
      <c r="D7513" t="s">
        <v>3034</v>
      </c>
      <c r="E7513">
        <v>30.419575999999999</v>
      </c>
      <c r="F7513" t="s">
        <v>3035</v>
      </c>
      <c r="G7513">
        <v>-89.808233000000001</v>
      </c>
      <c r="H7513">
        <v>1600</v>
      </c>
      <c r="I7513">
        <v>-13</v>
      </c>
      <c r="J7513">
        <v>137</v>
      </c>
      <c r="K7513">
        <v>256</v>
      </c>
      <c r="L7513">
        <v>1200</v>
      </c>
      <c r="M7513" t="str">
        <f t="shared" si="761"/>
        <v xml:space="preserve">N35DC   </v>
      </c>
      <c r="N7513">
        <v>1</v>
      </c>
      <c r="O7513">
        <v>1700</v>
      </c>
    </row>
    <row r="7514" spans="1:15" x14ac:dyDescent="0.25">
      <c r="A7514" t="str">
        <f>"10/21/2020 19:06:36.919"</f>
        <v>10/21/2020 19:06:36.919</v>
      </c>
      <c r="B7514" t="str">
        <f>"19:06:44.875"</f>
        <v>19:06:44.875</v>
      </c>
      <c r="C7514" t="str">
        <f>"19:06:44.775"</f>
        <v>19:06:44.775</v>
      </c>
      <c r="D7514" t="s">
        <v>3034</v>
      </c>
      <c r="E7514">
        <v>30.419575999999999</v>
      </c>
      <c r="F7514" t="s">
        <v>3035</v>
      </c>
      <c r="G7514">
        <v>-89.808233000000001</v>
      </c>
      <c r="H7514">
        <v>1600</v>
      </c>
      <c r="I7514">
        <v>-13</v>
      </c>
      <c r="J7514">
        <v>137</v>
      </c>
      <c r="K7514">
        <v>256</v>
      </c>
      <c r="L7514">
        <v>1200</v>
      </c>
      <c r="M7514" t="str">
        <f t="shared" si="761"/>
        <v xml:space="preserve">N35DC   </v>
      </c>
      <c r="N7514">
        <v>1</v>
      </c>
      <c r="O7514">
        <v>1700</v>
      </c>
    </row>
    <row r="7515" spans="1:15" x14ac:dyDescent="0.25">
      <c r="A7515" t="str">
        <f>"10/21/2020 19:06:37.949"</f>
        <v>10/21/2020 19:06:37.949</v>
      </c>
      <c r="B7515" t="str">
        <f t="shared" ref="B7515:C7519" si="763">"19:06:45.914"</f>
        <v>19:06:45.914</v>
      </c>
      <c r="C7515" t="str">
        <f t="shared" si="763"/>
        <v>19:06:45.914</v>
      </c>
      <c r="D7515" t="s">
        <v>3036</v>
      </c>
      <c r="E7515">
        <v>30.420262999999998</v>
      </c>
      <c r="F7515" t="s">
        <v>2355</v>
      </c>
      <c r="G7515">
        <v>-89.808296999999996</v>
      </c>
      <c r="H7515">
        <v>1600</v>
      </c>
      <c r="I7515">
        <v>-11</v>
      </c>
      <c r="J7515">
        <v>137</v>
      </c>
      <c r="K7515">
        <v>256</v>
      </c>
      <c r="L7515">
        <v>1200</v>
      </c>
      <c r="M7515" t="str">
        <f t="shared" si="761"/>
        <v xml:space="preserve">N35DC   </v>
      </c>
      <c r="N7515">
        <v>1</v>
      </c>
      <c r="O7515">
        <v>1725</v>
      </c>
    </row>
    <row r="7516" spans="1:15" x14ac:dyDescent="0.25">
      <c r="A7516" t="str">
        <f>"10/21/2020 19:06:37.949"</f>
        <v>10/21/2020 19:06:37.949</v>
      </c>
      <c r="B7516" t="str">
        <f t="shared" si="763"/>
        <v>19:06:45.914</v>
      </c>
      <c r="C7516" t="str">
        <f t="shared" si="763"/>
        <v>19:06:45.914</v>
      </c>
      <c r="D7516" t="s">
        <v>3036</v>
      </c>
      <c r="E7516">
        <v>30.420262999999998</v>
      </c>
      <c r="F7516" t="s">
        <v>2355</v>
      </c>
      <c r="G7516">
        <v>-89.808296999999996</v>
      </c>
      <c r="H7516">
        <v>1600</v>
      </c>
      <c r="I7516">
        <v>-11</v>
      </c>
      <c r="J7516">
        <v>137</v>
      </c>
      <c r="K7516">
        <v>256</v>
      </c>
      <c r="L7516">
        <v>1200</v>
      </c>
      <c r="M7516" t="str">
        <f t="shared" si="761"/>
        <v xml:space="preserve">N35DC   </v>
      </c>
      <c r="N7516">
        <v>1</v>
      </c>
      <c r="O7516">
        <v>1725</v>
      </c>
    </row>
    <row r="7517" spans="1:15" x14ac:dyDescent="0.25">
      <c r="A7517" t="str">
        <f>"10/21/2020 19:06:37.949"</f>
        <v>10/21/2020 19:06:37.949</v>
      </c>
      <c r="B7517" t="str">
        <f t="shared" si="763"/>
        <v>19:06:45.914</v>
      </c>
      <c r="C7517" t="str">
        <f t="shared" si="763"/>
        <v>19:06:45.914</v>
      </c>
      <c r="D7517" t="s">
        <v>3036</v>
      </c>
      <c r="E7517">
        <v>30.420262999999998</v>
      </c>
      <c r="F7517" t="s">
        <v>2355</v>
      </c>
      <c r="G7517">
        <v>-89.808296999999996</v>
      </c>
      <c r="H7517">
        <v>1600</v>
      </c>
      <c r="I7517">
        <v>-11</v>
      </c>
      <c r="J7517">
        <v>137</v>
      </c>
      <c r="K7517">
        <v>256</v>
      </c>
      <c r="L7517">
        <v>1200</v>
      </c>
      <c r="M7517" t="str">
        <f t="shared" si="761"/>
        <v xml:space="preserve">N35DC   </v>
      </c>
      <c r="N7517">
        <v>1</v>
      </c>
      <c r="O7517">
        <v>1725</v>
      </c>
    </row>
    <row r="7518" spans="1:15" x14ac:dyDescent="0.25">
      <c r="A7518" t="str">
        <f>"10/21/2020 19:06:37.949"</f>
        <v>10/21/2020 19:06:37.949</v>
      </c>
      <c r="B7518" t="str">
        <f t="shared" si="763"/>
        <v>19:06:45.914</v>
      </c>
      <c r="C7518" t="str">
        <f t="shared" si="763"/>
        <v>19:06:45.914</v>
      </c>
      <c r="D7518" t="s">
        <v>3036</v>
      </c>
      <c r="E7518">
        <v>30.420262999999998</v>
      </c>
      <c r="F7518" t="s">
        <v>2355</v>
      </c>
      <c r="G7518">
        <v>-89.808296999999996</v>
      </c>
      <c r="H7518">
        <v>1600</v>
      </c>
      <c r="I7518">
        <v>-11</v>
      </c>
      <c r="J7518">
        <v>137</v>
      </c>
      <c r="K7518">
        <v>256</v>
      </c>
      <c r="L7518">
        <v>1200</v>
      </c>
      <c r="M7518" t="str">
        <f t="shared" si="761"/>
        <v xml:space="preserve">N35DC   </v>
      </c>
      <c r="N7518">
        <v>1</v>
      </c>
      <c r="O7518">
        <v>1725</v>
      </c>
    </row>
    <row r="7519" spans="1:15" x14ac:dyDescent="0.25">
      <c r="A7519" t="str">
        <f>"10/21/2020 19:06:37.949"</f>
        <v>10/21/2020 19:06:37.949</v>
      </c>
      <c r="B7519" t="str">
        <f t="shared" si="763"/>
        <v>19:06:45.914</v>
      </c>
      <c r="C7519" t="str">
        <f t="shared" si="763"/>
        <v>19:06:45.914</v>
      </c>
      <c r="D7519" t="s">
        <v>3036</v>
      </c>
      <c r="E7519">
        <v>30.420262999999998</v>
      </c>
      <c r="F7519" t="s">
        <v>2355</v>
      </c>
      <c r="G7519">
        <v>-89.808296999999996</v>
      </c>
      <c r="H7519">
        <v>1600</v>
      </c>
      <c r="I7519">
        <v>-11</v>
      </c>
      <c r="J7519">
        <v>137</v>
      </c>
      <c r="K7519">
        <v>256</v>
      </c>
      <c r="L7519">
        <v>1200</v>
      </c>
      <c r="M7519" t="str">
        <f t="shared" si="761"/>
        <v xml:space="preserve">N35DC   </v>
      </c>
      <c r="N7519">
        <v>1</v>
      </c>
      <c r="O7519">
        <v>1725</v>
      </c>
    </row>
    <row r="7520" spans="1:15" x14ac:dyDescent="0.25">
      <c r="A7520" t="str">
        <f>"10/21/2020 19:06:40.693"</f>
        <v>10/21/2020 19:06:40.693</v>
      </c>
      <c r="B7520" t="str">
        <f>"19:06:48.656"</f>
        <v>19:06:48.656</v>
      </c>
      <c r="C7520" t="str">
        <f>"19:06:48.456"</f>
        <v>19:06:48.456</v>
      </c>
      <c r="D7520" t="s">
        <v>3037</v>
      </c>
      <c r="E7520">
        <v>30.422021999999998</v>
      </c>
      <c r="F7520" t="s">
        <v>3038</v>
      </c>
      <c r="G7520">
        <v>-89.808447000000001</v>
      </c>
      <c r="H7520">
        <v>1700</v>
      </c>
      <c r="I7520">
        <v>-13</v>
      </c>
      <c r="J7520">
        <v>139</v>
      </c>
      <c r="K7520">
        <v>128</v>
      </c>
      <c r="L7520">
        <v>1200</v>
      </c>
      <c r="M7520" t="str">
        <f t="shared" si="761"/>
        <v xml:space="preserve">N35DC   </v>
      </c>
      <c r="N7520">
        <v>1</v>
      </c>
      <c r="O7520">
        <v>1725</v>
      </c>
    </row>
    <row r="7521" spans="1:15" x14ac:dyDescent="0.25">
      <c r="A7521" t="str">
        <f>"10/21/2020 19:06:40.693"</f>
        <v>10/21/2020 19:06:40.693</v>
      </c>
      <c r="B7521" t="str">
        <f>"19:06:48.656"</f>
        <v>19:06:48.656</v>
      </c>
      <c r="C7521" t="str">
        <f>"19:06:48.456"</f>
        <v>19:06:48.456</v>
      </c>
      <c r="D7521" t="s">
        <v>3037</v>
      </c>
      <c r="E7521">
        <v>30.422021999999998</v>
      </c>
      <c r="F7521" t="s">
        <v>3038</v>
      </c>
      <c r="G7521">
        <v>-89.808447000000001</v>
      </c>
      <c r="H7521">
        <v>1700</v>
      </c>
      <c r="I7521">
        <v>-13</v>
      </c>
      <c r="J7521">
        <v>139</v>
      </c>
      <c r="K7521">
        <v>128</v>
      </c>
      <c r="L7521">
        <v>1200</v>
      </c>
      <c r="M7521" t="str">
        <f t="shared" si="761"/>
        <v xml:space="preserve">N35DC   </v>
      </c>
      <c r="N7521">
        <v>1</v>
      </c>
      <c r="O7521">
        <v>1725</v>
      </c>
    </row>
    <row r="7522" spans="1:15" x14ac:dyDescent="0.25">
      <c r="A7522" t="str">
        <f>"10/21/2020 19:06:40.693"</f>
        <v>10/21/2020 19:06:40.693</v>
      </c>
      <c r="B7522" t="str">
        <f>"19:06:48.656"</f>
        <v>19:06:48.656</v>
      </c>
      <c r="C7522" t="str">
        <f>"19:06:48.456"</f>
        <v>19:06:48.456</v>
      </c>
      <c r="D7522" t="s">
        <v>3037</v>
      </c>
      <c r="E7522">
        <v>30.422021999999998</v>
      </c>
      <c r="F7522" t="s">
        <v>3038</v>
      </c>
      <c r="G7522">
        <v>-89.808447000000001</v>
      </c>
      <c r="H7522">
        <v>1700</v>
      </c>
      <c r="I7522">
        <v>-13</v>
      </c>
      <c r="J7522">
        <v>139</v>
      </c>
      <c r="K7522">
        <v>128</v>
      </c>
      <c r="L7522">
        <v>1200</v>
      </c>
      <c r="M7522" t="str">
        <f t="shared" si="761"/>
        <v xml:space="preserve">N35DC   </v>
      </c>
      <c r="N7522">
        <v>1</v>
      </c>
      <c r="O7522">
        <v>1725</v>
      </c>
    </row>
    <row r="7523" spans="1:15" x14ac:dyDescent="0.25">
      <c r="A7523" t="str">
        <f>"10/21/2020 19:06:40.693"</f>
        <v>10/21/2020 19:06:40.693</v>
      </c>
      <c r="B7523" t="str">
        <f>"19:06:48.656"</f>
        <v>19:06:48.656</v>
      </c>
      <c r="C7523" t="str">
        <f>"19:06:48.456"</f>
        <v>19:06:48.456</v>
      </c>
      <c r="D7523" t="s">
        <v>3037</v>
      </c>
      <c r="E7523">
        <v>30.422021999999998</v>
      </c>
      <c r="F7523" t="s">
        <v>3038</v>
      </c>
      <c r="G7523">
        <v>-89.808447000000001</v>
      </c>
      <c r="H7523">
        <v>1700</v>
      </c>
      <c r="I7523">
        <v>-13</v>
      </c>
      <c r="J7523">
        <v>139</v>
      </c>
      <c r="K7523">
        <v>128</v>
      </c>
      <c r="L7523">
        <v>1200</v>
      </c>
      <c r="M7523" t="str">
        <f t="shared" si="761"/>
        <v xml:space="preserve">N35DC   </v>
      </c>
      <c r="N7523">
        <v>1</v>
      </c>
      <c r="O7523">
        <v>1725</v>
      </c>
    </row>
    <row r="7524" spans="1:15" x14ac:dyDescent="0.25">
      <c r="A7524" t="str">
        <f>"10/21/2020 19:06:40.693"</f>
        <v>10/21/2020 19:06:40.693</v>
      </c>
      <c r="B7524" t="str">
        <f>"19:06:48.656"</f>
        <v>19:06:48.656</v>
      </c>
      <c r="C7524" t="str">
        <f>"19:06:48.456"</f>
        <v>19:06:48.456</v>
      </c>
      <c r="D7524" t="s">
        <v>3037</v>
      </c>
      <c r="E7524">
        <v>30.422021999999998</v>
      </c>
      <c r="F7524" t="s">
        <v>3038</v>
      </c>
      <c r="G7524">
        <v>-89.808447000000001</v>
      </c>
      <c r="H7524">
        <v>1700</v>
      </c>
      <c r="I7524">
        <v>-13</v>
      </c>
      <c r="J7524">
        <v>139</v>
      </c>
      <c r="K7524">
        <v>128</v>
      </c>
      <c r="L7524">
        <v>1200</v>
      </c>
      <c r="M7524" t="str">
        <f t="shared" si="761"/>
        <v xml:space="preserve">N35DC   </v>
      </c>
      <c r="N7524">
        <v>1</v>
      </c>
      <c r="O7524">
        <v>1725</v>
      </c>
    </row>
    <row r="7525" spans="1:15" x14ac:dyDescent="0.25">
      <c r="A7525" t="str">
        <f>"10/21/2020 19:06:41.838"</f>
        <v>10/21/2020 19:06:41.838</v>
      </c>
      <c r="B7525" t="str">
        <f>"19:06:49.781"</f>
        <v>19:06:49.781</v>
      </c>
      <c r="C7525" t="str">
        <f>"19:06:49.581"</f>
        <v>19:06:49.581</v>
      </c>
      <c r="D7525" t="s">
        <v>3039</v>
      </c>
      <c r="E7525">
        <v>30.422772999999999</v>
      </c>
      <c r="F7525" t="s">
        <v>2353</v>
      </c>
      <c r="G7525">
        <v>-89.808511999999993</v>
      </c>
      <c r="H7525">
        <v>1700</v>
      </c>
      <c r="I7525">
        <v>-12</v>
      </c>
      <c r="J7525">
        <v>140</v>
      </c>
      <c r="K7525">
        <v>192</v>
      </c>
      <c r="L7525">
        <v>1200</v>
      </c>
      <c r="M7525" t="str">
        <f t="shared" si="761"/>
        <v xml:space="preserve">N35DC   </v>
      </c>
      <c r="N7525">
        <v>1</v>
      </c>
      <c r="O7525">
        <v>1725</v>
      </c>
    </row>
    <row r="7526" spans="1:15" x14ac:dyDescent="0.25">
      <c r="A7526" t="str">
        <f>"10/21/2020 19:06:41.838"</f>
        <v>10/21/2020 19:06:41.838</v>
      </c>
      <c r="B7526" t="str">
        <f>"19:06:49.781"</f>
        <v>19:06:49.781</v>
      </c>
      <c r="C7526" t="str">
        <f>"19:06:49.581"</f>
        <v>19:06:49.581</v>
      </c>
      <c r="D7526" t="s">
        <v>3039</v>
      </c>
      <c r="E7526">
        <v>30.422772999999999</v>
      </c>
      <c r="F7526" t="s">
        <v>2353</v>
      </c>
      <c r="G7526">
        <v>-89.808511999999993</v>
      </c>
      <c r="H7526">
        <v>1700</v>
      </c>
      <c r="I7526">
        <v>-12</v>
      </c>
      <c r="J7526">
        <v>140</v>
      </c>
      <c r="K7526">
        <v>192</v>
      </c>
      <c r="L7526">
        <v>1200</v>
      </c>
      <c r="M7526" t="str">
        <f t="shared" si="761"/>
        <v xml:space="preserve">N35DC   </v>
      </c>
      <c r="N7526">
        <v>1</v>
      </c>
      <c r="O7526">
        <v>1725</v>
      </c>
    </row>
    <row r="7527" spans="1:15" x14ac:dyDescent="0.25">
      <c r="A7527" t="str">
        <f>"10/21/2020 19:06:41.838"</f>
        <v>10/21/2020 19:06:41.838</v>
      </c>
      <c r="B7527" t="str">
        <f>"19:06:49.781"</f>
        <v>19:06:49.781</v>
      </c>
      <c r="C7527" t="str">
        <f>"19:06:49.581"</f>
        <v>19:06:49.581</v>
      </c>
      <c r="D7527" t="s">
        <v>3039</v>
      </c>
      <c r="E7527">
        <v>30.422772999999999</v>
      </c>
      <c r="F7527" t="s">
        <v>2353</v>
      </c>
      <c r="G7527">
        <v>-89.808511999999993</v>
      </c>
      <c r="H7527">
        <v>1700</v>
      </c>
      <c r="I7527">
        <v>-12</v>
      </c>
      <c r="J7527">
        <v>140</v>
      </c>
      <c r="K7527">
        <v>192</v>
      </c>
      <c r="L7527">
        <v>1200</v>
      </c>
      <c r="M7527" t="str">
        <f t="shared" si="761"/>
        <v xml:space="preserve">N35DC   </v>
      </c>
      <c r="N7527">
        <v>1</v>
      </c>
      <c r="O7527">
        <v>1725</v>
      </c>
    </row>
    <row r="7528" spans="1:15" x14ac:dyDescent="0.25">
      <c r="A7528" t="str">
        <f>"10/21/2020 19:06:41.838"</f>
        <v>10/21/2020 19:06:41.838</v>
      </c>
      <c r="B7528" t="str">
        <f>"19:06:49.781"</f>
        <v>19:06:49.781</v>
      </c>
      <c r="C7528" t="str">
        <f>"19:06:49.581"</f>
        <v>19:06:49.581</v>
      </c>
      <c r="D7528" t="s">
        <v>3039</v>
      </c>
      <c r="E7528">
        <v>30.422772999999999</v>
      </c>
      <c r="F7528" t="s">
        <v>2353</v>
      </c>
      <c r="G7528">
        <v>-89.808511999999993</v>
      </c>
      <c r="H7528">
        <v>1700</v>
      </c>
      <c r="I7528">
        <v>-12</v>
      </c>
      <c r="J7528">
        <v>140</v>
      </c>
      <c r="K7528">
        <v>192</v>
      </c>
      <c r="L7528">
        <v>1200</v>
      </c>
      <c r="M7528" t="str">
        <f t="shared" si="761"/>
        <v xml:space="preserve">N35DC   </v>
      </c>
      <c r="N7528">
        <v>1</v>
      </c>
      <c r="O7528">
        <v>1725</v>
      </c>
    </row>
    <row r="7529" spans="1:15" x14ac:dyDescent="0.25">
      <c r="A7529" t="str">
        <f>"10/21/2020 19:06:41.838"</f>
        <v>10/21/2020 19:06:41.838</v>
      </c>
      <c r="B7529" t="str">
        <f>"19:06:49.781"</f>
        <v>19:06:49.781</v>
      </c>
      <c r="C7529" t="str">
        <f>"19:06:49.581"</f>
        <v>19:06:49.581</v>
      </c>
      <c r="D7529" t="s">
        <v>3039</v>
      </c>
      <c r="E7529">
        <v>30.422772999999999</v>
      </c>
      <c r="F7529" t="s">
        <v>2353</v>
      </c>
      <c r="G7529">
        <v>-89.808511999999993</v>
      </c>
      <c r="H7529">
        <v>1700</v>
      </c>
      <c r="I7529">
        <v>-12</v>
      </c>
      <c r="J7529">
        <v>140</v>
      </c>
      <c r="K7529">
        <v>192</v>
      </c>
      <c r="L7529">
        <v>1200</v>
      </c>
      <c r="M7529" t="str">
        <f t="shared" si="761"/>
        <v xml:space="preserve">N35DC   </v>
      </c>
      <c r="N7529">
        <v>1</v>
      </c>
      <c r="O7529">
        <v>1725</v>
      </c>
    </row>
    <row r="7530" spans="1:15" x14ac:dyDescent="0.25">
      <c r="A7530" t="str">
        <f>"10/21/2020 19:06:44.818"</f>
        <v>10/21/2020 19:06:44.818</v>
      </c>
      <c r="B7530" t="str">
        <f>"19:06:52.781"</f>
        <v>19:06:52.781</v>
      </c>
      <c r="C7530" t="str">
        <f>"19:06:52.381"</f>
        <v>19:06:52.381</v>
      </c>
      <c r="D7530" t="s">
        <v>3040</v>
      </c>
      <c r="E7530">
        <v>30.424769000000001</v>
      </c>
      <c r="F7530" t="s">
        <v>3041</v>
      </c>
      <c r="G7530">
        <v>-89.808768999999998</v>
      </c>
      <c r="H7530">
        <v>1700</v>
      </c>
      <c r="I7530">
        <v>-13</v>
      </c>
      <c r="J7530">
        <v>143</v>
      </c>
      <c r="K7530">
        <v>-320</v>
      </c>
      <c r="L7530">
        <v>1200</v>
      </c>
      <c r="M7530" t="str">
        <f t="shared" si="761"/>
        <v xml:space="preserve">N35DC   </v>
      </c>
      <c r="N7530">
        <v>1</v>
      </c>
      <c r="O7530">
        <v>1725</v>
      </c>
    </row>
    <row r="7531" spans="1:15" x14ac:dyDescent="0.25">
      <c r="A7531" t="str">
        <f>"10/21/2020 19:06:44.818"</f>
        <v>10/21/2020 19:06:44.818</v>
      </c>
      <c r="B7531" t="str">
        <f>"19:06:52.781"</f>
        <v>19:06:52.781</v>
      </c>
      <c r="C7531" t="str">
        <f>"19:06:52.381"</f>
        <v>19:06:52.381</v>
      </c>
      <c r="D7531" t="s">
        <v>3040</v>
      </c>
      <c r="E7531">
        <v>30.424769000000001</v>
      </c>
      <c r="F7531" t="s">
        <v>3041</v>
      </c>
      <c r="G7531">
        <v>-89.808768999999998</v>
      </c>
      <c r="H7531">
        <v>1700</v>
      </c>
      <c r="I7531">
        <v>-13</v>
      </c>
      <c r="J7531">
        <v>143</v>
      </c>
      <c r="K7531">
        <v>-320</v>
      </c>
      <c r="L7531">
        <v>1200</v>
      </c>
      <c r="M7531" t="str">
        <f t="shared" si="761"/>
        <v xml:space="preserve">N35DC   </v>
      </c>
      <c r="N7531">
        <v>1</v>
      </c>
      <c r="O7531">
        <v>1725</v>
      </c>
    </row>
    <row r="7532" spans="1:15" x14ac:dyDescent="0.25">
      <c r="A7532" t="str">
        <f>"10/21/2020 19:06:44.818"</f>
        <v>10/21/2020 19:06:44.818</v>
      </c>
      <c r="B7532" t="str">
        <f>"19:06:52.781"</f>
        <v>19:06:52.781</v>
      </c>
      <c r="C7532" t="str">
        <f>"19:06:52.381"</f>
        <v>19:06:52.381</v>
      </c>
      <c r="D7532" t="s">
        <v>3040</v>
      </c>
      <c r="E7532">
        <v>30.424769000000001</v>
      </c>
      <c r="F7532" t="s">
        <v>3041</v>
      </c>
      <c r="G7532">
        <v>-89.808768999999998</v>
      </c>
      <c r="H7532">
        <v>1700</v>
      </c>
      <c r="I7532">
        <v>-13</v>
      </c>
      <c r="J7532">
        <v>143</v>
      </c>
      <c r="K7532">
        <v>-320</v>
      </c>
      <c r="L7532">
        <v>1200</v>
      </c>
      <c r="M7532" t="str">
        <f t="shared" si="761"/>
        <v xml:space="preserve">N35DC   </v>
      </c>
      <c r="N7532">
        <v>1</v>
      </c>
      <c r="O7532">
        <v>1725</v>
      </c>
    </row>
    <row r="7533" spans="1:15" x14ac:dyDescent="0.25">
      <c r="A7533" t="str">
        <f>"10/21/2020 19:06:44.818"</f>
        <v>10/21/2020 19:06:44.818</v>
      </c>
      <c r="B7533" t="str">
        <f>"19:06:52.781"</f>
        <v>19:06:52.781</v>
      </c>
      <c r="C7533" t="str">
        <f>"19:06:52.381"</f>
        <v>19:06:52.381</v>
      </c>
      <c r="D7533" t="s">
        <v>3040</v>
      </c>
      <c r="E7533">
        <v>30.424769000000001</v>
      </c>
      <c r="F7533" t="s">
        <v>3041</v>
      </c>
      <c r="G7533">
        <v>-89.808768999999998</v>
      </c>
      <c r="H7533">
        <v>1700</v>
      </c>
      <c r="I7533">
        <v>-13</v>
      </c>
      <c r="J7533">
        <v>143</v>
      </c>
      <c r="K7533">
        <v>-320</v>
      </c>
      <c r="L7533">
        <v>1200</v>
      </c>
      <c r="M7533" t="str">
        <f t="shared" si="761"/>
        <v xml:space="preserve">N35DC   </v>
      </c>
      <c r="N7533">
        <v>1</v>
      </c>
      <c r="O7533">
        <v>1725</v>
      </c>
    </row>
    <row r="7534" spans="1:15" x14ac:dyDescent="0.25">
      <c r="A7534" t="str">
        <f>"10/21/2020 19:06:44.818"</f>
        <v>10/21/2020 19:06:44.818</v>
      </c>
      <c r="B7534" t="str">
        <f>"19:06:52.781"</f>
        <v>19:06:52.781</v>
      </c>
      <c r="C7534" t="str">
        <f>"19:06:52.381"</f>
        <v>19:06:52.381</v>
      </c>
      <c r="D7534" t="s">
        <v>3040</v>
      </c>
      <c r="E7534">
        <v>30.424769000000001</v>
      </c>
      <c r="F7534" t="s">
        <v>3041</v>
      </c>
      <c r="G7534">
        <v>-89.808768999999998</v>
      </c>
      <c r="H7534">
        <v>1700</v>
      </c>
      <c r="I7534">
        <v>-13</v>
      </c>
      <c r="J7534">
        <v>143</v>
      </c>
      <c r="K7534">
        <v>-320</v>
      </c>
      <c r="L7534">
        <v>1200</v>
      </c>
      <c r="M7534" t="str">
        <f t="shared" si="761"/>
        <v xml:space="preserve">N35DC   </v>
      </c>
      <c r="N7534">
        <v>1</v>
      </c>
      <c r="O7534">
        <v>1725</v>
      </c>
    </row>
    <row r="7535" spans="1:15" x14ac:dyDescent="0.25">
      <c r="A7535" t="str">
        <f>"10/21/2020 19:06:47.962"</f>
        <v>10/21/2020 19:06:47.962</v>
      </c>
      <c r="B7535" t="str">
        <f t="shared" ref="B7535:C7539" si="764">"19:06:55.914"</f>
        <v>19:06:55.914</v>
      </c>
      <c r="C7535" t="str">
        <f t="shared" si="764"/>
        <v>19:06:55.914</v>
      </c>
      <c r="D7535" t="s">
        <v>3042</v>
      </c>
      <c r="E7535">
        <v>30.426829000000001</v>
      </c>
      <c r="F7535" t="s">
        <v>3043</v>
      </c>
      <c r="G7535">
        <v>-89.808941000000004</v>
      </c>
      <c r="H7535">
        <v>1600</v>
      </c>
      <c r="I7535">
        <v>-12</v>
      </c>
      <c r="J7535">
        <v>145</v>
      </c>
      <c r="K7535">
        <v>-192</v>
      </c>
      <c r="L7535">
        <v>1200</v>
      </c>
      <c r="M7535" t="str">
        <f t="shared" si="761"/>
        <v xml:space="preserve">N35DC   </v>
      </c>
      <c r="N7535">
        <v>1</v>
      </c>
      <c r="O7535">
        <v>1700</v>
      </c>
    </row>
    <row r="7536" spans="1:15" x14ac:dyDescent="0.25">
      <c r="A7536" t="str">
        <f>"10/21/2020 19:06:47.962"</f>
        <v>10/21/2020 19:06:47.962</v>
      </c>
      <c r="B7536" t="str">
        <f t="shared" si="764"/>
        <v>19:06:55.914</v>
      </c>
      <c r="C7536" t="str">
        <f t="shared" si="764"/>
        <v>19:06:55.914</v>
      </c>
      <c r="D7536" t="s">
        <v>3042</v>
      </c>
      <c r="E7536">
        <v>30.426829000000001</v>
      </c>
      <c r="F7536" t="s">
        <v>3043</v>
      </c>
      <c r="G7536">
        <v>-89.808941000000004</v>
      </c>
      <c r="H7536">
        <v>1600</v>
      </c>
      <c r="I7536">
        <v>-12</v>
      </c>
      <c r="J7536">
        <v>145</v>
      </c>
      <c r="K7536">
        <v>-192</v>
      </c>
      <c r="L7536">
        <v>1200</v>
      </c>
      <c r="M7536" t="str">
        <f t="shared" si="761"/>
        <v xml:space="preserve">N35DC   </v>
      </c>
      <c r="N7536">
        <v>1</v>
      </c>
      <c r="O7536">
        <v>1700</v>
      </c>
    </row>
    <row r="7537" spans="1:15" x14ac:dyDescent="0.25">
      <c r="A7537" t="str">
        <f>"10/21/2020 19:06:47.962"</f>
        <v>10/21/2020 19:06:47.962</v>
      </c>
      <c r="B7537" t="str">
        <f t="shared" si="764"/>
        <v>19:06:55.914</v>
      </c>
      <c r="C7537" t="str">
        <f t="shared" si="764"/>
        <v>19:06:55.914</v>
      </c>
      <c r="D7537" t="s">
        <v>3042</v>
      </c>
      <c r="E7537">
        <v>30.426829000000001</v>
      </c>
      <c r="F7537" t="s">
        <v>3043</v>
      </c>
      <c r="G7537">
        <v>-89.808941000000004</v>
      </c>
      <c r="H7537">
        <v>1600</v>
      </c>
      <c r="I7537">
        <v>-12</v>
      </c>
      <c r="J7537">
        <v>145</v>
      </c>
      <c r="K7537">
        <v>-192</v>
      </c>
      <c r="L7537">
        <v>1200</v>
      </c>
      <c r="M7537" t="str">
        <f t="shared" si="761"/>
        <v xml:space="preserve">N35DC   </v>
      </c>
      <c r="N7537">
        <v>1</v>
      </c>
      <c r="O7537">
        <v>1700</v>
      </c>
    </row>
    <row r="7538" spans="1:15" x14ac:dyDescent="0.25">
      <c r="A7538" t="str">
        <f>"10/21/2020 19:06:47.962"</f>
        <v>10/21/2020 19:06:47.962</v>
      </c>
      <c r="B7538" t="str">
        <f t="shared" si="764"/>
        <v>19:06:55.914</v>
      </c>
      <c r="C7538" t="str">
        <f t="shared" si="764"/>
        <v>19:06:55.914</v>
      </c>
      <c r="D7538" t="s">
        <v>3042</v>
      </c>
      <c r="E7538">
        <v>30.426829000000001</v>
      </c>
      <c r="F7538" t="s">
        <v>3043</v>
      </c>
      <c r="G7538">
        <v>-89.808941000000004</v>
      </c>
      <c r="H7538">
        <v>1600</v>
      </c>
      <c r="I7538">
        <v>-12</v>
      </c>
      <c r="J7538">
        <v>145</v>
      </c>
      <c r="K7538">
        <v>-192</v>
      </c>
      <c r="L7538">
        <v>1200</v>
      </c>
      <c r="M7538" t="str">
        <f t="shared" si="761"/>
        <v xml:space="preserve">N35DC   </v>
      </c>
      <c r="N7538">
        <v>1</v>
      </c>
      <c r="O7538">
        <v>1700</v>
      </c>
    </row>
    <row r="7539" spans="1:15" x14ac:dyDescent="0.25">
      <c r="A7539" t="str">
        <f>"10/21/2020 19:06:47.962"</f>
        <v>10/21/2020 19:06:47.962</v>
      </c>
      <c r="B7539" t="str">
        <f t="shared" si="764"/>
        <v>19:06:55.914</v>
      </c>
      <c r="C7539" t="str">
        <f t="shared" si="764"/>
        <v>19:06:55.914</v>
      </c>
      <c r="D7539" t="s">
        <v>3042</v>
      </c>
      <c r="E7539">
        <v>30.426829000000001</v>
      </c>
      <c r="F7539" t="s">
        <v>3043</v>
      </c>
      <c r="G7539">
        <v>-89.808941000000004</v>
      </c>
      <c r="H7539">
        <v>1600</v>
      </c>
      <c r="I7539">
        <v>-12</v>
      </c>
      <c r="J7539">
        <v>145</v>
      </c>
      <c r="K7539">
        <v>-192</v>
      </c>
      <c r="L7539">
        <v>1200</v>
      </c>
      <c r="M7539" t="str">
        <f t="shared" si="761"/>
        <v xml:space="preserve">N35DC   </v>
      </c>
      <c r="N7539">
        <v>1</v>
      </c>
      <c r="O7539">
        <v>1700</v>
      </c>
    </row>
    <row r="7540" spans="1:15" x14ac:dyDescent="0.25">
      <c r="A7540" t="str">
        <f>"10/21/2020 19:06:50.711"</f>
        <v>10/21/2020 19:06:50.711</v>
      </c>
      <c r="B7540" t="str">
        <f>"19:06:58.680"</f>
        <v>19:06:58.680</v>
      </c>
      <c r="C7540" t="str">
        <f>"19:06:58.580"</f>
        <v>19:06:58.580</v>
      </c>
      <c r="D7540" t="s">
        <v>3044</v>
      </c>
      <c r="E7540">
        <v>30.428739</v>
      </c>
      <c r="F7540" t="s">
        <v>372</v>
      </c>
      <c r="G7540">
        <v>-89.809112999999996</v>
      </c>
      <c r="H7540">
        <v>1600</v>
      </c>
      <c r="I7540">
        <v>-12</v>
      </c>
      <c r="J7540">
        <v>147</v>
      </c>
      <c r="K7540">
        <v>-128</v>
      </c>
      <c r="L7540">
        <v>1200</v>
      </c>
      <c r="M7540" t="str">
        <f t="shared" si="761"/>
        <v xml:space="preserve">N35DC   </v>
      </c>
      <c r="N7540">
        <v>1</v>
      </c>
      <c r="O7540">
        <v>1700</v>
      </c>
    </row>
    <row r="7541" spans="1:15" x14ac:dyDescent="0.25">
      <c r="A7541" t="str">
        <f>"10/21/2020 19:06:50.711"</f>
        <v>10/21/2020 19:06:50.711</v>
      </c>
      <c r="B7541" t="str">
        <f>"19:06:58.680"</f>
        <v>19:06:58.680</v>
      </c>
      <c r="C7541" t="str">
        <f>"19:06:58.580"</f>
        <v>19:06:58.580</v>
      </c>
      <c r="D7541" t="s">
        <v>3044</v>
      </c>
      <c r="E7541">
        <v>30.428739</v>
      </c>
      <c r="F7541" t="s">
        <v>372</v>
      </c>
      <c r="G7541">
        <v>-89.809112999999996</v>
      </c>
      <c r="H7541">
        <v>1600</v>
      </c>
      <c r="I7541">
        <v>-12</v>
      </c>
      <c r="J7541">
        <v>147</v>
      </c>
      <c r="K7541">
        <v>-128</v>
      </c>
      <c r="L7541">
        <v>1200</v>
      </c>
      <c r="M7541" t="str">
        <f t="shared" si="761"/>
        <v xml:space="preserve">N35DC   </v>
      </c>
      <c r="N7541">
        <v>1</v>
      </c>
      <c r="O7541">
        <v>1700</v>
      </c>
    </row>
    <row r="7542" spans="1:15" x14ac:dyDescent="0.25">
      <c r="A7542" t="str">
        <f>"10/21/2020 19:06:50.711"</f>
        <v>10/21/2020 19:06:50.711</v>
      </c>
      <c r="B7542" t="str">
        <f>"19:06:58.680"</f>
        <v>19:06:58.680</v>
      </c>
      <c r="C7542" t="str">
        <f>"19:06:58.580"</f>
        <v>19:06:58.580</v>
      </c>
      <c r="D7542" t="s">
        <v>3044</v>
      </c>
      <c r="E7542">
        <v>30.428739</v>
      </c>
      <c r="F7542" t="s">
        <v>372</v>
      </c>
      <c r="G7542">
        <v>-89.809112999999996</v>
      </c>
      <c r="H7542">
        <v>1600</v>
      </c>
      <c r="I7542">
        <v>-12</v>
      </c>
      <c r="J7542">
        <v>147</v>
      </c>
      <c r="K7542">
        <v>-128</v>
      </c>
      <c r="L7542">
        <v>1200</v>
      </c>
      <c r="M7542" t="str">
        <f t="shared" si="761"/>
        <v xml:space="preserve">N35DC   </v>
      </c>
      <c r="N7542">
        <v>1</v>
      </c>
      <c r="O7542">
        <v>1700</v>
      </c>
    </row>
    <row r="7543" spans="1:15" x14ac:dyDescent="0.25">
      <c r="A7543" t="str">
        <f>"10/21/2020 19:06:50.711"</f>
        <v>10/21/2020 19:06:50.711</v>
      </c>
      <c r="B7543" t="str">
        <f>"19:06:58.680"</f>
        <v>19:06:58.680</v>
      </c>
      <c r="C7543" t="str">
        <f>"19:06:58.580"</f>
        <v>19:06:58.580</v>
      </c>
      <c r="D7543" t="s">
        <v>3044</v>
      </c>
      <c r="E7543">
        <v>30.428739</v>
      </c>
      <c r="F7543" t="s">
        <v>372</v>
      </c>
      <c r="G7543">
        <v>-89.809112999999996</v>
      </c>
      <c r="H7543">
        <v>1600</v>
      </c>
      <c r="I7543">
        <v>-12</v>
      </c>
      <c r="J7543">
        <v>147</v>
      </c>
      <c r="K7543">
        <v>-128</v>
      </c>
      <c r="L7543">
        <v>1200</v>
      </c>
      <c r="M7543" t="str">
        <f t="shared" si="761"/>
        <v xml:space="preserve">N35DC   </v>
      </c>
      <c r="N7543">
        <v>1</v>
      </c>
      <c r="O7543">
        <v>1700</v>
      </c>
    </row>
    <row r="7544" spans="1:15" x14ac:dyDescent="0.25">
      <c r="A7544" t="str">
        <f>"10/21/2020 19:06:50.711"</f>
        <v>10/21/2020 19:06:50.711</v>
      </c>
      <c r="B7544" t="str">
        <f>"19:06:58.680"</f>
        <v>19:06:58.680</v>
      </c>
      <c r="C7544" t="str">
        <f>"19:06:58.580"</f>
        <v>19:06:58.580</v>
      </c>
      <c r="D7544" t="s">
        <v>3044</v>
      </c>
      <c r="E7544">
        <v>30.428739</v>
      </c>
      <c r="F7544" t="s">
        <v>372</v>
      </c>
      <c r="G7544">
        <v>-89.809112999999996</v>
      </c>
      <c r="H7544">
        <v>1600</v>
      </c>
      <c r="I7544">
        <v>-12</v>
      </c>
      <c r="J7544">
        <v>147</v>
      </c>
      <c r="K7544">
        <v>-128</v>
      </c>
      <c r="L7544">
        <v>1200</v>
      </c>
      <c r="M7544" t="str">
        <f t="shared" si="761"/>
        <v xml:space="preserve">N35DC   </v>
      </c>
      <c r="N7544">
        <v>1</v>
      </c>
      <c r="O7544">
        <v>1700</v>
      </c>
    </row>
    <row r="7545" spans="1:15" x14ac:dyDescent="0.25">
      <c r="A7545" t="str">
        <f>"10/21/2020 19:06:51.719"</f>
        <v>10/21/2020 19:06:51.719</v>
      </c>
      <c r="B7545" t="str">
        <f>"19:06:59.664"</f>
        <v>19:06:59.664</v>
      </c>
      <c r="C7545" t="str">
        <f>"19:06:59.464"</f>
        <v>19:06:59.464</v>
      </c>
      <c r="D7545" t="s">
        <v>3045</v>
      </c>
      <c r="E7545">
        <v>30.429382</v>
      </c>
      <c r="F7545" t="s">
        <v>3046</v>
      </c>
      <c r="G7545">
        <v>-89.809197999999995</v>
      </c>
      <c r="H7545">
        <v>1600</v>
      </c>
      <c r="I7545">
        <v>-13</v>
      </c>
      <c r="J7545">
        <v>147</v>
      </c>
      <c r="K7545">
        <v>-192</v>
      </c>
      <c r="L7545">
        <v>1200</v>
      </c>
      <c r="M7545" t="str">
        <f t="shared" si="761"/>
        <v xml:space="preserve">N35DC   </v>
      </c>
      <c r="N7545">
        <v>1</v>
      </c>
      <c r="O7545">
        <v>1700</v>
      </c>
    </row>
    <row r="7546" spans="1:15" x14ac:dyDescent="0.25">
      <c r="A7546" t="str">
        <f>"10/21/2020 19:06:51.719"</f>
        <v>10/21/2020 19:06:51.719</v>
      </c>
      <c r="B7546" t="str">
        <f>"19:06:59.664"</f>
        <v>19:06:59.664</v>
      </c>
      <c r="C7546" t="str">
        <f>"19:06:59.464"</f>
        <v>19:06:59.464</v>
      </c>
      <c r="D7546" t="s">
        <v>3045</v>
      </c>
      <c r="E7546">
        <v>30.429382</v>
      </c>
      <c r="F7546" t="s">
        <v>3046</v>
      </c>
      <c r="G7546">
        <v>-89.809197999999995</v>
      </c>
      <c r="H7546">
        <v>1600</v>
      </c>
      <c r="I7546">
        <v>-13</v>
      </c>
      <c r="J7546">
        <v>147</v>
      </c>
      <c r="K7546">
        <v>-192</v>
      </c>
      <c r="L7546">
        <v>1200</v>
      </c>
      <c r="M7546" t="str">
        <f t="shared" si="761"/>
        <v xml:space="preserve">N35DC   </v>
      </c>
      <c r="N7546">
        <v>1</v>
      </c>
      <c r="O7546">
        <v>1700</v>
      </c>
    </row>
    <row r="7547" spans="1:15" x14ac:dyDescent="0.25">
      <c r="A7547" t="str">
        <f>"10/21/2020 19:06:51.719"</f>
        <v>10/21/2020 19:06:51.719</v>
      </c>
      <c r="B7547" t="str">
        <f>"19:06:59.664"</f>
        <v>19:06:59.664</v>
      </c>
      <c r="C7547" t="str">
        <f>"19:06:59.464"</f>
        <v>19:06:59.464</v>
      </c>
      <c r="D7547" t="s">
        <v>3045</v>
      </c>
      <c r="E7547">
        <v>30.429382</v>
      </c>
      <c r="F7547" t="s">
        <v>3046</v>
      </c>
      <c r="G7547">
        <v>-89.809197999999995</v>
      </c>
      <c r="H7547">
        <v>1600</v>
      </c>
      <c r="I7547">
        <v>-13</v>
      </c>
      <c r="J7547">
        <v>147</v>
      </c>
      <c r="K7547">
        <v>-192</v>
      </c>
      <c r="L7547">
        <v>1200</v>
      </c>
      <c r="M7547" t="str">
        <f t="shared" si="761"/>
        <v xml:space="preserve">N35DC   </v>
      </c>
      <c r="N7547">
        <v>1</v>
      </c>
      <c r="O7547">
        <v>1700</v>
      </c>
    </row>
    <row r="7548" spans="1:15" x14ac:dyDescent="0.25">
      <c r="A7548" t="str">
        <f>"10/21/2020 19:06:51.719"</f>
        <v>10/21/2020 19:06:51.719</v>
      </c>
      <c r="B7548" t="str">
        <f>"19:06:59.664"</f>
        <v>19:06:59.664</v>
      </c>
      <c r="C7548" t="str">
        <f>"19:06:59.464"</f>
        <v>19:06:59.464</v>
      </c>
      <c r="D7548" t="s">
        <v>3045</v>
      </c>
      <c r="E7548">
        <v>30.429382</v>
      </c>
      <c r="F7548" t="s">
        <v>3046</v>
      </c>
      <c r="G7548">
        <v>-89.809197999999995</v>
      </c>
      <c r="H7548">
        <v>1600</v>
      </c>
      <c r="I7548">
        <v>-13</v>
      </c>
      <c r="J7548">
        <v>147</v>
      </c>
      <c r="K7548">
        <v>-192</v>
      </c>
      <c r="L7548">
        <v>1200</v>
      </c>
      <c r="M7548" t="str">
        <f t="shared" si="761"/>
        <v xml:space="preserve">N35DC   </v>
      </c>
      <c r="N7548">
        <v>1</v>
      </c>
      <c r="O7548">
        <v>1700</v>
      </c>
    </row>
    <row r="7549" spans="1:15" x14ac:dyDescent="0.25">
      <c r="A7549" t="str">
        <f>"10/21/2020 19:06:51.719"</f>
        <v>10/21/2020 19:06:51.719</v>
      </c>
      <c r="B7549" t="str">
        <f>"19:06:59.664"</f>
        <v>19:06:59.664</v>
      </c>
      <c r="C7549" t="str">
        <f>"19:06:59.464"</f>
        <v>19:06:59.464</v>
      </c>
      <c r="D7549" t="s">
        <v>3045</v>
      </c>
      <c r="E7549">
        <v>30.429382</v>
      </c>
      <c r="F7549" t="s">
        <v>3046</v>
      </c>
      <c r="G7549">
        <v>-89.809197999999995</v>
      </c>
      <c r="H7549">
        <v>1600</v>
      </c>
      <c r="I7549">
        <v>-13</v>
      </c>
      <c r="J7549">
        <v>147</v>
      </c>
      <c r="K7549">
        <v>-192</v>
      </c>
      <c r="L7549">
        <v>1200</v>
      </c>
      <c r="M7549" t="str">
        <f t="shared" si="761"/>
        <v xml:space="preserve">N35DC   </v>
      </c>
      <c r="N7549">
        <v>1</v>
      </c>
      <c r="O7549">
        <v>1700</v>
      </c>
    </row>
    <row r="7550" spans="1:15" x14ac:dyDescent="0.25">
      <c r="A7550" t="str">
        <f>"10/21/2020 19:06:54.883"</f>
        <v>10/21/2020 19:06:54.883</v>
      </c>
      <c r="B7550" t="str">
        <f>"19:07:02.844"</f>
        <v>19:07:02.844</v>
      </c>
      <c r="C7550" t="str">
        <f>"19:07:02.444"</f>
        <v>19:07:02.444</v>
      </c>
      <c r="D7550" t="s">
        <v>3047</v>
      </c>
      <c r="E7550">
        <v>30.431571000000002</v>
      </c>
      <c r="F7550" t="s">
        <v>2946</v>
      </c>
      <c r="G7550">
        <v>-89.809455999999997</v>
      </c>
      <c r="H7550">
        <v>1600</v>
      </c>
      <c r="I7550">
        <v>-15</v>
      </c>
      <c r="J7550">
        <v>149</v>
      </c>
      <c r="K7550">
        <v>-192</v>
      </c>
      <c r="L7550">
        <v>1200</v>
      </c>
      <c r="M7550" t="str">
        <f t="shared" si="761"/>
        <v xml:space="preserve">N35DC   </v>
      </c>
      <c r="N7550">
        <v>1</v>
      </c>
      <c r="O7550">
        <v>1700</v>
      </c>
    </row>
    <row r="7551" spans="1:15" x14ac:dyDescent="0.25">
      <c r="A7551" t="str">
        <f>"10/21/2020 19:06:54.883"</f>
        <v>10/21/2020 19:06:54.883</v>
      </c>
      <c r="B7551" t="str">
        <f>"19:07:02.844"</f>
        <v>19:07:02.844</v>
      </c>
      <c r="C7551" t="str">
        <f>"19:07:02.444"</f>
        <v>19:07:02.444</v>
      </c>
      <c r="D7551" t="s">
        <v>3047</v>
      </c>
      <c r="E7551">
        <v>30.431571000000002</v>
      </c>
      <c r="F7551" t="s">
        <v>2946</v>
      </c>
      <c r="G7551">
        <v>-89.809455999999997</v>
      </c>
      <c r="H7551">
        <v>1600</v>
      </c>
      <c r="I7551">
        <v>-15</v>
      </c>
      <c r="J7551">
        <v>149</v>
      </c>
      <c r="K7551">
        <v>-192</v>
      </c>
      <c r="L7551">
        <v>1200</v>
      </c>
      <c r="M7551" t="str">
        <f t="shared" si="761"/>
        <v xml:space="preserve">N35DC   </v>
      </c>
      <c r="N7551">
        <v>1</v>
      </c>
      <c r="O7551">
        <v>1700</v>
      </c>
    </row>
    <row r="7552" spans="1:15" x14ac:dyDescent="0.25">
      <c r="A7552" t="str">
        <f>"10/21/2020 19:06:54.883"</f>
        <v>10/21/2020 19:06:54.883</v>
      </c>
      <c r="B7552" t="str">
        <f>"19:07:02.844"</f>
        <v>19:07:02.844</v>
      </c>
      <c r="C7552" t="str">
        <f>"19:07:02.444"</f>
        <v>19:07:02.444</v>
      </c>
      <c r="D7552" t="s">
        <v>3047</v>
      </c>
      <c r="E7552">
        <v>30.431571000000002</v>
      </c>
      <c r="F7552" t="s">
        <v>2946</v>
      </c>
      <c r="G7552">
        <v>-89.809455999999997</v>
      </c>
      <c r="H7552">
        <v>1600</v>
      </c>
      <c r="I7552">
        <v>-15</v>
      </c>
      <c r="J7552">
        <v>149</v>
      </c>
      <c r="K7552">
        <v>-192</v>
      </c>
      <c r="L7552">
        <v>1200</v>
      </c>
      <c r="M7552" t="str">
        <f t="shared" si="761"/>
        <v xml:space="preserve">N35DC   </v>
      </c>
      <c r="N7552">
        <v>1</v>
      </c>
      <c r="O7552">
        <v>1700</v>
      </c>
    </row>
    <row r="7553" spans="1:15" x14ac:dyDescent="0.25">
      <c r="A7553" t="str">
        <f>"10/21/2020 19:06:54.883"</f>
        <v>10/21/2020 19:06:54.883</v>
      </c>
      <c r="B7553" t="str">
        <f>"19:07:02.844"</f>
        <v>19:07:02.844</v>
      </c>
      <c r="C7553" t="str">
        <f>"19:07:02.444"</f>
        <v>19:07:02.444</v>
      </c>
      <c r="D7553" t="s">
        <v>3047</v>
      </c>
      <c r="E7553">
        <v>30.431571000000002</v>
      </c>
      <c r="F7553" t="s">
        <v>2946</v>
      </c>
      <c r="G7553">
        <v>-89.809455999999997</v>
      </c>
      <c r="H7553">
        <v>1600</v>
      </c>
      <c r="I7553">
        <v>-15</v>
      </c>
      <c r="J7553">
        <v>149</v>
      </c>
      <c r="K7553">
        <v>-192</v>
      </c>
      <c r="L7553">
        <v>1200</v>
      </c>
      <c r="M7553" t="str">
        <f t="shared" si="761"/>
        <v xml:space="preserve">N35DC   </v>
      </c>
      <c r="N7553">
        <v>1</v>
      </c>
      <c r="O7553">
        <v>1700</v>
      </c>
    </row>
    <row r="7554" spans="1:15" x14ac:dyDescent="0.25">
      <c r="A7554" t="str">
        <f>"10/21/2020 19:06:54.883"</f>
        <v>10/21/2020 19:06:54.883</v>
      </c>
      <c r="B7554" t="str">
        <f>"19:07:02.844"</f>
        <v>19:07:02.844</v>
      </c>
      <c r="C7554" t="str">
        <f>"19:07:02.444"</f>
        <v>19:07:02.444</v>
      </c>
      <c r="D7554" t="s">
        <v>3047</v>
      </c>
      <c r="E7554">
        <v>30.431571000000002</v>
      </c>
      <c r="F7554" t="s">
        <v>2946</v>
      </c>
      <c r="G7554">
        <v>-89.809455999999997</v>
      </c>
      <c r="H7554">
        <v>1600</v>
      </c>
      <c r="I7554">
        <v>-15</v>
      </c>
      <c r="J7554">
        <v>149</v>
      </c>
      <c r="K7554">
        <v>-192</v>
      </c>
      <c r="L7554">
        <v>1200</v>
      </c>
      <c r="M7554" t="str">
        <f t="shared" si="761"/>
        <v xml:space="preserve">N35DC   </v>
      </c>
      <c r="N7554">
        <v>1</v>
      </c>
      <c r="O7554">
        <v>1700</v>
      </c>
    </row>
    <row r="7555" spans="1:15" x14ac:dyDescent="0.25">
      <c r="A7555" t="str">
        <f>"10/21/2020 19:06:55.863"</f>
        <v>10/21/2020 19:06:55.863</v>
      </c>
      <c r="B7555" t="str">
        <f>"19:07:03.820"</f>
        <v>19:07:03.820</v>
      </c>
      <c r="C7555" t="str">
        <f>"19:07:03.620"</f>
        <v>19:07:03.620</v>
      </c>
      <c r="D7555" t="s">
        <v>3048</v>
      </c>
      <c r="E7555">
        <v>30.432279000000001</v>
      </c>
      <c r="F7555" t="s">
        <v>3049</v>
      </c>
      <c r="G7555">
        <v>-89.809499000000002</v>
      </c>
      <c r="H7555">
        <v>1600</v>
      </c>
      <c r="I7555">
        <v>-17</v>
      </c>
      <c r="J7555">
        <v>149</v>
      </c>
      <c r="K7555">
        <v>-192</v>
      </c>
      <c r="L7555">
        <v>1200</v>
      </c>
      <c r="M7555" t="str">
        <f t="shared" si="761"/>
        <v xml:space="preserve">N35DC   </v>
      </c>
      <c r="N7555">
        <v>1</v>
      </c>
      <c r="O7555">
        <v>1700</v>
      </c>
    </row>
    <row r="7556" spans="1:15" x14ac:dyDescent="0.25">
      <c r="A7556" t="str">
        <f>"10/21/2020 19:06:55.863"</f>
        <v>10/21/2020 19:06:55.863</v>
      </c>
      <c r="B7556" t="str">
        <f>"19:07:03.820"</f>
        <v>19:07:03.820</v>
      </c>
      <c r="C7556" t="str">
        <f>"19:07:03.620"</f>
        <v>19:07:03.620</v>
      </c>
      <c r="D7556" t="s">
        <v>3048</v>
      </c>
      <c r="E7556">
        <v>30.432279000000001</v>
      </c>
      <c r="F7556" t="s">
        <v>3049</v>
      </c>
      <c r="G7556">
        <v>-89.809499000000002</v>
      </c>
      <c r="H7556">
        <v>1600</v>
      </c>
      <c r="I7556">
        <v>-17</v>
      </c>
      <c r="J7556">
        <v>149</v>
      </c>
      <c r="K7556">
        <v>-192</v>
      </c>
      <c r="L7556">
        <v>1200</v>
      </c>
      <c r="M7556" t="str">
        <f t="shared" si="761"/>
        <v xml:space="preserve">N35DC   </v>
      </c>
      <c r="N7556">
        <v>1</v>
      </c>
      <c r="O7556">
        <v>1700</v>
      </c>
    </row>
    <row r="7557" spans="1:15" x14ac:dyDescent="0.25">
      <c r="A7557" t="str">
        <f>"10/21/2020 19:06:55.863"</f>
        <v>10/21/2020 19:06:55.863</v>
      </c>
      <c r="B7557" t="str">
        <f>"19:07:03.820"</f>
        <v>19:07:03.820</v>
      </c>
      <c r="C7557" t="str">
        <f>"19:07:03.620"</f>
        <v>19:07:03.620</v>
      </c>
      <c r="D7557" t="s">
        <v>3048</v>
      </c>
      <c r="E7557">
        <v>30.432279000000001</v>
      </c>
      <c r="F7557" t="s">
        <v>3049</v>
      </c>
      <c r="G7557">
        <v>-89.809499000000002</v>
      </c>
      <c r="H7557">
        <v>1600</v>
      </c>
      <c r="I7557">
        <v>-17</v>
      </c>
      <c r="J7557">
        <v>149</v>
      </c>
      <c r="K7557">
        <v>-192</v>
      </c>
      <c r="L7557">
        <v>1200</v>
      </c>
      <c r="M7557" t="str">
        <f t="shared" si="761"/>
        <v xml:space="preserve">N35DC   </v>
      </c>
      <c r="N7557">
        <v>1</v>
      </c>
      <c r="O7557">
        <v>1700</v>
      </c>
    </row>
    <row r="7558" spans="1:15" x14ac:dyDescent="0.25">
      <c r="A7558" t="str">
        <f>"10/21/2020 19:06:55.863"</f>
        <v>10/21/2020 19:06:55.863</v>
      </c>
      <c r="B7558" t="str">
        <f>"19:07:03.820"</f>
        <v>19:07:03.820</v>
      </c>
      <c r="C7558" t="str">
        <f>"19:07:03.620"</f>
        <v>19:07:03.620</v>
      </c>
      <c r="D7558" t="s">
        <v>3048</v>
      </c>
      <c r="E7558">
        <v>30.432279000000001</v>
      </c>
      <c r="F7558" t="s">
        <v>3049</v>
      </c>
      <c r="G7558">
        <v>-89.809499000000002</v>
      </c>
      <c r="H7558">
        <v>1600</v>
      </c>
      <c r="I7558">
        <v>-17</v>
      </c>
      <c r="J7558">
        <v>149</v>
      </c>
      <c r="K7558">
        <v>-192</v>
      </c>
      <c r="L7558">
        <v>1200</v>
      </c>
      <c r="M7558" t="str">
        <f t="shared" si="761"/>
        <v xml:space="preserve">N35DC   </v>
      </c>
      <c r="N7558">
        <v>1</v>
      </c>
      <c r="O7558">
        <v>1700</v>
      </c>
    </row>
    <row r="7559" spans="1:15" x14ac:dyDescent="0.25">
      <c r="A7559" t="str">
        <f>"10/21/2020 19:06:55.863"</f>
        <v>10/21/2020 19:06:55.863</v>
      </c>
      <c r="B7559" t="str">
        <f>"19:07:03.820"</f>
        <v>19:07:03.820</v>
      </c>
      <c r="C7559" t="str">
        <f>"19:07:03.620"</f>
        <v>19:07:03.620</v>
      </c>
      <c r="D7559" t="s">
        <v>3048</v>
      </c>
      <c r="E7559">
        <v>30.432279000000001</v>
      </c>
      <c r="F7559" t="s">
        <v>3049</v>
      </c>
      <c r="G7559">
        <v>-89.809499000000002</v>
      </c>
      <c r="H7559">
        <v>1600</v>
      </c>
      <c r="I7559">
        <v>-17</v>
      </c>
      <c r="J7559">
        <v>149</v>
      </c>
      <c r="K7559">
        <v>-192</v>
      </c>
      <c r="L7559">
        <v>1200</v>
      </c>
      <c r="M7559" t="str">
        <f t="shared" ref="M7559:M7622" si="765">"N35DC   "</f>
        <v xml:space="preserve">N35DC   </v>
      </c>
      <c r="N7559">
        <v>1</v>
      </c>
      <c r="O7559">
        <v>1700</v>
      </c>
    </row>
    <row r="7560" spans="1:15" x14ac:dyDescent="0.25">
      <c r="A7560" t="str">
        <f>"10/21/2020 19:06:59.171"</f>
        <v>10/21/2020 19:06:59.171</v>
      </c>
      <c r="B7560" t="str">
        <f t="shared" ref="B7560:C7564" si="766">"19:07:07.117"</f>
        <v>19:07:07.117</v>
      </c>
      <c r="C7560" t="str">
        <f t="shared" si="766"/>
        <v>19:07:07.117</v>
      </c>
      <c r="D7560" t="s">
        <v>3050</v>
      </c>
      <c r="E7560">
        <v>30.434553999999999</v>
      </c>
      <c r="F7560" t="s">
        <v>3051</v>
      </c>
      <c r="G7560">
        <v>-89.809884999999994</v>
      </c>
      <c r="H7560">
        <v>1600</v>
      </c>
      <c r="I7560">
        <v>-21</v>
      </c>
      <c r="J7560">
        <v>149</v>
      </c>
      <c r="K7560">
        <v>192</v>
      </c>
      <c r="L7560">
        <v>1200</v>
      </c>
      <c r="M7560" t="str">
        <f t="shared" si="765"/>
        <v xml:space="preserve">N35DC   </v>
      </c>
      <c r="N7560">
        <v>1</v>
      </c>
      <c r="O7560">
        <v>1700</v>
      </c>
    </row>
    <row r="7561" spans="1:15" x14ac:dyDescent="0.25">
      <c r="A7561" t="str">
        <f>"10/21/2020 19:06:59.171"</f>
        <v>10/21/2020 19:06:59.171</v>
      </c>
      <c r="B7561" t="str">
        <f t="shared" si="766"/>
        <v>19:07:07.117</v>
      </c>
      <c r="C7561" t="str">
        <f t="shared" si="766"/>
        <v>19:07:07.117</v>
      </c>
      <c r="D7561" t="s">
        <v>3050</v>
      </c>
      <c r="E7561">
        <v>30.434553999999999</v>
      </c>
      <c r="F7561" t="s">
        <v>3051</v>
      </c>
      <c r="G7561">
        <v>-89.809884999999994</v>
      </c>
      <c r="H7561">
        <v>1600</v>
      </c>
      <c r="I7561">
        <v>-21</v>
      </c>
      <c r="J7561">
        <v>149</v>
      </c>
      <c r="K7561">
        <v>192</v>
      </c>
      <c r="L7561">
        <v>1200</v>
      </c>
      <c r="M7561" t="str">
        <f t="shared" si="765"/>
        <v xml:space="preserve">N35DC   </v>
      </c>
      <c r="N7561">
        <v>1</v>
      </c>
      <c r="O7561">
        <v>1700</v>
      </c>
    </row>
    <row r="7562" spans="1:15" x14ac:dyDescent="0.25">
      <c r="A7562" t="str">
        <f>"10/21/2020 19:06:59.171"</f>
        <v>10/21/2020 19:06:59.171</v>
      </c>
      <c r="B7562" t="str">
        <f t="shared" si="766"/>
        <v>19:07:07.117</v>
      </c>
      <c r="C7562" t="str">
        <f t="shared" si="766"/>
        <v>19:07:07.117</v>
      </c>
      <c r="D7562" t="s">
        <v>3050</v>
      </c>
      <c r="E7562">
        <v>30.434553999999999</v>
      </c>
      <c r="F7562" t="s">
        <v>3051</v>
      </c>
      <c r="G7562">
        <v>-89.809884999999994</v>
      </c>
      <c r="H7562">
        <v>1600</v>
      </c>
      <c r="I7562">
        <v>-21</v>
      </c>
      <c r="J7562">
        <v>149</v>
      </c>
      <c r="K7562">
        <v>192</v>
      </c>
      <c r="L7562">
        <v>1200</v>
      </c>
      <c r="M7562" t="str">
        <f t="shared" si="765"/>
        <v xml:space="preserve">N35DC   </v>
      </c>
      <c r="N7562">
        <v>1</v>
      </c>
      <c r="O7562">
        <v>1700</v>
      </c>
    </row>
    <row r="7563" spans="1:15" x14ac:dyDescent="0.25">
      <c r="A7563" t="str">
        <f>"10/21/2020 19:06:59.171"</f>
        <v>10/21/2020 19:06:59.171</v>
      </c>
      <c r="B7563" t="str">
        <f t="shared" si="766"/>
        <v>19:07:07.117</v>
      </c>
      <c r="C7563" t="str">
        <f t="shared" si="766"/>
        <v>19:07:07.117</v>
      </c>
      <c r="D7563" t="s">
        <v>3050</v>
      </c>
      <c r="E7563">
        <v>30.434553999999999</v>
      </c>
      <c r="F7563" t="s">
        <v>3051</v>
      </c>
      <c r="G7563">
        <v>-89.809884999999994</v>
      </c>
      <c r="H7563">
        <v>1600</v>
      </c>
      <c r="I7563">
        <v>-21</v>
      </c>
      <c r="J7563">
        <v>149</v>
      </c>
      <c r="K7563">
        <v>192</v>
      </c>
      <c r="L7563">
        <v>1200</v>
      </c>
      <c r="M7563" t="str">
        <f t="shared" si="765"/>
        <v xml:space="preserve">N35DC   </v>
      </c>
      <c r="N7563">
        <v>1</v>
      </c>
      <c r="O7563">
        <v>1700</v>
      </c>
    </row>
    <row r="7564" spans="1:15" x14ac:dyDescent="0.25">
      <c r="A7564" t="str">
        <f>"10/21/2020 19:06:59.171"</f>
        <v>10/21/2020 19:06:59.171</v>
      </c>
      <c r="B7564" t="str">
        <f t="shared" si="766"/>
        <v>19:07:07.117</v>
      </c>
      <c r="C7564" t="str">
        <f t="shared" si="766"/>
        <v>19:07:07.117</v>
      </c>
      <c r="D7564" t="s">
        <v>3050</v>
      </c>
      <c r="E7564">
        <v>30.434553999999999</v>
      </c>
      <c r="F7564" t="s">
        <v>3051</v>
      </c>
      <c r="G7564">
        <v>-89.809884999999994</v>
      </c>
      <c r="H7564">
        <v>1600</v>
      </c>
      <c r="I7564">
        <v>-21</v>
      </c>
      <c r="J7564">
        <v>149</v>
      </c>
      <c r="K7564">
        <v>192</v>
      </c>
      <c r="L7564">
        <v>1200</v>
      </c>
      <c r="M7564" t="str">
        <f t="shared" si="765"/>
        <v xml:space="preserve">N35DC   </v>
      </c>
      <c r="N7564">
        <v>1</v>
      </c>
      <c r="O7564">
        <v>1700</v>
      </c>
    </row>
    <row r="7565" spans="1:15" x14ac:dyDescent="0.25">
      <c r="A7565" t="str">
        <f>"10/21/2020 19:07:00.164"</f>
        <v>10/21/2020 19:07:00.164</v>
      </c>
      <c r="B7565" t="str">
        <f>"19:07:08.125"</f>
        <v>19:07:08.125</v>
      </c>
      <c r="C7565" t="str">
        <f>"19:07:07.625"</f>
        <v>19:07:07.625</v>
      </c>
      <c r="D7565" t="s">
        <v>3052</v>
      </c>
      <c r="E7565">
        <v>30.43524</v>
      </c>
      <c r="F7565" t="s">
        <v>3053</v>
      </c>
      <c r="G7565">
        <v>-89.809991999999994</v>
      </c>
      <c r="H7565">
        <v>1600</v>
      </c>
      <c r="I7565">
        <v>-22</v>
      </c>
      <c r="J7565">
        <v>149</v>
      </c>
      <c r="K7565">
        <v>256</v>
      </c>
      <c r="L7565">
        <v>1200</v>
      </c>
      <c r="M7565" t="str">
        <f t="shared" si="765"/>
        <v xml:space="preserve">N35DC   </v>
      </c>
      <c r="N7565">
        <v>1</v>
      </c>
      <c r="O7565">
        <v>1700</v>
      </c>
    </row>
    <row r="7566" spans="1:15" x14ac:dyDescent="0.25">
      <c r="A7566" t="str">
        <f>"10/21/2020 19:07:00.164"</f>
        <v>10/21/2020 19:07:00.164</v>
      </c>
      <c r="B7566" t="str">
        <f>"19:07:08.125"</f>
        <v>19:07:08.125</v>
      </c>
      <c r="C7566" t="str">
        <f>"19:07:07.625"</f>
        <v>19:07:07.625</v>
      </c>
      <c r="D7566" t="s">
        <v>3052</v>
      </c>
      <c r="E7566">
        <v>30.43524</v>
      </c>
      <c r="F7566" t="s">
        <v>3053</v>
      </c>
      <c r="G7566">
        <v>-89.809991999999994</v>
      </c>
      <c r="H7566">
        <v>1600</v>
      </c>
      <c r="I7566">
        <v>-22</v>
      </c>
      <c r="J7566">
        <v>149</v>
      </c>
      <c r="K7566">
        <v>256</v>
      </c>
      <c r="L7566">
        <v>1200</v>
      </c>
      <c r="M7566" t="str">
        <f t="shared" si="765"/>
        <v xml:space="preserve">N35DC   </v>
      </c>
      <c r="N7566">
        <v>1</v>
      </c>
      <c r="O7566">
        <v>1700</v>
      </c>
    </row>
    <row r="7567" spans="1:15" x14ac:dyDescent="0.25">
      <c r="A7567" t="str">
        <f>"10/21/2020 19:07:00.164"</f>
        <v>10/21/2020 19:07:00.164</v>
      </c>
      <c r="B7567" t="str">
        <f>"19:07:08.125"</f>
        <v>19:07:08.125</v>
      </c>
      <c r="C7567" t="str">
        <f>"19:07:07.625"</f>
        <v>19:07:07.625</v>
      </c>
      <c r="D7567" t="s">
        <v>3052</v>
      </c>
      <c r="E7567">
        <v>30.43524</v>
      </c>
      <c r="F7567" t="s">
        <v>3053</v>
      </c>
      <c r="G7567">
        <v>-89.809991999999994</v>
      </c>
      <c r="H7567">
        <v>1600</v>
      </c>
      <c r="I7567">
        <v>-22</v>
      </c>
      <c r="J7567">
        <v>149</v>
      </c>
      <c r="K7567">
        <v>256</v>
      </c>
      <c r="L7567">
        <v>1200</v>
      </c>
      <c r="M7567" t="str">
        <f t="shared" si="765"/>
        <v xml:space="preserve">N35DC   </v>
      </c>
      <c r="N7567">
        <v>1</v>
      </c>
      <c r="O7567">
        <v>1700</v>
      </c>
    </row>
    <row r="7568" spans="1:15" x14ac:dyDescent="0.25">
      <c r="A7568" t="str">
        <f>"10/21/2020 19:07:00.164"</f>
        <v>10/21/2020 19:07:00.164</v>
      </c>
      <c r="B7568" t="str">
        <f>"19:07:08.125"</f>
        <v>19:07:08.125</v>
      </c>
      <c r="C7568" t="str">
        <f>"19:07:07.625"</f>
        <v>19:07:07.625</v>
      </c>
      <c r="D7568" t="s">
        <v>3052</v>
      </c>
      <c r="E7568">
        <v>30.43524</v>
      </c>
      <c r="F7568" t="s">
        <v>3053</v>
      </c>
      <c r="G7568">
        <v>-89.809991999999994</v>
      </c>
      <c r="H7568">
        <v>1600</v>
      </c>
      <c r="I7568">
        <v>-22</v>
      </c>
      <c r="J7568">
        <v>149</v>
      </c>
      <c r="K7568">
        <v>256</v>
      </c>
      <c r="L7568">
        <v>1200</v>
      </c>
      <c r="M7568" t="str">
        <f t="shared" si="765"/>
        <v xml:space="preserve">N35DC   </v>
      </c>
      <c r="N7568">
        <v>1</v>
      </c>
      <c r="O7568">
        <v>1700</v>
      </c>
    </row>
    <row r="7569" spans="1:15" x14ac:dyDescent="0.25">
      <c r="A7569" t="str">
        <f>"10/21/2020 19:07:00.164"</f>
        <v>10/21/2020 19:07:00.164</v>
      </c>
      <c r="B7569" t="str">
        <f>"19:07:08.125"</f>
        <v>19:07:08.125</v>
      </c>
      <c r="C7569" t="str">
        <f>"19:07:07.625"</f>
        <v>19:07:07.625</v>
      </c>
      <c r="D7569" t="s">
        <v>3052</v>
      </c>
      <c r="E7569">
        <v>30.43524</v>
      </c>
      <c r="F7569" t="s">
        <v>3053</v>
      </c>
      <c r="G7569">
        <v>-89.809991999999994</v>
      </c>
      <c r="H7569">
        <v>1600</v>
      </c>
      <c r="I7569">
        <v>-22</v>
      </c>
      <c r="J7569">
        <v>149</v>
      </c>
      <c r="K7569">
        <v>256</v>
      </c>
      <c r="L7569">
        <v>1200</v>
      </c>
      <c r="M7569" t="str">
        <f t="shared" si="765"/>
        <v xml:space="preserve">N35DC   </v>
      </c>
      <c r="N7569">
        <v>1</v>
      </c>
      <c r="O7569">
        <v>1700</v>
      </c>
    </row>
    <row r="7570" spans="1:15" x14ac:dyDescent="0.25">
      <c r="A7570" t="str">
        <f>"10/21/2020 19:07:01.060"</f>
        <v>10/21/2020 19:07:01.060</v>
      </c>
      <c r="B7570" t="str">
        <f>"19:07:08.992"</f>
        <v>19:07:08.992</v>
      </c>
      <c r="C7570" t="str">
        <f>"19:07:08.692"</f>
        <v>19:07:08.692</v>
      </c>
      <c r="D7570" t="s">
        <v>3054</v>
      </c>
      <c r="E7570">
        <v>30.435863000000001</v>
      </c>
      <c r="F7570" t="s">
        <v>3055</v>
      </c>
      <c r="G7570">
        <v>-89.810100000000006</v>
      </c>
      <c r="H7570">
        <v>1600</v>
      </c>
      <c r="I7570">
        <v>-23</v>
      </c>
      <c r="J7570">
        <v>149</v>
      </c>
      <c r="K7570">
        <v>256</v>
      </c>
      <c r="L7570">
        <v>1200</v>
      </c>
      <c r="M7570" t="str">
        <f t="shared" si="765"/>
        <v xml:space="preserve">N35DC   </v>
      </c>
      <c r="N7570">
        <v>1</v>
      </c>
      <c r="O7570">
        <v>1700</v>
      </c>
    </row>
    <row r="7571" spans="1:15" x14ac:dyDescent="0.25">
      <c r="A7571" t="str">
        <f>"10/21/2020 19:07:01.060"</f>
        <v>10/21/2020 19:07:01.060</v>
      </c>
      <c r="B7571" t="str">
        <f>"19:07:08.992"</f>
        <v>19:07:08.992</v>
      </c>
      <c r="C7571" t="str">
        <f>"19:07:08.692"</f>
        <v>19:07:08.692</v>
      </c>
      <c r="D7571" t="s">
        <v>3054</v>
      </c>
      <c r="E7571">
        <v>30.435863000000001</v>
      </c>
      <c r="F7571" t="s">
        <v>3055</v>
      </c>
      <c r="G7571">
        <v>-89.810100000000006</v>
      </c>
      <c r="H7571">
        <v>1600</v>
      </c>
      <c r="I7571">
        <v>-23</v>
      </c>
      <c r="J7571">
        <v>149</v>
      </c>
      <c r="K7571">
        <v>256</v>
      </c>
      <c r="L7571">
        <v>1200</v>
      </c>
      <c r="M7571" t="str">
        <f t="shared" si="765"/>
        <v xml:space="preserve">N35DC   </v>
      </c>
      <c r="N7571">
        <v>1</v>
      </c>
      <c r="O7571">
        <v>1700</v>
      </c>
    </row>
    <row r="7572" spans="1:15" x14ac:dyDescent="0.25">
      <c r="A7572" t="str">
        <f>"10/21/2020 19:07:01.060"</f>
        <v>10/21/2020 19:07:01.060</v>
      </c>
      <c r="B7572" t="str">
        <f>"19:07:08.992"</f>
        <v>19:07:08.992</v>
      </c>
      <c r="C7572" t="str">
        <f>"19:07:08.692"</f>
        <v>19:07:08.692</v>
      </c>
      <c r="D7572" t="s">
        <v>3054</v>
      </c>
      <c r="E7572">
        <v>30.435863000000001</v>
      </c>
      <c r="F7572" t="s">
        <v>3055</v>
      </c>
      <c r="G7572">
        <v>-89.810100000000006</v>
      </c>
      <c r="H7572">
        <v>1600</v>
      </c>
      <c r="I7572">
        <v>-23</v>
      </c>
      <c r="J7572">
        <v>149</v>
      </c>
      <c r="K7572">
        <v>256</v>
      </c>
      <c r="L7572">
        <v>1200</v>
      </c>
      <c r="M7572" t="str">
        <f t="shared" si="765"/>
        <v xml:space="preserve">N35DC   </v>
      </c>
      <c r="N7572">
        <v>1</v>
      </c>
      <c r="O7572">
        <v>1700</v>
      </c>
    </row>
    <row r="7573" spans="1:15" x14ac:dyDescent="0.25">
      <c r="A7573" t="str">
        <f>"10/21/2020 19:07:01.060"</f>
        <v>10/21/2020 19:07:01.060</v>
      </c>
      <c r="B7573" t="str">
        <f>"19:07:08.992"</f>
        <v>19:07:08.992</v>
      </c>
      <c r="C7573" t="str">
        <f>"19:07:08.692"</f>
        <v>19:07:08.692</v>
      </c>
      <c r="D7573" t="s">
        <v>3054</v>
      </c>
      <c r="E7573">
        <v>30.435863000000001</v>
      </c>
      <c r="F7573" t="s">
        <v>3055</v>
      </c>
      <c r="G7573">
        <v>-89.810100000000006</v>
      </c>
      <c r="H7573">
        <v>1600</v>
      </c>
      <c r="I7573">
        <v>-23</v>
      </c>
      <c r="J7573">
        <v>149</v>
      </c>
      <c r="K7573">
        <v>256</v>
      </c>
      <c r="L7573">
        <v>1200</v>
      </c>
      <c r="M7573" t="str">
        <f t="shared" si="765"/>
        <v xml:space="preserve">N35DC   </v>
      </c>
      <c r="N7573">
        <v>1</v>
      </c>
      <c r="O7573">
        <v>1700</v>
      </c>
    </row>
    <row r="7574" spans="1:15" x14ac:dyDescent="0.25">
      <c r="A7574" t="str">
        <f>"10/21/2020 19:07:01.060"</f>
        <v>10/21/2020 19:07:01.060</v>
      </c>
      <c r="B7574" t="str">
        <f>"19:07:08.992"</f>
        <v>19:07:08.992</v>
      </c>
      <c r="C7574" t="str">
        <f>"19:07:08.692"</f>
        <v>19:07:08.692</v>
      </c>
      <c r="D7574" t="s">
        <v>3054</v>
      </c>
      <c r="E7574">
        <v>30.435863000000001</v>
      </c>
      <c r="F7574" t="s">
        <v>3055</v>
      </c>
      <c r="G7574">
        <v>-89.810100000000006</v>
      </c>
      <c r="H7574">
        <v>1600</v>
      </c>
      <c r="I7574">
        <v>-23</v>
      </c>
      <c r="J7574">
        <v>149</v>
      </c>
      <c r="K7574">
        <v>256</v>
      </c>
      <c r="L7574">
        <v>1200</v>
      </c>
      <c r="M7574" t="str">
        <f t="shared" si="765"/>
        <v xml:space="preserve">N35DC   </v>
      </c>
      <c r="N7574">
        <v>1</v>
      </c>
      <c r="O7574">
        <v>1700</v>
      </c>
    </row>
    <row r="7575" spans="1:15" x14ac:dyDescent="0.25">
      <c r="A7575" t="str">
        <f>"10/21/2020 19:07:03.923"</f>
        <v>10/21/2020 19:07:03.923</v>
      </c>
      <c r="B7575" t="str">
        <f>"19:07:11.875"</f>
        <v>19:07:11.875</v>
      </c>
      <c r="C7575" t="str">
        <f>"19:07:11.575"</f>
        <v>19:07:11.575</v>
      </c>
      <c r="D7575" t="s">
        <v>3056</v>
      </c>
      <c r="E7575">
        <v>30.437815000000001</v>
      </c>
      <c r="F7575" t="s">
        <v>2835</v>
      </c>
      <c r="G7575">
        <v>-89.810421000000005</v>
      </c>
      <c r="H7575">
        <v>1600</v>
      </c>
      <c r="I7575">
        <v>-25</v>
      </c>
      <c r="J7575">
        <v>149</v>
      </c>
      <c r="K7575">
        <v>128</v>
      </c>
      <c r="L7575">
        <v>1200</v>
      </c>
      <c r="M7575" t="str">
        <f t="shared" si="765"/>
        <v xml:space="preserve">N35DC   </v>
      </c>
      <c r="N7575">
        <v>1</v>
      </c>
      <c r="O7575">
        <v>1700</v>
      </c>
    </row>
    <row r="7576" spans="1:15" x14ac:dyDescent="0.25">
      <c r="A7576" t="str">
        <f>"10/21/2020 19:07:03.923"</f>
        <v>10/21/2020 19:07:03.923</v>
      </c>
      <c r="B7576" t="str">
        <f>"19:07:11.875"</f>
        <v>19:07:11.875</v>
      </c>
      <c r="C7576" t="str">
        <f>"19:07:11.575"</f>
        <v>19:07:11.575</v>
      </c>
      <c r="D7576" t="s">
        <v>3056</v>
      </c>
      <c r="E7576">
        <v>30.437815000000001</v>
      </c>
      <c r="F7576" t="s">
        <v>2835</v>
      </c>
      <c r="G7576">
        <v>-89.810421000000005</v>
      </c>
      <c r="H7576">
        <v>1600</v>
      </c>
      <c r="I7576">
        <v>-25</v>
      </c>
      <c r="J7576">
        <v>149</v>
      </c>
      <c r="K7576">
        <v>128</v>
      </c>
      <c r="L7576">
        <v>1200</v>
      </c>
      <c r="M7576" t="str">
        <f t="shared" si="765"/>
        <v xml:space="preserve">N35DC   </v>
      </c>
      <c r="N7576">
        <v>1</v>
      </c>
      <c r="O7576">
        <v>1700</v>
      </c>
    </row>
    <row r="7577" spans="1:15" x14ac:dyDescent="0.25">
      <c r="A7577" t="str">
        <f>"10/21/2020 19:07:03.923"</f>
        <v>10/21/2020 19:07:03.923</v>
      </c>
      <c r="B7577" t="str">
        <f>"19:07:11.875"</f>
        <v>19:07:11.875</v>
      </c>
      <c r="C7577" t="str">
        <f>"19:07:11.575"</f>
        <v>19:07:11.575</v>
      </c>
      <c r="D7577" t="s">
        <v>3056</v>
      </c>
      <c r="E7577">
        <v>30.437815000000001</v>
      </c>
      <c r="F7577" t="s">
        <v>2835</v>
      </c>
      <c r="G7577">
        <v>-89.810421000000005</v>
      </c>
      <c r="H7577">
        <v>1600</v>
      </c>
      <c r="I7577">
        <v>-25</v>
      </c>
      <c r="J7577">
        <v>149</v>
      </c>
      <c r="K7577">
        <v>128</v>
      </c>
      <c r="L7577">
        <v>1200</v>
      </c>
      <c r="M7577" t="str">
        <f t="shared" si="765"/>
        <v xml:space="preserve">N35DC   </v>
      </c>
      <c r="N7577">
        <v>1</v>
      </c>
      <c r="O7577">
        <v>1700</v>
      </c>
    </row>
    <row r="7578" spans="1:15" x14ac:dyDescent="0.25">
      <c r="A7578" t="str">
        <f>"10/21/2020 19:07:03.923"</f>
        <v>10/21/2020 19:07:03.923</v>
      </c>
      <c r="B7578" t="str">
        <f>"19:07:11.875"</f>
        <v>19:07:11.875</v>
      </c>
      <c r="C7578" t="str">
        <f>"19:07:11.575"</f>
        <v>19:07:11.575</v>
      </c>
      <c r="D7578" t="s">
        <v>3056</v>
      </c>
      <c r="E7578">
        <v>30.437815000000001</v>
      </c>
      <c r="F7578" t="s">
        <v>2835</v>
      </c>
      <c r="G7578">
        <v>-89.810421000000005</v>
      </c>
      <c r="H7578">
        <v>1600</v>
      </c>
      <c r="I7578">
        <v>-25</v>
      </c>
      <c r="J7578">
        <v>149</v>
      </c>
      <c r="K7578">
        <v>128</v>
      </c>
      <c r="L7578">
        <v>1200</v>
      </c>
      <c r="M7578" t="str">
        <f t="shared" si="765"/>
        <v xml:space="preserve">N35DC   </v>
      </c>
      <c r="N7578">
        <v>1</v>
      </c>
      <c r="O7578">
        <v>1700</v>
      </c>
    </row>
    <row r="7579" spans="1:15" x14ac:dyDescent="0.25">
      <c r="A7579" t="str">
        <f>"10/21/2020 19:07:03.923"</f>
        <v>10/21/2020 19:07:03.923</v>
      </c>
      <c r="B7579" t="str">
        <f>"19:07:11.875"</f>
        <v>19:07:11.875</v>
      </c>
      <c r="C7579" t="str">
        <f>"19:07:11.575"</f>
        <v>19:07:11.575</v>
      </c>
      <c r="D7579" t="s">
        <v>3056</v>
      </c>
      <c r="E7579">
        <v>30.437815000000001</v>
      </c>
      <c r="F7579" t="s">
        <v>2835</v>
      </c>
      <c r="G7579">
        <v>-89.810421000000005</v>
      </c>
      <c r="H7579">
        <v>1600</v>
      </c>
      <c r="I7579">
        <v>-25</v>
      </c>
      <c r="J7579">
        <v>149</v>
      </c>
      <c r="K7579">
        <v>128</v>
      </c>
      <c r="L7579">
        <v>1200</v>
      </c>
      <c r="M7579" t="str">
        <f t="shared" si="765"/>
        <v xml:space="preserve">N35DC   </v>
      </c>
      <c r="N7579">
        <v>1</v>
      </c>
      <c r="O7579">
        <v>1700</v>
      </c>
    </row>
    <row r="7580" spans="1:15" x14ac:dyDescent="0.25">
      <c r="A7580" t="str">
        <f>"10/21/2020 19:07:04.891"</f>
        <v>10/21/2020 19:07:04.891</v>
      </c>
      <c r="B7580" t="str">
        <f>"19:07:12.820"</f>
        <v>19:07:12.820</v>
      </c>
      <c r="C7580" t="str">
        <f>"19:07:12.620"</f>
        <v>19:07:12.620</v>
      </c>
      <c r="D7580" t="s">
        <v>3057</v>
      </c>
      <c r="E7580">
        <v>30.438502</v>
      </c>
      <c r="F7580" t="s">
        <v>3058</v>
      </c>
      <c r="G7580">
        <v>-89.810592999999997</v>
      </c>
      <c r="H7580">
        <v>1600</v>
      </c>
      <c r="I7580">
        <v>-25</v>
      </c>
      <c r="J7580">
        <v>149</v>
      </c>
      <c r="K7580">
        <v>128</v>
      </c>
      <c r="L7580">
        <v>1200</v>
      </c>
      <c r="M7580" t="str">
        <f t="shared" si="765"/>
        <v xml:space="preserve">N35DC   </v>
      </c>
      <c r="N7580">
        <v>1</v>
      </c>
      <c r="O7580">
        <v>1700</v>
      </c>
    </row>
    <row r="7581" spans="1:15" x14ac:dyDescent="0.25">
      <c r="A7581" t="str">
        <f>"10/21/2020 19:07:04.891"</f>
        <v>10/21/2020 19:07:04.891</v>
      </c>
      <c r="B7581" t="str">
        <f>"19:07:12.820"</f>
        <v>19:07:12.820</v>
      </c>
      <c r="C7581" t="str">
        <f>"19:07:12.620"</f>
        <v>19:07:12.620</v>
      </c>
      <c r="D7581" t="s">
        <v>3057</v>
      </c>
      <c r="E7581">
        <v>30.438502</v>
      </c>
      <c r="F7581" t="s">
        <v>3058</v>
      </c>
      <c r="G7581">
        <v>-89.810592999999997</v>
      </c>
      <c r="H7581">
        <v>1600</v>
      </c>
      <c r="I7581">
        <v>-25</v>
      </c>
      <c r="J7581">
        <v>149</v>
      </c>
      <c r="K7581">
        <v>128</v>
      </c>
      <c r="L7581">
        <v>1200</v>
      </c>
      <c r="M7581" t="str">
        <f t="shared" si="765"/>
        <v xml:space="preserve">N35DC   </v>
      </c>
      <c r="N7581">
        <v>1</v>
      </c>
      <c r="O7581">
        <v>1700</v>
      </c>
    </row>
    <row r="7582" spans="1:15" x14ac:dyDescent="0.25">
      <c r="A7582" t="str">
        <f>"10/21/2020 19:07:04.891"</f>
        <v>10/21/2020 19:07:04.891</v>
      </c>
      <c r="B7582" t="str">
        <f>"19:07:12.820"</f>
        <v>19:07:12.820</v>
      </c>
      <c r="C7582" t="str">
        <f>"19:07:12.620"</f>
        <v>19:07:12.620</v>
      </c>
      <c r="D7582" t="s">
        <v>3057</v>
      </c>
      <c r="E7582">
        <v>30.438502</v>
      </c>
      <c r="F7582" t="s">
        <v>3058</v>
      </c>
      <c r="G7582">
        <v>-89.810592999999997</v>
      </c>
      <c r="H7582">
        <v>1600</v>
      </c>
      <c r="I7582">
        <v>-25</v>
      </c>
      <c r="J7582">
        <v>149</v>
      </c>
      <c r="K7582">
        <v>128</v>
      </c>
      <c r="L7582">
        <v>1200</v>
      </c>
      <c r="M7582" t="str">
        <f t="shared" si="765"/>
        <v xml:space="preserve">N35DC   </v>
      </c>
      <c r="N7582">
        <v>1</v>
      </c>
      <c r="O7582">
        <v>1700</v>
      </c>
    </row>
    <row r="7583" spans="1:15" x14ac:dyDescent="0.25">
      <c r="A7583" t="str">
        <f>"10/21/2020 19:07:04.891"</f>
        <v>10/21/2020 19:07:04.891</v>
      </c>
      <c r="B7583" t="str">
        <f>"19:07:12.820"</f>
        <v>19:07:12.820</v>
      </c>
      <c r="C7583" t="str">
        <f>"19:07:12.620"</f>
        <v>19:07:12.620</v>
      </c>
      <c r="D7583" t="s">
        <v>3057</v>
      </c>
      <c r="E7583">
        <v>30.438502</v>
      </c>
      <c r="F7583" t="s">
        <v>3058</v>
      </c>
      <c r="G7583">
        <v>-89.810592999999997</v>
      </c>
      <c r="H7583">
        <v>1600</v>
      </c>
      <c r="I7583">
        <v>-25</v>
      </c>
      <c r="J7583">
        <v>149</v>
      </c>
      <c r="K7583">
        <v>128</v>
      </c>
      <c r="L7583">
        <v>1200</v>
      </c>
      <c r="M7583" t="str">
        <f t="shared" si="765"/>
        <v xml:space="preserve">N35DC   </v>
      </c>
      <c r="N7583">
        <v>1</v>
      </c>
      <c r="O7583">
        <v>1700</v>
      </c>
    </row>
    <row r="7584" spans="1:15" x14ac:dyDescent="0.25">
      <c r="A7584" t="str">
        <f>"10/21/2020 19:07:04.891"</f>
        <v>10/21/2020 19:07:04.891</v>
      </c>
      <c r="B7584" t="str">
        <f>"19:07:12.820"</f>
        <v>19:07:12.820</v>
      </c>
      <c r="C7584" t="str">
        <f>"19:07:12.620"</f>
        <v>19:07:12.620</v>
      </c>
      <c r="D7584" t="s">
        <v>3057</v>
      </c>
      <c r="E7584">
        <v>30.438502</v>
      </c>
      <c r="F7584" t="s">
        <v>3058</v>
      </c>
      <c r="G7584">
        <v>-89.810592999999997</v>
      </c>
      <c r="H7584">
        <v>1600</v>
      </c>
      <c r="I7584">
        <v>-25</v>
      </c>
      <c r="J7584">
        <v>149</v>
      </c>
      <c r="K7584">
        <v>128</v>
      </c>
      <c r="L7584">
        <v>1200</v>
      </c>
      <c r="M7584" t="str">
        <f t="shared" si="765"/>
        <v xml:space="preserve">N35DC   </v>
      </c>
      <c r="N7584">
        <v>1</v>
      </c>
      <c r="O7584">
        <v>1700</v>
      </c>
    </row>
    <row r="7585" spans="1:15" x14ac:dyDescent="0.25">
      <c r="A7585" t="str">
        <f>"10/21/2020 19:07:05.893"</f>
        <v>10/21/2020 19:07:05.893</v>
      </c>
      <c r="B7585" t="str">
        <f>"19:07:13.852"</f>
        <v>19:07:13.852</v>
      </c>
      <c r="C7585" t="str">
        <f>"19:07:13.552"</f>
        <v>19:07:13.552</v>
      </c>
      <c r="D7585" t="s">
        <v>3059</v>
      </c>
      <c r="E7585">
        <v>30.439209999999999</v>
      </c>
      <c r="F7585" t="s">
        <v>2832</v>
      </c>
      <c r="G7585">
        <v>-89.810699999999997</v>
      </c>
      <c r="H7585">
        <v>1600</v>
      </c>
      <c r="I7585">
        <v>-26</v>
      </c>
      <c r="J7585">
        <v>149</v>
      </c>
      <c r="K7585">
        <v>64</v>
      </c>
      <c r="L7585">
        <v>1200</v>
      </c>
      <c r="M7585" t="str">
        <f t="shared" si="765"/>
        <v xml:space="preserve">N35DC   </v>
      </c>
      <c r="N7585">
        <v>1</v>
      </c>
      <c r="O7585">
        <v>1700</v>
      </c>
    </row>
    <row r="7586" spans="1:15" x14ac:dyDescent="0.25">
      <c r="A7586" t="str">
        <f>"10/21/2020 19:07:05.893"</f>
        <v>10/21/2020 19:07:05.893</v>
      </c>
      <c r="B7586" t="str">
        <f>"19:07:13.852"</f>
        <v>19:07:13.852</v>
      </c>
      <c r="C7586" t="str">
        <f>"19:07:13.552"</f>
        <v>19:07:13.552</v>
      </c>
      <c r="D7586" t="s">
        <v>3059</v>
      </c>
      <c r="E7586">
        <v>30.439209999999999</v>
      </c>
      <c r="F7586" t="s">
        <v>2832</v>
      </c>
      <c r="G7586">
        <v>-89.810699999999997</v>
      </c>
      <c r="H7586">
        <v>1600</v>
      </c>
      <c r="I7586">
        <v>-26</v>
      </c>
      <c r="J7586">
        <v>149</v>
      </c>
      <c r="K7586">
        <v>64</v>
      </c>
      <c r="L7586">
        <v>1200</v>
      </c>
      <c r="M7586" t="str">
        <f t="shared" si="765"/>
        <v xml:space="preserve">N35DC   </v>
      </c>
      <c r="N7586">
        <v>1</v>
      </c>
      <c r="O7586">
        <v>1700</v>
      </c>
    </row>
    <row r="7587" spans="1:15" x14ac:dyDescent="0.25">
      <c r="A7587" t="str">
        <f>"10/21/2020 19:07:05.893"</f>
        <v>10/21/2020 19:07:05.893</v>
      </c>
      <c r="B7587" t="str">
        <f>"19:07:13.852"</f>
        <v>19:07:13.852</v>
      </c>
      <c r="C7587" t="str">
        <f>"19:07:13.552"</f>
        <v>19:07:13.552</v>
      </c>
      <c r="D7587" t="s">
        <v>3059</v>
      </c>
      <c r="E7587">
        <v>30.439209999999999</v>
      </c>
      <c r="F7587" t="s">
        <v>2832</v>
      </c>
      <c r="G7587">
        <v>-89.810699999999997</v>
      </c>
      <c r="H7587">
        <v>1600</v>
      </c>
      <c r="I7587">
        <v>-26</v>
      </c>
      <c r="J7587">
        <v>149</v>
      </c>
      <c r="K7587">
        <v>64</v>
      </c>
      <c r="L7587">
        <v>1200</v>
      </c>
      <c r="M7587" t="str">
        <f t="shared" si="765"/>
        <v xml:space="preserve">N35DC   </v>
      </c>
      <c r="N7587">
        <v>1</v>
      </c>
      <c r="O7587">
        <v>1700</v>
      </c>
    </row>
    <row r="7588" spans="1:15" x14ac:dyDescent="0.25">
      <c r="A7588" t="str">
        <f>"10/21/2020 19:07:05.893"</f>
        <v>10/21/2020 19:07:05.893</v>
      </c>
      <c r="B7588" t="str">
        <f>"19:07:13.852"</f>
        <v>19:07:13.852</v>
      </c>
      <c r="C7588" t="str">
        <f>"19:07:13.552"</f>
        <v>19:07:13.552</v>
      </c>
      <c r="D7588" t="s">
        <v>3059</v>
      </c>
      <c r="E7588">
        <v>30.439209999999999</v>
      </c>
      <c r="F7588" t="s">
        <v>2832</v>
      </c>
      <c r="G7588">
        <v>-89.810699999999997</v>
      </c>
      <c r="H7588">
        <v>1600</v>
      </c>
      <c r="I7588">
        <v>-26</v>
      </c>
      <c r="J7588">
        <v>149</v>
      </c>
      <c r="K7588">
        <v>64</v>
      </c>
      <c r="L7588">
        <v>1200</v>
      </c>
      <c r="M7588" t="str">
        <f t="shared" si="765"/>
        <v xml:space="preserve">N35DC   </v>
      </c>
      <c r="N7588">
        <v>1</v>
      </c>
      <c r="O7588">
        <v>1700</v>
      </c>
    </row>
    <row r="7589" spans="1:15" x14ac:dyDescent="0.25">
      <c r="A7589" t="str">
        <f>"10/21/2020 19:07:05.893"</f>
        <v>10/21/2020 19:07:05.893</v>
      </c>
      <c r="B7589" t="str">
        <f>"19:07:13.852"</f>
        <v>19:07:13.852</v>
      </c>
      <c r="C7589" t="str">
        <f>"19:07:13.552"</f>
        <v>19:07:13.552</v>
      </c>
      <c r="D7589" t="s">
        <v>3059</v>
      </c>
      <c r="E7589">
        <v>30.439209999999999</v>
      </c>
      <c r="F7589" t="s">
        <v>2832</v>
      </c>
      <c r="G7589">
        <v>-89.810699999999997</v>
      </c>
      <c r="H7589">
        <v>1600</v>
      </c>
      <c r="I7589">
        <v>-26</v>
      </c>
      <c r="J7589">
        <v>149</v>
      </c>
      <c r="K7589">
        <v>64</v>
      </c>
      <c r="L7589">
        <v>1200</v>
      </c>
      <c r="M7589" t="str">
        <f t="shared" si="765"/>
        <v xml:space="preserve">N35DC   </v>
      </c>
      <c r="N7589">
        <v>1</v>
      </c>
      <c r="O7589">
        <v>1700</v>
      </c>
    </row>
    <row r="7590" spans="1:15" x14ac:dyDescent="0.25">
      <c r="A7590" t="str">
        <f>"10/21/2020 19:07:08.890"</f>
        <v>10/21/2020 19:07:08.890</v>
      </c>
      <c r="B7590" t="str">
        <f>"19:07:16.836"</f>
        <v>19:07:16.836</v>
      </c>
      <c r="C7590" t="str">
        <f>"19:07:16.536"</f>
        <v>19:07:16.536</v>
      </c>
      <c r="D7590" t="s">
        <v>3060</v>
      </c>
      <c r="E7590">
        <v>30.441248000000002</v>
      </c>
      <c r="F7590" t="s">
        <v>3061</v>
      </c>
      <c r="G7590">
        <v>-89.811194</v>
      </c>
      <c r="H7590">
        <v>1700</v>
      </c>
      <c r="I7590">
        <v>-29</v>
      </c>
      <c r="J7590">
        <v>149</v>
      </c>
      <c r="K7590">
        <v>0</v>
      </c>
      <c r="L7590">
        <v>1200</v>
      </c>
      <c r="M7590" t="str">
        <f t="shared" si="765"/>
        <v xml:space="preserve">N35DC   </v>
      </c>
      <c r="N7590">
        <v>1</v>
      </c>
      <c r="O7590">
        <v>1625</v>
      </c>
    </row>
    <row r="7591" spans="1:15" x14ac:dyDescent="0.25">
      <c r="A7591" t="str">
        <f>"10/21/2020 19:07:08.890"</f>
        <v>10/21/2020 19:07:08.890</v>
      </c>
      <c r="B7591" t="str">
        <f>"19:07:16.836"</f>
        <v>19:07:16.836</v>
      </c>
      <c r="C7591" t="str">
        <f>"19:07:16.536"</f>
        <v>19:07:16.536</v>
      </c>
      <c r="D7591" t="s">
        <v>3060</v>
      </c>
      <c r="E7591">
        <v>30.441248000000002</v>
      </c>
      <c r="F7591" t="s">
        <v>3061</v>
      </c>
      <c r="G7591">
        <v>-89.811194</v>
      </c>
      <c r="H7591">
        <v>1700</v>
      </c>
      <c r="I7591">
        <v>-29</v>
      </c>
      <c r="J7591">
        <v>149</v>
      </c>
      <c r="K7591">
        <v>0</v>
      </c>
      <c r="L7591">
        <v>1200</v>
      </c>
      <c r="M7591" t="str">
        <f t="shared" si="765"/>
        <v xml:space="preserve">N35DC   </v>
      </c>
      <c r="N7591">
        <v>1</v>
      </c>
      <c r="O7591">
        <v>1625</v>
      </c>
    </row>
    <row r="7592" spans="1:15" x14ac:dyDescent="0.25">
      <c r="A7592" t="str">
        <f>"10/21/2020 19:07:08.890"</f>
        <v>10/21/2020 19:07:08.890</v>
      </c>
      <c r="B7592" t="str">
        <f>"19:07:16.836"</f>
        <v>19:07:16.836</v>
      </c>
      <c r="C7592" t="str">
        <f>"19:07:16.536"</f>
        <v>19:07:16.536</v>
      </c>
      <c r="D7592" t="s">
        <v>3060</v>
      </c>
      <c r="E7592">
        <v>30.441248000000002</v>
      </c>
      <c r="F7592" t="s">
        <v>3061</v>
      </c>
      <c r="G7592">
        <v>-89.811194</v>
      </c>
      <c r="H7592">
        <v>1700</v>
      </c>
      <c r="I7592">
        <v>-29</v>
      </c>
      <c r="J7592">
        <v>149</v>
      </c>
      <c r="K7592">
        <v>0</v>
      </c>
      <c r="L7592">
        <v>1200</v>
      </c>
      <c r="M7592" t="str">
        <f t="shared" si="765"/>
        <v xml:space="preserve">N35DC   </v>
      </c>
      <c r="N7592">
        <v>1</v>
      </c>
      <c r="O7592">
        <v>1625</v>
      </c>
    </row>
    <row r="7593" spans="1:15" x14ac:dyDescent="0.25">
      <c r="A7593" t="str">
        <f>"10/21/2020 19:07:08.890"</f>
        <v>10/21/2020 19:07:08.890</v>
      </c>
      <c r="B7593" t="str">
        <f>"19:07:16.836"</f>
        <v>19:07:16.836</v>
      </c>
      <c r="C7593" t="str">
        <f>"19:07:16.536"</f>
        <v>19:07:16.536</v>
      </c>
      <c r="D7593" t="s">
        <v>3060</v>
      </c>
      <c r="E7593">
        <v>30.441248000000002</v>
      </c>
      <c r="F7593" t="s">
        <v>3061</v>
      </c>
      <c r="G7593">
        <v>-89.811194</v>
      </c>
      <c r="H7593">
        <v>1700</v>
      </c>
      <c r="I7593">
        <v>-29</v>
      </c>
      <c r="J7593">
        <v>149</v>
      </c>
      <c r="K7593">
        <v>0</v>
      </c>
      <c r="L7593">
        <v>1200</v>
      </c>
      <c r="M7593" t="str">
        <f t="shared" si="765"/>
        <v xml:space="preserve">N35DC   </v>
      </c>
      <c r="N7593">
        <v>1</v>
      </c>
      <c r="O7593">
        <v>1625</v>
      </c>
    </row>
    <row r="7594" spans="1:15" x14ac:dyDescent="0.25">
      <c r="A7594" t="str">
        <f>"10/21/2020 19:07:08.890"</f>
        <v>10/21/2020 19:07:08.890</v>
      </c>
      <c r="B7594" t="str">
        <f>"19:07:16.836"</f>
        <v>19:07:16.836</v>
      </c>
      <c r="C7594" t="str">
        <f>"19:07:16.536"</f>
        <v>19:07:16.536</v>
      </c>
      <c r="D7594" t="s">
        <v>3060</v>
      </c>
      <c r="E7594">
        <v>30.441248000000002</v>
      </c>
      <c r="F7594" t="s">
        <v>3061</v>
      </c>
      <c r="G7594">
        <v>-89.811194</v>
      </c>
      <c r="H7594">
        <v>1700</v>
      </c>
      <c r="I7594">
        <v>-29</v>
      </c>
      <c r="J7594">
        <v>149</v>
      </c>
      <c r="K7594">
        <v>0</v>
      </c>
      <c r="L7594">
        <v>1200</v>
      </c>
      <c r="M7594" t="str">
        <f t="shared" si="765"/>
        <v xml:space="preserve">N35DC   </v>
      </c>
      <c r="N7594">
        <v>1</v>
      </c>
      <c r="O7594">
        <v>1625</v>
      </c>
    </row>
    <row r="7595" spans="1:15" x14ac:dyDescent="0.25">
      <c r="A7595" t="str">
        <f>"10/21/2020 19:07:10.008"</f>
        <v>10/21/2020 19:07:10.008</v>
      </c>
      <c r="B7595" t="str">
        <f>"19:07:17.961"</f>
        <v>19:07:17.961</v>
      </c>
      <c r="C7595" t="str">
        <f>"19:07:17.561"</f>
        <v>19:07:17.561</v>
      </c>
      <c r="D7595" t="s">
        <v>3062</v>
      </c>
      <c r="E7595">
        <v>30.442042000000001</v>
      </c>
      <c r="F7595" t="s">
        <v>3063</v>
      </c>
      <c r="G7595">
        <v>-89.811366000000007</v>
      </c>
      <c r="H7595">
        <v>1600</v>
      </c>
      <c r="I7595">
        <v>-29</v>
      </c>
      <c r="J7595">
        <v>149</v>
      </c>
      <c r="K7595">
        <v>0</v>
      </c>
      <c r="L7595">
        <v>1200</v>
      </c>
      <c r="M7595" t="str">
        <f t="shared" si="765"/>
        <v xml:space="preserve">N35DC   </v>
      </c>
      <c r="N7595">
        <v>1</v>
      </c>
      <c r="O7595">
        <v>1700</v>
      </c>
    </row>
    <row r="7596" spans="1:15" x14ac:dyDescent="0.25">
      <c r="A7596" t="str">
        <f>"10/21/2020 19:07:10.008"</f>
        <v>10/21/2020 19:07:10.008</v>
      </c>
      <c r="B7596" t="str">
        <f>"19:07:17.961"</f>
        <v>19:07:17.961</v>
      </c>
      <c r="C7596" t="str">
        <f>"19:07:17.561"</f>
        <v>19:07:17.561</v>
      </c>
      <c r="D7596" t="s">
        <v>3062</v>
      </c>
      <c r="E7596">
        <v>30.442042000000001</v>
      </c>
      <c r="F7596" t="s">
        <v>3063</v>
      </c>
      <c r="G7596">
        <v>-89.811366000000007</v>
      </c>
      <c r="H7596">
        <v>1600</v>
      </c>
      <c r="I7596">
        <v>-29</v>
      </c>
      <c r="J7596">
        <v>149</v>
      </c>
      <c r="K7596">
        <v>0</v>
      </c>
      <c r="L7596">
        <v>1200</v>
      </c>
      <c r="M7596" t="str">
        <f t="shared" si="765"/>
        <v xml:space="preserve">N35DC   </v>
      </c>
      <c r="N7596">
        <v>1</v>
      </c>
      <c r="O7596">
        <v>1700</v>
      </c>
    </row>
    <row r="7597" spans="1:15" x14ac:dyDescent="0.25">
      <c r="A7597" t="str">
        <f>"10/21/2020 19:07:10.008"</f>
        <v>10/21/2020 19:07:10.008</v>
      </c>
      <c r="B7597" t="str">
        <f>"19:07:17.961"</f>
        <v>19:07:17.961</v>
      </c>
      <c r="C7597" t="str">
        <f>"19:07:17.561"</f>
        <v>19:07:17.561</v>
      </c>
      <c r="D7597" t="s">
        <v>3062</v>
      </c>
      <c r="E7597">
        <v>30.442042000000001</v>
      </c>
      <c r="F7597" t="s">
        <v>3063</v>
      </c>
      <c r="G7597">
        <v>-89.811366000000007</v>
      </c>
      <c r="H7597">
        <v>1600</v>
      </c>
      <c r="I7597">
        <v>-29</v>
      </c>
      <c r="J7597">
        <v>149</v>
      </c>
      <c r="K7597">
        <v>0</v>
      </c>
      <c r="L7597">
        <v>1200</v>
      </c>
      <c r="M7597" t="str">
        <f t="shared" si="765"/>
        <v xml:space="preserve">N35DC   </v>
      </c>
      <c r="N7597">
        <v>1</v>
      </c>
      <c r="O7597">
        <v>1700</v>
      </c>
    </row>
    <row r="7598" spans="1:15" x14ac:dyDescent="0.25">
      <c r="A7598" t="str">
        <f>"10/21/2020 19:07:10.008"</f>
        <v>10/21/2020 19:07:10.008</v>
      </c>
      <c r="B7598" t="str">
        <f>"19:07:17.961"</f>
        <v>19:07:17.961</v>
      </c>
      <c r="C7598" t="str">
        <f>"19:07:17.561"</f>
        <v>19:07:17.561</v>
      </c>
      <c r="D7598" t="s">
        <v>3062</v>
      </c>
      <c r="E7598">
        <v>30.442042000000001</v>
      </c>
      <c r="F7598" t="s">
        <v>3063</v>
      </c>
      <c r="G7598">
        <v>-89.811366000000007</v>
      </c>
      <c r="H7598">
        <v>1600</v>
      </c>
      <c r="I7598">
        <v>-29</v>
      </c>
      <c r="J7598">
        <v>149</v>
      </c>
      <c r="K7598">
        <v>0</v>
      </c>
      <c r="L7598">
        <v>1200</v>
      </c>
      <c r="M7598" t="str">
        <f t="shared" si="765"/>
        <v xml:space="preserve">N35DC   </v>
      </c>
      <c r="N7598">
        <v>1</v>
      </c>
      <c r="O7598">
        <v>1700</v>
      </c>
    </row>
    <row r="7599" spans="1:15" x14ac:dyDescent="0.25">
      <c r="A7599" t="str">
        <f>"10/21/2020 19:07:10.008"</f>
        <v>10/21/2020 19:07:10.008</v>
      </c>
      <c r="B7599" t="str">
        <f>"19:07:17.961"</f>
        <v>19:07:17.961</v>
      </c>
      <c r="C7599" t="str">
        <f>"19:07:17.561"</f>
        <v>19:07:17.561</v>
      </c>
      <c r="D7599" t="s">
        <v>3062</v>
      </c>
      <c r="E7599">
        <v>30.442042000000001</v>
      </c>
      <c r="F7599" t="s">
        <v>3063</v>
      </c>
      <c r="G7599">
        <v>-89.811366000000007</v>
      </c>
      <c r="H7599">
        <v>1600</v>
      </c>
      <c r="I7599">
        <v>-29</v>
      </c>
      <c r="J7599">
        <v>149</v>
      </c>
      <c r="K7599">
        <v>0</v>
      </c>
      <c r="L7599">
        <v>1200</v>
      </c>
      <c r="M7599" t="str">
        <f t="shared" si="765"/>
        <v xml:space="preserve">N35DC   </v>
      </c>
      <c r="N7599">
        <v>1</v>
      </c>
      <c r="O7599">
        <v>1700</v>
      </c>
    </row>
    <row r="7600" spans="1:15" x14ac:dyDescent="0.25">
      <c r="A7600" t="str">
        <f>"10/21/2020 19:07:11.103"</f>
        <v>10/21/2020 19:07:11.103</v>
      </c>
      <c r="B7600" t="str">
        <f>"19:07:19.063"</f>
        <v>19:07:19.063</v>
      </c>
      <c r="C7600" t="str">
        <f>"19:07:18.663"</f>
        <v>19:07:18.663</v>
      </c>
      <c r="D7600" t="s">
        <v>3064</v>
      </c>
      <c r="E7600">
        <v>30.442793000000002</v>
      </c>
      <c r="F7600" t="s">
        <v>376</v>
      </c>
      <c r="G7600">
        <v>-89.811537000000001</v>
      </c>
      <c r="H7600">
        <v>1600</v>
      </c>
      <c r="I7600">
        <v>-29</v>
      </c>
      <c r="J7600">
        <v>149</v>
      </c>
      <c r="K7600">
        <v>-64</v>
      </c>
      <c r="L7600">
        <v>1200</v>
      </c>
      <c r="M7600" t="str">
        <f t="shared" si="765"/>
        <v xml:space="preserve">N35DC   </v>
      </c>
      <c r="N7600">
        <v>1</v>
      </c>
      <c r="O7600">
        <v>1800</v>
      </c>
    </row>
    <row r="7601" spans="1:15" x14ac:dyDescent="0.25">
      <c r="A7601" t="str">
        <f>"10/21/2020 19:07:11.103"</f>
        <v>10/21/2020 19:07:11.103</v>
      </c>
      <c r="B7601" t="str">
        <f>"19:07:19.063"</f>
        <v>19:07:19.063</v>
      </c>
      <c r="C7601" t="str">
        <f>"19:07:18.663"</f>
        <v>19:07:18.663</v>
      </c>
      <c r="D7601" t="s">
        <v>3064</v>
      </c>
      <c r="E7601">
        <v>30.442793000000002</v>
      </c>
      <c r="F7601" t="s">
        <v>376</v>
      </c>
      <c r="G7601">
        <v>-89.811537000000001</v>
      </c>
      <c r="H7601">
        <v>1600</v>
      </c>
      <c r="I7601">
        <v>-29</v>
      </c>
      <c r="J7601">
        <v>149</v>
      </c>
      <c r="K7601">
        <v>-64</v>
      </c>
      <c r="L7601">
        <v>1200</v>
      </c>
      <c r="M7601" t="str">
        <f t="shared" si="765"/>
        <v xml:space="preserve">N35DC   </v>
      </c>
      <c r="N7601">
        <v>1</v>
      </c>
      <c r="O7601">
        <v>1800</v>
      </c>
    </row>
    <row r="7602" spans="1:15" x14ac:dyDescent="0.25">
      <c r="A7602" t="str">
        <f>"10/21/2020 19:07:11.103"</f>
        <v>10/21/2020 19:07:11.103</v>
      </c>
      <c r="B7602" t="str">
        <f>"19:07:19.063"</f>
        <v>19:07:19.063</v>
      </c>
      <c r="C7602" t="str">
        <f>"19:07:18.663"</f>
        <v>19:07:18.663</v>
      </c>
      <c r="D7602" t="s">
        <v>3064</v>
      </c>
      <c r="E7602">
        <v>30.442793000000002</v>
      </c>
      <c r="F7602" t="s">
        <v>376</v>
      </c>
      <c r="G7602">
        <v>-89.811537000000001</v>
      </c>
      <c r="H7602">
        <v>1600</v>
      </c>
      <c r="I7602">
        <v>-29</v>
      </c>
      <c r="J7602">
        <v>149</v>
      </c>
      <c r="K7602">
        <v>-64</v>
      </c>
      <c r="L7602">
        <v>1200</v>
      </c>
      <c r="M7602" t="str">
        <f t="shared" si="765"/>
        <v xml:space="preserve">N35DC   </v>
      </c>
      <c r="N7602">
        <v>1</v>
      </c>
      <c r="O7602">
        <v>1800</v>
      </c>
    </row>
    <row r="7603" spans="1:15" x14ac:dyDescent="0.25">
      <c r="A7603" t="str">
        <f>"10/21/2020 19:07:11.103"</f>
        <v>10/21/2020 19:07:11.103</v>
      </c>
      <c r="B7603" t="str">
        <f>"19:07:19.063"</f>
        <v>19:07:19.063</v>
      </c>
      <c r="C7603" t="str">
        <f>"19:07:18.663"</f>
        <v>19:07:18.663</v>
      </c>
      <c r="D7603" t="s">
        <v>3064</v>
      </c>
      <c r="E7603">
        <v>30.442793000000002</v>
      </c>
      <c r="F7603" t="s">
        <v>376</v>
      </c>
      <c r="G7603">
        <v>-89.811537000000001</v>
      </c>
      <c r="H7603">
        <v>1600</v>
      </c>
      <c r="I7603">
        <v>-29</v>
      </c>
      <c r="J7603">
        <v>149</v>
      </c>
      <c r="K7603">
        <v>-64</v>
      </c>
      <c r="L7603">
        <v>1200</v>
      </c>
      <c r="M7603" t="str">
        <f t="shared" si="765"/>
        <v xml:space="preserve">N35DC   </v>
      </c>
      <c r="N7603">
        <v>1</v>
      </c>
      <c r="O7603">
        <v>1800</v>
      </c>
    </row>
    <row r="7604" spans="1:15" x14ac:dyDescent="0.25">
      <c r="A7604" t="str">
        <f>"10/21/2020 19:07:11.103"</f>
        <v>10/21/2020 19:07:11.103</v>
      </c>
      <c r="B7604" t="str">
        <f>"19:07:19.063"</f>
        <v>19:07:19.063</v>
      </c>
      <c r="C7604" t="str">
        <f>"19:07:18.663"</f>
        <v>19:07:18.663</v>
      </c>
      <c r="D7604" t="s">
        <v>3064</v>
      </c>
      <c r="E7604">
        <v>30.442793000000002</v>
      </c>
      <c r="F7604" t="s">
        <v>376</v>
      </c>
      <c r="G7604">
        <v>-89.811537000000001</v>
      </c>
      <c r="H7604">
        <v>1600</v>
      </c>
      <c r="I7604">
        <v>-29</v>
      </c>
      <c r="J7604">
        <v>149</v>
      </c>
      <c r="K7604">
        <v>-64</v>
      </c>
      <c r="L7604">
        <v>1200</v>
      </c>
      <c r="M7604" t="str">
        <f t="shared" si="765"/>
        <v xml:space="preserve">N35DC   </v>
      </c>
      <c r="N7604">
        <v>1</v>
      </c>
      <c r="O7604">
        <v>1800</v>
      </c>
    </row>
    <row r="7605" spans="1:15" x14ac:dyDescent="0.25">
      <c r="A7605" t="str">
        <f>"10/21/2020 19:07:15.091"</f>
        <v>10/21/2020 19:07:15.091</v>
      </c>
      <c r="B7605" t="str">
        <f>"19:07:23.016"</f>
        <v>19:07:23.016</v>
      </c>
      <c r="C7605" t="str">
        <f>"19:07:22.616"</f>
        <v>19:07:22.616</v>
      </c>
      <c r="D7605" t="s">
        <v>3065</v>
      </c>
      <c r="E7605">
        <v>30.445540000000001</v>
      </c>
      <c r="F7605" t="s">
        <v>3066</v>
      </c>
      <c r="G7605">
        <v>-89.812138000000004</v>
      </c>
      <c r="H7605">
        <v>1600</v>
      </c>
      <c r="I7605">
        <v>-27</v>
      </c>
      <c r="J7605">
        <v>150</v>
      </c>
      <c r="K7605">
        <v>0</v>
      </c>
      <c r="L7605">
        <v>1200</v>
      </c>
      <c r="M7605" t="str">
        <f t="shared" si="765"/>
        <v xml:space="preserve">N35DC   </v>
      </c>
      <c r="N7605">
        <v>1</v>
      </c>
      <c r="O7605">
        <v>1700</v>
      </c>
    </row>
    <row r="7606" spans="1:15" x14ac:dyDescent="0.25">
      <c r="A7606" t="str">
        <f>"10/21/2020 19:07:15.091"</f>
        <v>10/21/2020 19:07:15.091</v>
      </c>
      <c r="B7606" t="str">
        <f>"19:07:23.016"</f>
        <v>19:07:23.016</v>
      </c>
      <c r="C7606" t="str">
        <f>"19:07:22.616"</f>
        <v>19:07:22.616</v>
      </c>
      <c r="D7606" t="s">
        <v>3065</v>
      </c>
      <c r="E7606">
        <v>30.445540000000001</v>
      </c>
      <c r="F7606" t="s">
        <v>3066</v>
      </c>
      <c r="G7606">
        <v>-89.812138000000004</v>
      </c>
      <c r="H7606">
        <v>1600</v>
      </c>
      <c r="I7606">
        <v>-27</v>
      </c>
      <c r="J7606">
        <v>150</v>
      </c>
      <c r="K7606">
        <v>0</v>
      </c>
      <c r="L7606">
        <v>1200</v>
      </c>
      <c r="M7606" t="str">
        <f t="shared" si="765"/>
        <v xml:space="preserve">N35DC   </v>
      </c>
      <c r="N7606">
        <v>1</v>
      </c>
      <c r="O7606">
        <v>1700</v>
      </c>
    </row>
    <row r="7607" spans="1:15" x14ac:dyDescent="0.25">
      <c r="A7607" t="str">
        <f>"10/21/2020 19:07:15.091"</f>
        <v>10/21/2020 19:07:15.091</v>
      </c>
      <c r="B7607" t="str">
        <f>"19:07:23.016"</f>
        <v>19:07:23.016</v>
      </c>
      <c r="C7607" t="str">
        <f>"19:07:22.616"</f>
        <v>19:07:22.616</v>
      </c>
      <c r="D7607" t="s">
        <v>3065</v>
      </c>
      <c r="E7607">
        <v>30.445540000000001</v>
      </c>
      <c r="F7607" t="s">
        <v>3066</v>
      </c>
      <c r="G7607">
        <v>-89.812138000000004</v>
      </c>
      <c r="H7607">
        <v>1600</v>
      </c>
      <c r="I7607">
        <v>-27</v>
      </c>
      <c r="J7607">
        <v>150</v>
      </c>
      <c r="K7607">
        <v>0</v>
      </c>
      <c r="L7607">
        <v>1200</v>
      </c>
      <c r="M7607" t="str">
        <f t="shared" si="765"/>
        <v xml:space="preserve">N35DC   </v>
      </c>
      <c r="N7607">
        <v>1</v>
      </c>
      <c r="O7607">
        <v>1700</v>
      </c>
    </row>
    <row r="7608" spans="1:15" x14ac:dyDescent="0.25">
      <c r="A7608" t="str">
        <f>"10/21/2020 19:07:15.091"</f>
        <v>10/21/2020 19:07:15.091</v>
      </c>
      <c r="B7608" t="str">
        <f>"19:07:23.016"</f>
        <v>19:07:23.016</v>
      </c>
      <c r="C7608" t="str">
        <f>"19:07:22.616"</f>
        <v>19:07:22.616</v>
      </c>
      <c r="D7608" t="s">
        <v>3065</v>
      </c>
      <c r="E7608">
        <v>30.445540000000001</v>
      </c>
      <c r="F7608" t="s">
        <v>3066</v>
      </c>
      <c r="G7608">
        <v>-89.812138000000004</v>
      </c>
      <c r="H7608">
        <v>1600</v>
      </c>
      <c r="I7608">
        <v>-27</v>
      </c>
      <c r="J7608">
        <v>150</v>
      </c>
      <c r="K7608">
        <v>0</v>
      </c>
      <c r="L7608">
        <v>1200</v>
      </c>
      <c r="M7608" t="str">
        <f t="shared" si="765"/>
        <v xml:space="preserve">N35DC   </v>
      </c>
      <c r="N7608">
        <v>1</v>
      </c>
      <c r="O7608">
        <v>1700</v>
      </c>
    </row>
    <row r="7609" spans="1:15" x14ac:dyDescent="0.25">
      <c r="A7609" t="str">
        <f>"10/21/2020 19:07:15.091"</f>
        <v>10/21/2020 19:07:15.091</v>
      </c>
      <c r="B7609" t="str">
        <f>"19:07:23.016"</f>
        <v>19:07:23.016</v>
      </c>
      <c r="C7609" t="str">
        <f>"19:07:22.616"</f>
        <v>19:07:22.616</v>
      </c>
      <c r="D7609" t="s">
        <v>3065</v>
      </c>
      <c r="E7609">
        <v>30.445540000000001</v>
      </c>
      <c r="F7609" t="s">
        <v>3066</v>
      </c>
      <c r="G7609">
        <v>-89.812138000000004</v>
      </c>
      <c r="H7609">
        <v>1600</v>
      </c>
      <c r="I7609">
        <v>-27</v>
      </c>
      <c r="J7609">
        <v>150</v>
      </c>
      <c r="K7609">
        <v>0</v>
      </c>
      <c r="L7609">
        <v>1200</v>
      </c>
      <c r="M7609" t="str">
        <f t="shared" si="765"/>
        <v xml:space="preserve">N35DC   </v>
      </c>
      <c r="N7609">
        <v>1</v>
      </c>
      <c r="O7609">
        <v>1700</v>
      </c>
    </row>
    <row r="7610" spans="1:15" x14ac:dyDescent="0.25">
      <c r="A7610" t="str">
        <f>"10/21/2020 19:07:17.971"</f>
        <v>10/21/2020 19:07:17.971</v>
      </c>
      <c r="B7610" t="str">
        <f>"19:07:25.930"</f>
        <v>19:07:25.930</v>
      </c>
      <c r="C7610" t="str">
        <f>"19:07:25.730"</f>
        <v>19:07:25.730</v>
      </c>
      <c r="D7610" t="s">
        <v>3067</v>
      </c>
      <c r="E7610">
        <v>30.447578</v>
      </c>
      <c r="F7610" t="s">
        <v>73</v>
      </c>
      <c r="G7610">
        <v>-89.812523999999996</v>
      </c>
      <c r="H7610">
        <v>1600</v>
      </c>
      <c r="I7610">
        <v>-26</v>
      </c>
      <c r="J7610">
        <v>151</v>
      </c>
      <c r="K7610">
        <v>-128</v>
      </c>
      <c r="L7610">
        <v>1200</v>
      </c>
      <c r="M7610" t="str">
        <f t="shared" si="765"/>
        <v xml:space="preserve">N35DC   </v>
      </c>
      <c r="N7610">
        <v>1</v>
      </c>
      <c r="O7610">
        <v>1700</v>
      </c>
    </row>
    <row r="7611" spans="1:15" x14ac:dyDescent="0.25">
      <c r="A7611" t="str">
        <f>"10/21/2020 19:07:17.971"</f>
        <v>10/21/2020 19:07:17.971</v>
      </c>
      <c r="B7611" t="str">
        <f>"19:07:25.930"</f>
        <v>19:07:25.930</v>
      </c>
      <c r="C7611" t="str">
        <f>"19:07:25.730"</f>
        <v>19:07:25.730</v>
      </c>
      <c r="D7611" t="s">
        <v>3067</v>
      </c>
      <c r="E7611">
        <v>30.447578</v>
      </c>
      <c r="F7611" t="s">
        <v>73</v>
      </c>
      <c r="G7611">
        <v>-89.812523999999996</v>
      </c>
      <c r="H7611">
        <v>1600</v>
      </c>
      <c r="I7611">
        <v>-26</v>
      </c>
      <c r="J7611">
        <v>151</v>
      </c>
      <c r="K7611">
        <v>-128</v>
      </c>
      <c r="L7611">
        <v>1200</v>
      </c>
      <c r="M7611" t="str">
        <f t="shared" si="765"/>
        <v xml:space="preserve">N35DC   </v>
      </c>
      <c r="N7611">
        <v>1</v>
      </c>
      <c r="O7611">
        <v>1700</v>
      </c>
    </row>
    <row r="7612" spans="1:15" x14ac:dyDescent="0.25">
      <c r="A7612" t="str">
        <f>"10/21/2020 19:07:17.971"</f>
        <v>10/21/2020 19:07:17.971</v>
      </c>
      <c r="B7612" t="str">
        <f>"19:07:25.930"</f>
        <v>19:07:25.930</v>
      </c>
      <c r="C7612" t="str">
        <f>"19:07:25.730"</f>
        <v>19:07:25.730</v>
      </c>
      <c r="D7612" t="s">
        <v>3067</v>
      </c>
      <c r="E7612">
        <v>30.447578</v>
      </c>
      <c r="F7612" t="s">
        <v>73</v>
      </c>
      <c r="G7612">
        <v>-89.812523999999996</v>
      </c>
      <c r="H7612">
        <v>1600</v>
      </c>
      <c r="I7612">
        <v>-26</v>
      </c>
      <c r="J7612">
        <v>151</v>
      </c>
      <c r="K7612">
        <v>-128</v>
      </c>
      <c r="L7612">
        <v>1200</v>
      </c>
      <c r="M7612" t="str">
        <f t="shared" si="765"/>
        <v xml:space="preserve">N35DC   </v>
      </c>
      <c r="N7612">
        <v>1</v>
      </c>
      <c r="O7612">
        <v>1700</v>
      </c>
    </row>
    <row r="7613" spans="1:15" x14ac:dyDescent="0.25">
      <c r="A7613" t="str">
        <f>"10/21/2020 19:07:17.971"</f>
        <v>10/21/2020 19:07:17.971</v>
      </c>
      <c r="B7613" t="str">
        <f>"19:07:25.930"</f>
        <v>19:07:25.930</v>
      </c>
      <c r="C7613" t="str">
        <f>"19:07:25.730"</f>
        <v>19:07:25.730</v>
      </c>
      <c r="D7613" t="s">
        <v>3067</v>
      </c>
      <c r="E7613">
        <v>30.447578</v>
      </c>
      <c r="F7613" t="s">
        <v>73</v>
      </c>
      <c r="G7613">
        <v>-89.812523999999996</v>
      </c>
      <c r="H7613">
        <v>1600</v>
      </c>
      <c r="I7613">
        <v>-26</v>
      </c>
      <c r="J7613">
        <v>151</v>
      </c>
      <c r="K7613">
        <v>-128</v>
      </c>
      <c r="L7613">
        <v>1200</v>
      </c>
      <c r="M7613" t="str">
        <f t="shared" si="765"/>
        <v xml:space="preserve">N35DC   </v>
      </c>
      <c r="N7613">
        <v>1</v>
      </c>
      <c r="O7613">
        <v>1700</v>
      </c>
    </row>
    <row r="7614" spans="1:15" x14ac:dyDescent="0.25">
      <c r="A7614" t="str">
        <f>"10/21/2020 19:07:17.971"</f>
        <v>10/21/2020 19:07:17.971</v>
      </c>
      <c r="B7614" t="str">
        <f>"19:07:25.930"</f>
        <v>19:07:25.930</v>
      </c>
      <c r="C7614" t="str">
        <f>"19:07:25.730"</f>
        <v>19:07:25.730</v>
      </c>
      <c r="D7614" t="s">
        <v>3067</v>
      </c>
      <c r="E7614">
        <v>30.447578</v>
      </c>
      <c r="F7614" t="s">
        <v>73</v>
      </c>
      <c r="G7614">
        <v>-89.812523999999996</v>
      </c>
      <c r="H7614">
        <v>1600</v>
      </c>
      <c r="I7614">
        <v>-26</v>
      </c>
      <c r="J7614">
        <v>151</v>
      </c>
      <c r="K7614">
        <v>-128</v>
      </c>
      <c r="L7614">
        <v>1200</v>
      </c>
      <c r="M7614" t="str">
        <f t="shared" si="765"/>
        <v xml:space="preserve">N35DC   </v>
      </c>
      <c r="N7614">
        <v>1</v>
      </c>
      <c r="O7614">
        <v>1700</v>
      </c>
    </row>
    <row r="7615" spans="1:15" x14ac:dyDescent="0.25">
      <c r="A7615" t="str">
        <f>"10/21/2020 19:07:20.874"</f>
        <v>10/21/2020 19:07:20.874</v>
      </c>
      <c r="B7615" t="str">
        <f t="shared" ref="B7615:C7619" si="767">"19:07:28.805"</f>
        <v>19:07:28.805</v>
      </c>
      <c r="C7615" t="str">
        <f t="shared" si="767"/>
        <v>19:07:28.805</v>
      </c>
      <c r="D7615" t="s">
        <v>3068</v>
      </c>
      <c r="E7615">
        <v>30.449617</v>
      </c>
      <c r="F7615" t="s">
        <v>71</v>
      </c>
      <c r="G7615">
        <v>-89.812911</v>
      </c>
      <c r="H7615">
        <v>1600</v>
      </c>
      <c r="I7615">
        <v>-24</v>
      </c>
      <c r="J7615">
        <v>153</v>
      </c>
      <c r="K7615">
        <v>-128</v>
      </c>
      <c r="L7615">
        <v>1200</v>
      </c>
      <c r="M7615" t="str">
        <f t="shared" si="765"/>
        <v xml:space="preserve">N35DC   </v>
      </c>
      <c r="N7615">
        <v>1</v>
      </c>
      <c r="O7615">
        <v>1700</v>
      </c>
    </row>
    <row r="7616" spans="1:15" x14ac:dyDescent="0.25">
      <c r="A7616" t="str">
        <f>"10/21/2020 19:07:20.874"</f>
        <v>10/21/2020 19:07:20.874</v>
      </c>
      <c r="B7616" t="str">
        <f t="shared" si="767"/>
        <v>19:07:28.805</v>
      </c>
      <c r="C7616" t="str">
        <f t="shared" si="767"/>
        <v>19:07:28.805</v>
      </c>
      <c r="D7616" t="s">
        <v>3068</v>
      </c>
      <c r="E7616">
        <v>30.449617</v>
      </c>
      <c r="F7616" t="s">
        <v>71</v>
      </c>
      <c r="G7616">
        <v>-89.812911</v>
      </c>
      <c r="H7616">
        <v>1600</v>
      </c>
      <c r="I7616">
        <v>-24</v>
      </c>
      <c r="J7616">
        <v>153</v>
      </c>
      <c r="K7616">
        <v>-128</v>
      </c>
      <c r="L7616">
        <v>1200</v>
      </c>
      <c r="M7616" t="str">
        <f t="shared" si="765"/>
        <v xml:space="preserve">N35DC   </v>
      </c>
      <c r="N7616">
        <v>1</v>
      </c>
      <c r="O7616">
        <v>1700</v>
      </c>
    </row>
    <row r="7617" spans="1:15" x14ac:dyDescent="0.25">
      <c r="A7617" t="str">
        <f>"10/21/2020 19:07:20.874"</f>
        <v>10/21/2020 19:07:20.874</v>
      </c>
      <c r="B7617" t="str">
        <f t="shared" si="767"/>
        <v>19:07:28.805</v>
      </c>
      <c r="C7617" t="str">
        <f t="shared" si="767"/>
        <v>19:07:28.805</v>
      </c>
      <c r="D7617" t="s">
        <v>3068</v>
      </c>
      <c r="E7617">
        <v>30.449617</v>
      </c>
      <c r="F7617" t="s">
        <v>71</v>
      </c>
      <c r="G7617">
        <v>-89.812911</v>
      </c>
      <c r="H7617">
        <v>1600</v>
      </c>
      <c r="I7617">
        <v>-24</v>
      </c>
      <c r="J7617">
        <v>153</v>
      </c>
      <c r="K7617">
        <v>-128</v>
      </c>
      <c r="L7617">
        <v>1200</v>
      </c>
      <c r="M7617" t="str">
        <f t="shared" si="765"/>
        <v xml:space="preserve">N35DC   </v>
      </c>
      <c r="N7617">
        <v>1</v>
      </c>
      <c r="O7617">
        <v>1700</v>
      </c>
    </row>
    <row r="7618" spans="1:15" x14ac:dyDescent="0.25">
      <c r="A7618" t="str">
        <f>"10/21/2020 19:07:20.874"</f>
        <v>10/21/2020 19:07:20.874</v>
      </c>
      <c r="B7618" t="str">
        <f t="shared" si="767"/>
        <v>19:07:28.805</v>
      </c>
      <c r="C7618" t="str">
        <f t="shared" si="767"/>
        <v>19:07:28.805</v>
      </c>
      <c r="D7618" t="s">
        <v>3068</v>
      </c>
      <c r="E7618">
        <v>30.449617</v>
      </c>
      <c r="F7618" t="s">
        <v>71</v>
      </c>
      <c r="G7618">
        <v>-89.812911</v>
      </c>
      <c r="H7618">
        <v>1600</v>
      </c>
      <c r="I7618">
        <v>-24</v>
      </c>
      <c r="J7618">
        <v>153</v>
      </c>
      <c r="K7618">
        <v>-128</v>
      </c>
      <c r="L7618">
        <v>1200</v>
      </c>
      <c r="M7618" t="str">
        <f t="shared" si="765"/>
        <v xml:space="preserve">N35DC   </v>
      </c>
      <c r="N7618">
        <v>1</v>
      </c>
      <c r="O7618">
        <v>1700</v>
      </c>
    </row>
    <row r="7619" spans="1:15" x14ac:dyDescent="0.25">
      <c r="A7619" t="str">
        <f>"10/21/2020 19:07:20.874"</f>
        <v>10/21/2020 19:07:20.874</v>
      </c>
      <c r="B7619" t="str">
        <f t="shared" si="767"/>
        <v>19:07:28.805</v>
      </c>
      <c r="C7619" t="str">
        <f t="shared" si="767"/>
        <v>19:07:28.805</v>
      </c>
      <c r="D7619" t="s">
        <v>3068</v>
      </c>
      <c r="E7619">
        <v>30.449617</v>
      </c>
      <c r="F7619" t="s">
        <v>71</v>
      </c>
      <c r="G7619">
        <v>-89.812911</v>
      </c>
      <c r="H7619">
        <v>1600</v>
      </c>
      <c r="I7619">
        <v>-24</v>
      </c>
      <c r="J7619">
        <v>153</v>
      </c>
      <c r="K7619">
        <v>-128</v>
      </c>
      <c r="L7619">
        <v>1200</v>
      </c>
      <c r="M7619" t="str">
        <f t="shared" si="765"/>
        <v xml:space="preserve">N35DC   </v>
      </c>
      <c r="N7619">
        <v>1</v>
      </c>
      <c r="O7619">
        <v>1700</v>
      </c>
    </row>
    <row r="7620" spans="1:15" x14ac:dyDescent="0.25">
      <c r="A7620" t="str">
        <f>"10/21/2020 19:07:26.312"</f>
        <v>10/21/2020 19:07:26.312</v>
      </c>
      <c r="B7620" t="str">
        <f>"19:07:34.234"</f>
        <v>19:07:34.234</v>
      </c>
      <c r="C7620" t="str">
        <f>"19:07:33.734"</f>
        <v>19:07:33.734</v>
      </c>
      <c r="D7620" t="s">
        <v>216</v>
      </c>
      <c r="E7620">
        <v>30.453458000000001</v>
      </c>
      <c r="F7620" t="s">
        <v>3069</v>
      </c>
      <c r="G7620">
        <v>-89.813619000000003</v>
      </c>
      <c r="H7620">
        <v>1600</v>
      </c>
      <c r="I7620">
        <v>-22</v>
      </c>
      <c r="J7620">
        <v>153</v>
      </c>
      <c r="K7620">
        <v>0</v>
      </c>
      <c r="L7620">
        <v>1200</v>
      </c>
      <c r="M7620" t="str">
        <f t="shared" si="765"/>
        <v xml:space="preserve">N35DC   </v>
      </c>
      <c r="N7620">
        <v>1</v>
      </c>
      <c r="O7620">
        <v>1700</v>
      </c>
    </row>
    <row r="7621" spans="1:15" x14ac:dyDescent="0.25">
      <c r="A7621" t="str">
        <f>"10/21/2020 19:07:26.312"</f>
        <v>10/21/2020 19:07:26.312</v>
      </c>
      <c r="B7621" t="str">
        <f>"19:07:34.234"</f>
        <v>19:07:34.234</v>
      </c>
      <c r="C7621" t="str">
        <f>"19:07:34.234"</f>
        <v>19:07:34.234</v>
      </c>
      <c r="D7621" t="s">
        <v>216</v>
      </c>
      <c r="E7621">
        <v>30.453458000000001</v>
      </c>
      <c r="F7621" t="s">
        <v>3069</v>
      </c>
      <c r="G7621">
        <v>-89.813619000000003</v>
      </c>
      <c r="H7621">
        <v>1600</v>
      </c>
      <c r="I7621">
        <v>-22</v>
      </c>
      <c r="J7621">
        <v>153</v>
      </c>
      <c r="K7621">
        <v>64</v>
      </c>
      <c r="L7621">
        <v>1200</v>
      </c>
      <c r="M7621" t="str">
        <f t="shared" si="765"/>
        <v xml:space="preserve">N35DC   </v>
      </c>
      <c r="N7621">
        <v>1</v>
      </c>
      <c r="O7621">
        <v>1700</v>
      </c>
    </row>
    <row r="7622" spans="1:15" x14ac:dyDescent="0.25">
      <c r="A7622" t="str">
        <f>"10/21/2020 19:07:26.312"</f>
        <v>10/21/2020 19:07:26.312</v>
      </c>
      <c r="B7622" t="str">
        <f>"19:07:34.234"</f>
        <v>19:07:34.234</v>
      </c>
      <c r="C7622" t="str">
        <f>"19:07:34.234"</f>
        <v>19:07:34.234</v>
      </c>
      <c r="D7622" t="s">
        <v>216</v>
      </c>
      <c r="E7622">
        <v>30.453458000000001</v>
      </c>
      <c r="F7622" t="s">
        <v>3069</v>
      </c>
      <c r="G7622">
        <v>-89.813619000000003</v>
      </c>
      <c r="H7622">
        <v>1600</v>
      </c>
      <c r="I7622">
        <v>-22</v>
      </c>
      <c r="J7622">
        <v>153</v>
      </c>
      <c r="K7622">
        <v>64</v>
      </c>
      <c r="L7622">
        <v>1200</v>
      </c>
      <c r="M7622" t="str">
        <f t="shared" si="765"/>
        <v xml:space="preserve">N35DC   </v>
      </c>
      <c r="N7622">
        <v>1</v>
      </c>
      <c r="O7622">
        <v>1700</v>
      </c>
    </row>
    <row r="7623" spans="1:15" x14ac:dyDescent="0.25">
      <c r="A7623" t="str">
        <f>"10/21/2020 19:07:26.312"</f>
        <v>10/21/2020 19:07:26.312</v>
      </c>
      <c r="B7623" t="str">
        <f>"19:07:34.234"</f>
        <v>19:07:34.234</v>
      </c>
      <c r="C7623" t="str">
        <f>"19:07:34.234"</f>
        <v>19:07:34.234</v>
      </c>
      <c r="D7623" t="s">
        <v>216</v>
      </c>
      <c r="E7623">
        <v>30.453458000000001</v>
      </c>
      <c r="F7623" t="s">
        <v>3069</v>
      </c>
      <c r="G7623">
        <v>-89.813619000000003</v>
      </c>
      <c r="H7623">
        <v>1600</v>
      </c>
      <c r="I7623">
        <v>-22</v>
      </c>
      <c r="J7623">
        <v>153</v>
      </c>
      <c r="K7623">
        <v>64</v>
      </c>
      <c r="L7623">
        <v>1200</v>
      </c>
      <c r="M7623" t="str">
        <f t="shared" ref="M7623:M7686" si="768">"N35DC   "</f>
        <v xml:space="preserve">N35DC   </v>
      </c>
      <c r="N7623">
        <v>1</v>
      </c>
      <c r="O7623">
        <v>1700</v>
      </c>
    </row>
    <row r="7624" spans="1:15" x14ac:dyDescent="0.25">
      <c r="A7624" t="str">
        <f>"10/21/2020 19:07:26.312"</f>
        <v>10/21/2020 19:07:26.312</v>
      </c>
      <c r="B7624" t="str">
        <f>"19:07:34.234"</f>
        <v>19:07:34.234</v>
      </c>
      <c r="C7624" t="str">
        <f>"19:07:34.234"</f>
        <v>19:07:34.234</v>
      </c>
      <c r="D7624" t="s">
        <v>216</v>
      </c>
      <c r="E7624">
        <v>30.453458000000001</v>
      </c>
      <c r="F7624" t="s">
        <v>3069</v>
      </c>
      <c r="G7624">
        <v>-89.813619000000003</v>
      </c>
      <c r="H7624">
        <v>1600</v>
      </c>
      <c r="I7624">
        <v>-22</v>
      </c>
      <c r="J7624">
        <v>153</v>
      </c>
      <c r="K7624">
        <v>64</v>
      </c>
      <c r="L7624">
        <v>1200</v>
      </c>
      <c r="M7624" t="str">
        <f t="shared" si="768"/>
        <v xml:space="preserve">N35DC   </v>
      </c>
      <c r="N7624">
        <v>1</v>
      </c>
      <c r="O7624">
        <v>1700</v>
      </c>
    </row>
    <row r="7625" spans="1:15" x14ac:dyDescent="0.25">
      <c r="A7625" t="str">
        <f>"10/21/2020 19:07:28.240"</f>
        <v>10/21/2020 19:07:28.240</v>
      </c>
      <c r="B7625" t="str">
        <f t="shared" ref="B7625:C7629" si="769">"19:07:36.188"</f>
        <v>19:07:36.188</v>
      </c>
      <c r="C7625" t="str">
        <f t="shared" si="769"/>
        <v>19:07:36.188</v>
      </c>
      <c r="D7625" t="s">
        <v>3070</v>
      </c>
      <c r="E7625">
        <v>30.454830999999999</v>
      </c>
      <c r="F7625" t="s">
        <v>2817</v>
      </c>
      <c r="G7625">
        <v>-89.813833000000002</v>
      </c>
      <c r="H7625">
        <v>1600</v>
      </c>
      <c r="I7625">
        <v>-20</v>
      </c>
      <c r="J7625">
        <v>153</v>
      </c>
      <c r="K7625">
        <v>256</v>
      </c>
      <c r="L7625">
        <v>1200</v>
      </c>
      <c r="M7625" t="str">
        <f t="shared" si="768"/>
        <v xml:space="preserve">N35DC   </v>
      </c>
      <c r="N7625">
        <v>1</v>
      </c>
      <c r="O7625">
        <v>1700</v>
      </c>
    </row>
    <row r="7626" spans="1:15" x14ac:dyDescent="0.25">
      <c r="A7626" t="str">
        <f>"10/21/2020 19:07:28.240"</f>
        <v>10/21/2020 19:07:28.240</v>
      </c>
      <c r="B7626" t="str">
        <f t="shared" si="769"/>
        <v>19:07:36.188</v>
      </c>
      <c r="C7626" t="str">
        <f t="shared" si="769"/>
        <v>19:07:36.188</v>
      </c>
      <c r="D7626" t="s">
        <v>3070</v>
      </c>
      <c r="E7626">
        <v>30.454830999999999</v>
      </c>
      <c r="F7626" t="s">
        <v>2817</v>
      </c>
      <c r="G7626">
        <v>-89.813833000000002</v>
      </c>
      <c r="H7626">
        <v>1600</v>
      </c>
      <c r="I7626">
        <v>-20</v>
      </c>
      <c r="J7626">
        <v>153</v>
      </c>
      <c r="K7626">
        <v>256</v>
      </c>
      <c r="L7626">
        <v>1200</v>
      </c>
      <c r="M7626" t="str">
        <f t="shared" si="768"/>
        <v xml:space="preserve">N35DC   </v>
      </c>
      <c r="N7626">
        <v>1</v>
      </c>
      <c r="O7626">
        <v>1700</v>
      </c>
    </row>
    <row r="7627" spans="1:15" x14ac:dyDescent="0.25">
      <c r="A7627" t="str">
        <f>"10/21/2020 19:07:28.240"</f>
        <v>10/21/2020 19:07:28.240</v>
      </c>
      <c r="B7627" t="str">
        <f t="shared" si="769"/>
        <v>19:07:36.188</v>
      </c>
      <c r="C7627" t="str">
        <f t="shared" si="769"/>
        <v>19:07:36.188</v>
      </c>
      <c r="D7627" t="s">
        <v>3070</v>
      </c>
      <c r="E7627">
        <v>30.454830999999999</v>
      </c>
      <c r="F7627" t="s">
        <v>2817</v>
      </c>
      <c r="G7627">
        <v>-89.813833000000002</v>
      </c>
      <c r="H7627">
        <v>1600</v>
      </c>
      <c r="I7627">
        <v>-20</v>
      </c>
      <c r="J7627">
        <v>153</v>
      </c>
      <c r="K7627">
        <v>256</v>
      </c>
      <c r="L7627">
        <v>1200</v>
      </c>
      <c r="M7627" t="str">
        <f t="shared" si="768"/>
        <v xml:space="preserve">N35DC   </v>
      </c>
      <c r="N7627">
        <v>1</v>
      </c>
      <c r="O7627">
        <v>1700</v>
      </c>
    </row>
    <row r="7628" spans="1:15" x14ac:dyDescent="0.25">
      <c r="A7628" t="str">
        <f>"10/21/2020 19:07:28.240"</f>
        <v>10/21/2020 19:07:28.240</v>
      </c>
      <c r="B7628" t="str">
        <f t="shared" si="769"/>
        <v>19:07:36.188</v>
      </c>
      <c r="C7628" t="str">
        <f t="shared" si="769"/>
        <v>19:07:36.188</v>
      </c>
      <c r="D7628" t="s">
        <v>3070</v>
      </c>
      <c r="E7628">
        <v>30.454830999999999</v>
      </c>
      <c r="F7628" t="s">
        <v>2817</v>
      </c>
      <c r="G7628">
        <v>-89.813833000000002</v>
      </c>
      <c r="H7628">
        <v>1600</v>
      </c>
      <c r="I7628">
        <v>-20</v>
      </c>
      <c r="J7628">
        <v>153</v>
      </c>
      <c r="K7628">
        <v>256</v>
      </c>
      <c r="L7628">
        <v>1200</v>
      </c>
      <c r="M7628" t="str">
        <f t="shared" si="768"/>
        <v xml:space="preserve">N35DC   </v>
      </c>
      <c r="N7628">
        <v>1</v>
      </c>
      <c r="O7628">
        <v>1700</v>
      </c>
    </row>
    <row r="7629" spans="1:15" x14ac:dyDescent="0.25">
      <c r="A7629" t="str">
        <f>"10/21/2020 19:07:28.240"</f>
        <v>10/21/2020 19:07:28.240</v>
      </c>
      <c r="B7629" t="str">
        <f t="shared" si="769"/>
        <v>19:07:36.188</v>
      </c>
      <c r="C7629" t="str">
        <f t="shared" si="769"/>
        <v>19:07:36.188</v>
      </c>
      <c r="D7629" t="s">
        <v>3070</v>
      </c>
      <c r="E7629">
        <v>30.454830999999999</v>
      </c>
      <c r="F7629" t="s">
        <v>2817</v>
      </c>
      <c r="G7629">
        <v>-89.813833000000002</v>
      </c>
      <c r="H7629">
        <v>1600</v>
      </c>
      <c r="I7629">
        <v>-20</v>
      </c>
      <c r="J7629">
        <v>153</v>
      </c>
      <c r="K7629">
        <v>256</v>
      </c>
      <c r="L7629">
        <v>1200</v>
      </c>
      <c r="M7629" t="str">
        <f t="shared" si="768"/>
        <v xml:space="preserve">N35DC   </v>
      </c>
      <c r="N7629">
        <v>1</v>
      </c>
      <c r="O7629">
        <v>1700</v>
      </c>
    </row>
    <row r="7630" spans="1:15" x14ac:dyDescent="0.25">
      <c r="A7630" t="str">
        <f>"10/21/2020 19:07:31.070"</f>
        <v>10/21/2020 19:07:31.070</v>
      </c>
      <c r="B7630" t="str">
        <f>"19:07:39.039"</f>
        <v>19:07:39.039</v>
      </c>
      <c r="C7630" t="str">
        <f>"19:07:38.739"</f>
        <v>19:07:38.739</v>
      </c>
      <c r="D7630" t="s">
        <v>3071</v>
      </c>
      <c r="E7630">
        <v>30.456890999999999</v>
      </c>
      <c r="F7630" t="s">
        <v>3072</v>
      </c>
      <c r="G7630">
        <v>-89.814048</v>
      </c>
      <c r="H7630">
        <v>1600</v>
      </c>
      <c r="I7630">
        <v>-18</v>
      </c>
      <c r="J7630">
        <v>153</v>
      </c>
      <c r="K7630">
        <v>64</v>
      </c>
      <c r="L7630">
        <v>1200</v>
      </c>
      <c r="M7630" t="str">
        <f t="shared" si="768"/>
        <v xml:space="preserve">N35DC   </v>
      </c>
      <c r="N7630">
        <v>1</v>
      </c>
      <c r="O7630">
        <v>1700</v>
      </c>
    </row>
    <row r="7631" spans="1:15" x14ac:dyDescent="0.25">
      <c r="A7631" t="str">
        <f>"10/21/2020 19:07:31.070"</f>
        <v>10/21/2020 19:07:31.070</v>
      </c>
      <c r="B7631" t="str">
        <f>"19:07:39.039"</f>
        <v>19:07:39.039</v>
      </c>
      <c r="C7631" t="str">
        <f>"19:07:38.739"</f>
        <v>19:07:38.739</v>
      </c>
      <c r="D7631" t="s">
        <v>3071</v>
      </c>
      <c r="E7631">
        <v>30.456890999999999</v>
      </c>
      <c r="F7631" t="s">
        <v>3072</v>
      </c>
      <c r="G7631">
        <v>-89.814048</v>
      </c>
      <c r="H7631">
        <v>1600</v>
      </c>
      <c r="I7631">
        <v>-18</v>
      </c>
      <c r="J7631">
        <v>153</v>
      </c>
      <c r="K7631">
        <v>64</v>
      </c>
      <c r="L7631">
        <v>1200</v>
      </c>
      <c r="M7631" t="str">
        <f t="shared" si="768"/>
        <v xml:space="preserve">N35DC   </v>
      </c>
      <c r="N7631">
        <v>1</v>
      </c>
      <c r="O7631">
        <v>1700</v>
      </c>
    </row>
    <row r="7632" spans="1:15" x14ac:dyDescent="0.25">
      <c r="A7632" t="str">
        <f>"10/21/2020 19:07:31.070"</f>
        <v>10/21/2020 19:07:31.070</v>
      </c>
      <c r="B7632" t="str">
        <f>"19:07:39.039"</f>
        <v>19:07:39.039</v>
      </c>
      <c r="C7632" t="str">
        <f>"19:07:38.739"</f>
        <v>19:07:38.739</v>
      </c>
      <c r="D7632" t="s">
        <v>3071</v>
      </c>
      <c r="E7632">
        <v>30.456890999999999</v>
      </c>
      <c r="F7632" t="s">
        <v>3072</v>
      </c>
      <c r="G7632">
        <v>-89.814048</v>
      </c>
      <c r="H7632">
        <v>1600</v>
      </c>
      <c r="I7632">
        <v>-18</v>
      </c>
      <c r="J7632">
        <v>153</v>
      </c>
      <c r="K7632">
        <v>64</v>
      </c>
      <c r="L7632">
        <v>1200</v>
      </c>
      <c r="M7632" t="str">
        <f t="shared" si="768"/>
        <v xml:space="preserve">N35DC   </v>
      </c>
      <c r="N7632">
        <v>1</v>
      </c>
      <c r="O7632">
        <v>1700</v>
      </c>
    </row>
    <row r="7633" spans="1:15" x14ac:dyDescent="0.25">
      <c r="A7633" t="str">
        <f>"10/21/2020 19:07:31.070"</f>
        <v>10/21/2020 19:07:31.070</v>
      </c>
      <c r="B7633" t="str">
        <f>"19:07:39.039"</f>
        <v>19:07:39.039</v>
      </c>
      <c r="C7633" t="str">
        <f>"19:07:38.739"</f>
        <v>19:07:38.739</v>
      </c>
      <c r="D7633" t="s">
        <v>3071</v>
      </c>
      <c r="E7633">
        <v>30.456890999999999</v>
      </c>
      <c r="F7633" t="s">
        <v>3072</v>
      </c>
      <c r="G7633">
        <v>-89.814048</v>
      </c>
      <c r="H7633">
        <v>1600</v>
      </c>
      <c r="I7633">
        <v>-18</v>
      </c>
      <c r="J7633">
        <v>153</v>
      </c>
      <c r="K7633">
        <v>64</v>
      </c>
      <c r="L7633">
        <v>1200</v>
      </c>
      <c r="M7633" t="str">
        <f t="shared" si="768"/>
        <v xml:space="preserve">N35DC   </v>
      </c>
      <c r="N7633">
        <v>1</v>
      </c>
      <c r="O7633">
        <v>1700</v>
      </c>
    </row>
    <row r="7634" spans="1:15" x14ac:dyDescent="0.25">
      <c r="A7634" t="str">
        <f>"10/21/2020 19:07:31.070"</f>
        <v>10/21/2020 19:07:31.070</v>
      </c>
      <c r="B7634" t="str">
        <f>"19:07:39.039"</f>
        <v>19:07:39.039</v>
      </c>
      <c r="C7634" t="str">
        <f>"19:07:38.739"</f>
        <v>19:07:38.739</v>
      </c>
      <c r="D7634" t="s">
        <v>3071</v>
      </c>
      <c r="E7634">
        <v>30.456890999999999</v>
      </c>
      <c r="F7634" t="s">
        <v>3072</v>
      </c>
      <c r="G7634">
        <v>-89.814048</v>
      </c>
      <c r="H7634">
        <v>1600</v>
      </c>
      <c r="I7634">
        <v>-18</v>
      </c>
      <c r="J7634">
        <v>153</v>
      </c>
      <c r="K7634">
        <v>64</v>
      </c>
      <c r="L7634">
        <v>1200</v>
      </c>
      <c r="M7634" t="str">
        <f t="shared" si="768"/>
        <v xml:space="preserve">N35DC   </v>
      </c>
      <c r="N7634">
        <v>1</v>
      </c>
      <c r="O7634">
        <v>1700</v>
      </c>
    </row>
    <row r="7635" spans="1:15" x14ac:dyDescent="0.25">
      <c r="A7635" t="str">
        <f>"10/21/2020 19:07:37.022"</f>
        <v>10/21/2020 19:07:37.022</v>
      </c>
      <c r="B7635" t="str">
        <f>"19:07:44.977"</f>
        <v>19:07:44.977</v>
      </c>
      <c r="C7635" t="str">
        <f>"19:07:44.877"</f>
        <v>19:07:44.877</v>
      </c>
      <c r="D7635" t="s">
        <v>3073</v>
      </c>
      <c r="E7635">
        <v>30.461075000000001</v>
      </c>
      <c r="F7635" t="s">
        <v>3074</v>
      </c>
      <c r="G7635">
        <v>-89.814327000000006</v>
      </c>
      <c r="H7635">
        <v>1700</v>
      </c>
      <c r="I7635">
        <v>2</v>
      </c>
      <c r="J7635">
        <v>154</v>
      </c>
      <c r="K7635">
        <v>64</v>
      </c>
      <c r="L7635">
        <v>1200</v>
      </c>
      <c r="M7635" t="str">
        <f t="shared" si="768"/>
        <v xml:space="preserve">N35DC   </v>
      </c>
      <c r="N7635">
        <v>1</v>
      </c>
      <c r="O7635">
        <v>1700</v>
      </c>
    </row>
    <row r="7636" spans="1:15" x14ac:dyDescent="0.25">
      <c r="A7636" t="str">
        <f>"10/21/2020 19:07:37.022"</f>
        <v>10/21/2020 19:07:37.022</v>
      </c>
      <c r="B7636" t="str">
        <f>"19:07:44.977"</f>
        <v>19:07:44.977</v>
      </c>
      <c r="C7636" t="str">
        <f>"19:07:44.877"</f>
        <v>19:07:44.877</v>
      </c>
      <c r="D7636" t="s">
        <v>3073</v>
      </c>
      <c r="E7636">
        <v>30.461075000000001</v>
      </c>
      <c r="F7636" t="s">
        <v>3074</v>
      </c>
      <c r="G7636">
        <v>-89.814327000000006</v>
      </c>
      <c r="H7636">
        <v>1700</v>
      </c>
      <c r="I7636">
        <v>2</v>
      </c>
      <c r="J7636">
        <v>154</v>
      </c>
      <c r="K7636">
        <v>64</v>
      </c>
      <c r="L7636">
        <v>1200</v>
      </c>
      <c r="M7636" t="str">
        <f t="shared" si="768"/>
        <v xml:space="preserve">N35DC   </v>
      </c>
      <c r="N7636">
        <v>1</v>
      </c>
      <c r="O7636">
        <v>1700</v>
      </c>
    </row>
    <row r="7637" spans="1:15" x14ac:dyDescent="0.25">
      <c r="A7637" t="str">
        <f>"10/21/2020 19:07:37.022"</f>
        <v>10/21/2020 19:07:37.022</v>
      </c>
      <c r="B7637" t="str">
        <f>"19:07:44.977"</f>
        <v>19:07:44.977</v>
      </c>
      <c r="C7637" t="str">
        <f>"19:07:44.877"</f>
        <v>19:07:44.877</v>
      </c>
      <c r="D7637" t="s">
        <v>3073</v>
      </c>
      <c r="E7637">
        <v>30.461075000000001</v>
      </c>
      <c r="F7637" t="s">
        <v>3074</v>
      </c>
      <c r="G7637">
        <v>-89.814327000000006</v>
      </c>
      <c r="H7637">
        <v>1700</v>
      </c>
      <c r="I7637">
        <v>2</v>
      </c>
      <c r="J7637">
        <v>154</v>
      </c>
      <c r="K7637">
        <v>64</v>
      </c>
      <c r="L7637">
        <v>1200</v>
      </c>
      <c r="M7637" t="str">
        <f t="shared" si="768"/>
        <v xml:space="preserve">N35DC   </v>
      </c>
      <c r="N7637">
        <v>1</v>
      </c>
      <c r="O7637">
        <v>1700</v>
      </c>
    </row>
    <row r="7638" spans="1:15" x14ac:dyDescent="0.25">
      <c r="A7638" t="str">
        <f>"10/21/2020 19:07:37.022"</f>
        <v>10/21/2020 19:07:37.022</v>
      </c>
      <c r="B7638" t="str">
        <f>"19:07:44.977"</f>
        <v>19:07:44.977</v>
      </c>
      <c r="C7638" t="str">
        <f>"19:07:44.877"</f>
        <v>19:07:44.877</v>
      </c>
      <c r="D7638" t="s">
        <v>3073</v>
      </c>
      <c r="E7638">
        <v>30.461075000000001</v>
      </c>
      <c r="F7638" t="s">
        <v>3074</v>
      </c>
      <c r="G7638">
        <v>-89.814327000000006</v>
      </c>
      <c r="H7638">
        <v>1700</v>
      </c>
      <c r="I7638">
        <v>2</v>
      </c>
      <c r="J7638">
        <v>154</v>
      </c>
      <c r="K7638">
        <v>64</v>
      </c>
      <c r="L7638">
        <v>1200</v>
      </c>
      <c r="M7638" t="str">
        <f t="shared" si="768"/>
        <v xml:space="preserve">N35DC   </v>
      </c>
      <c r="N7638">
        <v>1</v>
      </c>
      <c r="O7638">
        <v>1700</v>
      </c>
    </row>
    <row r="7639" spans="1:15" x14ac:dyDescent="0.25">
      <c r="A7639" t="str">
        <f>"10/21/2020 19:07:37.022"</f>
        <v>10/21/2020 19:07:37.022</v>
      </c>
      <c r="B7639" t="str">
        <f>"19:07:44.977"</f>
        <v>19:07:44.977</v>
      </c>
      <c r="C7639" t="str">
        <f>"19:07:44.877"</f>
        <v>19:07:44.877</v>
      </c>
      <c r="D7639" t="s">
        <v>3073</v>
      </c>
      <c r="E7639">
        <v>30.461075000000001</v>
      </c>
      <c r="F7639" t="s">
        <v>3074</v>
      </c>
      <c r="G7639">
        <v>-89.814327000000006</v>
      </c>
      <c r="H7639">
        <v>1700</v>
      </c>
      <c r="I7639">
        <v>2</v>
      </c>
      <c r="J7639">
        <v>154</v>
      </c>
      <c r="K7639">
        <v>64</v>
      </c>
      <c r="L7639">
        <v>1200</v>
      </c>
      <c r="M7639" t="str">
        <f t="shared" si="768"/>
        <v xml:space="preserve">N35DC   </v>
      </c>
      <c r="N7639">
        <v>1</v>
      </c>
      <c r="O7639">
        <v>1700</v>
      </c>
    </row>
    <row r="7640" spans="1:15" x14ac:dyDescent="0.25">
      <c r="A7640" t="str">
        <f>"10/21/2020 19:07:38.059"</f>
        <v>10/21/2020 19:07:38.059</v>
      </c>
      <c r="B7640" t="str">
        <f>"19:07:46.039"</f>
        <v>19:07:46.039</v>
      </c>
      <c r="C7640" t="str">
        <f>"19:07:45.839"</f>
        <v>19:07:45.839</v>
      </c>
      <c r="D7640" t="s">
        <v>3075</v>
      </c>
      <c r="E7640">
        <v>30.461848</v>
      </c>
      <c r="F7640" t="s">
        <v>3076</v>
      </c>
      <c r="G7640">
        <v>-89.814305000000004</v>
      </c>
      <c r="H7640">
        <v>1700</v>
      </c>
      <c r="I7640">
        <v>5</v>
      </c>
      <c r="J7640">
        <v>155</v>
      </c>
      <c r="K7640">
        <v>-128</v>
      </c>
      <c r="L7640">
        <v>1200</v>
      </c>
      <c r="M7640" t="str">
        <f t="shared" si="768"/>
        <v xml:space="preserve">N35DC   </v>
      </c>
      <c r="N7640">
        <v>1</v>
      </c>
      <c r="O7640">
        <v>1700</v>
      </c>
    </row>
    <row r="7641" spans="1:15" x14ac:dyDescent="0.25">
      <c r="A7641" t="str">
        <f>"10/21/2020 19:07:38.059"</f>
        <v>10/21/2020 19:07:38.059</v>
      </c>
      <c r="B7641" t="str">
        <f>"19:07:46.039"</f>
        <v>19:07:46.039</v>
      </c>
      <c r="C7641" t="str">
        <f>"19:07:45.839"</f>
        <v>19:07:45.839</v>
      </c>
      <c r="D7641" t="s">
        <v>3075</v>
      </c>
      <c r="E7641">
        <v>30.461848</v>
      </c>
      <c r="F7641" t="s">
        <v>3076</v>
      </c>
      <c r="G7641">
        <v>-89.814305000000004</v>
      </c>
      <c r="H7641">
        <v>1700</v>
      </c>
      <c r="I7641">
        <v>5</v>
      </c>
      <c r="J7641">
        <v>155</v>
      </c>
      <c r="K7641">
        <v>-128</v>
      </c>
      <c r="L7641">
        <v>1200</v>
      </c>
      <c r="M7641" t="str">
        <f t="shared" si="768"/>
        <v xml:space="preserve">N35DC   </v>
      </c>
      <c r="N7641">
        <v>1</v>
      </c>
      <c r="O7641">
        <v>1700</v>
      </c>
    </row>
    <row r="7642" spans="1:15" x14ac:dyDescent="0.25">
      <c r="A7642" t="str">
        <f>"10/21/2020 19:07:38.059"</f>
        <v>10/21/2020 19:07:38.059</v>
      </c>
      <c r="B7642" t="str">
        <f>"19:07:46.039"</f>
        <v>19:07:46.039</v>
      </c>
      <c r="C7642" t="str">
        <f>"19:07:45.839"</f>
        <v>19:07:45.839</v>
      </c>
      <c r="D7642" t="s">
        <v>3075</v>
      </c>
      <c r="E7642">
        <v>30.461848</v>
      </c>
      <c r="F7642" t="s">
        <v>3076</v>
      </c>
      <c r="G7642">
        <v>-89.814305000000004</v>
      </c>
      <c r="H7642">
        <v>1700</v>
      </c>
      <c r="I7642">
        <v>5</v>
      </c>
      <c r="J7642">
        <v>155</v>
      </c>
      <c r="K7642">
        <v>-128</v>
      </c>
      <c r="L7642">
        <v>1200</v>
      </c>
      <c r="M7642" t="str">
        <f t="shared" si="768"/>
        <v xml:space="preserve">N35DC   </v>
      </c>
      <c r="N7642">
        <v>1</v>
      </c>
      <c r="O7642">
        <v>1700</v>
      </c>
    </row>
    <row r="7643" spans="1:15" x14ac:dyDescent="0.25">
      <c r="A7643" t="str">
        <f>"10/21/2020 19:07:38.059"</f>
        <v>10/21/2020 19:07:38.059</v>
      </c>
      <c r="B7643" t="str">
        <f>"19:07:46.039"</f>
        <v>19:07:46.039</v>
      </c>
      <c r="C7643" t="str">
        <f>"19:07:45.839"</f>
        <v>19:07:45.839</v>
      </c>
      <c r="D7643" t="s">
        <v>3075</v>
      </c>
      <c r="E7643">
        <v>30.461848</v>
      </c>
      <c r="F7643" t="s">
        <v>3076</v>
      </c>
      <c r="G7643">
        <v>-89.814305000000004</v>
      </c>
      <c r="H7643">
        <v>1700</v>
      </c>
      <c r="I7643">
        <v>5</v>
      </c>
      <c r="J7643">
        <v>155</v>
      </c>
      <c r="K7643">
        <v>-128</v>
      </c>
      <c r="L7643">
        <v>1200</v>
      </c>
      <c r="M7643" t="str">
        <f t="shared" si="768"/>
        <v xml:space="preserve">N35DC   </v>
      </c>
      <c r="N7643">
        <v>1</v>
      </c>
      <c r="O7643">
        <v>1700</v>
      </c>
    </row>
    <row r="7644" spans="1:15" x14ac:dyDescent="0.25">
      <c r="A7644" t="str">
        <f>"10/21/2020 19:07:38.059"</f>
        <v>10/21/2020 19:07:38.059</v>
      </c>
      <c r="B7644" t="str">
        <f>"19:07:46.039"</f>
        <v>19:07:46.039</v>
      </c>
      <c r="C7644" t="str">
        <f>"19:07:45.839"</f>
        <v>19:07:45.839</v>
      </c>
      <c r="D7644" t="s">
        <v>3075</v>
      </c>
      <c r="E7644">
        <v>30.461848</v>
      </c>
      <c r="F7644" t="s">
        <v>3076</v>
      </c>
      <c r="G7644">
        <v>-89.814305000000004</v>
      </c>
      <c r="H7644">
        <v>1700</v>
      </c>
      <c r="I7644">
        <v>5</v>
      </c>
      <c r="J7644">
        <v>155</v>
      </c>
      <c r="K7644">
        <v>-128</v>
      </c>
      <c r="L7644">
        <v>1200</v>
      </c>
      <c r="M7644" t="str">
        <f t="shared" si="768"/>
        <v xml:space="preserve">N35DC   </v>
      </c>
      <c r="N7644">
        <v>1</v>
      </c>
      <c r="O7644">
        <v>1700</v>
      </c>
    </row>
    <row r="7645" spans="1:15" x14ac:dyDescent="0.25">
      <c r="A7645" t="str">
        <f>"10/21/2020 19:07:40.210"</f>
        <v>10/21/2020 19:07:40.210</v>
      </c>
      <c r="B7645" t="str">
        <f>"19:07:48.172"</f>
        <v>19:07:48.172</v>
      </c>
      <c r="C7645" t="str">
        <f>"19:07:47.972"</f>
        <v>19:07:47.972</v>
      </c>
      <c r="D7645" t="s">
        <v>3077</v>
      </c>
      <c r="E7645">
        <v>30.463393</v>
      </c>
      <c r="F7645" t="s">
        <v>3078</v>
      </c>
      <c r="G7645">
        <v>-89.814198000000005</v>
      </c>
      <c r="H7645">
        <v>1600</v>
      </c>
      <c r="I7645">
        <v>11</v>
      </c>
      <c r="J7645">
        <v>155</v>
      </c>
      <c r="K7645">
        <v>-256</v>
      </c>
      <c r="L7645">
        <v>1200</v>
      </c>
      <c r="M7645" t="str">
        <f t="shared" si="768"/>
        <v xml:space="preserve">N35DC   </v>
      </c>
      <c r="N7645">
        <v>1</v>
      </c>
      <c r="O7645">
        <v>1700</v>
      </c>
    </row>
    <row r="7646" spans="1:15" x14ac:dyDescent="0.25">
      <c r="A7646" t="str">
        <f>"10/21/2020 19:07:40.210"</f>
        <v>10/21/2020 19:07:40.210</v>
      </c>
      <c r="B7646" t="str">
        <f>"19:07:48.172"</f>
        <v>19:07:48.172</v>
      </c>
      <c r="C7646" t="str">
        <f>"19:07:47.972"</f>
        <v>19:07:47.972</v>
      </c>
      <c r="D7646" t="s">
        <v>3077</v>
      </c>
      <c r="E7646">
        <v>30.463393</v>
      </c>
      <c r="F7646" t="s">
        <v>3078</v>
      </c>
      <c r="G7646">
        <v>-89.814198000000005</v>
      </c>
      <c r="H7646">
        <v>1600</v>
      </c>
      <c r="I7646">
        <v>11</v>
      </c>
      <c r="J7646">
        <v>155</v>
      </c>
      <c r="K7646">
        <v>-256</v>
      </c>
      <c r="L7646">
        <v>1200</v>
      </c>
      <c r="M7646" t="str">
        <f t="shared" si="768"/>
        <v xml:space="preserve">N35DC   </v>
      </c>
      <c r="N7646">
        <v>1</v>
      </c>
      <c r="O7646">
        <v>1700</v>
      </c>
    </row>
    <row r="7647" spans="1:15" x14ac:dyDescent="0.25">
      <c r="A7647" t="str">
        <f>"10/21/2020 19:07:40.210"</f>
        <v>10/21/2020 19:07:40.210</v>
      </c>
      <c r="B7647" t="str">
        <f>"19:07:48.172"</f>
        <v>19:07:48.172</v>
      </c>
      <c r="C7647" t="str">
        <f>"19:07:47.972"</f>
        <v>19:07:47.972</v>
      </c>
      <c r="D7647" t="s">
        <v>3077</v>
      </c>
      <c r="E7647">
        <v>30.463393</v>
      </c>
      <c r="F7647" t="s">
        <v>3078</v>
      </c>
      <c r="G7647">
        <v>-89.814198000000005</v>
      </c>
      <c r="H7647">
        <v>1600</v>
      </c>
      <c r="I7647">
        <v>11</v>
      </c>
      <c r="J7647">
        <v>155</v>
      </c>
      <c r="K7647">
        <v>-256</v>
      </c>
      <c r="L7647">
        <v>1200</v>
      </c>
      <c r="M7647" t="str">
        <f t="shared" si="768"/>
        <v xml:space="preserve">N35DC   </v>
      </c>
      <c r="N7647">
        <v>1</v>
      </c>
      <c r="O7647">
        <v>1700</v>
      </c>
    </row>
    <row r="7648" spans="1:15" x14ac:dyDescent="0.25">
      <c r="A7648" t="str">
        <f>"10/21/2020 19:07:40.210"</f>
        <v>10/21/2020 19:07:40.210</v>
      </c>
      <c r="B7648" t="str">
        <f>"19:07:48.172"</f>
        <v>19:07:48.172</v>
      </c>
      <c r="C7648" t="str">
        <f>"19:07:47.972"</f>
        <v>19:07:47.972</v>
      </c>
      <c r="D7648" t="s">
        <v>3077</v>
      </c>
      <c r="E7648">
        <v>30.463393</v>
      </c>
      <c r="F7648" t="s">
        <v>3078</v>
      </c>
      <c r="G7648">
        <v>-89.814198000000005</v>
      </c>
      <c r="H7648">
        <v>1600</v>
      </c>
      <c r="I7648">
        <v>11</v>
      </c>
      <c r="J7648">
        <v>155</v>
      </c>
      <c r="K7648">
        <v>-256</v>
      </c>
      <c r="L7648">
        <v>1200</v>
      </c>
      <c r="M7648" t="str">
        <f t="shared" si="768"/>
        <v xml:space="preserve">N35DC   </v>
      </c>
      <c r="N7648">
        <v>1</v>
      </c>
      <c r="O7648">
        <v>1700</v>
      </c>
    </row>
    <row r="7649" spans="1:15" x14ac:dyDescent="0.25">
      <c r="A7649" t="str">
        <f>"10/21/2020 19:07:40.210"</f>
        <v>10/21/2020 19:07:40.210</v>
      </c>
      <c r="B7649" t="str">
        <f>"19:07:48.172"</f>
        <v>19:07:48.172</v>
      </c>
      <c r="C7649" t="str">
        <f>"19:07:47.972"</f>
        <v>19:07:47.972</v>
      </c>
      <c r="D7649" t="s">
        <v>3077</v>
      </c>
      <c r="E7649">
        <v>30.463393</v>
      </c>
      <c r="F7649" t="s">
        <v>3078</v>
      </c>
      <c r="G7649">
        <v>-89.814198000000005</v>
      </c>
      <c r="H7649">
        <v>1600</v>
      </c>
      <c r="I7649">
        <v>11</v>
      </c>
      <c r="J7649">
        <v>155</v>
      </c>
      <c r="K7649">
        <v>-256</v>
      </c>
      <c r="L7649">
        <v>1200</v>
      </c>
      <c r="M7649" t="str">
        <f t="shared" si="768"/>
        <v xml:space="preserve">N35DC   </v>
      </c>
      <c r="N7649">
        <v>1</v>
      </c>
      <c r="O7649">
        <v>1700</v>
      </c>
    </row>
    <row r="7650" spans="1:15" x14ac:dyDescent="0.25">
      <c r="A7650" t="str">
        <f>"10/21/2020 19:07:41.345"</f>
        <v>10/21/2020 19:07:41.345</v>
      </c>
      <c r="B7650" t="str">
        <f>"19:07:49.297"</f>
        <v>19:07:49.297</v>
      </c>
      <c r="C7650" t="str">
        <f>"19:07:48.897"</f>
        <v>19:07:48.897</v>
      </c>
      <c r="D7650" t="s">
        <v>3079</v>
      </c>
      <c r="E7650">
        <v>30.464207999999999</v>
      </c>
      <c r="F7650" t="s">
        <v>3080</v>
      </c>
      <c r="G7650">
        <v>-89.814155</v>
      </c>
      <c r="H7650">
        <v>1600</v>
      </c>
      <c r="I7650">
        <v>14</v>
      </c>
      <c r="J7650">
        <v>155</v>
      </c>
      <c r="K7650">
        <v>-256</v>
      </c>
      <c r="L7650">
        <v>1200</v>
      </c>
      <c r="M7650" t="str">
        <f t="shared" si="768"/>
        <v xml:space="preserve">N35DC   </v>
      </c>
      <c r="N7650">
        <v>1</v>
      </c>
      <c r="O7650">
        <v>1700</v>
      </c>
    </row>
    <row r="7651" spans="1:15" x14ac:dyDescent="0.25">
      <c r="A7651" t="str">
        <f>"10/21/2020 19:07:41.345"</f>
        <v>10/21/2020 19:07:41.345</v>
      </c>
      <c r="B7651" t="str">
        <f>"19:07:49.297"</f>
        <v>19:07:49.297</v>
      </c>
      <c r="C7651" t="str">
        <f>"19:07:48.897"</f>
        <v>19:07:48.897</v>
      </c>
      <c r="D7651" t="s">
        <v>3079</v>
      </c>
      <c r="E7651">
        <v>30.464207999999999</v>
      </c>
      <c r="F7651" t="s">
        <v>3080</v>
      </c>
      <c r="G7651">
        <v>-89.814155</v>
      </c>
      <c r="H7651">
        <v>1600</v>
      </c>
      <c r="I7651">
        <v>14</v>
      </c>
      <c r="J7651">
        <v>155</v>
      </c>
      <c r="K7651">
        <v>-256</v>
      </c>
      <c r="L7651">
        <v>1200</v>
      </c>
      <c r="M7651" t="str">
        <f t="shared" si="768"/>
        <v xml:space="preserve">N35DC   </v>
      </c>
      <c r="N7651">
        <v>1</v>
      </c>
      <c r="O7651">
        <v>1700</v>
      </c>
    </row>
    <row r="7652" spans="1:15" x14ac:dyDescent="0.25">
      <c r="A7652" t="str">
        <f>"10/21/2020 19:07:41.345"</f>
        <v>10/21/2020 19:07:41.345</v>
      </c>
      <c r="B7652" t="str">
        <f>"19:07:49.297"</f>
        <v>19:07:49.297</v>
      </c>
      <c r="C7652" t="str">
        <f>"19:07:48.897"</f>
        <v>19:07:48.897</v>
      </c>
      <c r="D7652" t="s">
        <v>3079</v>
      </c>
      <c r="E7652">
        <v>30.464207999999999</v>
      </c>
      <c r="F7652" t="s">
        <v>3080</v>
      </c>
      <c r="G7652">
        <v>-89.814155</v>
      </c>
      <c r="H7652">
        <v>1600</v>
      </c>
      <c r="I7652">
        <v>14</v>
      </c>
      <c r="J7652">
        <v>155</v>
      </c>
      <c r="K7652">
        <v>-256</v>
      </c>
      <c r="L7652">
        <v>1200</v>
      </c>
      <c r="M7652" t="str">
        <f t="shared" si="768"/>
        <v xml:space="preserve">N35DC   </v>
      </c>
      <c r="N7652">
        <v>1</v>
      </c>
      <c r="O7652">
        <v>1700</v>
      </c>
    </row>
    <row r="7653" spans="1:15" x14ac:dyDescent="0.25">
      <c r="A7653" t="str">
        <f>"10/21/2020 19:07:41.345"</f>
        <v>10/21/2020 19:07:41.345</v>
      </c>
      <c r="B7653" t="str">
        <f>"19:07:49.297"</f>
        <v>19:07:49.297</v>
      </c>
      <c r="C7653" t="str">
        <f>"19:07:48.897"</f>
        <v>19:07:48.897</v>
      </c>
      <c r="D7653" t="s">
        <v>3079</v>
      </c>
      <c r="E7653">
        <v>30.464207999999999</v>
      </c>
      <c r="F7653" t="s">
        <v>3080</v>
      </c>
      <c r="G7653">
        <v>-89.814155</v>
      </c>
      <c r="H7653">
        <v>1600</v>
      </c>
      <c r="I7653">
        <v>14</v>
      </c>
      <c r="J7653">
        <v>155</v>
      </c>
      <c r="K7653">
        <v>-256</v>
      </c>
      <c r="L7653">
        <v>1200</v>
      </c>
      <c r="M7653" t="str">
        <f t="shared" si="768"/>
        <v xml:space="preserve">N35DC   </v>
      </c>
      <c r="N7653">
        <v>1</v>
      </c>
      <c r="O7653">
        <v>1700</v>
      </c>
    </row>
    <row r="7654" spans="1:15" x14ac:dyDescent="0.25">
      <c r="A7654" t="str">
        <f>"10/21/2020 19:07:41.345"</f>
        <v>10/21/2020 19:07:41.345</v>
      </c>
      <c r="B7654" t="str">
        <f>"19:07:49.297"</f>
        <v>19:07:49.297</v>
      </c>
      <c r="C7654" t="str">
        <f>"19:07:48.897"</f>
        <v>19:07:48.897</v>
      </c>
      <c r="D7654" t="s">
        <v>3079</v>
      </c>
      <c r="E7654">
        <v>30.464207999999999</v>
      </c>
      <c r="F7654" t="s">
        <v>3080</v>
      </c>
      <c r="G7654">
        <v>-89.814155</v>
      </c>
      <c r="H7654">
        <v>1600</v>
      </c>
      <c r="I7654">
        <v>14</v>
      </c>
      <c r="J7654">
        <v>155</v>
      </c>
      <c r="K7654">
        <v>-256</v>
      </c>
      <c r="L7654">
        <v>1200</v>
      </c>
      <c r="M7654" t="str">
        <f t="shared" si="768"/>
        <v xml:space="preserve">N35DC   </v>
      </c>
      <c r="N7654">
        <v>1</v>
      </c>
      <c r="O7654">
        <v>1700</v>
      </c>
    </row>
    <row r="7655" spans="1:15" x14ac:dyDescent="0.25">
      <c r="A7655" t="str">
        <f>"10/21/2020 19:07:43.204"</f>
        <v>10/21/2020 19:07:43.204</v>
      </c>
      <c r="B7655" t="str">
        <f t="shared" ref="B7655:C7659" si="770">"19:07:51.172"</f>
        <v>19:07:51.172</v>
      </c>
      <c r="C7655" t="str">
        <f t="shared" si="770"/>
        <v>19:07:51.172</v>
      </c>
      <c r="D7655" t="s">
        <v>3081</v>
      </c>
      <c r="E7655">
        <v>30.465539</v>
      </c>
      <c r="F7655" t="s">
        <v>3082</v>
      </c>
      <c r="G7655">
        <v>-89.813982999999993</v>
      </c>
      <c r="H7655">
        <v>1600</v>
      </c>
      <c r="I7655">
        <v>18</v>
      </c>
      <c r="J7655">
        <v>154</v>
      </c>
      <c r="K7655">
        <v>-192</v>
      </c>
      <c r="L7655">
        <v>1200</v>
      </c>
      <c r="M7655" t="str">
        <f t="shared" si="768"/>
        <v xml:space="preserve">N35DC   </v>
      </c>
      <c r="N7655">
        <v>1</v>
      </c>
      <c r="O7655">
        <v>1700</v>
      </c>
    </row>
    <row r="7656" spans="1:15" x14ac:dyDescent="0.25">
      <c r="A7656" t="str">
        <f>"10/21/2020 19:07:43.204"</f>
        <v>10/21/2020 19:07:43.204</v>
      </c>
      <c r="B7656" t="str">
        <f t="shared" si="770"/>
        <v>19:07:51.172</v>
      </c>
      <c r="C7656" t="str">
        <f t="shared" si="770"/>
        <v>19:07:51.172</v>
      </c>
      <c r="D7656" t="s">
        <v>3081</v>
      </c>
      <c r="E7656">
        <v>30.465539</v>
      </c>
      <c r="F7656" t="s">
        <v>3082</v>
      </c>
      <c r="G7656">
        <v>-89.813982999999993</v>
      </c>
      <c r="H7656">
        <v>1600</v>
      </c>
      <c r="I7656">
        <v>18</v>
      </c>
      <c r="J7656">
        <v>154</v>
      </c>
      <c r="K7656">
        <v>-192</v>
      </c>
      <c r="L7656">
        <v>1200</v>
      </c>
      <c r="M7656" t="str">
        <f t="shared" si="768"/>
        <v xml:space="preserve">N35DC   </v>
      </c>
      <c r="N7656">
        <v>1</v>
      </c>
      <c r="O7656">
        <v>1700</v>
      </c>
    </row>
    <row r="7657" spans="1:15" x14ac:dyDescent="0.25">
      <c r="A7657" t="str">
        <f>"10/21/2020 19:07:43.204"</f>
        <v>10/21/2020 19:07:43.204</v>
      </c>
      <c r="B7657" t="str">
        <f t="shared" si="770"/>
        <v>19:07:51.172</v>
      </c>
      <c r="C7657" t="str">
        <f t="shared" si="770"/>
        <v>19:07:51.172</v>
      </c>
      <c r="D7657" t="s">
        <v>3081</v>
      </c>
      <c r="E7657">
        <v>30.465539</v>
      </c>
      <c r="F7657" t="s">
        <v>3082</v>
      </c>
      <c r="G7657">
        <v>-89.813982999999993</v>
      </c>
      <c r="H7657">
        <v>1600</v>
      </c>
      <c r="I7657">
        <v>18</v>
      </c>
      <c r="J7657">
        <v>154</v>
      </c>
      <c r="K7657">
        <v>-192</v>
      </c>
      <c r="L7657">
        <v>1200</v>
      </c>
      <c r="M7657" t="str">
        <f t="shared" si="768"/>
        <v xml:space="preserve">N35DC   </v>
      </c>
      <c r="N7657">
        <v>1</v>
      </c>
      <c r="O7657">
        <v>1700</v>
      </c>
    </row>
    <row r="7658" spans="1:15" x14ac:dyDescent="0.25">
      <c r="A7658" t="str">
        <f>"10/21/2020 19:07:43.204"</f>
        <v>10/21/2020 19:07:43.204</v>
      </c>
      <c r="B7658" t="str">
        <f t="shared" si="770"/>
        <v>19:07:51.172</v>
      </c>
      <c r="C7658" t="str">
        <f t="shared" si="770"/>
        <v>19:07:51.172</v>
      </c>
      <c r="D7658" t="s">
        <v>3081</v>
      </c>
      <c r="E7658">
        <v>30.465539</v>
      </c>
      <c r="F7658" t="s">
        <v>3082</v>
      </c>
      <c r="G7658">
        <v>-89.813982999999993</v>
      </c>
      <c r="H7658">
        <v>1600</v>
      </c>
      <c r="I7658">
        <v>18</v>
      </c>
      <c r="J7658">
        <v>154</v>
      </c>
      <c r="K7658">
        <v>-192</v>
      </c>
      <c r="L7658">
        <v>1200</v>
      </c>
      <c r="M7658" t="str">
        <f t="shared" si="768"/>
        <v xml:space="preserve">N35DC   </v>
      </c>
      <c r="N7658">
        <v>1</v>
      </c>
      <c r="O7658">
        <v>1700</v>
      </c>
    </row>
    <row r="7659" spans="1:15" x14ac:dyDescent="0.25">
      <c r="A7659" t="str">
        <f>"10/21/2020 19:07:43.204"</f>
        <v>10/21/2020 19:07:43.204</v>
      </c>
      <c r="B7659" t="str">
        <f t="shared" si="770"/>
        <v>19:07:51.172</v>
      </c>
      <c r="C7659" t="str">
        <f t="shared" si="770"/>
        <v>19:07:51.172</v>
      </c>
      <c r="D7659" t="s">
        <v>3081</v>
      </c>
      <c r="E7659">
        <v>30.465539</v>
      </c>
      <c r="F7659" t="s">
        <v>3082</v>
      </c>
      <c r="G7659">
        <v>-89.813982999999993</v>
      </c>
      <c r="H7659">
        <v>1600</v>
      </c>
      <c r="I7659">
        <v>18</v>
      </c>
      <c r="J7659">
        <v>154</v>
      </c>
      <c r="K7659">
        <v>-192</v>
      </c>
      <c r="L7659">
        <v>1200</v>
      </c>
      <c r="M7659" t="str">
        <f t="shared" si="768"/>
        <v xml:space="preserve">N35DC   </v>
      </c>
      <c r="N7659">
        <v>1</v>
      </c>
      <c r="O7659">
        <v>1700</v>
      </c>
    </row>
    <row r="7660" spans="1:15" x14ac:dyDescent="0.25">
      <c r="A7660" t="str">
        <f>"10/21/2020 19:07:44.203"</f>
        <v>10/21/2020 19:07:44.203</v>
      </c>
      <c r="B7660" t="str">
        <f>"19:07:52.164"</f>
        <v>19:07:52.164</v>
      </c>
      <c r="C7660" t="str">
        <f>"19:07:51.764"</f>
        <v>19:07:51.764</v>
      </c>
      <c r="D7660" t="s">
        <v>3083</v>
      </c>
      <c r="E7660">
        <v>30.466225000000001</v>
      </c>
      <c r="F7660" t="s">
        <v>2817</v>
      </c>
      <c r="G7660">
        <v>-89.813833000000002</v>
      </c>
      <c r="H7660">
        <v>1600</v>
      </c>
      <c r="I7660">
        <v>19</v>
      </c>
      <c r="J7660">
        <v>154</v>
      </c>
      <c r="K7660">
        <v>-128</v>
      </c>
      <c r="L7660">
        <v>1200</v>
      </c>
      <c r="M7660" t="str">
        <f t="shared" si="768"/>
        <v xml:space="preserve">N35DC   </v>
      </c>
      <c r="N7660">
        <v>1</v>
      </c>
      <c r="O7660">
        <v>1700</v>
      </c>
    </row>
    <row r="7661" spans="1:15" x14ac:dyDescent="0.25">
      <c r="A7661" t="str">
        <f>"10/21/2020 19:07:44.203"</f>
        <v>10/21/2020 19:07:44.203</v>
      </c>
      <c r="B7661" t="str">
        <f>"19:07:52.164"</f>
        <v>19:07:52.164</v>
      </c>
      <c r="C7661" t="str">
        <f>"19:07:51.764"</f>
        <v>19:07:51.764</v>
      </c>
      <c r="D7661" t="s">
        <v>3083</v>
      </c>
      <c r="E7661">
        <v>30.466225000000001</v>
      </c>
      <c r="F7661" t="s">
        <v>2817</v>
      </c>
      <c r="G7661">
        <v>-89.813833000000002</v>
      </c>
      <c r="H7661">
        <v>1600</v>
      </c>
      <c r="I7661">
        <v>19</v>
      </c>
      <c r="J7661">
        <v>154</v>
      </c>
      <c r="K7661">
        <v>-128</v>
      </c>
      <c r="L7661">
        <v>1200</v>
      </c>
      <c r="M7661" t="str">
        <f t="shared" si="768"/>
        <v xml:space="preserve">N35DC   </v>
      </c>
      <c r="N7661">
        <v>1</v>
      </c>
      <c r="O7661">
        <v>1700</v>
      </c>
    </row>
    <row r="7662" spans="1:15" x14ac:dyDescent="0.25">
      <c r="A7662" t="str">
        <f>"10/21/2020 19:07:44.203"</f>
        <v>10/21/2020 19:07:44.203</v>
      </c>
      <c r="B7662" t="str">
        <f>"19:07:52.164"</f>
        <v>19:07:52.164</v>
      </c>
      <c r="C7662" t="str">
        <f>"19:07:51.764"</f>
        <v>19:07:51.764</v>
      </c>
      <c r="D7662" t="s">
        <v>3083</v>
      </c>
      <c r="E7662">
        <v>30.466225000000001</v>
      </c>
      <c r="F7662" t="s">
        <v>2817</v>
      </c>
      <c r="G7662">
        <v>-89.813833000000002</v>
      </c>
      <c r="H7662">
        <v>1600</v>
      </c>
      <c r="I7662">
        <v>19</v>
      </c>
      <c r="J7662">
        <v>154</v>
      </c>
      <c r="K7662">
        <v>-128</v>
      </c>
      <c r="L7662">
        <v>1200</v>
      </c>
      <c r="M7662" t="str">
        <f t="shared" si="768"/>
        <v xml:space="preserve">N35DC   </v>
      </c>
      <c r="N7662">
        <v>1</v>
      </c>
      <c r="O7662">
        <v>1700</v>
      </c>
    </row>
    <row r="7663" spans="1:15" x14ac:dyDescent="0.25">
      <c r="A7663" t="str">
        <f>"10/21/2020 19:07:44.203"</f>
        <v>10/21/2020 19:07:44.203</v>
      </c>
      <c r="B7663" t="str">
        <f>"19:07:52.164"</f>
        <v>19:07:52.164</v>
      </c>
      <c r="C7663" t="str">
        <f>"19:07:51.764"</f>
        <v>19:07:51.764</v>
      </c>
      <c r="D7663" t="s">
        <v>3083</v>
      </c>
      <c r="E7663">
        <v>30.466225000000001</v>
      </c>
      <c r="F7663" t="s">
        <v>2817</v>
      </c>
      <c r="G7663">
        <v>-89.813833000000002</v>
      </c>
      <c r="H7663">
        <v>1600</v>
      </c>
      <c r="I7663">
        <v>19</v>
      </c>
      <c r="J7663">
        <v>154</v>
      </c>
      <c r="K7663">
        <v>-128</v>
      </c>
      <c r="L7663">
        <v>1200</v>
      </c>
      <c r="M7663" t="str">
        <f t="shared" si="768"/>
        <v xml:space="preserve">N35DC   </v>
      </c>
      <c r="N7663">
        <v>1</v>
      </c>
      <c r="O7663">
        <v>1700</v>
      </c>
    </row>
    <row r="7664" spans="1:15" x14ac:dyDescent="0.25">
      <c r="A7664" t="str">
        <f>"10/21/2020 19:07:44.203"</f>
        <v>10/21/2020 19:07:44.203</v>
      </c>
      <c r="B7664" t="str">
        <f>"19:07:52.164"</f>
        <v>19:07:52.164</v>
      </c>
      <c r="C7664" t="str">
        <f>"19:07:51.764"</f>
        <v>19:07:51.764</v>
      </c>
      <c r="D7664" t="s">
        <v>3083</v>
      </c>
      <c r="E7664">
        <v>30.466225000000001</v>
      </c>
      <c r="F7664" t="s">
        <v>2817</v>
      </c>
      <c r="G7664">
        <v>-89.813833000000002</v>
      </c>
      <c r="H7664">
        <v>1600</v>
      </c>
      <c r="I7664">
        <v>19</v>
      </c>
      <c r="J7664">
        <v>154</v>
      </c>
      <c r="K7664">
        <v>-128</v>
      </c>
      <c r="L7664">
        <v>1200</v>
      </c>
      <c r="M7664" t="str">
        <f t="shared" si="768"/>
        <v xml:space="preserve">N35DC   </v>
      </c>
      <c r="N7664">
        <v>1</v>
      </c>
      <c r="O7664">
        <v>1700</v>
      </c>
    </row>
    <row r="7665" spans="1:15" x14ac:dyDescent="0.25">
      <c r="A7665" t="str">
        <f>"10/21/2020 19:07:47.180"</f>
        <v>10/21/2020 19:07:47.180</v>
      </c>
      <c r="B7665" t="str">
        <f>"19:07:55.148"</f>
        <v>19:07:55.148</v>
      </c>
      <c r="C7665" t="str">
        <f>"19:07:54.848"</f>
        <v>19:07:54.848</v>
      </c>
      <c r="D7665" t="s">
        <v>238</v>
      </c>
      <c r="E7665">
        <v>30.468392000000001</v>
      </c>
      <c r="F7665" t="s">
        <v>3084</v>
      </c>
      <c r="G7665">
        <v>-89.813511000000005</v>
      </c>
      <c r="H7665">
        <v>1600</v>
      </c>
      <c r="I7665">
        <v>20</v>
      </c>
      <c r="J7665">
        <v>154</v>
      </c>
      <c r="K7665">
        <v>128</v>
      </c>
      <c r="L7665">
        <v>1200</v>
      </c>
      <c r="M7665" t="str">
        <f t="shared" si="768"/>
        <v xml:space="preserve">N35DC   </v>
      </c>
      <c r="N7665">
        <v>1</v>
      </c>
      <c r="O7665">
        <v>1675</v>
      </c>
    </row>
    <row r="7666" spans="1:15" x14ac:dyDescent="0.25">
      <c r="A7666" t="str">
        <f>"10/21/2020 19:07:47.180"</f>
        <v>10/21/2020 19:07:47.180</v>
      </c>
      <c r="B7666" t="str">
        <f>"19:07:55.148"</f>
        <v>19:07:55.148</v>
      </c>
      <c r="C7666" t="str">
        <f>"19:07:54.848"</f>
        <v>19:07:54.848</v>
      </c>
      <c r="D7666" t="s">
        <v>238</v>
      </c>
      <c r="E7666">
        <v>30.468392000000001</v>
      </c>
      <c r="F7666" t="s">
        <v>3084</v>
      </c>
      <c r="G7666">
        <v>-89.813511000000005</v>
      </c>
      <c r="H7666">
        <v>1600</v>
      </c>
      <c r="I7666">
        <v>20</v>
      </c>
      <c r="J7666">
        <v>154</v>
      </c>
      <c r="K7666">
        <v>128</v>
      </c>
      <c r="L7666">
        <v>1200</v>
      </c>
      <c r="M7666" t="str">
        <f t="shared" si="768"/>
        <v xml:space="preserve">N35DC   </v>
      </c>
      <c r="N7666">
        <v>1</v>
      </c>
      <c r="O7666">
        <v>1675</v>
      </c>
    </row>
    <row r="7667" spans="1:15" x14ac:dyDescent="0.25">
      <c r="A7667" t="str">
        <f>"10/21/2020 19:07:47.180"</f>
        <v>10/21/2020 19:07:47.180</v>
      </c>
      <c r="B7667" t="str">
        <f>"19:07:55.148"</f>
        <v>19:07:55.148</v>
      </c>
      <c r="C7667" t="str">
        <f>"19:07:54.848"</f>
        <v>19:07:54.848</v>
      </c>
      <c r="D7667" t="s">
        <v>238</v>
      </c>
      <c r="E7667">
        <v>30.468392000000001</v>
      </c>
      <c r="F7667" t="s">
        <v>3084</v>
      </c>
      <c r="G7667">
        <v>-89.813511000000005</v>
      </c>
      <c r="H7667">
        <v>1600</v>
      </c>
      <c r="I7667">
        <v>20</v>
      </c>
      <c r="J7667">
        <v>154</v>
      </c>
      <c r="K7667">
        <v>128</v>
      </c>
      <c r="L7667">
        <v>1200</v>
      </c>
      <c r="M7667" t="str">
        <f t="shared" si="768"/>
        <v xml:space="preserve">N35DC   </v>
      </c>
      <c r="N7667">
        <v>1</v>
      </c>
      <c r="O7667">
        <v>1675</v>
      </c>
    </row>
    <row r="7668" spans="1:15" x14ac:dyDescent="0.25">
      <c r="A7668" t="str">
        <f>"10/21/2020 19:07:47.180"</f>
        <v>10/21/2020 19:07:47.180</v>
      </c>
      <c r="B7668" t="str">
        <f>"19:07:55.148"</f>
        <v>19:07:55.148</v>
      </c>
      <c r="C7668" t="str">
        <f>"19:07:54.848"</f>
        <v>19:07:54.848</v>
      </c>
      <c r="D7668" t="s">
        <v>238</v>
      </c>
      <c r="E7668">
        <v>30.468392000000001</v>
      </c>
      <c r="F7668" t="s">
        <v>3084</v>
      </c>
      <c r="G7668">
        <v>-89.813511000000005</v>
      </c>
      <c r="H7668">
        <v>1600</v>
      </c>
      <c r="I7668">
        <v>20</v>
      </c>
      <c r="J7668">
        <v>154</v>
      </c>
      <c r="K7668">
        <v>128</v>
      </c>
      <c r="L7668">
        <v>1200</v>
      </c>
      <c r="M7668" t="str">
        <f t="shared" si="768"/>
        <v xml:space="preserve">N35DC   </v>
      </c>
      <c r="N7668">
        <v>1</v>
      </c>
      <c r="O7668">
        <v>1675</v>
      </c>
    </row>
    <row r="7669" spans="1:15" x14ac:dyDescent="0.25">
      <c r="A7669" t="str">
        <f>"10/21/2020 19:07:47.180"</f>
        <v>10/21/2020 19:07:47.180</v>
      </c>
      <c r="B7669" t="str">
        <f>"19:07:55.148"</f>
        <v>19:07:55.148</v>
      </c>
      <c r="C7669" t="str">
        <f>"19:07:54.848"</f>
        <v>19:07:54.848</v>
      </c>
      <c r="D7669" t="s">
        <v>238</v>
      </c>
      <c r="E7669">
        <v>30.468392000000001</v>
      </c>
      <c r="F7669" t="s">
        <v>3084</v>
      </c>
      <c r="G7669">
        <v>-89.813511000000005</v>
      </c>
      <c r="H7669">
        <v>1600</v>
      </c>
      <c r="I7669">
        <v>20</v>
      </c>
      <c r="J7669">
        <v>154</v>
      </c>
      <c r="K7669">
        <v>128</v>
      </c>
      <c r="L7669">
        <v>1200</v>
      </c>
      <c r="M7669" t="str">
        <f t="shared" si="768"/>
        <v xml:space="preserve">N35DC   </v>
      </c>
      <c r="N7669">
        <v>1</v>
      </c>
      <c r="O7669">
        <v>1675</v>
      </c>
    </row>
    <row r="7670" spans="1:15" x14ac:dyDescent="0.25">
      <c r="A7670" t="str">
        <f>"10/21/2020 19:07:48.069"</f>
        <v>10/21/2020 19:07:48.069</v>
      </c>
      <c r="B7670" t="str">
        <f>"19:07:56.016"</f>
        <v>19:07:56.016</v>
      </c>
      <c r="C7670" t="str">
        <f>"19:07:55.716"</f>
        <v>19:07:55.716</v>
      </c>
      <c r="D7670" t="s">
        <v>3085</v>
      </c>
      <c r="E7670">
        <v>30.469014999999999</v>
      </c>
      <c r="F7670" t="s">
        <v>2853</v>
      </c>
      <c r="G7670">
        <v>-89.813404000000006</v>
      </c>
      <c r="H7670">
        <v>1600</v>
      </c>
      <c r="I7670">
        <v>21</v>
      </c>
      <c r="J7670">
        <v>154</v>
      </c>
      <c r="K7670">
        <v>320</v>
      </c>
      <c r="L7670">
        <v>1200</v>
      </c>
      <c r="M7670" t="str">
        <f t="shared" si="768"/>
        <v xml:space="preserve">N35DC   </v>
      </c>
      <c r="N7670">
        <v>1</v>
      </c>
      <c r="O7670">
        <v>1700</v>
      </c>
    </row>
    <row r="7671" spans="1:15" x14ac:dyDescent="0.25">
      <c r="A7671" t="str">
        <f>"10/21/2020 19:07:48.069"</f>
        <v>10/21/2020 19:07:48.069</v>
      </c>
      <c r="B7671" t="str">
        <f>"19:07:56.016"</f>
        <v>19:07:56.016</v>
      </c>
      <c r="C7671" t="str">
        <f>"19:07:55.716"</f>
        <v>19:07:55.716</v>
      </c>
      <c r="D7671" t="s">
        <v>3085</v>
      </c>
      <c r="E7671">
        <v>30.469014999999999</v>
      </c>
      <c r="F7671" t="s">
        <v>2853</v>
      </c>
      <c r="G7671">
        <v>-89.813404000000006</v>
      </c>
      <c r="H7671">
        <v>1600</v>
      </c>
      <c r="I7671">
        <v>21</v>
      </c>
      <c r="J7671">
        <v>154</v>
      </c>
      <c r="K7671">
        <v>320</v>
      </c>
      <c r="L7671">
        <v>1200</v>
      </c>
      <c r="M7671" t="str">
        <f t="shared" si="768"/>
        <v xml:space="preserve">N35DC   </v>
      </c>
      <c r="N7671">
        <v>1</v>
      </c>
      <c r="O7671">
        <v>1700</v>
      </c>
    </row>
    <row r="7672" spans="1:15" x14ac:dyDescent="0.25">
      <c r="A7672" t="str">
        <f>"10/21/2020 19:07:48.069"</f>
        <v>10/21/2020 19:07:48.069</v>
      </c>
      <c r="B7672" t="str">
        <f>"19:07:56.016"</f>
        <v>19:07:56.016</v>
      </c>
      <c r="C7672" t="str">
        <f>"19:07:55.716"</f>
        <v>19:07:55.716</v>
      </c>
      <c r="D7672" t="s">
        <v>3085</v>
      </c>
      <c r="E7672">
        <v>30.469014999999999</v>
      </c>
      <c r="F7672" t="s">
        <v>2853</v>
      </c>
      <c r="G7672">
        <v>-89.813404000000006</v>
      </c>
      <c r="H7672">
        <v>1600</v>
      </c>
      <c r="I7672">
        <v>21</v>
      </c>
      <c r="J7672">
        <v>154</v>
      </c>
      <c r="K7672">
        <v>320</v>
      </c>
      <c r="L7672">
        <v>1200</v>
      </c>
      <c r="M7672" t="str">
        <f t="shared" si="768"/>
        <v xml:space="preserve">N35DC   </v>
      </c>
      <c r="N7672">
        <v>1</v>
      </c>
      <c r="O7672">
        <v>1700</v>
      </c>
    </row>
    <row r="7673" spans="1:15" x14ac:dyDescent="0.25">
      <c r="A7673" t="str">
        <f>"10/21/2020 19:07:48.069"</f>
        <v>10/21/2020 19:07:48.069</v>
      </c>
      <c r="B7673" t="str">
        <f>"19:07:56.016"</f>
        <v>19:07:56.016</v>
      </c>
      <c r="C7673" t="str">
        <f>"19:07:55.716"</f>
        <v>19:07:55.716</v>
      </c>
      <c r="D7673" t="s">
        <v>3085</v>
      </c>
      <c r="E7673">
        <v>30.469014999999999</v>
      </c>
      <c r="F7673" t="s">
        <v>2853</v>
      </c>
      <c r="G7673">
        <v>-89.813404000000006</v>
      </c>
      <c r="H7673">
        <v>1600</v>
      </c>
      <c r="I7673">
        <v>21</v>
      </c>
      <c r="J7673">
        <v>154</v>
      </c>
      <c r="K7673">
        <v>320</v>
      </c>
      <c r="L7673">
        <v>1200</v>
      </c>
      <c r="M7673" t="str">
        <f t="shared" si="768"/>
        <v xml:space="preserve">N35DC   </v>
      </c>
      <c r="N7673">
        <v>1</v>
      </c>
      <c r="O7673">
        <v>1700</v>
      </c>
    </row>
    <row r="7674" spans="1:15" x14ac:dyDescent="0.25">
      <c r="A7674" t="str">
        <f>"10/21/2020 19:07:48.069"</f>
        <v>10/21/2020 19:07:48.069</v>
      </c>
      <c r="B7674" t="str">
        <f>"19:07:56.016"</f>
        <v>19:07:56.016</v>
      </c>
      <c r="C7674" t="str">
        <f>"19:07:55.716"</f>
        <v>19:07:55.716</v>
      </c>
      <c r="D7674" t="s">
        <v>3085</v>
      </c>
      <c r="E7674">
        <v>30.469014999999999</v>
      </c>
      <c r="F7674" t="s">
        <v>2853</v>
      </c>
      <c r="G7674">
        <v>-89.813404000000006</v>
      </c>
      <c r="H7674">
        <v>1600</v>
      </c>
      <c r="I7674">
        <v>21</v>
      </c>
      <c r="J7674">
        <v>154</v>
      </c>
      <c r="K7674">
        <v>320</v>
      </c>
      <c r="L7674">
        <v>1200</v>
      </c>
      <c r="M7674" t="str">
        <f t="shared" si="768"/>
        <v xml:space="preserve">N35DC   </v>
      </c>
      <c r="N7674">
        <v>1</v>
      </c>
      <c r="O7674">
        <v>1700</v>
      </c>
    </row>
    <row r="7675" spans="1:15" x14ac:dyDescent="0.25">
      <c r="A7675" t="str">
        <f>"10/21/2020 19:07:50.181"</f>
        <v>10/21/2020 19:07:50.181</v>
      </c>
      <c r="B7675" t="str">
        <f t="shared" ref="B7675:C7679" si="771">"19:07:58.148"</f>
        <v>19:07:58.148</v>
      </c>
      <c r="C7675" t="str">
        <f t="shared" si="771"/>
        <v>19:07:58.148</v>
      </c>
      <c r="D7675" t="s">
        <v>3086</v>
      </c>
      <c r="E7675">
        <v>30.470538000000001</v>
      </c>
      <c r="F7675" t="s">
        <v>2851</v>
      </c>
      <c r="G7675">
        <v>-89.813168000000005</v>
      </c>
      <c r="H7675">
        <v>1600</v>
      </c>
      <c r="I7675">
        <v>24</v>
      </c>
      <c r="J7675">
        <v>153</v>
      </c>
      <c r="K7675">
        <v>320</v>
      </c>
      <c r="L7675">
        <v>1200</v>
      </c>
      <c r="M7675" t="str">
        <f t="shared" si="768"/>
        <v xml:space="preserve">N35DC   </v>
      </c>
      <c r="N7675">
        <v>1</v>
      </c>
      <c r="O7675">
        <v>1700</v>
      </c>
    </row>
    <row r="7676" spans="1:15" x14ac:dyDescent="0.25">
      <c r="A7676" t="str">
        <f>"10/21/2020 19:07:50.181"</f>
        <v>10/21/2020 19:07:50.181</v>
      </c>
      <c r="B7676" t="str">
        <f t="shared" si="771"/>
        <v>19:07:58.148</v>
      </c>
      <c r="C7676" t="str">
        <f t="shared" si="771"/>
        <v>19:07:58.148</v>
      </c>
      <c r="D7676" t="s">
        <v>3086</v>
      </c>
      <c r="E7676">
        <v>30.470538000000001</v>
      </c>
      <c r="F7676" t="s">
        <v>2851</v>
      </c>
      <c r="G7676">
        <v>-89.813168000000005</v>
      </c>
      <c r="H7676">
        <v>1600</v>
      </c>
      <c r="I7676">
        <v>24</v>
      </c>
      <c r="J7676">
        <v>153</v>
      </c>
      <c r="K7676">
        <v>320</v>
      </c>
      <c r="L7676">
        <v>1200</v>
      </c>
      <c r="M7676" t="str">
        <f t="shared" si="768"/>
        <v xml:space="preserve">N35DC   </v>
      </c>
      <c r="N7676">
        <v>1</v>
      </c>
      <c r="O7676">
        <v>1700</v>
      </c>
    </row>
    <row r="7677" spans="1:15" x14ac:dyDescent="0.25">
      <c r="A7677" t="str">
        <f>"10/21/2020 19:07:50.181"</f>
        <v>10/21/2020 19:07:50.181</v>
      </c>
      <c r="B7677" t="str">
        <f t="shared" si="771"/>
        <v>19:07:58.148</v>
      </c>
      <c r="C7677" t="str">
        <f t="shared" si="771"/>
        <v>19:07:58.148</v>
      </c>
      <c r="D7677" t="s">
        <v>3086</v>
      </c>
      <c r="E7677">
        <v>30.470538000000001</v>
      </c>
      <c r="F7677" t="s">
        <v>2851</v>
      </c>
      <c r="G7677">
        <v>-89.813168000000005</v>
      </c>
      <c r="H7677">
        <v>1600</v>
      </c>
      <c r="I7677">
        <v>24</v>
      </c>
      <c r="J7677">
        <v>153</v>
      </c>
      <c r="K7677">
        <v>320</v>
      </c>
      <c r="L7677">
        <v>1200</v>
      </c>
      <c r="M7677" t="str">
        <f t="shared" si="768"/>
        <v xml:space="preserve">N35DC   </v>
      </c>
      <c r="N7677">
        <v>1</v>
      </c>
      <c r="O7677">
        <v>1700</v>
      </c>
    </row>
    <row r="7678" spans="1:15" x14ac:dyDescent="0.25">
      <c r="A7678" t="str">
        <f>"10/21/2020 19:07:50.181"</f>
        <v>10/21/2020 19:07:50.181</v>
      </c>
      <c r="B7678" t="str">
        <f t="shared" si="771"/>
        <v>19:07:58.148</v>
      </c>
      <c r="C7678" t="str">
        <f t="shared" si="771"/>
        <v>19:07:58.148</v>
      </c>
      <c r="D7678" t="s">
        <v>3086</v>
      </c>
      <c r="E7678">
        <v>30.470538000000001</v>
      </c>
      <c r="F7678" t="s">
        <v>2851</v>
      </c>
      <c r="G7678">
        <v>-89.813168000000005</v>
      </c>
      <c r="H7678">
        <v>1600</v>
      </c>
      <c r="I7678">
        <v>24</v>
      </c>
      <c r="J7678">
        <v>153</v>
      </c>
      <c r="K7678">
        <v>320</v>
      </c>
      <c r="L7678">
        <v>1200</v>
      </c>
      <c r="M7678" t="str">
        <f t="shared" si="768"/>
        <v xml:space="preserve">N35DC   </v>
      </c>
      <c r="N7678">
        <v>1</v>
      </c>
      <c r="O7678">
        <v>1700</v>
      </c>
    </row>
    <row r="7679" spans="1:15" x14ac:dyDescent="0.25">
      <c r="A7679" t="str">
        <f>"10/21/2020 19:07:50.181"</f>
        <v>10/21/2020 19:07:50.181</v>
      </c>
      <c r="B7679" t="str">
        <f t="shared" si="771"/>
        <v>19:07:58.148</v>
      </c>
      <c r="C7679" t="str">
        <f t="shared" si="771"/>
        <v>19:07:58.148</v>
      </c>
      <c r="D7679" t="s">
        <v>3086</v>
      </c>
      <c r="E7679">
        <v>30.470538000000001</v>
      </c>
      <c r="F7679" t="s">
        <v>2851</v>
      </c>
      <c r="G7679">
        <v>-89.813168000000005</v>
      </c>
      <c r="H7679">
        <v>1600</v>
      </c>
      <c r="I7679">
        <v>24</v>
      </c>
      <c r="J7679">
        <v>153</v>
      </c>
      <c r="K7679">
        <v>320</v>
      </c>
      <c r="L7679">
        <v>1200</v>
      </c>
      <c r="M7679" t="str">
        <f t="shared" si="768"/>
        <v xml:space="preserve">N35DC   </v>
      </c>
      <c r="N7679">
        <v>1</v>
      </c>
      <c r="O7679">
        <v>1700</v>
      </c>
    </row>
    <row r="7680" spans="1:15" x14ac:dyDescent="0.25">
      <c r="A7680" t="str">
        <f>"10/21/2020 19:07:51.175"</f>
        <v>10/21/2020 19:07:51.175</v>
      </c>
      <c r="B7680" t="str">
        <f>"19:07:59.117"</f>
        <v>19:07:59.117</v>
      </c>
      <c r="C7680" t="str">
        <f>"19:07:58.717"</f>
        <v>19:07:58.717</v>
      </c>
      <c r="D7680" t="s">
        <v>3087</v>
      </c>
      <c r="E7680">
        <v>30.471225</v>
      </c>
      <c r="F7680" t="s">
        <v>3088</v>
      </c>
      <c r="G7680">
        <v>-89.813061000000005</v>
      </c>
      <c r="H7680">
        <v>1700</v>
      </c>
      <c r="I7680">
        <v>24</v>
      </c>
      <c r="J7680">
        <v>153</v>
      </c>
      <c r="K7680">
        <v>320</v>
      </c>
      <c r="L7680">
        <v>1200</v>
      </c>
      <c r="M7680" t="str">
        <f t="shared" si="768"/>
        <v xml:space="preserve">N35DC   </v>
      </c>
      <c r="N7680">
        <v>1</v>
      </c>
      <c r="O7680">
        <v>1700</v>
      </c>
    </row>
    <row r="7681" spans="1:15" x14ac:dyDescent="0.25">
      <c r="A7681" t="str">
        <f>"10/21/2020 19:07:51.175"</f>
        <v>10/21/2020 19:07:51.175</v>
      </c>
      <c r="B7681" t="str">
        <f>"19:07:59.117"</f>
        <v>19:07:59.117</v>
      </c>
      <c r="C7681" t="str">
        <f>"19:07:58.717"</f>
        <v>19:07:58.717</v>
      </c>
      <c r="D7681" t="s">
        <v>3087</v>
      </c>
      <c r="E7681">
        <v>30.471225</v>
      </c>
      <c r="F7681" t="s">
        <v>3088</v>
      </c>
      <c r="G7681">
        <v>-89.813061000000005</v>
      </c>
      <c r="H7681">
        <v>1700</v>
      </c>
      <c r="I7681">
        <v>24</v>
      </c>
      <c r="J7681">
        <v>153</v>
      </c>
      <c r="K7681">
        <v>320</v>
      </c>
      <c r="L7681">
        <v>1200</v>
      </c>
      <c r="M7681" t="str">
        <f t="shared" si="768"/>
        <v xml:space="preserve">N35DC   </v>
      </c>
      <c r="N7681">
        <v>1</v>
      </c>
      <c r="O7681">
        <v>1700</v>
      </c>
    </row>
    <row r="7682" spans="1:15" x14ac:dyDescent="0.25">
      <c r="A7682" t="str">
        <f>"10/21/2020 19:07:51.175"</f>
        <v>10/21/2020 19:07:51.175</v>
      </c>
      <c r="B7682" t="str">
        <f>"19:07:59.117"</f>
        <v>19:07:59.117</v>
      </c>
      <c r="C7682" t="str">
        <f>"19:07:58.717"</f>
        <v>19:07:58.717</v>
      </c>
      <c r="D7682" t="s">
        <v>3087</v>
      </c>
      <c r="E7682">
        <v>30.471225</v>
      </c>
      <c r="F7682" t="s">
        <v>3088</v>
      </c>
      <c r="G7682">
        <v>-89.813061000000005</v>
      </c>
      <c r="H7682">
        <v>1700</v>
      </c>
      <c r="I7682">
        <v>24</v>
      </c>
      <c r="J7682">
        <v>153</v>
      </c>
      <c r="K7682">
        <v>320</v>
      </c>
      <c r="L7682">
        <v>1200</v>
      </c>
      <c r="M7682" t="str">
        <f t="shared" si="768"/>
        <v xml:space="preserve">N35DC   </v>
      </c>
      <c r="N7682">
        <v>1</v>
      </c>
      <c r="O7682">
        <v>1700</v>
      </c>
    </row>
    <row r="7683" spans="1:15" x14ac:dyDescent="0.25">
      <c r="A7683" t="str">
        <f>"10/21/2020 19:07:51.175"</f>
        <v>10/21/2020 19:07:51.175</v>
      </c>
      <c r="B7683" t="str">
        <f>"19:07:59.117"</f>
        <v>19:07:59.117</v>
      </c>
      <c r="C7683" t="str">
        <f>"19:07:58.717"</f>
        <v>19:07:58.717</v>
      </c>
      <c r="D7683" t="s">
        <v>3087</v>
      </c>
      <c r="E7683">
        <v>30.471225</v>
      </c>
      <c r="F7683" t="s">
        <v>3088</v>
      </c>
      <c r="G7683">
        <v>-89.813061000000005</v>
      </c>
      <c r="H7683">
        <v>1700</v>
      </c>
      <c r="I7683">
        <v>24</v>
      </c>
      <c r="J7683">
        <v>153</v>
      </c>
      <c r="K7683">
        <v>320</v>
      </c>
      <c r="L7683">
        <v>1200</v>
      </c>
      <c r="M7683" t="str">
        <f t="shared" si="768"/>
        <v xml:space="preserve">N35DC   </v>
      </c>
      <c r="N7683">
        <v>1</v>
      </c>
      <c r="O7683">
        <v>1700</v>
      </c>
    </row>
    <row r="7684" spans="1:15" x14ac:dyDescent="0.25">
      <c r="A7684" t="str">
        <f>"10/21/2020 19:07:51.175"</f>
        <v>10/21/2020 19:07:51.175</v>
      </c>
      <c r="B7684" t="str">
        <f>"19:07:59.117"</f>
        <v>19:07:59.117</v>
      </c>
      <c r="C7684" t="str">
        <f>"19:07:58.717"</f>
        <v>19:07:58.717</v>
      </c>
      <c r="D7684" t="s">
        <v>3087</v>
      </c>
      <c r="E7684">
        <v>30.471225</v>
      </c>
      <c r="F7684" t="s">
        <v>3088</v>
      </c>
      <c r="G7684">
        <v>-89.813061000000005</v>
      </c>
      <c r="H7684">
        <v>1700</v>
      </c>
      <c r="I7684">
        <v>24</v>
      </c>
      <c r="J7684">
        <v>153</v>
      </c>
      <c r="K7684">
        <v>320</v>
      </c>
      <c r="L7684">
        <v>1200</v>
      </c>
      <c r="M7684" t="str">
        <f t="shared" si="768"/>
        <v xml:space="preserve">N35DC   </v>
      </c>
      <c r="N7684">
        <v>1</v>
      </c>
      <c r="O7684">
        <v>1700</v>
      </c>
    </row>
    <row r="7685" spans="1:15" x14ac:dyDescent="0.25">
      <c r="A7685" t="str">
        <f>"10/21/2020 19:07:54.326"</f>
        <v>10/21/2020 19:07:54.326</v>
      </c>
      <c r="B7685" t="str">
        <f>"19:08:02.273"</f>
        <v>19:08:02.273</v>
      </c>
      <c r="C7685" t="str">
        <f>"19:08:01.873"</f>
        <v>19:08:01.873</v>
      </c>
      <c r="D7685" t="s">
        <v>3089</v>
      </c>
      <c r="E7685">
        <v>30.473478</v>
      </c>
      <c r="F7685" t="s">
        <v>3090</v>
      </c>
      <c r="G7685">
        <v>-89.812631999999994</v>
      </c>
      <c r="H7685">
        <v>1700</v>
      </c>
      <c r="I7685">
        <v>25</v>
      </c>
      <c r="J7685">
        <v>154</v>
      </c>
      <c r="K7685">
        <v>-256</v>
      </c>
      <c r="L7685">
        <v>1200</v>
      </c>
      <c r="M7685" t="str">
        <f t="shared" si="768"/>
        <v xml:space="preserve">N35DC   </v>
      </c>
      <c r="N7685">
        <v>1</v>
      </c>
      <c r="O7685">
        <v>1700</v>
      </c>
    </row>
    <row r="7686" spans="1:15" x14ac:dyDescent="0.25">
      <c r="A7686" t="str">
        <f>"10/21/2020 19:07:54.326"</f>
        <v>10/21/2020 19:07:54.326</v>
      </c>
      <c r="B7686" t="str">
        <f>"19:08:02.273"</f>
        <v>19:08:02.273</v>
      </c>
      <c r="C7686" t="str">
        <f>"19:08:01.873"</f>
        <v>19:08:01.873</v>
      </c>
      <c r="D7686" t="s">
        <v>3089</v>
      </c>
      <c r="E7686">
        <v>30.473478</v>
      </c>
      <c r="F7686" t="s">
        <v>3090</v>
      </c>
      <c r="G7686">
        <v>-89.812631999999994</v>
      </c>
      <c r="H7686">
        <v>1700</v>
      </c>
      <c r="I7686">
        <v>25</v>
      </c>
      <c r="J7686">
        <v>154</v>
      </c>
      <c r="K7686">
        <v>-256</v>
      </c>
      <c r="L7686">
        <v>1200</v>
      </c>
      <c r="M7686" t="str">
        <f t="shared" si="768"/>
        <v xml:space="preserve">N35DC   </v>
      </c>
      <c r="N7686">
        <v>1</v>
      </c>
      <c r="O7686">
        <v>1700</v>
      </c>
    </row>
    <row r="7687" spans="1:15" x14ac:dyDescent="0.25">
      <c r="A7687" t="str">
        <f>"10/21/2020 19:07:54.326"</f>
        <v>10/21/2020 19:07:54.326</v>
      </c>
      <c r="B7687" t="str">
        <f>"19:08:02.273"</f>
        <v>19:08:02.273</v>
      </c>
      <c r="C7687" t="str">
        <f>"19:08:01.873"</f>
        <v>19:08:01.873</v>
      </c>
      <c r="D7687" t="s">
        <v>3089</v>
      </c>
      <c r="E7687">
        <v>30.473478</v>
      </c>
      <c r="F7687" t="s">
        <v>3090</v>
      </c>
      <c r="G7687">
        <v>-89.812631999999994</v>
      </c>
      <c r="H7687">
        <v>1700</v>
      </c>
      <c r="I7687">
        <v>25</v>
      </c>
      <c r="J7687">
        <v>154</v>
      </c>
      <c r="K7687">
        <v>-256</v>
      </c>
      <c r="L7687">
        <v>1200</v>
      </c>
      <c r="M7687" t="str">
        <f t="shared" ref="M7687:M7750" si="772">"N35DC   "</f>
        <v xml:space="preserve">N35DC   </v>
      </c>
      <c r="N7687">
        <v>1</v>
      </c>
      <c r="O7687">
        <v>1700</v>
      </c>
    </row>
    <row r="7688" spans="1:15" x14ac:dyDescent="0.25">
      <c r="A7688" t="str">
        <f>"10/21/2020 19:07:54.326"</f>
        <v>10/21/2020 19:07:54.326</v>
      </c>
      <c r="B7688" t="str">
        <f>"19:08:02.273"</f>
        <v>19:08:02.273</v>
      </c>
      <c r="C7688" t="str">
        <f>"19:08:01.873"</f>
        <v>19:08:01.873</v>
      </c>
      <c r="D7688" t="s">
        <v>3089</v>
      </c>
      <c r="E7688">
        <v>30.473478</v>
      </c>
      <c r="F7688" t="s">
        <v>3090</v>
      </c>
      <c r="G7688">
        <v>-89.812631999999994</v>
      </c>
      <c r="H7688">
        <v>1700</v>
      </c>
      <c r="I7688">
        <v>25</v>
      </c>
      <c r="J7688">
        <v>154</v>
      </c>
      <c r="K7688">
        <v>-256</v>
      </c>
      <c r="L7688">
        <v>1200</v>
      </c>
      <c r="M7688" t="str">
        <f t="shared" si="772"/>
        <v xml:space="preserve">N35DC   </v>
      </c>
      <c r="N7688">
        <v>1</v>
      </c>
      <c r="O7688">
        <v>1700</v>
      </c>
    </row>
    <row r="7689" spans="1:15" x14ac:dyDescent="0.25">
      <c r="A7689" t="str">
        <f>"10/21/2020 19:07:54.326"</f>
        <v>10/21/2020 19:07:54.326</v>
      </c>
      <c r="B7689" t="str">
        <f>"19:08:02.273"</f>
        <v>19:08:02.273</v>
      </c>
      <c r="C7689" t="str">
        <f>"19:08:01.873"</f>
        <v>19:08:01.873</v>
      </c>
      <c r="D7689" t="s">
        <v>3089</v>
      </c>
      <c r="E7689">
        <v>30.473478</v>
      </c>
      <c r="F7689" t="s">
        <v>3090</v>
      </c>
      <c r="G7689">
        <v>-89.812631999999994</v>
      </c>
      <c r="H7689">
        <v>1700</v>
      </c>
      <c r="I7689">
        <v>25</v>
      </c>
      <c r="J7689">
        <v>154</v>
      </c>
      <c r="K7689">
        <v>-256</v>
      </c>
      <c r="L7689">
        <v>1200</v>
      </c>
      <c r="M7689" t="str">
        <f t="shared" si="772"/>
        <v xml:space="preserve">N35DC   </v>
      </c>
      <c r="N7689">
        <v>1</v>
      </c>
      <c r="O7689">
        <v>1700</v>
      </c>
    </row>
    <row r="7690" spans="1:15" x14ac:dyDescent="0.25">
      <c r="A7690" t="str">
        <f>"10/21/2020 19:07:55.181"</f>
        <v>10/21/2020 19:07:55.181</v>
      </c>
      <c r="B7690" t="str">
        <f>"19:08:03.141"</f>
        <v>19:08:03.141</v>
      </c>
      <c r="C7690" t="str">
        <f>"19:08:02.941"</f>
        <v>19:08:02.941</v>
      </c>
      <c r="D7690" t="s">
        <v>3091</v>
      </c>
      <c r="E7690">
        <v>30.474079</v>
      </c>
      <c r="F7690" t="s">
        <v>73</v>
      </c>
      <c r="G7690">
        <v>-89.812523999999996</v>
      </c>
      <c r="H7690">
        <v>1700</v>
      </c>
      <c r="I7690">
        <v>25</v>
      </c>
      <c r="J7690">
        <v>154</v>
      </c>
      <c r="K7690">
        <v>0</v>
      </c>
      <c r="L7690">
        <v>1200</v>
      </c>
      <c r="M7690" t="str">
        <f t="shared" si="772"/>
        <v xml:space="preserve">N35DC   </v>
      </c>
      <c r="N7690">
        <v>1</v>
      </c>
      <c r="O7690">
        <v>1700</v>
      </c>
    </row>
    <row r="7691" spans="1:15" x14ac:dyDescent="0.25">
      <c r="A7691" t="str">
        <f>"10/21/2020 19:07:55.181"</f>
        <v>10/21/2020 19:07:55.181</v>
      </c>
      <c r="B7691" t="str">
        <f>"19:08:03.141"</f>
        <v>19:08:03.141</v>
      </c>
      <c r="C7691" t="str">
        <f>"19:08:02.941"</f>
        <v>19:08:02.941</v>
      </c>
      <c r="D7691" t="s">
        <v>3091</v>
      </c>
      <c r="E7691">
        <v>30.474079</v>
      </c>
      <c r="F7691" t="s">
        <v>73</v>
      </c>
      <c r="G7691">
        <v>-89.812523999999996</v>
      </c>
      <c r="H7691">
        <v>1700</v>
      </c>
      <c r="I7691">
        <v>25</v>
      </c>
      <c r="J7691">
        <v>154</v>
      </c>
      <c r="K7691">
        <v>0</v>
      </c>
      <c r="L7691">
        <v>1200</v>
      </c>
      <c r="M7691" t="str">
        <f t="shared" si="772"/>
        <v xml:space="preserve">N35DC   </v>
      </c>
      <c r="N7691">
        <v>1</v>
      </c>
      <c r="O7691">
        <v>1700</v>
      </c>
    </row>
    <row r="7692" spans="1:15" x14ac:dyDescent="0.25">
      <c r="A7692" t="str">
        <f>"10/21/2020 19:07:55.181"</f>
        <v>10/21/2020 19:07:55.181</v>
      </c>
      <c r="B7692" t="str">
        <f>"19:08:03.141"</f>
        <v>19:08:03.141</v>
      </c>
      <c r="C7692" t="str">
        <f>"19:08:02.941"</f>
        <v>19:08:02.941</v>
      </c>
      <c r="D7692" t="s">
        <v>3091</v>
      </c>
      <c r="E7692">
        <v>30.474079</v>
      </c>
      <c r="F7692" t="s">
        <v>73</v>
      </c>
      <c r="G7692">
        <v>-89.812523999999996</v>
      </c>
      <c r="H7692">
        <v>1700</v>
      </c>
      <c r="I7692">
        <v>25</v>
      </c>
      <c r="J7692">
        <v>154</v>
      </c>
      <c r="K7692">
        <v>0</v>
      </c>
      <c r="L7692">
        <v>1200</v>
      </c>
      <c r="M7692" t="str">
        <f t="shared" si="772"/>
        <v xml:space="preserve">N35DC   </v>
      </c>
      <c r="N7692">
        <v>1</v>
      </c>
      <c r="O7692">
        <v>1700</v>
      </c>
    </row>
    <row r="7693" spans="1:15" x14ac:dyDescent="0.25">
      <c r="A7693" t="str">
        <f>"10/21/2020 19:07:55.181"</f>
        <v>10/21/2020 19:07:55.181</v>
      </c>
      <c r="B7693" t="str">
        <f>"19:08:03.141"</f>
        <v>19:08:03.141</v>
      </c>
      <c r="C7693" t="str">
        <f>"19:08:02.941"</f>
        <v>19:08:02.941</v>
      </c>
      <c r="D7693" t="s">
        <v>3091</v>
      </c>
      <c r="E7693">
        <v>30.474079</v>
      </c>
      <c r="F7693" t="s">
        <v>73</v>
      </c>
      <c r="G7693">
        <v>-89.812523999999996</v>
      </c>
      <c r="H7693">
        <v>1700</v>
      </c>
      <c r="I7693">
        <v>25</v>
      </c>
      <c r="J7693">
        <v>154</v>
      </c>
      <c r="K7693">
        <v>0</v>
      </c>
      <c r="L7693">
        <v>1200</v>
      </c>
      <c r="M7693" t="str">
        <f t="shared" si="772"/>
        <v xml:space="preserve">N35DC   </v>
      </c>
      <c r="N7693">
        <v>1</v>
      </c>
      <c r="O7693">
        <v>1700</v>
      </c>
    </row>
    <row r="7694" spans="1:15" x14ac:dyDescent="0.25">
      <c r="A7694" t="str">
        <f>"10/21/2020 19:07:55.181"</f>
        <v>10/21/2020 19:07:55.181</v>
      </c>
      <c r="B7694" t="str">
        <f>"19:08:03.141"</f>
        <v>19:08:03.141</v>
      </c>
      <c r="C7694" t="str">
        <f>"19:08:02.941"</f>
        <v>19:08:02.941</v>
      </c>
      <c r="D7694" t="s">
        <v>3091</v>
      </c>
      <c r="E7694">
        <v>30.474079</v>
      </c>
      <c r="F7694" t="s">
        <v>73</v>
      </c>
      <c r="G7694">
        <v>-89.812523999999996</v>
      </c>
      <c r="H7694">
        <v>1700</v>
      </c>
      <c r="I7694">
        <v>25</v>
      </c>
      <c r="J7694">
        <v>154</v>
      </c>
      <c r="K7694">
        <v>0</v>
      </c>
      <c r="L7694">
        <v>1200</v>
      </c>
      <c r="M7694" t="str">
        <f t="shared" si="772"/>
        <v xml:space="preserve">N35DC   </v>
      </c>
      <c r="N7694">
        <v>1</v>
      </c>
      <c r="O7694">
        <v>1700</v>
      </c>
    </row>
    <row r="7695" spans="1:15" x14ac:dyDescent="0.25">
      <c r="A7695" t="str">
        <f>"10/21/2020 19:07:58.255"</f>
        <v>10/21/2020 19:07:58.255</v>
      </c>
      <c r="B7695" t="str">
        <f>"19:08:06.219"</f>
        <v>19:08:06.219</v>
      </c>
      <c r="C7695" t="str">
        <f>"19:08:06.119"</f>
        <v>19:08:06.119</v>
      </c>
      <c r="D7695" t="s">
        <v>3092</v>
      </c>
      <c r="E7695">
        <v>30.476267</v>
      </c>
      <c r="F7695" t="s">
        <v>3093</v>
      </c>
      <c r="G7695">
        <v>-89.812073999999996</v>
      </c>
      <c r="H7695">
        <v>1600</v>
      </c>
      <c r="I7695">
        <v>26</v>
      </c>
      <c r="J7695">
        <v>154</v>
      </c>
      <c r="K7695">
        <v>-128</v>
      </c>
      <c r="L7695">
        <v>1200</v>
      </c>
      <c r="M7695" t="str">
        <f t="shared" si="772"/>
        <v xml:space="preserve">N35DC   </v>
      </c>
      <c r="N7695">
        <v>1</v>
      </c>
      <c r="O7695">
        <v>1700</v>
      </c>
    </row>
    <row r="7696" spans="1:15" x14ac:dyDescent="0.25">
      <c r="A7696" t="str">
        <f>"10/21/2020 19:07:58.255"</f>
        <v>10/21/2020 19:07:58.255</v>
      </c>
      <c r="B7696" t="str">
        <f>"19:08:06.219"</f>
        <v>19:08:06.219</v>
      </c>
      <c r="C7696" t="str">
        <f>"19:08:06.119"</f>
        <v>19:08:06.119</v>
      </c>
      <c r="D7696" t="s">
        <v>3092</v>
      </c>
      <c r="E7696">
        <v>30.476267</v>
      </c>
      <c r="F7696" t="s">
        <v>3093</v>
      </c>
      <c r="G7696">
        <v>-89.812073999999996</v>
      </c>
      <c r="H7696">
        <v>1600</v>
      </c>
      <c r="I7696">
        <v>26</v>
      </c>
      <c r="J7696">
        <v>154</v>
      </c>
      <c r="K7696">
        <v>-128</v>
      </c>
      <c r="L7696">
        <v>1200</v>
      </c>
      <c r="M7696" t="str">
        <f t="shared" si="772"/>
        <v xml:space="preserve">N35DC   </v>
      </c>
      <c r="N7696">
        <v>1</v>
      </c>
      <c r="O7696">
        <v>1700</v>
      </c>
    </row>
    <row r="7697" spans="1:15" x14ac:dyDescent="0.25">
      <c r="A7697" t="str">
        <f>"10/21/2020 19:07:58.255"</f>
        <v>10/21/2020 19:07:58.255</v>
      </c>
      <c r="B7697" t="str">
        <f>"19:08:06.219"</f>
        <v>19:08:06.219</v>
      </c>
      <c r="C7697" t="str">
        <f>"19:08:06.119"</f>
        <v>19:08:06.119</v>
      </c>
      <c r="D7697" t="s">
        <v>3092</v>
      </c>
      <c r="E7697">
        <v>30.476267</v>
      </c>
      <c r="F7697" t="s">
        <v>3093</v>
      </c>
      <c r="G7697">
        <v>-89.812073999999996</v>
      </c>
      <c r="H7697">
        <v>1600</v>
      </c>
      <c r="I7697">
        <v>26</v>
      </c>
      <c r="J7697">
        <v>154</v>
      </c>
      <c r="K7697">
        <v>-128</v>
      </c>
      <c r="L7697">
        <v>1200</v>
      </c>
      <c r="M7697" t="str">
        <f t="shared" si="772"/>
        <v xml:space="preserve">N35DC   </v>
      </c>
      <c r="N7697">
        <v>1</v>
      </c>
      <c r="O7697">
        <v>1700</v>
      </c>
    </row>
    <row r="7698" spans="1:15" x14ac:dyDescent="0.25">
      <c r="A7698" t="str">
        <f>"10/21/2020 19:07:58.255"</f>
        <v>10/21/2020 19:07:58.255</v>
      </c>
      <c r="B7698" t="str">
        <f>"19:08:06.219"</f>
        <v>19:08:06.219</v>
      </c>
      <c r="C7698" t="str">
        <f>"19:08:06.119"</f>
        <v>19:08:06.119</v>
      </c>
      <c r="D7698" t="s">
        <v>3092</v>
      </c>
      <c r="E7698">
        <v>30.476267</v>
      </c>
      <c r="F7698" t="s">
        <v>3093</v>
      </c>
      <c r="G7698">
        <v>-89.812073999999996</v>
      </c>
      <c r="H7698">
        <v>1600</v>
      </c>
      <c r="I7698">
        <v>26</v>
      </c>
      <c r="J7698">
        <v>154</v>
      </c>
      <c r="K7698">
        <v>-128</v>
      </c>
      <c r="L7698">
        <v>1200</v>
      </c>
      <c r="M7698" t="str">
        <f t="shared" si="772"/>
        <v xml:space="preserve">N35DC   </v>
      </c>
      <c r="N7698">
        <v>1</v>
      </c>
      <c r="O7698">
        <v>1700</v>
      </c>
    </row>
    <row r="7699" spans="1:15" x14ac:dyDescent="0.25">
      <c r="A7699" t="str">
        <f>"10/21/2020 19:07:58.255"</f>
        <v>10/21/2020 19:07:58.255</v>
      </c>
      <c r="B7699" t="str">
        <f>"19:08:06.219"</f>
        <v>19:08:06.219</v>
      </c>
      <c r="C7699" t="str">
        <f>"19:08:06.119"</f>
        <v>19:08:06.119</v>
      </c>
      <c r="D7699" t="s">
        <v>3092</v>
      </c>
      <c r="E7699">
        <v>30.476267</v>
      </c>
      <c r="F7699" t="s">
        <v>3093</v>
      </c>
      <c r="G7699">
        <v>-89.812073999999996</v>
      </c>
      <c r="H7699">
        <v>1600</v>
      </c>
      <c r="I7699">
        <v>26</v>
      </c>
      <c r="J7699">
        <v>154</v>
      </c>
      <c r="K7699">
        <v>-128</v>
      </c>
      <c r="L7699">
        <v>1200</v>
      </c>
      <c r="M7699" t="str">
        <f t="shared" si="772"/>
        <v xml:space="preserve">N35DC   </v>
      </c>
      <c r="N7699">
        <v>1</v>
      </c>
      <c r="O7699">
        <v>1700</v>
      </c>
    </row>
    <row r="7700" spans="1:15" x14ac:dyDescent="0.25">
      <c r="A7700" t="str">
        <f>"10/21/2020 19:07:59.280"</f>
        <v>10/21/2020 19:07:59.280</v>
      </c>
      <c r="B7700" t="str">
        <f>"19:08:07.234"</f>
        <v>19:08:07.234</v>
      </c>
      <c r="C7700" t="str">
        <f>"19:08:06.934"</f>
        <v>19:08:06.934</v>
      </c>
      <c r="D7700" t="s">
        <v>3094</v>
      </c>
      <c r="E7700">
        <v>30.477039999999999</v>
      </c>
      <c r="F7700" t="s">
        <v>3095</v>
      </c>
      <c r="G7700">
        <v>-89.811944999999994</v>
      </c>
      <c r="H7700">
        <v>1600</v>
      </c>
      <c r="I7700">
        <v>27</v>
      </c>
      <c r="J7700">
        <v>154</v>
      </c>
      <c r="K7700">
        <v>-64</v>
      </c>
      <c r="L7700">
        <v>1200</v>
      </c>
      <c r="M7700" t="str">
        <f t="shared" si="772"/>
        <v xml:space="preserve">N35DC   </v>
      </c>
      <c r="N7700">
        <v>1</v>
      </c>
      <c r="O7700">
        <v>1700</v>
      </c>
    </row>
    <row r="7701" spans="1:15" x14ac:dyDescent="0.25">
      <c r="A7701" t="str">
        <f>"10/21/2020 19:07:59.280"</f>
        <v>10/21/2020 19:07:59.280</v>
      </c>
      <c r="B7701" t="str">
        <f>"19:08:07.234"</f>
        <v>19:08:07.234</v>
      </c>
      <c r="C7701" t="str">
        <f>"19:08:06.934"</f>
        <v>19:08:06.934</v>
      </c>
      <c r="D7701" t="s">
        <v>3094</v>
      </c>
      <c r="E7701">
        <v>30.477039999999999</v>
      </c>
      <c r="F7701" t="s">
        <v>3095</v>
      </c>
      <c r="G7701">
        <v>-89.811944999999994</v>
      </c>
      <c r="H7701">
        <v>1600</v>
      </c>
      <c r="I7701">
        <v>27</v>
      </c>
      <c r="J7701">
        <v>154</v>
      </c>
      <c r="K7701">
        <v>-64</v>
      </c>
      <c r="L7701">
        <v>1200</v>
      </c>
      <c r="M7701" t="str">
        <f t="shared" si="772"/>
        <v xml:space="preserve">N35DC   </v>
      </c>
      <c r="N7701">
        <v>1</v>
      </c>
      <c r="O7701">
        <v>1700</v>
      </c>
    </row>
    <row r="7702" spans="1:15" x14ac:dyDescent="0.25">
      <c r="A7702" t="str">
        <f>"10/21/2020 19:07:59.280"</f>
        <v>10/21/2020 19:07:59.280</v>
      </c>
      <c r="B7702" t="str">
        <f>"19:08:07.234"</f>
        <v>19:08:07.234</v>
      </c>
      <c r="C7702" t="str">
        <f>"19:08:06.934"</f>
        <v>19:08:06.934</v>
      </c>
      <c r="D7702" t="s">
        <v>3094</v>
      </c>
      <c r="E7702">
        <v>30.477039999999999</v>
      </c>
      <c r="F7702" t="s">
        <v>3095</v>
      </c>
      <c r="G7702">
        <v>-89.811944999999994</v>
      </c>
      <c r="H7702">
        <v>1600</v>
      </c>
      <c r="I7702">
        <v>27</v>
      </c>
      <c r="J7702">
        <v>154</v>
      </c>
      <c r="K7702">
        <v>-64</v>
      </c>
      <c r="L7702">
        <v>1200</v>
      </c>
      <c r="M7702" t="str">
        <f t="shared" si="772"/>
        <v xml:space="preserve">N35DC   </v>
      </c>
      <c r="N7702">
        <v>1</v>
      </c>
      <c r="O7702">
        <v>1700</v>
      </c>
    </row>
    <row r="7703" spans="1:15" x14ac:dyDescent="0.25">
      <c r="A7703" t="str">
        <f>"10/21/2020 19:07:59.280"</f>
        <v>10/21/2020 19:07:59.280</v>
      </c>
      <c r="B7703" t="str">
        <f>"19:08:07.234"</f>
        <v>19:08:07.234</v>
      </c>
      <c r="C7703" t="str">
        <f>"19:08:06.934"</f>
        <v>19:08:06.934</v>
      </c>
      <c r="D7703" t="s">
        <v>3094</v>
      </c>
      <c r="E7703">
        <v>30.477039999999999</v>
      </c>
      <c r="F7703" t="s">
        <v>3095</v>
      </c>
      <c r="G7703">
        <v>-89.811944999999994</v>
      </c>
      <c r="H7703">
        <v>1600</v>
      </c>
      <c r="I7703">
        <v>27</v>
      </c>
      <c r="J7703">
        <v>154</v>
      </c>
      <c r="K7703">
        <v>-64</v>
      </c>
      <c r="L7703">
        <v>1200</v>
      </c>
      <c r="M7703" t="str">
        <f t="shared" si="772"/>
        <v xml:space="preserve">N35DC   </v>
      </c>
      <c r="N7703">
        <v>1</v>
      </c>
      <c r="O7703">
        <v>1700</v>
      </c>
    </row>
    <row r="7704" spans="1:15" x14ac:dyDescent="0.25">
      <c r="A7704" t="str">
        <f>"10/21/2020 19:07:59.280"</f>
        <v>10/21/2020 19:07:59.280</v>
      </c>
      <c r="B7704" t="str">
        <f>"19:08:07.234"</f>
        <v>19:08:07.234</v>
      </c>
      <c r="C7704" t="str">
        <f>"19:08:06.934"</f>
        <v>19:08:06.934</v>
      </c>
      <c r="D7704" t="s">
        <v>3094</v>
      </c>
      <c r="E7704">
        <v>30.477039999999999</v>
      </c>
      <c r="F7704" t="s">
        <v>3095</v>
      </c>
      <c r="G7704">
        <v>-89.811944999999994</v>
      </c>
      <c r="H7704">
        <v>1600</v>
      </c>
      <c r="I7704">
        <v>27</v>
      </c>
      <c r="J7704">
        <v>154</v>
      </c>
      <c r="K7704">
        <v>-64</v>
      </c>
      <c r="L7704">
        <v>1200</v>
      </c>
      <c r="M7704" t="str">
        <f t="shared" si="772"/>
        <v xml:space="preserve">N35DC   </v>
      </c>
      <c r="N7704">
        <v>1</v>
      </c>
      <c r="O7704">
        <v>1700</v>
      </c>
    </row>
    <row r="7705" spans="1:15" x14ac:dyDescent="0.25">
      <c r="A7705" t="str">
        <f>"10/21/2020 19:08:01.334"</f>
        <v>10/21/2020 19:08:01.334</v>
      </c>
      <c r="B7705" t="str">
        <f>"19:08:09.289"</f>
        <v>19:08:09.289</v>
      </c>
      <c r="C7705" t="str">
        <f>"19:08:08.889"</f>
        <v>19:08:08.889</v>
      </c>
      <c r="D7705" t="s">
        <v>3096</v>
      </c>
      <c r="E7705">
        <v>30.478498999999999</v>
      </c>
      <c r="F7705" t="s">
        <v>3097</v>
      </c>
      <c r="G7705">
        <v>-89.811666000000002</v>
      </c>
      <c r="H7705">
        <v>1600</v>
      </c>
      <c r="I7705">
        <v>25</v>
      </c>
      <c r="J7705">
        <v>154</v>
      </c>
      <c r="K7705">
        <v>0</v>
      </c>
      <c r="L7705">
        <v>1200</v>
      </c>
      <c r="M7705" t="str">
        <f t="shared" si="772"/>
        <v xml:space="preserve">N35DC   </v>
      </c>
      <c r="N7705">
        <v>1</v>
      </c>
      <c r="O7705">
        <v>1700</v>
      </c>
    </row>
    <row r="7706" spans="1:15" x14ac:dyDescent="0.25">
      <c r="A7706" t="str">
        <f>"10/21/2020 19:08:01.334"</f>
        <v>10/21/2020 19:08:01.334</v>
      </c>
      <c r="B7706" t="str">
        <f>"19:08:09.289"</f>
        <v>19:08:09.289</v>
      </c>
      <c r="C7706" t="str">
        <f>"19:08:08.889"</f>
        <v>19:08:08.889</v>
      </c>
      <c r="D7706" t="s">
        <v>3096</v>
      </c>
      <c r="E7706">
        <v>30.478498999999999</v>
      </c>
      <c r="F7706" t="s">
        <v>3097</v>
      </c>
      <c r="G7706">
        <v>-89.811666000000002</v>
      </c>
      <c r="H7706">
        <v>1600</v>
      </c>
      <c r="I7706">
        <v>25</v>
      </c>
      <c r="J7706">
        <v>154</v>
      </c>
      <c r="K7706">
        <v>0</v>
      </c>
      <c r="L7706">
        <v>1200</v>
      </c>
      <c r="M7706" t="str">
        <f t="shared" si="772"/>
        <v xml:space="preserve">N35DC   </v>
      </c>
      <c r="N7706">
        <v>1</v>
      </c>
      <c r="O7706">
        <v>1700</v>
      </c>
    </row>
    <row r="7707" spans="1:15" x14ac:dyDescent="0.25">
      <c r="A7707" t="str">
        <f>"10/21/2020 19:08:01.334"</f>
        <v>10/21/2020 19:08:01.334</v>
      </c>
      <c r="B7707" t="str">
        <f>"19:08:09.289"</f>
        <v>19:08:09.289</v>
      </c>
      <c r="C7707" t="str">
        <f>"19:08:08.889"</f>
        <v>19:08:08.889</v>
      </c>
      <c r="D7707" t="s">
        <v>3096</v>
      </c>
      <c r="E7707">
        <v>30.478498999999999</v>
      </c>
      <c r="F7707" t="s">
        <v>3097</v>
      </c>
      <c r="G7707">
        <v>-89.811666000000002</v>
      </c>
      <c r="H7707">
        <v>1600</v>
      </c>
      <c r="I7707">
        <v>25</v>
      </c>
      <c r="J7707">
        <v>154</v>
      </c>
      <c r="K7707">
        <v>0</v>
      </c>
      <c r="L7707">
        <v>1200</v>
      </c>
      <c r="M7707" t="str">
        <f t="shared" si="772"/>
        <v xml:space="preserve">N35DC   </v>
      </c>
      <c r="N7707">
        <v>1</v>
      </c>
      <c r="O7707">
        <v>1700</v>
      </c>
    </row>
    <row r="7708" spans="1:15" x14ac:dyDescent="0.25">
      <c r="A7708" t="str">
        <f>"10/21/2020 19:08:01.334"</f>
        <v>10/21/2020 19:08:01.334</v>
      </c>
      <c r="B7708" t="str">
        <f>"19:08:09.289"</f>
        <v>19:08:09.289</v>
      </c>
      <c r="C7708" t="str">
        <f>"19:08:08.889"</f>
        <v>19:08:08.889</v>
      </c>
      <c r="D7708" t="s">
        <v>3096</v>
      </c>
      <c r="E7708">
        <v>30.478498999999999</v>
      </c>
      <c r="F7708" t="s">
        <v>3097</v>
      </c>
      <c r="G7708">
        <v>-89.811666000000002</v>
      </c>
      <c r="H7708">
        <v>1600</v>
      </c>
      <c r="I7708">
        <v>25</v>
      </c>
      <c r="J7708">
        <v>154</v>
      </c>
      <c r="K7708">
        <v>0</v>
      </c>
      <c r="L7708">
        <v>1200</v>
      </c>
      <c r="M7708" t="str">
        <f t="shared" si="772"/>
        <v xml:space="preserve">N35DC   </v>
      </c>
      <c r="N7708">
        <v>1</v>
      </c>
      <c r="O7708">
        <v>1700</v>
      </c>
    </row>
    <row r="7709" spans="1:15" x14ac:dyDescent="0.25">
      <c r="A7709" t="str">
        <f>"10/21/2020 19:08:01.334"</f>
        <v>10/21/2020 19:08:01.334</v>
      </c>
      <c r="B7709" t="str">
        <f>"19:08:09.289"</f>
        <v>19:08:09.289</v>
      </c>
      <c r="C7709" t="str">
        <f>"19:08:08.889"</f>
        <v>19:08:08.889</v>
      </c>
      <c r="D7709" t="s">
        <v>3096</v>
      </c>
      <c r="E7709">
        <v>30.478498999999999</v>
      </c>
      <c r="F7709" t="s">
        <v>3097</v>
      </c>
      <c r="G7709">
        <v>-89.811666000000002</v>
      </c>
      <c r="H7709">
        <v>1600</v>
      </c>
      <c r="I7709">
        <v>25</v>
      </c>
      <c r="J7709">
        <v>154</v>
      </c>
      <c r="K7709">
        <v>0</v>
      </c>
      <c r="L7709">
        <v>1200</v>
      </c>
      <c r="M7709" t="str">
        <f t="shared" si="772"/>
        <v xml:space="preserve">N35DC   </v>
      </c>
      <c r="N7709">
        <v>1</v>
      </c>
      <c r="O7709">
        <v>1700</v>
      </c>
    </row>
    <row r="7710" spans="1:15" x14ac:dyDescent="0.25">
      <c r="A7710" t="str">
        <f>"10/21/2020 19:08:02.215"</f>
        <v>10/21/2020 19:08:02.215</v>
      </c>
      <c r="B7710" t="str">
        <f>"19:08:10.172"</f>
        <v>19:08:10.172</v>
      </c>
      <c r="C7710" t="str">
        <f>"19:08:09.972"</f>
        <v>19:08:09.972</v>
      </c>
      <c r="D7710" t="s">
        <v>3098</v>
      </c>
      <c r="E7710">
        <v>30.479143000000001</v>
      </c>
      <c r="F7710" t="s">
        <v>3099</v>
      </c>
      <c r="G7710">
        <v>-89.811559000000003</v>
      </c>
      <c r="H7710">
        <v>1600</v>
      </c>
      <c r="I7710">
        <v>24</v>
      </c>
      <c r="J7710">
        <v>154</v>
      </c>
      <c r="K7710">
        <v>128</v>
      </c>
      <c r="L7710">
        <v>1200</v>
      </c>
      <c r="M7710" t="str">
        <f t="shared" si="772"/>
        <v xml:space="preserve">N35DC   </v>
      </c>
      <c r="N7710">
        <v>1</v>
      </c>
      <c r="O7710">
        <v>1700</v>
      </c>
    </row>
    <row r="7711" spans="1:15" x14ac:dyDescent="0.25">
      <c r="A7711" t="str">
        <f>"10/21/2020 19:08:02.215"</f>
        <v>10/21/2020 19:08:02.215</v>
      </c>
      <c r="B7711" t="str">
        <f>"19:08:10.172"</f>
        <v>19:08:10.172</v>
      </c>
      <c r="C7711" t="str">
        <f>"19:08:09.972"</f>
        <v>19:08:09.972</v>
      </c>
      <c r="D7711" t="s">
        <v>3098</v>
      </c>
      <c r="E7711">
        <v>30.479143000000001</v>
      </c>
      <c r="F7711" t="s">
        <v>3099</v>
      </c>
      <c r="G7711">
        <v>-89.811559000000003</v>
      </c>
      <c r="H7711">
        <v>1600</v>
      </c>
      <c r="I7711">
        <v>24</v>
      </c>
      <c r="J7711">
        <v>154</v>
      </c>
      <c r="K7711">
        <v>128</v>
      </c>
      <c r="L7711">
        <v>1200</v>
      </c>
      <c r="M7711" t="str">
        <f t="shared" si="772"/>
        <v xml:space="preserve">N35DC   </v>
      </c>
      <c r="N7711">
        <v>1</v>
      </c>
      <c r="O7711">
        <v>1700</v>
      </c>
    </row>
    <row r="7712" spans="1:15" x14ac:dyDescent="0.25">
      <c r="A7712" t="str">
        <f>"10/21/2020 19:08:02.215"</f>
        <v>10/21/2020 19:08:02.215</v>
      </c>
      <c r="B7712" t="str">
        <f>"19:08:10.172"</f>
        <v>19:08:10.172</v>
      </c>
      <c r="C7712" t="str">
        <f>"19:08:09.972"</f>
        <v>19:08:09.972</v>
      </c>
      <c r="D7712" t="s">
        <v>3098</v>
      </c>
      <c r="E7712">
        <v>30.479143000000001</v>
      </c>
      <c r="F7712" t="s">
        <v>3099</v>
      </c>
      <c r="G7712">
        <v>-89.811559000000003</v>
      </c>
      <c r="H7712">
        <v>1600</v>
      </c>
      <c r="I7712">
        <v>24</v>
      </c>
      <c r="J7712">
        <v>154</v>
      </c>
      <c r="K7712">
        <v>128</v>
      </c>
      <c r="L7712">
        <v>1200</v>
      </c>
      <c r="M7712" t="str">
        <f t="shared" si="772"/>
        <v xml:space="preserve">N35DC   </v>
      </c>
      <c r="N7712">
        <v>1</v>
      </c>
      <c r="O7712">
        <v>1700</v>
      </c>
    </row>
    <row r="7713" spans="1:15" x14ac:dyDescent="0.25">
      <c r="A7713" t="str">
        <f>"10/21/2020 19:08:02.215"</f>
        <v>10/21/2020 19:08:02.215</v>
      </c>
      <c r="B7713" t="str">
        <f>"19:08:10.172"</f>
        <v>19:08:10.172</v>
      </c>
      <c r="C7713" t="str">
        <f>"19:08:09.972"</f>
        <v>19:08:09.972</v>
      </c>
      <c r="D7713" t="s">
        <v>3098</v>
      </c>
      <c r="E7713">
        <v>30.479143000000001</v>
      </c>
      <c r="F7713" t="s">
        <v>3099</v>
      </c>
      <c r="G7713">
        <v>-89.811559000000003</v>
      </c>
      <c r="H7713">
        <v>1600</v>
      </c>
      <c r="I7713">
        <v>24</v>
      </c>
      <c r="J7713">
        <v>154</v>
      </c>
      <c r="K7713">
        <v>128</v>
      </c>
      <c r="L7713">
        <v>1200</v>
      </c>
      <c r="M7713" t="str">
        <f t="shared" si="772"/>
        <v xml:space="preserve">N35DC   </v>
      </c>
      <c r="N7713">
        <v>1</v>
      </c>
      <c r="O7713">
        <v>1700</v>
      </c>
    </row>
    <row r="7714" spans="1:15" x14ac:dyDescent="0.25">
      <c r="A7714" t="str">
        <f>"10/21/2020 19:08:02.215"</f>
        <v>10/21/2020 19:08:02.215</v>
      </c>
      <c r="B7714" t="str">
        <f>"19:08:10.172"</f>
        <v>19:08:10.172</v>
      </c>
      <c r="C7714" t="str">
        <f>"19:08:09.972"</f>
        <v>19:08:09.972</v>
      </c>
      <c r="D7714" t="s">
        <v>3098</v>
      </c>
      <c r="E7714">
        <v>30.479143000000001</v>
      </c>
      <c r="F7714" t="s">
        <v>3099</v>
      </c>
      <c r="G7714">
        <v>-89.811559000000003</v>
      </c>
      <c r="H7714">
        <v>1600</v>
      </c>
      <c r="I7714">
        <v>24</v>
      </c>
      <c r="J7714">
        <v>154</v>
      </c>
      <c r="K7714">
        <v>128</v>
      </c>
      <c r="L7714">
        <v>1200</v>
      </c>
      <c r="M7714" t="str">
        <f t="shared" si="772"/>
        <v xml:space="preserve">N35DC   </v>
      </c>
      <c r="N7714">
        <v>1</v>
      </c>
      <c r="O7714">
        <v>1700</v>
      </c>
    </row>
    <row r="7715" spans="1:15" x14ac:dyDescent="0.25">
      <c r="A7715" t="str">
        <f>"10/21/2020 19:08:03.246"</f>
        <v>10/21/2020 19:08:03.246</v>
      </c>
      <c r="B7715" t="str">
        <f>"19:08:11.195"</f>
        <v>19:08:11.195</v>
      </c>
      <c r="C7715" t="str">
        <f>"19:08:10.995"</f>
        <v>19:08:10.995</v>
      </c>
      <c r="D7715" t="s">
        <v>3100</v>
      </c>
      <c r="E7715">
        <v>30.479872</v>
      </c>
      <c r="F7715" t="s">
        <v>3101</v>
      </c>
      <c r="G7715">
        <v>-89.811408999999998</v>
      </c>
      <c r="H7715">
        <v>1600</v>
      </c>
      <c r="I7715">
        <v>24</v>
      </c>
      <c r="J7715">
        <v>154</v>
      </c>
      <c r="K7715">
        <v>0</v>
      </c>
      <c r="L7715">
        <v>1200</v>
      </c>
      <c r="M7715" t="str">
        <f t="shared" si="772"/>
        <v xml:space="preserve">N35DC   </v>
      </c>
      <c r="N7715">
        <v>1</v>
      </c>
      <c r="O7715">
        <v>1700</v>
      </c>
    </row>
    <row r="7716" spans="1:15" x14ac:dyDescent="0.25">
      <c r="A7716" t="str">
        <f>"10/21/2020 19:08:03.246"</f>
        <v>10/21/2020 19:08:03.246</v>
      </c>
      <c r="B7716" t="str">
        <f>"19:08:11.195"</f>
        <v>19:08:11.195</v>
      </c>
      <c r="C7716" t="str">
        <f>"19:08:10.995"</f>
        <v>19:08:10.995</v>
      </c>
      <c r="D7716" t="s">
        <v>3100</v>
      </c>
      <c r="E7716">
        <v>30.479872</v>
      </c>
      <c r="F7716" t="s">
        <v>3101</v>
      </c>
      <c r="G7716">
        <v>-89.811408999999998</v>
      </c>
      <c r="H7716">
        <v>1600</v>
      </c>
      <c r="I7716">
        <v>24</v>
      </c>
      <c r="J7716">
        <v>154</v>
      </c>
      <c r="K7716">
        <v>0</v>
      </c>
      <c r="L7716">
        <v>1200</v>
      </c>
      <c r="M7716" t="str">
        <f t="shared" si="772"/>
        <v xml:space="preserve">N35DC   </v>
      </c>
      <c r="N7716">
        <v>1</v>
      </c>
      <c r="O7716">
        <v>1700</v>
      </c>
    </row>
    <row r="7717" spans="1:15" x14ac:dyDescent="0.25">
      <c r="A7717" t="str">
        <f>"10/21/2020 19:08:03.246"</f>
        <v>10/21/2020 19:08:03.246</v>
      </c>
      <c r="B7717" t="str">
        <f>"19:08:11.195"</f>
        <v>19:08:11.195</v>
      </c>
      <c r="C7717" t="str">
        <f>"19:08:10.995"</f>
        <v>19:08:10.995</v>
      </c>
      <c r="D7717" t="s">
        <v>3100</v>
      </c>
      <c r="E7717">
        <v>30.479872</v>
      </c>
      <c r="F7717" t="s">
        <v>3101</v>
      </c>
      <c r="G7717">
        <v>-89.811408999999998</v>
      </c>
      <c r="H7717">
        <v>1600</v>
      </c>
      <c r="I7717">
        <v>24</v>
      </c>
      <c r="J7717">
        <v>154</v>
      </c>
      <c r="K7717">
        <v>0</v>
      </c>
      <c r="L7717">
        <v>1200</v>
      </c>
      <c r="M7717" t="str">
        <f t="shared" si="772"/>
        <v xml:space="preserve">N35DC   </v>
      </c>
      <c r="N7717">
        <v>1</v>
      </c>
      <c r="O7717">
        <v>1700</v>
      </c>
    </row>
    <row r="7718" spans="1:15" x14ac:dyDescent="0.25">
      <c r="A7718" t="str">
        <f>"10/21/2020 19:08:03.246"</f>
        <v>10/21/2020 19:08:03.246</v>
      </c>
      <c r="B7718" t="str">
        <f>"19:08:11.195"</f>
        <v>19:08:11.195</v>
      </c>
      <c r="C7718" t="str">
        <f>"19:08:10.995"</f>
        <v>19:08:10.995</v>
      </c>
      <c r="D7718" t="s">
        <v>3100</v>
      </c>
      <c r="E7718">
        <v>30.479872</v>
      </c>
      <c r="F7718" t="s">
        <v>3101</v>
      </c>
      <c r="G7718">
        <v>-89.811408999999998</v>
      </c>
      <c r="H7718">
        <v>1600</v>
      </c>
      <c r="I7718">
        <v>24</v>
      </c>
      <c r="J7718">
        <v>154</v>
      </c>
      <c r="K7718">
        <v>0</v>
      </c>
      <c r="L7718">
        <v>1200</v>
      </c>
      <c r="M7718" t="str">
        <f t="shared" si="772"/>
        <v xml:space="preserve">N35DC   </v>
      </c>
      <c r="N7718">
        <v>1</v>
      </c>
      <c r="O7718">
        <v>1700</v>
      </c>
    </row>
    <row r="7719" spans="1:15" x14ac:dyDescent="0.25">
      <c r="A7719" t="str">
        <f>"10/21/2020 19:08:03.246"</f>
        <v>10/21/2020 19:08:03.246</v>
      </c>
      <c r="B7719" t="str">
        <f>"19:08:11.195"</f>
        <v>19:08:11.195</v>
      </c>
      <c r="C7719" t="str">
        <f>"19:08:10.995"</f>
        <v>19:08:10.995</v>
      </c>
      <c r="D7719" t="s">
        <v>3100</v>
      </c>
      <c r="E7719">
        <v>30.479872</v>
      </c>
      <c r="F7719" t="s">
        <v>3101</v>
      </c>
      <c r="G7719">
        <v>-89.811408999999998</v>
      </c>
      <c r="H7719">
        <v>1600</v>
      </c>
      <c r="I7719">
        <v>24</v>
      </c>
      <c r="J7719">
        <v>154</v>
      </c>
      <c r="K7719">
        <v>0</v>
      </c>
      <c r="L7719">
        <v>1200</v>
      </c>
      <c r="M7719" t="str">
        <f t="shared" si="772"/>
        <v xml:space="preserve">N35DC   </v>
      </c>
      <c r="N7719">
        <v>1</v>
      </c>
      <c r="O7719">
        <v>1700</v>
      </c>
    </row>
    <row r="7720" spans="1:15" x14ac:dyDescent="0.25">
      <c r="A7720" t="str">
        <f>"10/21/2020 19:08:06.259"</f>
        <v>10/21/2020 19:08:06.259</v>
      </c>
      <c r="B7720" t="str">
        <f>"19:08:14.211"</f>
        <v>19:08:14.211</v>
      </c>
      <c r="C7720" t="str">
        <f>"19:08:14.011"</f>
        <v>19:08:14.011</v>
      </c>
      <c r="D7720" t="s">
        <v>3102</v>
      </c>
      <c r="E7720">
        <v>30.482039</v>
      </c>
      <c r="F7720" t="s">
        <v>3103</v>
      </c>
      <c r="G7720">
        <v>-89.811043999999995</v>
      </c>
      <c r="H7720">
        <v>1700</v>
      </c>
      <c r="I7720">
        <v>22</v>
      </c>
      <c r="J7720">
        <v>154</v>
      </c>
      <c r="K7720">
        <v>0</v>
      </c>
      <c r="L7720">
        <v>1200</v>
      </c>
      <c r="M7720" t="str">
        <f t="shared" si="772"/>
        <v xml:space="preserve">N35DC   </v>
      </c>
      <c r="N7720">
        <v>1</v>
      </c>
      <c r="O7720">
        <v>1700</v>
      </c>
    </row>
    <row r="7721" spans="1:15" x14ac:dyDescent="0.25">
      <c r="A7721" t="str">
        <f>"10/21/2020 19:08:06.259"</f>
        <v>10/21/2020 19:08:06.259</v>
      </c>
      <c r="B7721" t="str">
        <f>"19:08:14.211"</f>
        <v>19:08:14.211</v>
      </c>
      <c r="C7721" t="str">
        <f>"19:08:14.011"</f>
        <v>19:08:14.011</v>
      </c>
      <c r="D7721" t="s">
        <v>3102</v>
      </c>
      <c r="E7721">
        <v>30.482039</v>
      </c>
      <c r="F7721" t="s">
        <v>3103</v>
      </c>
      <c r="G7721">
        <v>-89.811043999999995</v>
      </c>
      <c r="H7721">
        <v>1700</v>
      </c>
      <c r="I7721">
        <v>22</v>
      </c>
      <c r="J7721">
        <v>154</v>
      </c>
      <c r="K7721">
        <v>0</v>
      </c>
      <c r="L7721">
        <v>1200</v>
      </c>
      <c r="M7721" t="str">
        <f t="shared" si="772"/>
        <v xml:space="preserve">N35DC   </v>
      </c>
      <c r="N7721">
        <v>1</v>
      </c>
      <c r="O7721">
        <v>1700</v>
      </c>
    </row>
    <row r="7722" spans="1:15" x14ac:dyDescent="0.25">
      <c r="A7722" t="str">
        <f>"10/21/2020 19:08:06.259"</f>
        <v>10/21/2020 19:08:06.259</v>
      </c>
      <c r="B7722" t="str">
        <f>"19:08:14.211"</f>
        <v>19:08:14.211</v>
      </c>
      <c r="C7722" t="str">
        <f>"19:08:14.011"</f>
        <v>19:08:14.011</v>
      </c>
      <c r="D7722" t="s">
        <v>3102</v>
      </c>
      <c r="E7722">
        <v>30.482039</v>
      </c>
      <c r="F7722" t="s">
        <v>3103</v>
      </c>
      <c r="G7722">
        <v>-89.811043999999995</v>
      </c>
      <c r="H7722">
        <v>1700</v>
      </c>
      <c r="I7722">
        <v>22</v>
      </c>
      <c r="J7722">
        <v>154</v>
      </c>
      <c r="K7722">
        <v>0</v>
      </c>
      <c r="L7722">
        <v>1200</v>
      </c>
      <c r="M7722" t="str">
        <f t="shared" si="772"/>
        <v xml:space="preserve">N35DC   </v>
      </c>
      <c r="N7722">
        <v>1</v>
      </c>
      <c r="O7722">
        <v>1700</v>
      </c>
    </row>
    <row r="7723" spans="1:15" x14ac:dyDescent="0.25">
      <c r="A7723" t="str">
        <f>"10/21/2020 19:08:06.259"</f>
        <v>10/21/2020 19:08:06.259</v>
      </c>
      <c r="B7723" t="str">
        <f>"19:08:14.211"</f>
        <v>19:08:14.211</v>
      </c>
      <c r="C7723" t="str">
        <f>"19:08:14.011"</f>
        <v>19:08:14.011</v>
      </c>
      <c r="D7723" t="s">
        <v>3102</v>
      </c>
      <c r="E7723">
        <v>30.482039</v>
      </c>
      <c r="F7723" t="s">
        <v>3103</v>
      </c>
      <c r="G7723">
        <v>-89.811043999999995</v>
      </c>
      <c r="H7723">
        <v>1700</v>
      </c>
      <c r="I7723">
        <v>22</v>
      </c>
      <c r="J7723">
        <v>154</v>
      </c>
      <c r="K7723">
        <v>0</v>
      </c>
      <c r="L7723">
        <v>1200</v>
      </c>
      <c r="M7723" t="str">
        <f t="shared" si="772"/>
        <v xml:space="preserve">N35DC   </v>
      </c>
      <c r="N7723">
        <v>1</v>
      </c>
      <c r="O7723">
        <v>1700</v>
      </c>
    </row>
    <row r="7724" spans="1:15" x14ac:dyDescent="0.25">
      <c r="A7724" t="str">
        <f>"10/21/2020 19:08:06.259"</f>
        <v>10/21/2020 19:08:06.259</v>
      </c>
      <c r="B7724" t="str">
        <f>"19:08:14.211"</f>
        <v>19:08:14.211</v>
      </c>
      <c r="C7724" t="str">
        <f>"19:08:14.011"</f>
        <v>19:08:14.011</v>
      </c>
      <c r="D7724" t="s">
        <v>3102</v>
      </c>
      <c r="E7724">
        <v>30.482039</v>
      </c>
      <c r="F7724" t="s">
        <v>3103</v>
      </c>
      <c r="G7724">
        <v>-89.811043999999995</v>
      </c>
      <c r="H7724">
        <v>1700</v>
      </c>
      <c r="I7724">
        <v>22</v>
      </c>
      <c r="J7724">
        <v>154</v>
      </c>
      <c r="K7724">
        <v>0</v>
      </c>
      <c r="L7724">
        <v>1200</v>
      </c>
      <c r="M7724" t="str">
        <f t="shared" si="772"/>
        <v xml:space="preserve">N35DC   </v>
      </c>
      <c r="N7724">
        <v>1</v>
      </c>
      <c r="O7724">
        <v>1700</v>
      </c>
    </row>
    <row r="7725" spans="1:15" x14ac:dyDescent="0.25">
      <c r="A7725" t="str">
        <f>"10/21/2020 19:08:09.338"</f>
        <v>10/21/2020 19:08:09.338</v>
      </c>
      <c r="B7725" t="str">
        <f>"19:08:17.281"</f>
        <v>19:08:17.281</v>
      </c>
      <c r="C7725" t="str">
        <f>"19:08:16.881"</f>
        <v>19:08:16.881</v>
      </c>
      <c r="D7725" t="s">
        <v>3104</v>
      </c>
      <c r="E7725">
        <v>30.484228000000002</v>
      </c>
      <c r="F7725" t="s">
        <v>2832</v>
      </c>
      <c r="G7725">
        <v>-89.810699999999997</v>
      </c>
      <c r="H7725">
        <v>1700</v>
      </c>
      <c r="I7725">
        <v>18</v>
      </c>
      <c r="J7725">
        <v>155</v>
      </c>
      <c r="K7725">
        <v>-64</v>
      </c>
      <c r="L7725">
        <v>1200</v>
      </c>
      <c r="M7725" t="str">
        <f t="shared" si="772"/>
        <v xml:space="preserve">N35DC   </v>
      </c>
      <c r="N7725">
        <v>1</v>
      </c>
      <c r="O7725">
        <v>1700</v>
      </c>
    </row>
    <row r="7726" spans="1:15" x14ac:dyDescent="0.25">
      <c r="A7726" t="str">
        <f>"10/21/2020 19:08:09.338"</f>
        <v>10/21/2020 19:08:09.338</v>
      </c>
      <c r="B7726" t="str">
        <f>"19:08:17.281"</f>
        <v>19:08:17.281</v>
      </c>
      <c r="C7726" t="str">
        <f>"19:08:16.881"</f>
        <v>19:08:16.881</v>
      </c>
      <c r="D7726" t="s">
        <v>3104</v>
      </c>
      <c r="E7726">
        <v>30.484228000000002</v>
      </c>
      <c r="F7726" t="s">
        <v>2832</v>
      </c>
      <c r="G7726">
        <v>-89.810699999999997</v>
      </c>
      <c r="H7726">
        <v>1700</v>
      </c>
      <c r="I7726">
        <v>18</v>
      </c>
      <c r="J7726">
        <v>155</v>
      </c>
      <c r="K7726">
        <v>-64</v>
      </c>
      <c r="L7726">
        <v>1200</v>
      </c>
      <c r="M7726" t="str">
        <f t="shared" si="772"/>
        <v xml:space="preserve">N35DC   </v>
      </c>
      <c r="N7726">
        <v>1</v>
      </c>
      <c r="O7726">
        <v>1700</v>
      </c>
    </row>
    <row r="7727" spans="1:15" x14ac:dyDescent="0.25">
      <c r="A7727" t="str">
        <f>"10/21/2020 19:08:09.338"</f>
        <v>10/21/2020 19:08:09.338</v>
      </c>
      <c r="B7727" t="str">
        <f>"19:08:17.281"</f>
        <v>19:08:17.281</v>
      </c>
      <c r="C7727" t="str">
        <f>"19:08:16.881"</f>
        <v>19:08:16.881</v>
      </c>
      <c r="D7727" t="s">
        <v>3104</v>
      </c>
      <c r="E7727">
        <v>30.484228000000002</v>
      </c>
      <c r="F7727" t="s">
        <v>2832</v>
      </c>
      <c r="G7727">
        <v>-89.810699999999997</v>
      </c>
      <c r="H7727">
        <v>1700</v>
      </c>
      <c r="I7727">
        <v>18</v>
      </c>
      <c r="J7727">
        <v>155</v>
      </c>
      <c r="K7727">
        <v>-64</v>
      </c>
      <c r="L7727">
        <v>1200</v>
      </c>
      <c r="M7727" t="str">
        <f t="shared" si="772"/>
        <v xml:space="preserve">N35DC   </v>
      </c>
      <c r="N7727">
        <v>1</v>
      </c>
      <c r="O7727">
        <v>1700</v>
      </c>
    </row>
    <row r="7728" spans="1:15" x14ac:dyDescent="0.25">
      <c r="A7728" t="str">
        <f>"10/21/2020 19:08:09.338"</f>
        <v>10/21/2020 19:08:09.338</v>
      </c>
      <c r="B7728" t="str">
        <f>"19:08:17.281"</f>
        <v>19:08:17.281</v>
      </c>
      <c r="C7728" t="str">
        <f>"19:08:16.881"</f>
        <v>19:08:16.881</v>
      </c>
      <c r="D7728" t="s">
        <v>3104</v>
      </c>
      <c r="E7728">
        <v>30.484228000000002</v>
      </c>
      <c r="F7728" t="s">
        <v>2832</v>
      </c>
      <c r="G7728">
        <v>-89.810699999999997</v>
      </c>
      <c r="H7728">
        <v>1700</v>
      </c>
      <c r="I7728">
        <v>18</v>
      </c>
      <c r="J7728">
        <v>155</v>
      </c>
      <c r="K7728">
        <v>-64</v>
      </c>
      <c r="L7728">
        <v>1200</v>
      </c>
      <c r="M7728" t="str">
        <f t="shared" si="772"/>
        <v xml:space="preserve">N35DC   </v>
      </c>
      <c r="N7728">
        <v>1</v>
      </c>
      <c r="O7728">
        <v>1700</v>
      </c>
    </row>
    <row r="7729" spans="1:15" x14ac:dyDescent="0.25">
      <c r="A7729" t="str">
        <f>"10/21/2020 19:08:09.338"</f>
        <v>10/21/2020 19:08:09.338</v>
      </c>
      <c r="B7729" t="str">
        <f>"19:08:17.281"</f>
        <v>19:08:17.281</v>
      </c>
      <c r="C7729" t="str">
        <f>"19:08:16.881"</f>
        <v>19:08:16.881</v>
      </c>
      <c r="D7729" t="s">
        <v>3104</v>
      </c>
      <c r="E7729">
        <v>30.484228000000002</v>
      </c>
      <c r="F7729" t="s">
        <v>2832</v>
      </c>
      <c r="G7729">
        <v>-89.810699999999997</v>
      </c>
      <c r="H7729">
        <v>1700</v>
      </c>
      <c r="I7729">
        <v>18</v>
      </c>
      <c r="J7729">
        <v>155</v>
      </c>
      <c r="K7729">
        <v>-64</v>
      </c>
      <c r="L7729">
        <v>1200</v>
      </c>
      <c r="M7729" t="str">
        <f t="shared" si="772"/>
        <v xml:space="preserve">N35DC   </v>
      </c>
      <c r="N7729">
        <v>1</v>
      </c>
      <c r="O7729">
        <v>1700</v>
      </c>
    </row>
    <row r="7730" spans="1:15" x14ac:dyDescent="0.25">
      <c r="A7730" t="str">
        <f>"10/21/2020 19:08:10.348"</f>
        <v>10/21/2020 19:08:10.348</v>
      </c>
      <c r="B7730" t="str">
        <f t="shared" ref="B7730:C7734" si="773">"19:08:18.305"</f>
        <v>19:08:18.305</v>
      </c>
      <c r="C7730" t="str">
        <f t="shared" si="773"/>
        <v>19:08:18.305</v>
      </c>
      <c r="D7730" t="s">
        <v>3105</v>
      </c>
      <c r="E7730">
        <v>30.484915000000001</v>
      </c>
      <c r="F7730" t="s">
        <v>3106</v>
      </c>
      <c r="G7730">
        <v>-89.810658000000004</v>
      </c>
      <c r="H7730">
        <v>1700</v>
      </c>
      <c r="I7730">
        <v>17</v>
      </c>
      <c r="J7730">
        <v>155</v>
      </c>
      <c r="K7730">
        <v>-64</v>
      </c>
      <c r="L7730">
        <v>1200</v>
      </c>
      <c r="M7730" t="str">
        <f t="shared" si="772"/>
        <v xml:space="preserve">N35DC   </v>
      </c>
      <c r="N7730">
        <v>1</v>
      </c>
      <c r="O7730">
        <v>1800</v>
      </c>
    </row>
    <row r="7731" spans="1:15" x14ac:dyDescent="0.25">
      <c r="A7731" t="str">
        <f>"10/21/2020 19:08:10.348"</f>
        <v>10/21/2020 19:08:10.348</v>
      </c>
      <c r="B7731" t="str">
        <f t="shared" si="773"/>
        <v>19:08:18.305</v>
      </c>
      <c r="C7731" t="str">
        <f t="shared" si="773"/>
        <v>19:08:18.305</v>
      </c>
      <c r="D7731" t="s">
        <v>3105</v>
      </c>
      <c r="E7731">
        <v>30.484915000000001</v>
      </c>
      <c r="F7731" t="s">
        <v>3106</v>
      </c>
      <c r="G7731">
        <v>-89.810658000000004</v>
      </c>
      <c r="H7731">
        <v>1700</v>
      </c>
      <c r="I7731">
        <v>17</v>
      </c>
      <c r="J7731">
        <v>155</v>
      </c>
      <c r="K7731">
        <v>-64</v>
      </c>
      <c r="L7731">
        <v>1200</v>
      </c>
      <c r="M7731" t="str">
        <f t="shared" si="772"/>
        <v xml:space="preserve">N35DC   </v>
      </c>
      <c r="N7731">
        <v>1</v>
      </c>
      <c r="O7731">
        <v>1800</v>
      </c>
    </row>
    <row r="7732" spans="1:15" x14ac:dyDescent="0.25">
      <c r="A7732" t="str">
        <f>"10/21/2020 19:08:10.348"</f>
        <v>10/21/2020 19:08:10.348</v>
      </c>
      <c r="B7732" t="str">
        <f t="shared" si="773"/>
        <v>19:08:18.305</v>
      </c>
      <c r="C7732" t="str">
        <f t="shared" si="773"/>
        <v>19:08:18.305</v>
      </c>
      <c r="D7732" t="s">
        <v>3105</v>
      </c>
      <c r="E7732">
        <v>30.484915000000001</v>
      </c>
      <c r="F7732" t="s">
        <v>3106</v>
      </c>
      <c r="G7732">
        <v>-89.810658000000004</v>
      </c>
      <c r="H7732">
        <v>1700</v>
      </c>
      <c r="I7732">
        <v>17</v>
      </c>
      <c r="J7732">
        <v>155</v>
      </c>
      <c r="K7732">
        <v>-64</v>
      </c>
      <c r="L7732">
        <v>1200</v>
      </c>
      <c r="M7732" t="str">
        <f t="shared" si="772"/>
        <v xml:space="preserve">N35DC   </v>
      </c>
      <c r="N7732">
        <v>1</v>
      </c>
      <c r="O7732">
        <v>1800</v>
      </c>
    </row>
    <row r="7733" spans="1:15" x14ac:dyDescent="0.25">
      <c r="A7733" t="str">
        <f>"10/21/2020 19:08:10.348"</f>
        <v>10/21/2020 19:08:10.348</v>
      </c>
      <c r="B7733" t="str">
        <f t="shared" si="773"/>
        <v>19:08:18.305</v>
      </c>
      <c r="C7733" t="str">
        <f t="shared" si="773"/>
        <v>19:08:18.305</v>
      </c>
      <c r="D7733" t="s">
        <v>3105</v>
      </c>
      <c r="E7733">
        <v>30.484915000000001</v>
      </c>
      <c r="F7733" t="s">
        <v>3106</v>
      </c>
      <c r="G7733">
        <v>-89.810658000000004</v>
      </c>
      <c r="H7733">
        <v>1700</v>
      </c>
      <c r="I7733">
        <v>17</v>
      </c>
      <c r="J7733">
        <v>155</v>
      </c>
      <c r="K7733">
        <v>-64</v>
      </c>
      <c r="L7733">
        <v>1200</v>
      </c>
      <c r="M7733" t="str">
        <f t="shared" si="772"/>
        <v xml:space="preserve">N35DC   </v>
      </c>
      <c r="N7733">
        <v>1</v>
      </c>
      <c r="O7733">
        <v>1800</v>
      </c>
    </row>
    <row r="7734" spans="1:15" x14ac:dyDescent="0.25">
      <c r="A7734" t="str">
        <f>"10/21/2020 19:08:10.348"</f>
        <v>10/21/2020 19:08:10.348</v>
      </c>
      <c r="B7734" t="str">
        <f t="shared" si="773"/>
        <v>19:08:18.305</v>
      </c>
      <c r="C7734" t="str">
        <f t="shared" si="773"/>
        <v>19:08:18.305</v>
      </c>
      <c r="D7734" t="s">
        <v>3105</v>
      </c>
      <c r="E7734">
        <v>30.484915000000001</v>
      </c>
      <c r="F7734" t="s">
        <v>3106</v>
      </c>
      <c r="G7734">
        <v>-89.810658000000004</v>
      </c>
      <c r="H7734">
        <v>1700</v>
      </c>
      <c r="I7734">
        <v>17</v>
      </c>
      <c r="J7734">
        <v>155</v>
      </c>
      <c r="K7734">
        <v>-64</v>
      </c>
      <c r="L7734">
        <v>1200</v>
      </c>
      <c r="M7734" t="str">
        <f t="shared" si="772"/>
        <v xml:space="preserve">N35DC   </v>
      </c>
      <c r="N7734">
        <v>1</v>
      </c>
      <c r="O7734">
        <v>1800</v>
      </c>
    </row>
    <row r="7735" spans="1:15" x14ac:dyDescent="0.25">
      <c r="A7735" t="str">
        <f>"10/21/2020 19:08:11.509"</f>
        <v>10/21/2020 19:08:11.509</v>
      </c>
      <c r="B7735" t="str">
        <f>"19:08:19.477"</f>
        <v>19:08:19.477</v>
      </c>
      <c r="C7735" t="str">
        <f>"19:08:19.377"</f>
        <v>19:08:19.377</v>
      </c>
      <c r="D7735" t="s">
        <v>3107</v>
      </c>
      <c r="E7735">
        <v>30.485795</v>
      </c>
      <c r="F7735" t="s">
        <v>3108</v>
      </c>
      <c r="G7735">
        <v>-89.810550000000006</v>
      </c>
      <c r="H7735">
        <v>1600</v>
      </c>
      <c r="I7735">
        <v>15</v>
      </c>
      <c r="J7735">
        <v>155</v>
      </c>
      <c r="K7735">
        <v>-256</v>
      </c>
      <c r="L7735">
        <v>1200</v>
      </c>
      <c r="M7735" t="str">
        <f t="shared" si="772"/>
        <v xml:space="preserve">N35DC   </v>
      </c>
      <c r="N7735">
        <v>1</v>
      </c>
      <c r="O7735">
        <v>1700</v>
      </c>
    </row>
    <row r="7736" spans="1:15" x14ac:dyDescent="0.25">
      <c r="A7736" t="str">
        <f>"10/21/2020 19:08:11.509"</f>
        <v>10/21/2020 19:08:11.509</v>
      </c>
      <c r="B7736" t="str">
        <f>"19:08:19.477"</f>
        <v>19:08:19.477</v>
      </c>
      <c r="C7736" t="str">
        <f>"19:08:19.377"</f>
        <v>19:08:19.377</v>
      </c>
      <c r="D7736" t="s">
        <v>3107</v>
      </c>
      <c r="E7736">
        <v>30.485795</v>
      </c>
      <c r="F7736" t="s">
        <v>3108</v>
      </c>
      <c r="G7736">
        <v>-89.810550000000006</v>
      </c>
      <c r="H7736">
        <v>1600</v>
      </c>
      <c r="I7736">
        <v>15</v>
      </c>
      <c r="J7736">
        <v>155</v>
      </c>
      <c r="K7736">
        <v>-256</v>
      </c>
      <c r="L7736">
        <v>1200</v>
      </c>
      <c r="M7736" t="str">
        <f t="shared" si="772"/>
        <v xml:space="preserve">N35DC   </v>
      </c>
      <c r="N7736">
        <v>1</v>
      </c>
      <c r="O7736">
        <v>1700</v>
      </c>
    </row>
    <row r="7737" spans="1:15" x14ac:dyDescent="0.25">
      <c r="A7737" t="str">
        <f>"10/21/2020 19:08:11.509"</f>
        <v>10/21/2020 19:08:11.509</v>
      </c>
      <c r="B7737" t="str">
        <f>"19:08:19.477"</f>
        <v>19:08:19.477</v>
      </c>
      <c r="C7737" t="str">
        <f>"19:08:19.377"</f>
        <v>19:08:19.377</v>
      </c>
      <c r="D7737" t="s">
        <v>3107</v>
      </c>
      <c r="E7737">
        <v>30.485795</v>
      </c>
      <c r="F7737" t="s">
        <v>3108</v>
      </c>
      <c r="G7737">
        <v>-89.810550000000006</v>
      </c>
      <c r="H7737">
        <v>1600</v>
      </c>
      <c r="I7737">
        <v>15</v>
      </c>
      <c r="J7737">
        <v>155</v>
      </c>
      <c r="K7737">
        <v>-256</v>
      </c>
      <c r="L7737">
        <v>1200</v>
      </c>
      <c r="M7737" t="str">
        <f t="shared" si="772"/>
        <v xml:space="preserve">N35DC   </v>
      </c>
      <c r="N7737">
        <v>1</v>
      </c>
      <c r="O7737">
        <v>1700</v>
      </c>
    </row>
    <row r="7738" spans="1:15" x14ac:dyDescent="0.25">
      <c r="A7738" t="str">
        <f>"10/21/2020 19:08:11.509"</f>
        <v>10/21/2020 19:08:11.509</v>
      </c>
      <c r="B7738" t="str">
        <f>"19:08:19.477"</f>
        <v>19:08:19.477</v>
      </c>
      <c r="C7738" t="str">
        <f>"19:08:19.377"</f>
        <v>19:08:19.377</v>
      </c>
      <c r="D7738" t="s">
        <v>3107</v>
      </c>
      <c r="E7738">
        <v>30.485795</v>
      </c>
      <c r="F7738" t="s">
        <v>3108</v>
      </c>
      <c r="G7738">
        <v>-89.810550000000006</v>
      </c>
      <c r="H7738">
        <v>1600</v>
      </c>
      <c r="I7738">
        <v>15</v>
      </c>
      <c r="J7738">
        <v>155</v>
      </c>
      <c r="K7738">
        <v>-256</v>
      </c>
      <c r="L7738">
        <v>1200</v>
      </c>
      <c r="M7738" t="str">
        <f t="shared" si="772"/>
        <v xml:space="preserve">N35DC   </v>
      </c>
      <c r="N7738">
        <v>1</v>
      </c>
      <c r="O7738">
        <v>1700</v>
      </c>
    </row>
    <row r="7739" spans="1:15" x14ac:dyDescent="0.25">
      <c r="A7739" t="str">
        <f>"10/21/2020 19:08:11.509"</f>
        <v>10/21/2020 19:08:11.509</v>
      </c>
      <c r="B7739" t="str">
        <f>"19:08:19.477"</f>
        <v>19:08:19.477</v>
      </c>
      <c r="C7739" t="str">
        <f>"19:08:19.377"</f>
        <v>19:08:19.377</v>
      </c>
      <c r="D7739" t="s">
        <v>3107</v>
      </c>
      <c r="E7739">
        <v>30.485795</v>
      </c>
      <c r="F7739" t="s">
        <v>3108</v>
      </c>
      <c r="G7739">
        <v>-89.810550000000006</v>
      </c>
      <c r="H7739">
        <v>1600</v>
      </c>
      <c r="I7739">
        <v>15</v>
      </c>
      <c r="J7739">
        <v>155</v>
      </c>
      <c r="K7739">
        <v>-256</v>
      </c>
      <c r="L7739">
        <v>1200</v>
      </c>
      <c r="M7739" t="str">
        <f t="shared" si="772"/>
        <v xml:space="preserve">N35DC   </v>
      </c>
      <c r="N7739">
        <v>1</v>
      </c>
      <c r="O7739">
        <v>1700</v>
      </c>
    </row>
    <row r="7740" spans="1:15" x14ac:dyDescent="0.25">
      <c r="A7740" t="str">
        <f>"10/21/2020 19:08:14.273"</f>
        <v>10/21/2020 19:08:14.273</v>
      </c>
      <c r="B7740" t="str">
        <f>"19:08:22.219"</f>
        <v>19:08:22.219</v>
      </c>
      <c r="C7740" t="str">
        <f>"19:08:21.919"</f>
        <v>19:08:21.919</v>
      </c>
      <c r="D7740" t="s">
        <v>3109</v>
      </c>
      <c r="E7740">
        <v>30.487769</v>
      </c>
      <c r="F7740" t="s">
        <v>2840</v>
      </c>
      <c r="G7740">
        <v>-89.810378999999998</v>
      </c>
      <c r="H7740">
        <v>1600</v>
      </c>
      <c r="I7740">
        <v>11</v>
      </c>
      <c r="J7740">
        <v>156</v>
      </c>
      <c r="K7740">
        <v>-64</v>
      </c>
      <c r="L7740">
        <v>1200</v>
      </c>
      <c r="M7740" t="str">
        <f t="shared" si="772"/>
        <v xml:space="preserve">N35DC   </v>
      </c>
      <c r="N7740">
        <v>1</v>
      </c>
      <c r="O7740">
        <v>1700</v>
      </c>
    </row>
    <row r="7741" spans="1:15" x14ac:dyDescent="0.25">
      <c r="A7741" t="str">
        <f>"10/21/2020 19:08:14.273"</f>
        <v>10/21/2020 19:08:14.273</v>
      </c>
      <c r="B7741" t="str">
        <f>"19:08:22.219"</f>
        <v>19:08:22.219</v>
      </c>
      <c r="C7741" t="str">
        <f>"19:08:21.919"</f>
        <v>19:08:21.919</v>
      </c>
      <c r="D7741" t="s">
        <v>3109</v>
      </c>
      <c r="E7741">
        <v>30.487769</v>
      </c>
      <c r="F7741" t="s">
        <v>2840</v>
      </c>
      <c r="G7741">
        <v>-89.810378999999998</v>
      </c>
      <c r="H7741">
        <v>1600</v>
      </c>
      <c r="I7741">
        <v>11</v>
      </c>
      <c r="J7741">
        <v>156</v>
      </c>
      <c r="K7741">
        <v>-64</v>
      </c>
      <c r="L7741">
        <v>1200</v>
      </c>
      <c r="M7741" t="str">
        <f t="shared" si="772"/>
        <v xml:space="preserve">N35DC   </v>
      </c>
      <c r="N7741">
        <v>1</v>
      </c>
      <c r="O7741">
        <v>1700</v>
      </c>
    </row>
    <row r="7742" spans="1:15" x14ac:dyDescent="0.25">
      <c r="A7742" t="str">
        <f>"10/21/2020 19:08:14.273"</f>
        <v>10/21/2020 19:08:14.273</v>
      </c>
      <c r="B7742" t="str">
        <f>"19:08:22.219"</f>
        <v>19:08:22.219</v>
      </c>
      <c r="C7742" t="str">
        <f>"19:08:21.919"</f>
        <v>19:08:21.919</v>
      </c>
      <c r="D7742" t="s">
        <v>3109</v>
      </c>
      <c r="E7742">
        <v>30.487769</v>
      </c>
      <c r="F7742" t="s">
        <v>2840</v>
      </c>
      <c r="G7742">
        <v>-89.810378999999998</v>
      </c>
      <c r="H7742">
        <v>1600</v>
      </c>
      <c r="I7742">
        <v>11</v>
      </c>
      <c r="J7742">
        <v>156</v>
      </c>
      <c r="K7742">
        <v>-64</v>
      </c>
      <c r="L7742">
        <v>1200</v>
      </c>
      <c r="M7742" t="str">
        <f t="shared" si="772"/>
        <v xml:space="preserve">N35DC   </v>
      </c>
      <c r="N7742">
        <v>1</v>
      </c>
      <c r="O7742">
        <v>1700</v>
      </c>
    </row>
    <row r="7743" spans="1:15" x14ac:dyDescent="0.25">
      <c r="A7743" t="str">
        <f>"10/21/2020 19:08:14.273"</f>
        <v>10/21/2020 19:08:14.273</v>
      </c>
      <c r="B7743" t="str">
        <f>"19:08:22.219"</f>
        <v>19:08:22.219</v>
      </c>
      <c r="C7743" t="str">
        <f>"19:08:21.919"</f>
        <v>19:08:21.919</v>
      </c>
      <c r="D7743" t="s">
        <v>3109</v>
      </c>
      <c r="E7743">
        <v>30.487769</v>
      </c>
      <c r="F7743" t="s">
        <v>2840</v>
      </c>
      <c r="G7743">
        <v>-89.810378999999998</v>
      </c>
      <c r="H7743">
        <v>1600</v>
      </c>
      <c r="I7743">
        <v>11</v>
      </c>
      <c r="J7743">
        <v>156</v>
      </c>
      <c r="K7743">
        <v>-64</v>
      </c>
      <c r="L7743">
        <v>1200</v>
      </c>
      <c r="M7743" t="str">
        <f t="shared" si="772"/>
        <v xml:space="preserve">N35DC   </v>
      </c>
      <c r="N7743">
        <v>1</v>
      </c>
      <c r="O7743">
        <v>1700</v>
      </c>
    </row>
    <row r="7744" spans="1:15" x14ac:dyDescent="0.25">
      <c r="A7744" t="str">
        <f>"10/21/2020 19:08:14.273"</f>
        <v>10/21/2020 19:08:14.273</v>
      </c>
      <c r="B7744" t="str">
        <f>"19:08:22.219"</f>
        <v>19:08:22.219</v>
      </c>
      <c r="C7744" t="str">
        <f>"19:08:21.919"</f>
        <v>19:08:21.919</v>
      </c>
      <c r="D7744" t="s">
        <v>3109</v>
      </c>
      <c r="E7744">
        <v>30.487769</v>
      </c>
      <c r="F7744" t="s">
        <v>2840</v>
      </c>
      <c r="G7744">
        <v>-89.810378999999998</v>
      </c>
      <c r="H7744">
        <v>1600</v>
      </c>
      <c r="I7744">
        <v>11</v>
      </c>
      <c r="J7744">
        <v>156</v>
      </c>
      <c r="K7744">
        <v>-64</v>
      </c>
      <c r="L7744">
        <v>1200</v>
      </c>
      <c r="M7744" t="str">
        <f t="shared" si="772"/>
        <v xml:space="preserve">N35DC   </v>
      </c>
      <c r="N7744">
        <v>1</v>
      </c>
      <c r="O7744">
        <v>1700</v>
      </c>
    </row>
    <row r="7745" spans="1:15" x14ac:dyDescent="0.25">
      <c r="A7745" t="str">
        <f>"10/21/2020 19:08:17.317"</f>
        <v>10/21/2020 19:08:17.317</v>
      </c>
      <c r="B7745" t="str">
        <f>"19:08:25.281"</f>
        <v>19:08:25.281</v>
      </c>
      <c r="C7745" t="str">
        <f>"19:08:25.181"</f>
        <v>19:08:25.181</v>
      </c>
      <c r="D7745" t="s">
        <v>3110</v>
      </c>
      <c r="E7745">
        <v>30.49</v>
      </c>
      <c r="F7745" t="s">
        <v>3111</v>
      </c>
      <c r="G7745">
        <v>-89.810207000000005</v>
      </c>
      <c r="H7745">
        <v>1600</v>
      </c>
      <c r="I7745">
        <v>6</v>
      </c>
      <c r="J7745">
        <v>157</v>
      </c>
      <c r="K7745">
        <v>0</v>
      </c>
      <c r="L7745">
        <v>1200</v>
      </c>
      <c r="M7745" t="str">
        <f t="shared" si="772"/>
        <v xml:space="preserve">N35DC   </v>
      </c>
      <c r="N7745">
        <v>1</v>
      </c>
      <c r="O7745">
        <v>1675</v>
      </c>
    </row>
    <row r="7746" spans="1:15" x14ac:dyDescent="0.25">
      <c r="A7746" t="str">
        <f>"10/21/2020 19:08:17.317"</f>
        <v>10/21/2020 19:08:17.317</v>
      </c>
      <c r="B7746" t="str">
        <f>"19:08:25.281"</f>
        <v>19:08:25.281</v>
      </c>
      <c r="C7746" t="str">
        <f>"19:08:25.181"</f>
        <v>19:08:25.181</v>
      </c>
      <c r="D7746" t="s">
        <v>3110</v>
      </c>
      <c r="E7746">
        <v>30.49</v>
      </c>
      <c r="F7746" t="s">
        <v>3111</v>
      </c>
      <c r="G7746">
        <v>-89.810207000000005</v>
      </c>
      <c r="H7746">
        <v>1600</v>
      </c>
      <c r="I7746">
        <v>6</v>
      </c>
      <c r="J7746">
        <v>157</v>
      </c>
      <c r="K7746">
        <v>0</v>
      </c>
      <c r="L7746">
        <v>1200</v>
      </c>
      <c r="M7746" t="str">
        <f t="shared" si="772"/>
        <v xml:space="preserve">N35DC   </v>
      </c>
      <c r="N7746">
        <v>1</v>
      </c>
      <c r="O7746">
        <v>1675</v>
      </c>
    </row>
    <row r="7747" spans="1:15" x14ac:dyDescent="0.25">
      <c r="A7747" t="str">
        <f>"10/21/2020 19:08:17.317"</f>
        <v>10/21/2020 19:08:17.317</v>
      </c>
      <c r="B7747" t="str">
        <f>"19:08:25.281"</f>
        <v>19:08:25.281</v>
      </c>
      <c r="C7747" t="str">
        <f>"19:08:25.181"</f>
        <v>19:08:25.181</v>
      </c>
      <c r="D7747" t="s">
        <v>3110</v>
      </c>
      <c r="E7747">
        <v>30.49</v>
      </c>
      <c r="F7747" t="s">
        <v>3111</v>
      </c>
      <c r="G7747">
        <v>-89.810207000000005</v>
      </c>
      <c r="H7747">
        <v>1600</v>
      </c>
      <c r="I7747">
        <v>6</v>
      </c>
      <c r="J7747">
        <v>157</v>
      </c>
      <c r="K7747">
        <v>0</v>
      </c>
      <c r="L7747">
        <v>1200</v>
      </c>
      <c r="M7747" t="str">
        <f t="shared" si="772"/>
        <v xml:space="preserve">N35DC   </v>
      </c>
      <c r="N7747">
        <v>1</v>
      </c>
      <c r="O7747">
        <v>1675</v>
      </c>
    </row>
    <row r="7748" spans="1:15" x14ac:dyDescent="0.25">
      <c r="A7748" t="str">
        <f>"10/21/2020 19:08:17.317"</f>
        <v>10/21/2020 19:08:17.317</v>
      </c>
      <c r="B7748" t="str">
        <f>"19:08:25.281"</f>
        <v>19:08:25.281</v>
      </c>
      <c r="C7748" t="str">
        <f>"19:08:25.181"</f>
        <v>19:08:25.181</v>
      </c>
      <c r="D7748" t="s">
        <v>3110</v>
      </c>
      <c r="E7748">
        <v>30.49</v>
      </c>
      <c r="F7748" t="s">
        <v>3111</v>
      </c>
      <c r="G7748">
        <v>-89.810207000000005</v>
      </c>
      <c r="H7748">
        <v>1600</v>
      </c>
      <c r="I7748">
        <v>6</v>
      </c>
      <c r="J7748">
        <v>157</v>
      </c>
      <c r="K7748">
        <v>0</v>
      </c>
      <c r="L7748">
        <v>1200</v>
      </c>
      <c r="M7748" t="str">
        <f t="shared" si="772"/>
        <v xml:space="preserve">N35DC   </v>
      </c>
      <c r="N7748">
        <v>1</v>
      </c>
      <c r="O7748">
        <v>1675</v>
      </c>
    </row>
    <row r="7749" spans="1:15" x14ac:dyDescent="0.25">
      <c r="A7749" t="str">
        <f>"10/21/2020 19:08:17.317"</f>
        <v>10/21/2020 19:08:17.317</v>
      </c>
      <c r="B7749" t="str">
        <f>"19:08:25.281"</f>
        <v>19:08:25.281</v>
      </c>
      <c r="C7749" t="str">
        <f>"19:08:25.181"</f>
        <v>19:08:25.181</v>
      </c>
      <c r="D7749" t="s">
        <v>3110</v>
      </c>
      <c r="E7749">
        <v>30.49</v>
      </c>
      <c r="F7749" t="s">
        <v>3111</v>
      </c>
      <c r="G7749">
        <v>-89.810207000000005</v>
      </c>
      <c r="H7749">
        <v>1600</v>
      </c>
      <c r="I7749">
        <v>6</v>
      </c>
      <c r="J7749">
        <v>157</v>
      </c>
      <c r="K7749">
        <v>0</v>
      </c>
      <c r="L7749">
        <v>1200</v>
      </c>
      <c r="M7749" t="str">
        <f t="shared" si="772"/>
        <v xml:space="preserve">N35DC   </v>
      </c>
      <c r="N7749">
        <v>1</v>
      </c>
      <c r="O7749">
        <v>1675</v>
      </c>
    </row>
    <row r="7750" spans="1:15" x14ac:dyDescent="0.25">
      <c r="A7750" t="str">
        <f>"10/21/2020 19:08:18.393"</f>
        <v>10/21/2020 19:08:18.393</v>
      </c>
      <c r="B7750" t="str">
        <f t="shared" ref="B7750:C7754" si="774">"19:08:26.344"</f>
        <v>19:08:26.344</v>
      </c>
      <c r="C7750" t="str">
        <f t="shared" si="774"/>
        <v>19:08:26.344</v>
      </c>
      <c r="D7750" t="s">
        <v>3112</v>
      </c>
      <c r="E7750">
        <v>30.490794000000001</v>
      </c>
      <c r="F7750" t="s">
        <v>3111</v>
      </c>
      <c r="G7750">
        <v>-89.810207000000005</v>
      </c>
      <c r="H7750">
        <v>1600</v>
      </c>
      <c r="I7750">
        <v>5</v>
      </c>
      <c r="J7750">
        <v>157</v>
      </c>
      <c r="K7750">
        <v>64</v>
      </c>
      <c r="L7750">
        <v>1200</v>
      </c>
      <c r="M7750" t="str">
        <f t="shared" si="772"/>
        <v xml:space="preserve">N35DC   </v>
      </c>
      <c r="N7750">
        <v>1</v>
      </c>
      <c r="O7750">
        <v>1700</v>
      </c>
    </row>
    <row r="7751" spans="1:15" x14ac:dyDescent="0.25">
      <c r="A7751" t="str">
        <f>"10/21/2020 19:08:18.393"</f>
        <v>10/21/2020 19:08:18.393</v>
      </c>
      <c r="B7751" t="str">
        <f t="shared" si="774"/>
        <v>19:08:26.344</v>
      </c>
      <c r="C7751" t="str">
        <f t="shared" si="774"/>
        <v>19:08:26.344</v>
      </c>
      <c r="D7751" t="s">
        <v>3112</v>
      </c>
      <c r="E7751">
        <v>30.490794000000001</v>
      </c>
      <c r="F7751" t="s">
        <v>3111</v>
      </c>
      <c r="G7751">
        <v>-89.810207000000005</v>
      </c>
      <c r="H7751">
        <v>1600</v>
      </c>
      <c r="I7751">
        <v>5</v>
      </c>
      <c r="J7751">
        <v>157</v>
      </c>
      <c r="K7751">
        <v>64</v>
      </c>
      <c r="L7751">
        <v>1200</v>
      </c>
      <c r="M7751" t="str">
        <f t="shared" ref="M7751:M7814" si="775">"N35DC   "</f>
        <v xml:space="preserve">N35DC   </v>
      </c>
      <c r="N7751">
        <v>1</v>
      </c>
      <c r="O7751">
        <v>1700</v>
      </c>
    </row>
    <row r="7752" spans="1:15" x14ac:dyDescent="0.25">
      <c r="A7752" t="str">
        <f>"10/21/2020 19:08:18.393"</f>
        <v>10/21/2020 19:08:18.393</v>
      </c>
      <c r="B7752" t="str">
        <f t="shared" si="774"/>
        <v>19:08:26.344</v>
      </c>
      <c r="C7752" t="str">
        <f t="shared" si="774"/>
        <v>19:08:26.344</v>
      </c>
      <c r="D7752" t="s">
        <v>3112</v>
      </c>
      <c r="E7752">
        <v>30.490794000000001</v>
      </c>
      <c r="F7752" t="s">
        <v>3111</v>
      </c>
      <c r="G7752">
        <v>-89.810207000000005</v>
      </c>
      <c r="H7752">
        <v>1600</v>
      </c>
      <c r="I7752">
        <v>5</v>
      </c>
      <c r="J7752">
        <v>157</v>
      </c>
      <c r="K7752">
        <v>64</v>
      </c>
      <c r="L7752">
        <v>1200</v>
      </c>
      <c r="M7752" t="str">
        <f t="shared" si="775"/>
        <v xml:space="preserve">N35DC   </v>
      </c>
      <c r="N7752">
        <v>1</v>
      </c>
      <c r="O7752">
        <v>1700</v>
      </c>
    </row>
    <row r="7753" spans="1:15" x14ac:dyDescent="0.25">
      <c r="A7753" t="str">
        <f>"10/21/2020 19:08:18.393"</f>
        <v>10/21/2020 19:08:18.393</v>
      </c>
      <c r="B7753" t="str">
        <f t="shared" si="774"/>
        <v>19:08:26.344</v>
      </c>
      <c r="C7753" t="str">
        <f t="shared" si="774"/>
        <v>19:08:26.344</v>
      </c>
      <c r="D7753" t="s">
        <v>3112</v>
      </c>
      <c r="E7753">
        <v>30.490794000000001</v>
      </c>
      <c r="F7753" t="s">
        <v>3111</v>
      </c>
      <c r="G7753">
        <v>-89.810207000000005</v>
      </c>
      <c r="H7753">
        <v>1600</v>
      </c>
      <c r="I7753">
        <v>5</v>
      </c>
      <c r="J7753">
        <v>157</v>
      </c>
      <c r="K7753">
        <v>64</v>
      </c>
      <c r="L7753">
        <v>1200</v>
      </c>
      <c r="M7753" t="str">
        <f t="shared" si="775"/>
        <v xml:space="preserve">N35DC   </v>
      </c>
      <c r="N7753">
        <v>1</v>
      </c>
      <c r="O7753">
        <v>1700</v>
      </c>
    </row>
    <row r="7754" spans="1:15" x14ac:dyDescent="0.25">
      <c r="A7754" t="str">
        <f>"10/21/2020 19:08:18.393"</f>
        <v>10/21/2020 19:08:18.393</v>
      </c>
      <c r="B7754" t="str">
        <f t="shared" si="774"/>
        <v>19:08:26.344</v>
      </c>
      <c r="C7754" t="str">
        <f t="shared" si="774"/>
        <v>19:08:26.344</v>
      </c>
      <c r="D7754" t="s">
        <v>3112</v>
      </c>
      <c r="E7754">
        <v>30.490794000000001</v>
      </c>
      <c r="F7754" t="s">
        <v>3111</v>
      </c>
      <c r="G7754">
        <v>-89.810207000000005</v>
      </c>
      <c r="H7754">
        <v>1600</v>
      </c>
      <c r="I7754">
        <v>5</v>
      </c>
      <c r="J7754">
        <v>157</v>
      </c>
      <c r="K7754">
        <v>64</v>
      </c>
      <c r="L7754">
        <v>1200</v>
      </c>
      <c r="M7754" t="str">
        <f t="shared" si="775"/>
        <v xml:space="preserve">N35DC   </v>
      </c>
      <c r="N7754">
        <v>1</v>
      </c>
      <c r="O7754">
        <v>1700</v>
      </c>
    </row>
    <row r="7755" spans="1:15" x14ac:dyDescent="0.25">
      <c r="A7755" t="str">
        <f>"10/21/2020 19:08:21.409"</f>
        <v>10/21/2020 19:08:21.409</v>
      </c>
      <c r="B7755" t="str">
        <f>"19:08:29.359"</f>
        <v>19:08:29.359</v>
      </c>
      <c r="C7755" t="str">
        <f>"19:08:28.959"</f>
        <v>19:08:28.959</v>
      </c>
      <c r="D7755" t="s">
        <v>3113</v>
      </c>
      <c r="E7755">
        <v>30.492961000000001</v>
      </c>
      <c r="F7755" t="s">
        <v>3114</v>
      </c>
      <c r="G7755">
        <v>-89.810164</v>
      </c>
      <c r="H7755">
        <v>1600</v>
      </c>
      <c r="I7755">
        <v>4</v>
      </c>
      <c r="J7755">
        <v>156</v>
      </c>
      <c r="K7755">
        <v>128</v>
      </c>
      <c r="L7755">
        <v>1200</v>
      </c>
      <c r="M7755" t="str">
        <f t="shared" si="775"/>
        <v xml:space="preserve">N35DC   </v>
      </c>
      <c r="N7755">
        <v>1</v>
      </c>
      <c r="O7755">
        <v>1700</v>
      </c>
    </row>
    <row r="7756" spans="1:15" x14ac:dyDescent="0.25">
      <c r="A7756" t="str">
        <f>"10/21/2020 19:08:21.409"</f>
        <v>10/21/2020 19:08:21.409</v>
      </c>
      <c r="B7756" t="str">
        <f>"19:08:29.359"</f>
        <v>19:08:29.359</v>
      </c>
      <c r="C7756" t="str">
        <f>"19:08:28.959"</f>
        <v>19:08:28.959</v>
      </c>
      <c r="D7756" t="s">
        <v>3113</v>
      </c>
      <c r="E7756">
        <v>30.492961000000001</v>
      </c>
      <c r="F7756" t="s">
        <v>3114</v>
      </c>
      <c r="G7756">
        <v>-89.810164</v>
      </c>
      <c r="H7756">
        <v>1600</v>
      </c>
      <c r="I7756">
        <v>4</v>
      </c>
      <c r="J7756">
        <v>156</v>
      </c>
      <c r="K7756">
        <v>128</v>
      </c>
      <c r="L7756">
        <v>1200</v>
      </c>
      <c r="M7756" t="str">
        <f t="shared" si="775"/>
        <v xml:space="preserve">N35DC   </v>
      </c>
      <c r="N7756">
        <v>1</v>
      </c>
      <c r="O7756">
        <v>1700</v>
      </c>
    </row>
    <row r="7757" spans="1:15" x14ac:dyDescent="0.25">
      <c r="A7757" t="str">
        <f>"10/21/2020 19:08:21.409"</f>
        <v>10/21/2020 19:08:21.409</v>
      </c>
      <c r="B7757" t="str">
        <f>"19:08:29.359"</f>
        <v>19:08:29.359</v>
      </c>
      <c r="C7757" t="str">
        <f>"19:08:28.959"</f>
        <v>19:08:28.959</v>
      </c>
      <c r="D7757" t="s">
        <v>3113</v>
      </c>
      <c r="E7757">
        <v>30.492961000000001</v>
      </c>
      <c r="F7757" t="s">
        <v>3114</v>
      </c>
      <c r="G7757">
        <v>-89.810164</v>
      </c>
      <c r="H7757">
        <v>1600</v>
      </c>
      <c r="I7757">
        <v>4</v>
      </c>
      <c r="J7757">
        <v>156</v>
      </c>
      <c r="K7757">
        <v>128</v>
      </c>
      <c r="L7757">
        <v>1200</v>
      </c>
      <c r="M7757" t="str">
        <f t="shared" si="775"/>
        <v xml:space="preserve">N35DC   </v>
      </c>
      <c r="N7757">
        <v>1</v>
      </c>
      <c r="O7757">
        <v>1700</v>
      </c>
    </row>
    <row r="7758" spans="1:15" x14ac:dyDescent="0.25">
      <c r="A7758" t="str">
        <f>"10/21/2020 19:08:21.409"</f>
        <v>10/21/2020 19:08:21.409</v>
      </c>
      <c r="B7758" t="str">
        <f>"19:08:29.359"</f>
        <v>19:08:29.359</v>
      </c>
      <c r="C7758" t="str">
        <f>"19:08:28.959"</f>
        <v>19:08:28.959</v>
      </c>
      <c r="D7758" t="s">
        <v>3113</v>
      </c>
      <c r="E7758">
        <v>30.492961000000001</v>
      </c>
      <c r="F7758" t="s">
        <v>3114</v>
      </c>
      <c r="G7758">
        <v>-89.810164</v>
      </c>
      <c r="H7758">
        <v>1600</v>
      </c>
      <c r="I7758">
        <v>4</v>
      </c>
      <c r="J7758">
        <v>156</v>
      </c>
      <c r="K7758">
        <v>128</v>
      </c>
      <c r="L7758">
        <v>1200</v>
      </c>
      <c r="M7758" t="str">
        <f t="shared" si="775"/>
        <v xml:space="preserve">N35DC   </v>
      </c>
      <c r="N7758">
        <v>1</v>
      </c>
      <c r="O7758">
        <v>1700</v>
      </c>
    </row>
    <row r="7759" spans="1:15" x14ac:dyDescent="0.25">
      <c r="A7759" t="str">
        <f>"10/21/2020 19:08:21.409"</f>
        <v>10/21/2020 19:08:21.409</v>
      </c>
      <c r="B7759" t="str">
        <f>"19:08:29.359"</f>
        <v>19:08:29.359</v>
      </c>
      <c r="C7759" t="str">
        <f>"19:08:28.959"</f>
        <v>19:08:28.959</v>
      </c>
      <c r="D7759" t="s">
        <v>3113</v>
      </c>
      <c r="E7759">
        <v>30.492961000000001</v>
      </c>
      <c r="F7759" t="s">
        <v>3114</v>
      </c>
      <c r="G7759">
        <v>-89.810164</v>
      </c>
      <c r="H7759">
        <v>1600</v>
      </c>
      <c r="I7759">
        <v>4</v>
      </c>
      <c r="J7759">
        <v>156</v>
      </c>
      <c r="K7759">
        <v>128</v>
      </c>
      <c r="L7759">
        <v>1200</v>
      </c>
      <c r="M7759" t="str">
        <f t="shared" si="775"/>
        <v xml:space="preserve">N35DC   </v>
      </c>
      <c r="N7759">
        <v>1</v>
      </c>
      <c r="O7759">
        <v>1700</v>
      </c>
    </row>
    <row r="7760" spans="1:15" x14ac:dyDescent="0.25">
      <c r="A7760" t="str">
        <f>"10/21/2020 19:08:22.316"</f>
        <v>10/21/2020 19:08:22.316</v>
      </c>
      <c r="B7760" t="str">
        <f>"19:08:30.242"</f>
        <v>19:08:30.242</v>
      </c>
      <c r="C7760" t="str">
        <f>"19:08:29.942"</f>
        <v>19:08:29.942</v>
      </c>
      <c r="D7760" t="s">
        <v>3115</v>
      </c>
      <c r="E7760">
        <v>30.493627</v>
      </c>
      <c r="F7760" t="s">
        <v>3055</v>
      </c>
      <c r="G7760">
        <v>-89.810100000000006</v>
      </c>
      <c r="H7760">
        <v>1600</v>
      </c>
      <c r="I7760">
        <v>4</v>
      </c>
      <c r="J7760">
        <v>156</v>
      </c>
      <c r="K7760">
        <v>128</v>
      </c>
      <c r="L7760">
        <v>1200</v>
      </c>
      <c r="M7760" t="str">
        <f t="shared" si="775"/>
        <v xml:space="preserve">N35DC   </v>
      </c>
      <c r="N7760">
        <v>1</v>
      </c>
      <c r="O7760">
        <v>1700</v>
      </c>
    </row>
    <row r="7761" spans="1:15" x14ac:dyDescent="0.25">
      <c r="A7761" t="str">
        <f>"10/21/2020 19:08:22.316"</f>
        <v>10/21/2020 19:08:22.316</v>
      </c>
      <c r="B7761" t="str">
        <f>"19:08:30.242"</f>
        <v>19:08:30.242</v>
      </c>
      <c r="C7761" t="str">
        <f>"19:08:29.942"</f>
        <v>19:08:29.942</v>
      </c>
      <c r="D7761" t="s">
        <v>3115</v>
      </c>
      <c r="E7761">
        <v>30.493627</v>
      </c>
      <c r="F7761" t="s">
        <v>3055</v>
      </c>
      <c r="G7761">
        <v>-89.810100000000006</v>
      </c>
      <c r="H7761">
        <v>1600</v>
      </c>
      <c r="I7761">
        <v>4</v>
      </c>
      <c r="J7761">
        <v>156</v>
      </c>
      <c r="K7761">
        <v>128</v>
      </c>
      <c r="L7761">
        <v>1200</v>
      </c>
      <c r="M7761" t="str">
        <f t="shared" si="775"/>
        <v xml:space="preserve">N35DC   </v>
      </c>
      <c r="N7761">
        <v>1</v>
      </c>
      <c r="O7761">
        <v>1700</v>
      </c>
    </row>
    <row r="7762" spans="1:15" x14ac:dyDescent="0.25">
      <c r="A7762" t="str">
        <f>"10/21/2020 19:08:22.316"</f>
        <v>10/21/2020 19:08:22.316</v>
      </c>
      <c r="B7762" t="str">
        <f>"19:08:30.242"</f>
        <v>19:08:30.242</v>
      </c>
      <c r="C7762" t="str">
        <f>"19:08:29.942"</f>
        <v>19:08:29.942</v>
      </c>
      <c r="D7762" t="s">
        <v>3115</v>
      </c>
      <c r="E7762">
        <v>30.493627</v>
      </c>
      <c r="F7762" t="s">
        <v>3055</v>
      </c>
      <c r="G7762">
        <v>-89.810100000000006</v>
      </c>
      <c r="H7762">
        <v>1600</v>
      </c>
      <c r="I7762">
        <v>4</v>
      </c>
      <c r="J7762">
        <v>156</v>
      </c>
      <c r="K7762">
        <v>128</v>
      </c>
      <c r="L7762">
        <v>1200</v>
      </c>
      <c r="M7762" t="str">
        <f t="shared" si="775"/>
        <v xml:space="preserve">N35DC   </v>
      </c>
      <c r="N7762">
        <v>1</v>
      </c>
      <c r="O7762">
        <v>1700</v>
      </c>
    </row>
    <row r="7763" spans="1:15" x14ac:dyDescent="0.25">
      <c r="A7763" t="str">
        <f>"10/21/2020 19:08:22.316"</f>
        <v>10/21/2020 19:08:22.316</v>
      </c>
      <c r="B7763" t="str">
        <f>"19:08:30.242"</f>
        <v>19:08:30.242</v>
      </c>
      <c r="C7763" t="str">
        <f>"19:08:29.942"</f>
        <v>19:08:29.942</v>
      </c>
      <c r="D7763" t="s">
        <v>3115</v>
      </c>
      <c r="E7763">
        <v>30.493627</v>
      </c>
      <c r="F7763" t="s">
        <v>3055</v>
      </c>
      <c r="G7763">
        <v>-89.810100000000006</v>
      </c>
      <c r="H7763">
        <v>1600</v>
      </c>
      <c r="I7763">
        <v>4</v>
      </c>
      <c r="J7763">
        <v>156</v>
      </c>
      <c r="K7763">
        <v>128</v>
      </c>
      <c r="L7763">
        <v>1200</v>
      </c>
      <c r="M7763" t="str">
        <f t="shared" si="775"/>
        <v xml:space="preserve">N35DC   </v>
      </c>
      <c r="N7763">
        <v>1</v>
      </c>
      <c r="O7763">
        <v>1700</v>
      </c>
    </row>
    <row r="7764" spans="1:15" x14ac:dyDescent="0.25">
      <c r="A7764" t="str">
        <f>"10/21/2020 19:08:22.316"</f>
        <v>10/21/2020 19:08:22.316</v>
      </c>
      <c r="B7764" t="str">
        <f>"19:08:30.242"</f>
        <v>19:08:30.242</v>
      </c>
      <c r="C7764" t="str">
        <f>"19:08:29.942"</f>
        <v>19:08:29.942</v>
      </c>
      <c r="D7764" t="s">
        <v>3115</v>
      </c>
      <c r="E7764">
        <v>30.493627</v>
      </c>
      <c r="F7764" t="s">
        <v>3055</v>
      </c>
      <c r="G7764">
        <v>-89.810100000000006</v>
      </c>
      <c r="H7764">
        <v>1600</v>
      </c>
      <c r="I7764">
        <v>4</v>
      </c>
      <c r="J7764">
        <v>156</v>
      </c>
      <c r="K7764">
        <v>128</v>
      </c>
      <c r="L7764">
        <v>1200</v>
      </c>
      <c r="M7764" t="str">
        <f t="shared" si="775"/>
        <v xml:space="preserve">N35DC   </v>
      </c>
      <c r="N7764">
        <v>1</v>
      </c>
      <c r="O7764">
        <v>1700</v>
      </c>
    </row>
    <row r="7765" spans="1:15" x14ac:dyDescent="0.25">
      <c r="A7765" t="str">
        <f>"10/21/2020 19:08:25.095"</f>
        <v>10/21/2020 19:08:25.095</v>
      </c>
      <c r="B7765" t="str">
        <f>"19:08:33.047"</f>
        <v>19:08:33.047</v>
      </c>
      <c r="C7765" t="str">
        <f>"19:08:32.847"</f>
        <v>19:08:32.847</v>
      </c>
      <c r="D7765" t="s">
        <v>3116</v>
      </c>
      <c r="E7765">
        <v>30.495622000000001</v>
      </c>
      <c r="F7765" t="s">
        <v>3055</v>
      </c>
      <c r="G7765">
        <v>-89.810100000000006</v>
      </c>
      <c r="H7765">
        <v>1700</v>
      </c>
      <c r="I7765">
        <v>1</v>
      </c>
      <c r="J7765">
        <v>155</v>
      </c>
      <c r="K7765">
        <v>128</v>
      </c>
      <c r="L7765">
        <v>1200</v>
      </c>
      <c r="M7765" t="str">
        <f t="shared" si="775"/>
        <v xml:space="preserve">N35DC   </v>
      </c>
      <c r="N7765">
        <v>1</v>
      </c>
      <c r="O7765">
        <v>1700</v>
      </c>
    </row>
    <row r="7766" spans="1:15" x14ac:dyDescent="0.25">
      <c r="A7766" t="str">
        <f>"10/21/2020 19:08:25.095"</f>
        <v>10/21/2020 19:08:25.095</v>
      </c>
      <c r="B7766" t="str">
        <f>"19:08:33.047"</f>
        <v>19:08:33.047</v>
      </c>
      <c r="C7766" t="str">
        <f>"19:08:32.847"</f>
        <v>19:08:32.847</v>
      </c>
      <c r="D7766" t="s">
        <v>3116</v>
      </c>
      <c r="E7766">
        <v>30.495622000000001</v>
      </c>
      <c r="F7766" t="s">
        <v>3055</v>
      </c>
      <c r="G7766">
        <v>-89.810100000000006</v>
      </c>
      <c r="H7766">
        <v>1700</v>
      </c>
      <c r="I7766">
        <v>1</v>
      </c>
      <c r="J7766">
        <v>155</v>
      </c>
      <c r="K7766">
        <v>128</v>
      </c>
      <c r="L7766">
        <v>1200</v>
      </c>
      <c r="M7766" t="str">
        <f t="shared" si="775"/>
        <v xml:space="preserve">N35DC   </v>
      </c>
      <c r="N7766">
        <v>1</v>
      </c>
      <c r="O7766">
        <v>1700</v>
      </c>
    </row>
    <row r="7767" spans="1:15" x14ac:dyDescent="0.25">
      <c r="A7767" t="str">
        <f>"10/21/2020 19:08:25.095"</f>
        <v>10/21/2020 19:08:25.095</v>
      </c>
      <c r="B7767" t="str">
        <f>"19:08:33.047"</f>
        <v>19:08:33.047</v>
      </c>
      <c r="C7767" t="str">
        <f>"19:08:32.847"</f>
        <v>19:08:32.847</v>
      </c>
      <c r="D7767" t="s">
        <v>3116</v>
      </c>
      <c r="E7767">
        <v>30.495622000000001</v>
      </c>
      <c r="F7767" t="s">
        <v>3055</v>
      </c>
      <c r="G7767">
        <v>-89.810100000000006</v>
      </c>
      <c r="H7767">
        <v>1700</v>
      </c>
      <c r="I7767">
        <v>1</v>
      </c>
      <c r="J7767">
        <v>155</v>
      </c>
      <c r="K7767">
        <v>128</v>
      </c>
      <c r="L7767">
        <v>1200</v>
      </c>
      <c r="M7767" t="str">
        <f t="shared" si="775"/>
        <v xml:space="preserve">N35DC   </v>
      </c>
      <c r="N7767">
        <v>1</v>
      </c>
      <c r="O7767">
        <v>1700</v>
      </c>
    </row>
    <row r="7768" spans="1:15" x14ac:dyDescent="0.25">
      <c r="A7768" t="str">
        <f>"10/21/2020 19:08:25.095"</f>
        <v>10/21/2020 19:08:25.095</v>
      </c>
      <c r="B7768" t="str">
        <f>"19:08:33.047"</f>
        <v>19:08:33.047</v>
      </c>
      <c r="C7768" t="str">
        <f>"19:08:32.847"</f>
        <v>19:08:32.847</v>
      </c>
      <c r="D7768" t="s">
        <v>3116</v>
      </c>
      <c r="E7768">
        <v>30.495622000000001</v>
      </c>
      <c r="F7768" t="s">
        <v>3055</v>
      </c>
      <c r="G7768">
        <v>-89.810100000000006</v>
      </c>
      <c r="H7768">
        <v>1700</v>
      </c>
      <c r="I7768">
        <v>1</v>
      </c>
      <c r="J7768">
        <v>155</v>
      </c>
      <c r="K7768">
        <v>128</v>
      </c>
      <c r="L7768">
        <v>1200</v>
      </c>
      <c r="M7768" t="str">
        <f t="shared" si="775"/>
        <v xml:space="preserve">N35DC   </v>
      </c>
      <c r="N7768">
        <v>1</v>
      </c>
      <c r="O7768">
        <v>1700</v>
      </c>
    </row>
    <row r="7769" spans="1:15" x14ac:dyDescent="0.25">
      <c r="A7769" t="str">
        <f>"10/21/2020 19:08:25.095"</f>
        <v>10/21/2020 19:08:25.095</v>
      </c>
      <c r="B7769" t="str">
        <f>"19:08:33.047"</f>
        <v>19:08:33.047</v>
      </c>
      <c r="C7769" t="str">
        <f>"19:08:32.847"</f>
        <v>19:08:32.847</v>
      </c>
      <c r="D7769" t="s">
        <v>3116</v>
      </c>
      <c r="E7769">
        <v>30.495622000000001</v>
      </c>
      <c r="F7769" t="s">
        <v>3055</v>
      </c>
      <c r="G7769">
        <v>-89.810100000000006</v>
      </c>
      <c r="H7769">
        <v>1700</v>
      </c>
      <c r="I7769">
        <v>1</v>
      </c>
      <c r="J7769">
        <v>155</v>
      </c>
      <c r="K7769">
        <v>128</v>
      </c>
      <c r="L7769">
        <v>1200</v>
      </c>
      <c r="M7769" t="str">
        <f t="shared" si="775"/>
        <v xml:space="preserve">N35DC   </v>
      </c>
      <c r="N7769">
        <v>1</v>
      </c>
      <c r="O7769">
        <v>1700</v>
      </c>
    </row>
    <row r="7770" spans="1:15" x14ac:dyDescent="0.25">
      <c r="A7770" t="str">
        <f>"10/21/2020 19:08:28.478"</f>
        <v>10/21/2020 19:08:28.478</v>
      </c>
      <c r="B7770" t="str">
        <f>"19:08:36.422"</f>
        <v>19:08:36.422</v>
      </c>
      <c r="C7770" t="str">
        <f>"19:08:36.022"</f>
        <v>19:08:36.022</v>
      </c>
      <c r="D7770" t="s">
        <v>3117</v>
      </c>
      <c r="E7770">
        <v>30.498047</v>
      </c>
      <c r="F7770" t="s">
        <v>3055</v>
      </c>
      <c r="G7770">
        <v>-89.810100000000006</v>
      </c>
      <c r="H7770">
        <v>1600</v>
      </c>
      <c r="I7770">
        <v>-3</v>
      </c>
      <c r="J7770">
        <v>155</v>
      </c>
      <c r="K7770">
        <v>-64</v>
      </c>
      <c r="L7770">
        <v>1200</v>
      </c>
      <c r="M7770" t="str">
        <f t="shared" si="775"/>
        <v xml:space="preserve">N35DC   </v>
      </c>
      <c r="N7770">
        <v>1</v>
      </c>
      <c r="O7770">
        <v>1700</v>
      </c>
    </row>
    <row r="7771" spans="1:15" x14ac:dyDescent="0.25">
      <c r="A7771" t="str">
        <f>"10/21/2020 19:08:28.478"</f>
        <v>10/21/2020 19:08:28.478</v>
      </c>
      <c r="B7771" t="str">
        <f>"19:08:36.422"</f>
        <v>19:08:36.422</v>
      </c>
      <c r="C7771" t="str">
        <f>"19:08:36.022"</f>
        <v>19:08:36.022</v>
      </c>
      <c r="D7771" t="s">
        <v>3117</v>
      </c>
      <c r="E7771">
        <v>30.498047</v>
      </c>
      <c r="F7771" t="s">
        <v>3055</v>
      </c>
      <c r="G7771">
        <v>-89.810100000000006</v>
      </c>
      <c r="H7771">
        <v>1600</v>
      </c>
      <c r="I7771">
        <v>-3</v>
      </c>
      <c r="J7771">
        <v>155</v>
      </c>
      <c r="K7771">
        <v>-64</v>
      </c>
      <c r="L7771">
        <v>1200</v>
      </c>
      <c r="M7771" t="str">
        <f t="shared" si="775"/>
        <v xml:space="preserve">N35DC   </v>
      </c>
      <c r="N7771">
        <v>1</v>
      </c>
      <c r="O7771">
        <v>1700</v>
      </c>
    </row>
    <row r="7772" spans="1:15" x14ac:dyDescent="0.25">
      <c r="A7772" t="str">
        <f>"10/21/2020 19:08:28.478"</f>
        <v>10/21/2020 19:08:28.478</v>
      </c>
      <c r="B7772" t="str">
        <f>"19:08:36.422"</f>
        <v>19:08:36.422</v>
      </c>
      <c r="C7772" t="str">
        <f>"19:08:36.022"</f>
        <v>19:08:36.022</v>
      </c>
      <c r="D7772" t="s">
        <v>3117</v>
      </c>
      <c r="E7772">
        <v>30.498047</v>
      </c>
      <c r="F7772" t="s">
        <v>3055</v>
      </c>
      <c r="G7772">
        <v>-89.810100000000006</v>
      </c>
      <c r="H7772">
        <v>1600</v>
      </c>
      <c r="I7772">
        <v>-3</v>
      </c>
      <c r="J7772">
        <v>155</v>
      </c>
      <c r="K7772">
        <v>-64</v>
      </c>
      <c r="L7772">
        <v>1200</v>
      </c>
      <c r="M7772" t="str">
        <f t="shared" si="775"/>
        <v xml:space="preserve">N35DC   </v>
      </c>
      <c r="N7772">
        <v>1</v>
      </c>
      <c r="O7772">
        <v>1700</v>
      </c>
    </row>
    <row r="7773" spans="1:15" x14ac:dyDescent="0.25">
      <c r="A7773" t="str">
        <f>"10/21/2020 19:08:28.478"</f>
        <v>10/21/2020 19:08:28.478</v>
      </c>
      <c r="B7773" t="str">
        <f>"19:08:36.422"</f>
        <v>19:08:36.422</v>
      </c>
      <c r="C7773" t="str">
        <f>"19:08:36.022"</f>
        <v>19:08:36.022</v>
      </c>
      <c r="D7773" t="s">
        <v>3117</v>
      </c>
      <c r="E7773">
        <v>30.498047</v>
      </c>
      <c r="F7773" t="s">
        <v>3055</v>
      </c>
      <c r="G7773">
        <v>-89.810100000000006</v>
      </c>
      <c r="H7773">
        <v>1600</v>
      </c>
      <c r="I7773">
        <v>-3</v>
      </c>
      <c r="J7773">
        <v>155</v>
      </c>
      <c r="K7773">
        <v>-64</v>
      </c>
      <c r="L7773">
        <v>1200</v>
      </c>
      <c r="M7773" t="str">
        <f t="shared" si="775"/>
        <v xml:space="preserve">N35DC   </v>
      </c>
      <c r="N7773">
        <v>1</v>
      </c>
      <c r="O7773">
        <v>1700</v>
      </c>
    </row>
    <row r="7774" spans="1:15" x14ac:dyDescent="0.25">
      <c r="A7774" t="str">
        <f>"10/21/2020 19:08:28.478"</f>
        <v>10/21/2020 19:08:28.478</v>
      </c>
      <c r="B7774" t="str">
        <f>"19:08:36.422"</f>
        <v>19:08:36.422</v>
      </c>
      <c r="C7774" t="str">
        <f>"19:08:36.022"</f>
        <v>19:08:36.022</v>
      </c>
      <c r="D7774" t="s">
        <v>3117</v>
      </c>
      <c r="E7774">
        <v>30.498047</v>
      </c>
      <c r="F7774" t="s">
        <v>3055</v>
      </c>
      <c r="G7774">
        <v>-89.810100000000006</v>
      </c>
      <c r="H7774">
        <v>1600</v>
      </c>
      <c r="I7774">
        <v>-3</v>
      </c>
      <c r="J7774">
        <v>155</v>
      </c>
      <c r="K7774">
        <v>-64</v>
      </c>
      <c r="L7774">
        <v>1200</v>
      </c>
      <c r="M7774" t="str">
        <f t="shared" si="775"/>
        <v xml:space="preserve">N35DC   </v>
      </c>
      <c r="N7774">
        <v>1</v>
      </c>
      <c r="O7774">
        <v>1700</v>
      </c>
    </row>
    <row r="7775" spans="1:15" x14ac:dyDescent="0.25">
      <c r="A7775" t="str">
        <f>"10/21/2020 19:08:29.296"</f>
        <v>10/21/2020 19:08:29.296</v>
      </c>
      <c r="B7775" t="str">
        <f t="shared" ref="B7775:C7779" si="776">"19:08:37.273"</f>
        <v>19:08:37.273</v>
      </c>
      <c r="C7775" t="str">
        <f t="shared" si="776"/>
        <v>19:08:37.273</v>
      </c>
      <c r="D7775" t="s">
        <v>3118</v>
      </c>
      <c r="E7775">
        <v>30.498691000000001</v>
      </c>
      <c r="F7775" t="s">
        <v>3114</v>
      </c>
      <c r="G7775">
        <v>-89.810164</v>
      </c>
      <c r="H7775">
        <v>1600</v>
      </c>
      <c r="I7775">
        <v>-4</v>
      </c>
      <c r="J7775">
        <v>155</v>
      </c>
      <c r="K7775">
        <v>-64</v>
      </c>
      <c r="L7775">
        <v>1200</v>
      </c>
      <c r="M7775" t="str">
        <f t="shared" si="775"/>
        <v xml:space="preserve">N35DC   </v>
      </c>
      <c r="N7775">
        <v>1</v>
      </c>
      <c r="O7775">
        <v>1700</v>
      </c>
    </row>
    <row r="7776" spans="1:15" x14ac:dyDescent="0.25">
      <c r="A7776" t="str">
        <f>"10/21/2020 19:08:29.296"</f>
        <v>10/21/2020 19:08:29.296</v>
      </c>
      <c r="B7776" t="str">
        <f t="shared" si="776"/>
        <v>19:08:37.273</v>
      </c>
      <c r="C7776" t="str">
        <f t="shared" si="776"/>
        <v>19:08:37.273</v>
      </c>
      <c r="D7776" t="s">
        <v>3118</v>
      </c>
      <c r="E7776">
        <v>30.498691000000001</v>
      </c>
      <c r="F7776" t="s">
        <v>3114</v>
      </c>
      <c r="G7776">
        <v>-89.810164</v>
      </c>
      <c r="H7776">
        <v>1600</v>
      </c>
      <c r="I7776">
        <v>-4</v>
      </c>
      <c r="J7776">
        <v>155</v>
      </c>
      <c r="K7776">
        <v>-64</v>
      </c>
      <c r="L7776">
        <v>1200</v>
      </c>
      <c r="M7776" t="str">
        <f t="shared" si="775"/>
        <v xml:space="preserve">N35DC   </v>
      </c>
      <c r="N7776">
        <v>1</v>
      </c>
      <c r="O7776">
        <v>1700</v>
      </c>
    </row>
    <row r="7777" spans="1:15" x14ac:dyDescent="0.25">
      <c r="A7777" t="str">
        <f>"10/21/2020 19:08:29.296"</f>
        <v>10/21/2020 19:08:29.296</v>
      </c>
      <c r="B7777" t="str">
        <f t="shared" si="776"/>
        <v>19:08:37.273</v>
      </c>
      <c r="C7777" t="str">
        <f t="shared" si="776"/>
        <v>19:08:37.273</v>
      </c>
      <c r="D7777" t="s">
        <v>3118</v>
      </c>
      <c r="E7777">
        <v>30.498691000000001</v>
      </c>
      <c r="F7777" t="s">
        <v>3114</v>
      </c>
      <c r="G7777">
        <v>-89.810164</v>
      </c>
      <c r="H7777">
        <v>1600</v>
      </c>
      <c r="I7777">
        <v>-4</v>
      </c>
      <c r="J7777">
        <v>155</v>
      </c>
      <c r="K7777">
        <v>-64</v>
      </c>
      <c r="L7777">
        <v>1200</v>
      </c>
      <c r="M7777" t="str">
        <f t="shared" si="775"/>
        <v xml:space="preserve">N35DC   </v>
      </c>
      <c r="N7777">
        <v>1</v>
      </c>
      <c r="O7777">
        <v>1700</v>
      </c>
    </row>
    <row r="7778" spans="1:15" x14ac:dyDescent="0.25">
      <c r="A7778" t="str">
        <f>"10/21/2020 19:08:29.296"</f>
        <v>10/21/2020 19:08:29.296</v>
      </c>
      <c r="B7778" t="str">
        <f t="shared" si="776"/>
        <v>19:08:37.273</v>
      </c>
      <c r="C7778" t="str">
        <f t="shared" si="776"/>
        <v>19:08:37.273</v>
      </c>
      <c r="D7778" t="s">
        <v>3118</v>
      </c>
      <c r="E7778">
        <v>30.498691000000001</v>
      </c>
      <c r="F7778" t="s">
        <v>3114</v>
      </c>
      <c r="G7778">
        <v>-89.810164</v>
      </c>
      <c r="H7778">
        <v>1600</v>
      </c>
      <c r="I7778">
        <v>-4</v>
      </c>
      <c r="J7778">
        <v>155</v>
      </c>
      <c r="K7778">
        <v>-64</v>
      </c>
      <c r="L7778">
        <v>1200</v>
      </c>
      <c r="M7778" t="str">
        <f t="shared" si="775"/>
        <v xml:space="preserve">N35DC   </v>
      </c>
      <c r="N7778">
        <v>1</v>
      </c>
      <c r="O7778">
        <v>1700</v>
      </c>
    </row>
    <row r="7779" spans="1:15" x14ac:dyDescent="0.25">
      <c r="A7779" t="str">
        <f>"10/21/2020 19:08:29.296"</f>
        <v>10/21/2020 19:08:29.296</v>
      </c>
      <c r="B7779" t="str">
        <f t="shared" si="776"/>
        <v>19:08:37.273</v>
      </c>
      <c r="C7779" t="str">
        <f t="shared" si="776"/>
        <v>19:08:37.273</v>
      </c>
      <c r="D7779" t="s">
        <v>3118</v>
      </c>
      <c r="E7779">
        <v>30.498691000000001</v>
      </c>
      <c r="F7779" t="s">
        <v>3114</v>
      </c>
      <c r="G7779">
        <v>-89.810164</v>
      </c>
      <c r="H7779">
        <v>1600</v>
      </c>
      <c r="I7779">
        <v>-4</v>
      </c>
      <c r="J7779">
        <v>155</v>
      </c>
      <c r="K7779">
        <v>-64</v>
      </c>
      <c r="L7779">
        <v>1200</v>
      </c>
      <c r="M7779" t="str">
        <f t="shared" si="775"/>
        <v xml:space="preserve">N35DC   </v>
      </c>
      <c r="N7779">
        <v>1</v>
      </c>
      <c r="O7779">
        <v>1700</v>
      </c>
    </row>
    <row r="7780" spans="1:15" x14ac:dyDescent="0.25">
      <c r="A7780" t="str">
        <f>"10/21/2020 19:08:32.493"</f>
        <v>10/21/2020 19:08:32.493</v>
      </c>
      <c r="B7780" t="str">
        <f t="shared" ref="B7780:C7784" si="777">"19:08:40.445"</f>
        <v>19:08:40.445</v>
      </c>
      <c r="C7780" t="str">
        <f t="shared" si="777"/>
        <v>19:08:40.445</v>
      </c>
      <c r="D7780" t="s">
        <v>3119</v>
      </c>
      <c r="E7780">
        <v>30.500921999999999</v>
      </c>
      <c r="F7780" t="s">
        <v>3111</v>
      </c>
      <c r="G7780">
        <v>-89.810207000000005</v>
      </c>
      <c r="H7780">
        <v>1600</v>
      </c>
      <c r="I7780">
        <v>-3</v>
      </c>
      <c r="J7780">
        <v>155</v>
      </c>
      <c r="K7780">
        <v>-64</v>
      </c>
      <c r="L7780">
        <v>1200</v>
      </c>
      <c r="M7780" t="str">
        <f t="shared" si="775"/>
        <v xml:space="preserve">N35DC   </v>
      </c>
      <c r="N7780">
        <v>1</v>
      </c>
      <c r="O7780">
        <v>1700</v>
      </c>
    </row>
    <row r="7781" spans="1:15" x14ac:dyDescent="0.25">
      <c r="A7781" t="str">
        <f>"10/21/2020 19:08:32.493"</f>
        <v>10/21/2020 19:08:32.493</v>
      </c>
      <c r="B7781" t="str">
        <f t="shared" si="777"/>
        <v>19:08:40.445</v>
      </c>
      <c r="C7781" t="str">
        <f t="shared" si="777"/>
        <v>19:08:40.445</v>
      </c>
      <c r="D7781" t="s">
        <v>3119</v>
      </c>
      <c r="E7781">
        <v>30.500921999999999</v>
      </c>
      <c r="F7781" t="s">
        <v>3111</v>
      </c>
      <c r="G7781">
        <v>-89.810207000000005</v>
      </c>
      <c r="H7781">
        <v>1600</v>
      </c>
      <c r="I7781">
        <v>-3</v>
      </c>
      <c r="J7781">
        <v>155</v>
      </c>
      <c r="K7781">
        <v>-64</v>
      </c>
      <c r="L7781">
        <v>1200</v>
      </c>
      <c r="M7781" t="str">
        <f t="shared" si="775"/>
        <v xml:space="preserve">N35DC   </v>
      </c>
      <c r="N7781">
        <v>1</v>
      </c>
      <c r="O7781">
        <v>1700</v>
      </c>
    </row>
    <row r="7782" spans="1:15" x14ac:dyDescent="0.25">
      <c r="A7782" t="str">
        <f>"10/21/2020 19:08:32.493"</f>
        <v>10/21/2020 19:08:32.493</v>
      </c>
      <c r="B7782" t="str">
        <f t="shared" si="777"/>
        <v>19:08:40.445</v>
      </c>
      <c r="C7782" t="str">
        <f t="shared" si="777"/>
        <v>19:08:40.445</v>
      </c>
      <c r="D7782" t="s">
        <v>3119</v>
      </c>
      <c r="E7782">
        <v>30.500921999999999</v>
      </c>
      <c r="F7782" t="s">
        <v>3111</v>
      </c>
      <c r="G7782">
        <v>-89.810207000000005</v>
      </c>
      <c r="H7782">
        <v>1600</v>
      </c>
      <c r="I7782">
        <v>-3</v>
      </c>
      <c r="J7782">
        <v>155</v>
      </c>
      <c r="K7782">
        <v>-64</v>
      </c>
      <c r="L7782">
        <v>1200</v>
      </c>
      <c r="M7782" t="str">
        <f t="shared" si="775"/>
        <v xml:space="preserve">N35DC   </v>
      </c>
      <c r="N7782">
        <v>1</v>
      </c>
      <c r="O7782">
        <v>1700</v>
      </c>
    </row>
    <row r="7783" spans="1:15" x14ac:dyDescent="0.25">
      <c r="A7783" t="str">
        <f>"10/21/2020 19:08:32.493"</f>
        <v>10/21/2020 19:08:32.493</v>
      </c>
      <c r="B7783" t="str">
        <f t="shared" si="777"/>
        <v>19:08:40.445</v>
      </c>
      <c r="C7783" t="str">
        <f t="shared" si="777"/>
        <v>19:08:40.445</v>
      </c>
      <c r="D7783" t="s">
        <v>3119</v>
      </c>
      <c r="E7783">
        <v>30.500921999999999</v>
      </c>
      <c r="F7783" t="s">
        <v>3111</v>
      </c>
      <c r="G7783">
        <v>-89.810207000000005</v>
      </c>
      <c r="H7783">
        <v>1600</v>
      </c>
      <c r="I7783">
        <v>-3</v>
      </c>
      <c r="J7783">
        <v>155</v>
      </c>
      <c r="K7783">
        <v>-64</v>
      </c>
      <c r="L7783">
        <v>1200</v>
      </c>
      <c r="M7783" t="str">
        <f t="shared" si="775"/>
        <v xml:space="preserve">N35DC   </v>
      </c>
      <c r="N7783">
        <v>1</v>
      </c>
      <c r="O7783">
        <v>1700</v>
      </c>
    </row>
    <row r="7784" spans="1:15" x14ac:dyDescent="0.25">
      <c r="A7784" t="str">
        <f>"10/21/2020 19:08:32.493"</f>
        <v>10/21/2020 19:08:32.493</v>
      </c>
      <c r="B7784" t="str">
        <f t="shared" si="777"/>
        <v>19:08:40.445</v>
      </c>
      <c r="C7784" t="str">
        <f t="shared" si="777"/>
        <v>19:08:40.445</v>
      </c>
      <c r="D7784" t="s">
        <v>3119</v>
      </c>
      <c r="E7784">
        <v>30.500921999999999</v>
      </c>
      <c r="F7784" t="s">
        <v>3111</v>
      </c>
      <c r="G7784">
        <v>-89.810207000000005</v>
      </c>
      <c r="H7784">
        <v>1600</v>
      </c>
      <c r="I7784">
        <v>-3</v>
      </c>
      <c r="J7784">
        <v>155</v>
      </c>
      <c r="K7784">
        <v>-64</v>
      </c>
      <c r="L7784">
        <v>1200</v>
      </c>
      <c r="M7784" t="str">
        <f t="shared" si="775"/>
        <v xml:space="preserve">N35DC   </v>
      </c>
      <c r="N7784">
        <v>1</v>
      </c>
      <c r="O7784">
        <v>1700</v>
      </c>
    </row>
    <row r="7785" spans="1:15" x14ac:dyDescent="0.25">
      <c r="A7785" t="str">
        <f>"10/21/2020 19:08:35.457"</f>
        <v>10/21/2020 19:08:35.457</v>
      </c>
      <c r="B7785" t="str">
        <f>"19:08:43.383"</f>
        <v>19:08:43.383</v>
      </c>
      <c r="C7785" t="str">
        <f>"19:08:43.083"</f>
        <v>19:08:43.083</v>
      </c>
      <c r="D7785" t="s">
        <v>3120</v>
      </c>
      <c r="E7785">
        <v>30.503067999999999</v>
      </c>
      <c r="F7785" t="s">
        <v>3121</v>
      </c>
      <c r="G7785">
        <v>-89.810271</v>
      </c>
      <c r="H7785">
        <v>1600</v>
      </c>
      <c r="I7785">
        <v>-3</v>
      </c>
      <c r="J7785">
        <v>154</v>
      </c>
      <c r="K7785">
        <v>-64</v>
      </c>
      <c r="L7785">
        <v>1200</v>
      </c>
      <c r="M7785" t="str">
        <f t="shared" si="775"/>
        <v xml:space="preserve">N35DC   </v>
      </c>
      <c r="N7785">
        <v>1</v>
      </c>
      <c r="O7785">
        <v>1700</v>
      </c>
    </row>
    <row r="7786" spans="1:15" x14ac:dyDescent="0.25">
      <c r="A7786" t="str">
        <f>"10/21/2020 19:08:35.457"</f>
        <v>10/21/2020 19:08:35.457</v>
      </c>
      <c r="B7786" t="str">
        <f>"19:08:43.383"</f>
        <v>19:08:43.383</v>
      </c>
      <c r="C7786" t="str">
        <f>"19:08:43.083"</f>
        <v>19:08:43.083</v>
      </c>
      <c r="D7786" t="s">
        <v>3120</v>
      </c>
      <c r="E7786">
        <v>30.503067999999999</v>
      </c>
      <c r="F7786" t="s">
        <v>3121</v>
      </c>
      <c r="G7786">
        <v>-89.810271</v>
      </c>
      <c r="H7786">
        <v>1600</v>
      </c>
      <c r="I7786">
        <v>-3</v>
      </c>
      <c r="J7786">
        <v>154</v>
      </c>
      <c r="K7786">
        <v>-64</v>
      </c>
      <c r="L7786">
        <v>1200</v>
      </c>
      <c r="M7786" t="str">
        <f t="shared" si="775"/>
        <v xml:space="preserve">N35DC   </v>
      </c>
      <c r="N7786">
        <v>1</v>
      </c>
      <c r="O7786">
        <v>1700</v>
      </c>
    </row>
    <row r="7787" spans="1:15" x14ac:dyDescent="0.25">
      <c r="A7787" t="str">
        <f>"10/21/2020 19:08:35.457"</f>
        <v>10/21/2020 19:08:35.457</v>
      </c>
      <c r="B7787" t="str">
        <f>"19:08:43.383"</f>
        <v>19:08:43.383</v>
      </c>
      <c r="C7787" t="str">
        <f>"19:08:43.083"</f>
        <v>19:08:43.083</v>
      </c>
      <c r="D7787" t="s">
        <v>3120</v>
      </c>
      <c r="E7787">
        <v>30.503067999999999</v>
      </c>
      <c r="F7787" t="s">
        <v>3121</v>
      </c>
      <c r="G7787">
        <v>-89.810271</v>
      </c>
      <c r="H7787">
        <v>1600</v>
      </c>
      <c r="I7787">
        <v>-3</v>
      </c>
      <c r="J7787">
        <v>154</v>
      </c>
      <c r="K7787">
        <v>-64</v>
      </c>
      <c r="L7787">
        <v>1200</v>
      </c>
      <c r="M7787" t="str">
        <f t="shared" si="775"/>
        <v xml:space="preserve">N35DC   </v>
      </c>
      <c r="N7787">
        <v>1</v>
      </c>
      <c r="O7787">
        <v>1700</v>
      </c>
    </row>
    <row r="7788" spans="1:15" x14ac:dyDescent="0.25">
      <c r="A7788" t="str">
        <f>"10/21/2020 19:08:35.457"</f>
        <v>10/21/2020 19:08:35.457</v>
      </c>
      <c r="B7788" t="str">
        <f>"19:08:43.383"</f>
        <v>19:08:43.383</v>
      </c>
      <c r="C7788" t="str">
        <f>"19:08:43.083"</f>
        <v>19:08:43.083</v>
      </c>
      <c r="D7788" t="s">
        <v>3120</v>
      </c>
      <c r="E7788">
        <v>30.503067999999999</v>
      </c>
      <c r="F7788" t="s">
        <v>3121</v>
      </c>
      <c r="G7788">
        <v>-89.810271</v>
      </c>
      <c r="H7788">
        <v>1600</v>
      </c>
      <c r="I7788">
        <v>-3</v>
      </c>
      <c r="J7788">
        <v>154</v>
      </c>
      <c r="K7788">
        <v>-64</v>
      </c>
      <c r="L7788">
        <v>1200</v>
      </c>
      <c r="M7788" t="str">
        <f t="shared" si="775"/>
        <v xml:space="preserve">N35DC   </v>
      </c>
      <c r="N7788">
        <v>1</v>
      </c>
      <c r="O7788">
        <v>1700</v>
      </c>
    </row>
    <row r="7789" spans="1:15" x14ac:dyDescent="0.25">
      <c r="A7789" t="str">
        <f>"10/21/2020 19:08:35.457"</f>
        <v>10/21/2020 19:08:35.457</v>
      </c>
      <c r="B7789" t="str">
        <f>"19:08:43.383"</f>
        <v>19:08:43.383</v>
      </c>
      <c r="C7789" t="str">
        <f>"19:08:43.083"</f>
        <v>19:08:43.083</v>
      </c>
      <c r="D7789" t="s">
        <v>3120</v>
      </c>
      <c r="E7789">
        <v>30.503067999999999</v>
      </c>
      <c r="F7789" t="s">
        <v>3121</v>
      </c>
      <c r="G7789">
        <v>-89.810271</v>
      </c>
      <c r="H7789">
        <v>1600</v>
      </c>
      <c r="I7789">
        <v>-3</v>
      </c>
      <c r="J7789">
        <v>154</v>
      </c>
      <c r="K7789">
        <v>-64</v>
      </c>
      <c r="L7789">
        <v>1200</v>
      </c>
      <c r="M7789" t="str">
        <f t="shared" si="775"/>
        <v xml:space="preserve">N35DC   </v>
      </c>
      <c r="N7789">
        <v>1</v>
      </c>
      <c r="O7789">
        <v>1700</v>
      </c>
    </row>
    <row r="7790" spans="1:15" x14ac:dyDescent="0.25">
      <c r="A7790" t="str">
        <f>"10/21/2020 19:08:36.348"</f>
        <v>10/21/2020 19:08:36.348</v>
      </c>
      <c r="B7790" t="str">
        <f>"19:08:44.297"</f>
        <v>19:08:44.297</v>
      </c>
      <c r="C7790" t="str">
        <f>"19:08:44.097"</f>
        <v>19:08:44.097</v>
      </c>
      <c r="D7790" t="s">
        <v>3122</v>
      </c>
      <c r="E7790">
        <v>30.503733</v>
      </c>
      <c r="F7790" t="s">
        <v>3121</v>
      </c>
      <c r="G7790">
        <v>-89.810271</v>
      </c>
      <c r="H7790">
        <v>1600</v>
      </c>
      <c r="I7790">
        <v>-3</v>
      </c>
      <c r="J7790">
        <v>154</v>
      </c>
      <c r="K7790">
        <v>0</v>
      </c>
      <c r="L7790">
        <v>1200</v>
      </c>
      <c r="M7790" t="str">
        <f t="shared" si="775"/>
        <v xml:space="preserve">N35DC   </v>
      </c>
      <c r="N7790">
        <v>1</v>
      </c>
      <c r="O7790">
        <v>1700</v>
      </c>
    </row>
    <row r="7791" spans="1:15" x14ac:dyDescent="0.25">
      <c r="A7791" t="str">
        <f>"10/21/2020 19:08:36.348"</f>
        <v>10/21/2020 19:08:36.348</v>
      </c>
      <c r="B7791" t="str">
        <f>"19:08:44.297"</f>
        <v>19:08:44.297</v>
      </c>
      <c r="C7791" t="str">
        <f>"19:08:44.097"</f>
        <v>19:08:44.097</v>
      </c>
      <c r="D7791" t="s">
        <v>3122</v>
      </c>
      <c r="E7791">
        <v>30.503733</v>
      </c>
      <c r="F7791" t="s">
        <v>3121</v>
      </c>
      <c r="G7791">
        <v>-89.810271</v>
      </c>
      <c r="H7791">
        <v>1600</v>
      </c>
      <c r="I7791">
        <v>-3</v>
      </c>
      <c r="J7791">
        <v>154</v>
      </c>
      <c r="K7791">
        <v>0</v>
      </c>
      <c r="L7791">
        <v>1200</v>
      </c>
      <c r="M7791" t="str">
        <f t="shared" si="775"/>
        <v xml:space="preserve">N35DC   </v>
      </c>
      <c r="N7791">
        <v>1</v>
      </c>
      <c r="O7791">
        <v>1700</v>
      </c>
    </row>
    <row r="7792" spans="1:15" x14ac:dyDescent="0.25">
      <c r="A7792" t="str">
        <f>"10/21/2020 19:08:36.348"</f>
        <v>10/21/2020 19:08:36.348</v>
      </c>
      <c r="B7792" t="str">
        <f>"19:08:44.297"</f>
        <v>19:08:44.297</v>
      </c>
      <c r="C7792" t="str">
        <f>"19:08:44.097"</f>
        <v>19:08:44.097</v>
      </c>
      <c r="D7792" t="s">
        <v>3122</v>
      </c>
      <c r="E7792">
        <v>30.503733</v>
      </c>
      <c r="F7792" t="s">
        <v>3121</v>
      </c>
      <c r="G7792">
        <v>-89.810271</v>
      </c>
      <c r="H7792">
        <v>1600</v>
      </c>
      <c r="I7792">
        <v>-3</v>
      </c>
      <c r="J7792">
        <v>154</v>
      </c>
      <c r="K7792">
        <v>0</v>
      </c>
      <c r="L7792">
        <v>1200</v>
      </c>
      <c r="M7792" t="str">
        <f t="shared" si="775"/>
        <v xml:space="preserve">N35DC   </v>
      </c>
      <c r="N7792">
        <v>1</v>
      </c>
      <c r="O7792">
        <v>1700</v>
      </c>
    </row>
    <row r="7793" spans="1:15" x14ac:dyDescent="0.25">
      <c r="A7793" t="str">
        <f>"10/21/2020 19:08:36.348"</f>
        <v>10/21/2020 19:08:36.348</v>
      </c>
      <c r="B7793" t="str">
        <f>"19:08:44.297"</f>
        <v>19:08:44.297</v>
      </c>
      <c r="C7793" t="str">
        <f>"19:08:44.097"</f>
        <v>19:08:44.097</v>
      </c>
      <c r="D7793" t="s">
        <v>3122</v>
      </c>
      <c r="E7793">
        <v>30.503733</v>
      </c>
      <c r="F7793" t="s">
        <v>3121</v>
      </c>
      <c r="G7793">
        <v>-89.810271</v>
      </c>
      <c r="H7793">
        <v>1600</v>
      </c>
      <c r="I7793">
        <v>-3</v>
      </c>
      <c r="J7793">
        <v>154</v>
      </c>
      <c r="K7793">
        <v>0</v>
      </c>
      <c r="L7793">
        <v>1200</v>
      </c>
      <c r="M7793" t="str">
        <f t="shared" si="775"/>
        <v xml:space="preserve">N35DC   </v>
      </c>
      <c r="N7793">
        <v>1</v>
      </c>
      <c r="O7793">
        <v>1700</v>
      </c>
    </row>
    <row r="7794" spans="1:15" x14ac:dyDescent="0.25">
      <c r="A7794" t="str">
        <f>"10/21/2020 19:08:36.348"</f>
        <v>10/21/2020 19:08:36.348</v>
      </c>
      <c r="B7794" t="str">
        <f>"19:08:44.297"</f>
        <v>19:08:44.297</v>
      </c>
      <c r="C7794" t="str">
        <f>"19:08:44.097"</f>
        <v>19:08:44.097</v>
      </c>
      <c r="D7794" t="s">
        <v>3122</v>
      </c>
      <c r="E7794">
        <v>30.503733</v>
      </c>
      <c r="F7794" t="s">
        <v>3121</v>
      </c>
      <c r="G7794">
        <v>-89.810271</v>
      </c>
      <c r="H7794">
        <v>1600</v>
      </c>
      <c r="I7794">
        <v>-3</v>
      </c>
      <c r="J7794">
        <v>154</v>
      </c>
      <c r="K7794">
        <v>0</v>
      </c>
      <c r="L7794">
        <v>1200</v>
      </c>
      <c r="M7794" t="str">
        <f t="shared" si="775"/>
        <v xml:space="preserve">N35DC   </v>
      </c>
      <c r="N7794">
        <v>1</v>
      </c>
      <c r="O7794">
        <v>1700</v>
      </c>
    </row>
    <row r="7795" spans="1:15" x14ac:dyDescent="0.25">
      <c r="A7795" t="str">
        <f>"10/21/2020 19:08:38.207"</f>
        <v>10/21/2020 19:08:38.207</v>
      </c>
      <c r="B7795" t="str">
        <f>"19:08:46.172"</f>
        <v>19:08:46.172</v>
      </c>
      <c r="C7795" t="str">
        <f>"19:08:45.972"</f>
        <v>19:08:45.972</v>
      </c>
      <c r="D7795" t="s">
        <v>3123</v>
      </c>
      <c r="E7795">
        <v>30.505042</v>
      </c>
      <c r="F7795" t="s">
        <v>2837</v>
      </c>
      <c r="G7795">
        <v>-89.810314000000005</v>
      </c>
      <c r="H7795">
        <v>1600</v>
      </c>
      <c r="I7795">
        <v>-4</v>
      </c>
      <c r="J7795">
        <v>153</v>
      </c>
      <c r="K7795">
        <v>0</v>
      </c>
      <c r="L7795">
        <v>1200</v>
      </c>
      <c r="M7795" t="str">
        <f t="shared" si="775"/>
        <v xml:space="preserve">N35DC   </v>
      </c>
      <c r="N7795">
        <v>1</v>
      </c>
      <c r="O7795">
        <v>1700</v>
      </c>
    </row>
    <row r="7796" spans="1:15" x14ac:dyDescent="0.25">
      <c r="A7796" t="str">
        <f>"10/21/2020 19:08:38.207"</f>
        <v>10/21/2020 19:08:38.207</v>
      </c>
      <c r="B7796" t="str">
        <f>"19:08:46.172"</f>
        <v>19:08:46.172</v>
      </c>
      <c r="C7796" t="str">
        <f>"19:08:45.972"</f>
        <v>19:08:45.972</v>
      </c>
      <c r="D7796" t="s">
        <v>3123</v>
      </c>
      <c r="E7796">
        <v>30.505042</v>
      </c>
      <c r="F7796" t="s">
        <v>2837</v>
      </c>
      <c r="G7796">
        <v>-89.810314000000005</v>
      </c>
      <c r="H7796">
        <v>1600</v>
      </c>
      <c r="I7796">
        <v>-4</v>
      </c>
      <c r="J7796">
        <v>153</v>
      </c>
      <c r="K7796">
        <v>0</v>
      </c>
      <c r="L7796">
        <v>1200</v>
      </c>
      <c r="M7796" t="str">
        <f t="shared" si="775"/>
        <v xml:space="preserve">N35DC   </v>
      </c>
      <c r="N7796">
        <v>1</v>
      </c>
      <c r="O7796">
        <v>1700</v>
      </c>
    </row>
    <row r="7797" spans="1:15" x14ac:dyDescent="0.25">
      <c r="A7797" t="str">
        <f>"10/21/2020 19:08:38.207"</f>
        <v>10/21/2020 19:08:38.207</v>
      </c>
      <c r="B7797" t="str">
        <f>"19:08:46.172"</f>
        <v>19:08:46.172</v>
      </c>
      <c r="C7797" t="str">
        <f>"19:08:45.972"</f>
        <v>19:08:45.972</v>
      </c>
      <c r="D7797" t="s">
        <v>3123</v>
      </c>
      <c r="E7797">
        <v>30.505042</v>
      </c>
      <c r="F7797" t="s">
        <v>2837</v>
      </c>
      <c r="G7797">
        <v>-89.810314000000005</v>
      </c>
      <c r="H7797">
        <v>1600</v>
      </c>
      <c r="I7797">
        <v>-4</v>
      </c>
      <c r="J7797">
        <v>153</v>
      </c>
      <c r="K7797">
        <v>0</v>
      </c>
      <c r="L7797">
        <v>1200</v>
      </c>
      <c r="M7797" t="str">
        <f t="shared" si="775"/>
        <v xml:space="preserve">N35DC   </v>
      </c>
      <c r="N7797">
        <v>1</v>
      </c>
      <c r="O7797">
        <v>1700</v>
      </c>
    </row>
    <row r="7798" spans="1:15" x14ac:dyDescent="0.25">
      <c r="A7798" t="str">
        <f>"10/21/2020 19:08:38.207"</f>
        <v>10/21/2020 19:08:38.207</v>
      </c>
      <c r="B7798" t="str">
        <f>"19:08:46.172"</f>
        <v>19:08:46.172</v>
      </c>
      <c r="C7798" t="str">
        <f>"19:08:45.972"</f>
        <v>19:08:45.972</v>
      </c>
      <c r="D7798" t="s">
        <v>3123</v>
      </c>
      <c r="E7798">
        <v>30.505042</v>
      </c>
      <c r="F7798" t="s">
        <v>2837</v>
      </c>
      <c r="G7798">
        <v>-89.810314000000005</v>
      </c>
      <c r="H7798">
        <v>1600</v>
      </c>
      <c r="I7798">
        <v>-4</v>
      </c>
      <c r="J7798">
        <v>153</v>
      </c>
      <c r="K7798">
        <v>0</v>
      </c>
      <c r="L7798">
        <v>1200</v>
      </c>
      <c r="M7798" t="str">
        <f t="shared" si="775"/>
        <v xml:space="preserve">N35DC   </v>
      </c>
      <c r="N7798">
        <v>1</v>
      </c>
      <c r="O7798">
        <v>1700</v>
      </c>
    </row>
    <row r="7799" spans="1:15" x14ac:dyDescent="0.25">
      <c r="A7799" t="str">
        <f>"10/21/2020 19:08:38.207"</f>
        <v>10/21/2020 19:08:38.207</v>
      </c>
      <c r="B7799" t="str">
        <f>"19:08:46.172"</f>
        <v>19:08:46.172</v>
      </c>
      <c r="C7799" t="str">
        <f>"19:08:45.972"</f>
        <v>19:08:45.972</v>
      </c>
      <c r="D7799" t="s">
        <v>3123</v>
      </c>
      <c r="E7799">
        <v>30.505042</v>
      </c>
      <c r="F7799" t="s">
        <v>2837</v>
      </c>
      <c r="G7799">
        <v>-89.810314000000005</v>
      </c>
      <c r="H7799">
        <v>1600</v>
      </c>
      <c r="I7799">
        <v>-4</v>
      </c>
      <c r="J7799">
        <v>153</v>
      </c>
      <c r="K7799">
        <v>0</v>
      </c>
      <c r="L7799">
        <v>1200</v>
      </c>
      <c r="M7799" t="str">
        <f t="shared" si="775"/>
        <v xml:space="preserve">N35DC   </v>
      </c>
      <c r="N7799">
        <v>1</v>
      </c>
      <c r="O7799">
        <v>1700</v>
      </c>
    </row>
    <row r="7800" spans="1:15" x14ac:dyDescent="0.25">
      <c r="A7800" t="str">
        <f>"10/21/2020 19:08:39.381"</f>
        <v>10/21/2020 19:08:39.381</v>
      </c>
      <c r="B7800" t="str">
        <f>"19:08:47.344"</f>
        <v>19:08:47.344</v>
      </c>
      <c r="C7800" t="str">
        <f>"19:08:47.044"</f>
        <v>19:08:47.044</v>
      </c>
      <c r="D7800" t="s">
        <v>3124</v>
      </c>
      <c r="E7800">
        <v>30.505879</v>
      </c>
      <c r="F7800" t="s">
        <v>2840</v>
      </c>
      <c r="G7800">
        <v>-89.810378999999998</v>
      </c>
      <c r="H7800">
        <v>1600</v>
      </c>
      <c r="I7800">
        <v>-5</v>
      </c>
      <c r="J7800">
        <v>153</v>
      </c>
      <c r="K7800">
        <v>64</v>
      </c>
      <c r="L7800">
        <v>1200</v>
      </c>
      <c r="M7800" t="str">
        <f t="shared" si="775"/>
        <v xml:space="preserve">N35DC   </v>
      </c>
      <c r="N7800">
        <v>1</v>
      </c>
      <c r="O7800">
        <v>1700</v>
      </c>
    </row>
    <row r="7801" spans="1:15" x14ac:dyDescent="0.25">
      <c r="A7801" t="str">
        <f>"10/21/2020 19:08:39.381"</f>
        <v>10/21/2020 19:08:39.381</v>
      </c>
      <c r="B7801" t="str">
        <f>"19:08:47.344"</f>
        <v>19:08:47.344</v>
      </c>
      <c r="C7801" t="str">
        <f>"19:08:47.044"</f>
        <v>19:08:47.044</v>
      </c>
      <c r="D7801" t="s">
        <v>3124</v>
      </c>
      <c r="E7801">
        <v>30.505879</v>
      </c>
      <c r="F7801" t="s">
        <v>2840</v>
      </c>
      <c r="G7801">
        <v>-89.810378999999998</v>
      </c>
      <c r="H7801">
        <v>1600</v>
      </c>
      <c r="I7801">
        <v>-5</v>
      </c>
      <c r="J7801">
        <v>153</v>
      </c>
      <c r="K7801">
        <v>64</v>
      </c>
      <c r="L7801">
        <v>1200</v>
      </c>
      <c r="M7801" t="str">
        <f t="shared" si="775"/>
        <v xml:space="preserve">N35DC   </v>
      </c>
      <c r="N7801">
        <v>1</v>
      </c>
      <c r="O7801">
        <v>1700</v>
      </c>
    </row>
    <row r="7802" spans="1:15" x14ac:dyDescent="0.25">
      <c r="A7802" t="str">
        <f>"10/21/2020 19:08:39.381"</f>
        <v>10/21/2020 19:08:39.381</v>
      </c>
      <c r="B7802" t="str">
        <f>"19:08:47.344"</f>
        <v>19:08:47.344</v>
      </c>
      <c r="C7802" t="str">
        <f>"19:08:47.044"</f>
        <v>19:08:47.044</v>
      </c>
      <c r="D7802" t="s">
        <v>3124</v>
      </c>
      <c r="E7802">
        <v>30.505879</v>
      </c>
      <c r="F7802" t="s">
        <v>2840</v>
      </c>
      <c r="G7802">
        <v>-89.810378999999998</v>
      </c>
      <c r="H7802">
        <v>1600</v>
      </c>
      <c r="I7802">
        <v>-5</v>
      </c>
      <c r="J7802">
        <v>153</v>
      </c>
      <c r="K7802">
        <v>64</v>
      </c>
      <c r="L7802">
        <v>1200</v>
      </c>
      <c r="M7802" t="str">
        <f t="shared" si="775"/>
        <v xml:space="preserve">N35DC   </v>
      </c>
      <c r="N7802">
        <v>1</v>
      </c>
      <c r="O7802">
        <v>1700</v>
      </c>
    </row>
    <row r="7803" spans="1:15" x14ac:dyDescent="0.25">
      <c r="A7803" t="str">
        <f>"10/21/2020 19:08:39.381"</f>
        <v>10/21/2020 19:08:39.381</v>
      </c>
      <c r="B7803" t="str">
        <f>"19:08:47.344"</f>
        <v>19:08:47.344</v>
      </c>
      <c r="C7803" t="str">
        <f>"19:08:47.044"</f>
        <v>19:08:47.044</v>
      </c>
      <c r="D7803" t="s">
        <v>3124</v>
      </c>
      <c r="E7803">
        <v>30.505879</v>
      </c>
      <c r="F7803" t="s">
        <v>2840</v>
      </c>
      <c r="G7803">
        <v>-89.810378999999998</v>
      </c>
      <c r="H7803">
        <v>1600</v>
      </c>
      <c r="I7803">
        <v>-5</v>
      </c>
      <c r="J7803">
        <v>153</v>
      </c>
      <c r="K7803">
        <v>64</v>
      </c>
      <c r="L7803">
        <v>1200</v>
      </c>
      <c r="M7803" t="str">
        <f t="shared" si="775"/>
        <v xml:space="preserve">N35DC   </v>
      </c>
      <c r="N7803">
        <v>1</v>
      </c>
      <c r="O7803">
        <v>1700</v>
      </c>
    </row>
    <row r="7804" spans="1:15" x14ac:dyDescent="0.25">
      <c r="A7804" t="str">
        <f>"10/21/2020 19:08:39.381"</f>
        <v>10/21/2020 19:08:39.381</v>
      </c>
      <c r="B7804" t="str">
        <f>"19:08:47.344"</f>
        <v>19:08:47.344</v>
      </c>
      <c r="C7804" t="str">
        <f>"19:08:47.044"</f>
        <v>19:08:47.044</v>
      </c>
      <c r="D7804" t="s">
        <v>3124</v>
      </c>
      <c r="E7804">
        <v>30.505879</v>
      </c>
      <c r="F7804" t="s">
        <v>2840</v>
      </c>
      <c r="G7804">
        <v>-89.810378999999998</v>
      </c>
      <c r="H7804">
        <v>1600</v>
      </c>
      <c r="I7804">
        <v>-5</v>
      </c>
      <c r="J7804">
        <v>153</v>
      </c>
      <c r="K7804">
        <v>64</v>
      </c>
      <c r="L7804">
        <v>1200</v>
      </c>
      <c r="M7804" t="str">
        <f t="shared" si="775"/>
        <v xml:space="preserve">N35DC   </v>
      </c>
      <c r="N7804">
        <v>1</v>
      </c>
      <c r="O7804">
        <v>1700</v>
      </c>
    </row>
    <row r="7805" spans="1:15" x14ac:dyDescent="0.25">
      <c r="A7805" t="str">
        <f>"10/21/2020 19:08:42.439"</f>
        <v>10/21/2020 19:08:42.439</v>
      </c>
      <c r="B7805" t="str">
        <f>"19:08:50.398"</f>
        <v>19:08:50.398</v>
      </c>
      <c r="C7805" t="str">
        <f>"19:08:50.098"</f>
        <v>19:08:50.098</v>
      </c>
      <c r="D7805" t="s">
        <v>3125</v>
      </c>
      <c r="E7805">
        <v>30.508068000000002</v>
      </c>
      <c r="F7805" t="s">
        <v>81</v>
      </c>
      <c r="G7805">
        <v>-89.810485999999997</v>
      </c>
      <c r="H7805">
        <v>1600</v>
      </c>
      <c r="I7805">
        <v>-12</v>
      </c>
      <c r="J7805">
        <v>153</v>
      </c>
      <c r="K7805">
        <v>128</v>
      </c>
      <c r="L7805">
        <v>1200</v>
      </c>
      <c r="M7805" t="str">
        <f t="shared" si="775"/>
        <v xml:space="preserve">N35DC   </v>
      </c>
      <c r="N7805">
        <v>1</v>
      </c>
      <c r="O7805">
        <v>1700</v>
      </c>
    </row>
    <row r="7806" spans="1:15" x14ac:dyDescent="0.25">
      <c r="A7806" t="str">
        <f>"10/21/2020 19:08:42.439"</f>
        <v>10/21/2020 19:08:42.439</v>
      </c>
      <c r="B7806" t="str">
        <f>"19:08:50.398"</f>
        <v>19:08:50.398</v>
      </c>
      <c r="C7806" t="str">
        <f>"19:08:50.098"</f>
        <v>19:08:50.098</v>
      </c>
      <c r="D7806" t="s">
        <v>3125</v>
      </c>
      <c r="E7806">
        <v>30.508068000000002</v>
      </c>
      <c r="F7806" t="s">
        <v>81</v>
      </c>
      <c r="G7806">
        <v>-89.810485999999997</v>
      </c>
      <c r="H7806">
        <v>1600</v>
      </c>
      <c r="I7806">
        <v>-12</v>
      </c>
      <c r="J7806">
        <v>153</v>
      </c>
      <c r="K7806">
        <v>128</v>
      </c>
      <c r="L7806">
        <v>1200</v>
      </c>
      <c r="M7806" t="str">
        <f t="shared" si="775"/>
        <v xml:space="preserve">N35DC   </v>
      </c>
      <c r="N7806">
        <v>1</v>
      </c>
      <c r="O7806">
        <v>1700</v>
      </c>
    </row>
    <row r="7807" spans="1:15" x14ac:dyDescent="0.25">
      <c r="A7807" t="str">
        <f>"10/21/2020 19:08:42.439"</f>
        <v>10/21/2020 19:08:42.439</v>
      </c>
      <c r="B7807" t="str">
        <f>"19:08:50.398"</f>
        <v>19:08:50.398</v>
      </c>
      <c r="C7807" t="str">
        <f>"19:08:50.098"</f>
        <v>19:08:50.098</v>
      </c>
      <c r="D7807" t="s">
        <v>3125</v>
      </c>
      <c r="E7807">
        <v>30.508068000000002</v>
      </c>
      <c r="F7807" t="s">
        <v>81</v>
      </c>
      <c r="G7807">
        <v>-89.810485999999997</v>
      </c>
      <c r="H7807">
        <v>1600</v>
      </c>
      <c r="I7807">
        <v>-12</v>
      </c>
      <c r="J7807">
        <v>153</v>
      </c>
      <c r="K7807">
        <v>128</v>
      </c>
      <c r="L7807">
        <v>1200</v>
      </c>
      <c r="M7807" t="str">
        <f t="shared" si="775"/>
        <v xml:space="preserve">N35DC   </v>
      </c>
      <c r="N7807">
        <v>1</v>
      </c>
      <c r="O7807">
        <v>1700</v>
      </c>
    </row>
    <row r="7808" spans="1:15" x14ac:dyDescent="0.25">
      <c r="A7808" t="str">
        <f>"10/21/2020 19:08:42.439"</f>
        <v>10/21/2020 19:08:42.439</v>
      </c>
      <c r="B7808" t="str">
        <f>"19:08:50.398"</f>
        <v>19:08:50.398</v>
      </c>
      <c r="C7808" t="str">
        <f>"19:08:50.098"</f>
        <v>19:08:50.098</v>
      </c>
      <c r="D7808" t="s">
        <v>3125</v>
      </c>
      <c r="E7808">
        <v>30.508068000000002</v>
      </c>
      <c r="F7808" t="s">
        <v>81</v>
      </c>
      <c r="G7808">
        <v>-89.810485999999997</v>
      </c>
      <c r="H7808">
        <v>1600</v>
      </c>
      <c r="I7808">
        <v>-12</v>
      </c>
      <c r="J7808">
        <v>153</v>
      </c>
      <c r="K7808">
        <v>128</v>
      </c>
      <c r="L7808">
        <v>1200</v>
      </c>
      <c r="M7808" t="str">
        <f t="shared" si="775"/>
        <v xml:space="preserve">N35DC   </v>
      </c>
      <c r="N7808">
        <v>1</v>
      </c>
      <c r="O7808">
        <v>1700</v>
      </c>
    </row>
    <row r="7809" spans="1:15" x14ac:dyDescent="0.25">
      <c r="A7809" t="str">
        <f>"10/21/2020 19:08:42.439"</f>
        <v>10/21/2020 19:08:42.439</v>
      </c>
      <c r="B7809" t="str">
        <f>"19:08:50.398"</f>
        <v>19:08:50.398</v>
      </c>
      <c r="C7809" t="str">
        <f>"19:08:50.098"</f>
        <v>19:08:50.098</v>
      </c>
      <c r="D7809" t="s">
        <v>3125</v>
      </c>
      <c r="E7809">
        <v>30.508068000000002</v>
      </c>
      <c r="F7809" t="s">
        <v>81</v>
      </c>
      <c r="G7809">
        <v>-89.810485999999997</v>
      </c>
      <c r="H7809">
        <v>1600</v>
      </c>
      <c r="I7809">
        <v>-12</v>
      </c>
      <c r="J7809">
        <v>153</v>
      </c>
      <c r="K7809">
        <v>128</v>
      </c>
      <c r="L7809">
        <v>1200</v>
      </c>
      <c r="M7809" t="str">
        <f t="shared" si="775"/>
        <v xml:space="preserve">N35DC   </v>
      </c>
      <c r="N7809">
        <v>1</v>
      </c>
      <c r="O7809">
        <v>1700</v>
      </c>
    </row>
    <row r="7810" spans="1:15" x14ac:dyDescent="0.25">
      <c r="A7810" t="str">
        <f>"10/21/2020 19:08:45.751"</f>
        <v>10/21/2020 19:08:45.751</v>
      </c>
      <c r="B7810" t="str">
        <f>"19:08:53.703"</f>
        <v>19:08:53.703</v>
      </c>
      <c r="C7810" t="str">
        <f>"19:08:53.503"</f>
        <v>19:08:53.503</v>
      </c>
      <c r="D7810" t="s">
        <v>3126</v>
      </c>
      <c r="E7810">
        <v>30.510406</v>
      </c>
      <c r="F7810" t="s">
        <v>2843</v>
      </c>
      <c r="G7810">
        <v>-89.810807999999994</v>
      </c>
      <c r="H7810">
        <v>1600</v>
      </c>
      <c r="I7810">
        <v>-19</v>
      </c>
      <c r="J7810">
        <v>153</v>
      </c>
      <c r="K7810">
        <v>-256</v>
      </c>
      <c r="L7810">
        <v>1200</v>
      </c>
      <c r="M7810" t="str">
        <f t="shared" si="775"/>
        <v xml:space="preserve">N35DC   </v>
      </c>
      <c r="N7810">
        <v>1</v>
      </c>
      <c r="O7810">
        <v>1700</v>
      </c>
    </row>
    <row r="7811" spans="1:15" x14ac:dyDescent="0.25">
      <c r="A7811" t="str">
        <f>"10/21/2020 19:08:45.751"</f>
        <v>10/21/2020 19:08:45.751</v>
      </c>
      <c r="B7811" t="str">
        <f>"19:08:53.703"</f>
        <v>19:08:53.703</v>
      </c>
      <c r="C7811" t="str">
        <f>"19:08:53.503"</f>
        <v>19:08:53.503</v>
      </c>
      <c r="D7811" t="s">
        <v>3126</v>
      </c>
      <c r="E7811">
        <v>30.510406</v>
      </c>
      <c r="F7811" t="s">
        <v>2843</v>
      </c>
      <c r="G7811">
        <v>-89.810807999999994</v>
      </c>
      <c r="H7811">
        <v>1600</v>
      </c>
      <c r="I7811">
        <v>-19</v>
      </c>
      <c r="J7811">
        <v>153</v>
      </c>
      <c r="K7811">
        <v>-256</v>
      </c>
      <c r="L7811">
        <v>1200</v>
      </c>
      <c r="M7811" t="str">
        <f t="shared" si="775"/>
        <v xml:space="preserve">N35DC   </v>
      </c>
      <c r="N7811">
        <v>1</v>
      </c>
      <c r="O7811">
        <v>1700</v>
      </c>
    </row>
    <row r="7812" spans="1:15" x14ac:dyDescent="0.25">
      <c r="A7812" t="str">
        <f>"10/21/2020 19:08:45.751"</f>
        <v>10/21/2020 19:08:45.751</v>
      </c>
      <c r="B7812" t="str">
        <f>"19:08:53.703"</f>
        <v>19:08:53.703</v>
      </c>
      <c r="C7812" t="str">
        <f>"19:08:53.503"</f>
        <v>19:08:53.503</v>
      </c>
      <c r="D7812" t="s">
        <v>3126</v>
      </c>
      <c r="E7812">
        <v>30.510406</v>
      </c>
      <c r="F7812" t="s">
        <v>2843</v>
      </c>
      <c r="G7812">
        <v>-89.810807999999994</v>
      </c>
      <c r="H7812">
        <v>1600</v>
      </c>
      <c r="I7812">
        <v>-19</v>
      </c>
      <c r="J7812">
        <v>153</v>
      </c>
      <c r="K7812">
        <v>-256</v>
      </c>
      <c r="L7812">
        <v>1200</v>
      </c>
      <c r="M7812" t="str">
        <f t="shared" si="775"/>
        <v xml:space="preserve">N35DC   </v>
      </c>
      <c r="N7812">
        <v>1</v>
      </c>
      <c r="O7812">
        <v>1700</v>
      </c>
    </row>
    <row r="7813" spans="1:15" x14ac:dyDescent="0.25">
      <c r="A7813" t="str">
        <f>"10/21/2020 19:08:45.751"</f>
        <v>10/21/2020 19:08:45.751</v>
      </c>
      <c r="B7813" t="str">
        <f>"19:08:53.703"</f>
        <v>19:08:53.703</v>
      </c>
      <c r="C7813" t="str">
        <f>"19:08:53.503"</f>
        <v>19:08:53.503</v>
      </c>
      <c r="D7813" t="s">
        <v>3126</v>
      </c>
      <c r="E7813">
        <v>30.510406</v>
      </c>
      <c r="F7813" t="s">
        <v>2843</v>
      </c>
      <c r="G7813">
        <v>-89.810807999999994</v>
      </c>
      <c r="H7813">
        <v>1600</v>
      </c>
      <c r="I7813">
        <v>-19</v>
      </c>
      <c r="J7813">
        <v>153</v>
      </c>
      <c r="K7813">
        <v>-256</v>
      </c>
      <c r="L7813">
        <v>1200</v>
      </c>
      <c r="M7813" t="str">
        <f t="shared" si="775"/>
        <v xml:space="preserve">N35DC   </v>
      </c>
      <c r="N7813">
        <v>1</v>
      </c>
      <c r="O7813">
        <v>1700</v>
      </c>
    </row>
    <row r="7814" spans="1:15" x14ac:dyDescent="0.25">
      <c r="A7814" t="str">
        <f>"10/21/2020 19:08:45.751"</f>
        <v>10/21/2020 19:08:45.751</v>
      </c>
      <c r="B7814" t="str">
        <f>"19:08:53.703"</f>
        <v>19:08:53.703</v>
      </c>
      <c r="C7814" t="str">
        <f>"19:08:53.503"</f>
        <v>19:08:53.503</v>
      </c>
      <c r="D7814" t="s">
        <v>3126</v>
      </c>
      <c r="E7814">
        <v>30.510406</v>
      </c>
      <c r="F7814" t="s">
        <v>2843</v>
      </c>
      <c r="G7814">
        <v>-89.810807999999994</v>
      </c>
      <c r="H7814">
        <v>1600</v>
      </c>
      <c r="I7814">
        <v>-19</v>
      </c>
      <c r="J7814">
        <v>153</v>
      </c>
      <c r="K7814">
        <v>-256</v>
      </c>
      <c r="L7814">
        <v>1200</v>
      </c>
      <c r="M7814" t="str">
        <f t="shared" si="775"/>
        <v xml:space="preserve">N35DC   </v>
      </c>
      <c r="N7814">
        <v>1</v>
      </c>
      <c r="O7814">
        <v>1700</v>
      </c>
    </row>
    <row r="7815" spans="1:15" x14ac:dyDescent="0.25">
      <c r="A7815" t="str">
        <f>"10/21/2020 19:08:48.583"</f>
        <v>10/21/2020 19:08:48.583</v>
      </c>
      <c r="B7815" t="str">
        <f t="shared" ref="B7815:C7819" si="778">"19:08:56.547"</f>
        <v>19:08:56.547</v>
      </c>
      <c r="C7815" t="str">
        <f t="shared" si="778"/>
        <v>19:08:56.547</v>
      </c>
      <c r="D7815" t="s">
        <v>3127</v>
      </c>
      <c r="E7815">
        <v>30.512423999999999</v>
      </c>
      <c r="F7815" t="s">
        <v>2829</v>
      </c>
      <c r="G7815">
        <v>-89.811130000000006</v>
      </c>
      <c r="H7815">
        <v>1600</v>
      </c>
      <c r="I7815">
        <v>-23</v>
      </c>
      <c r="J7815">
        <v>154</v>
      </c>
      <c r="K7815">
        <v>-320</v>
      </c>
      <c r="L7815">
        <v>1200</v>
      </c>
      <c r="M7815" t="str">
        <f t="shared" ref="M7815:M7878" si="779">"N35DC   "</f>
        <v xml:space="preserve">N35DC   </v>
      </c>
      <c r="N7815">
        <v>1</v>
      </c>
      <c r="O7815">
        <v>1675</v>
      </c>
    </row>
    <row r="7816" spans="1:15" x14ac:dyDescent="0.25">
      <c r="A7816" t="str">
        <f>"10/21/2020 19:08:48.583"</f>
        <v>10/21/2020 19:08:48.583</v>
      </c>
      <c r="B7816" t="str">
        <f t="shared" si="778"/>
        <v>19:08:56.547</v>
      </c>
      <c r="C7816" t="str">
        <f t="shared" si="778"/>
        <v>19:08:56.547</v>
      </c>
      <c r="D7816" t="s">
        <v>3127</v>
      </c>
      <c r="E7816">
        <v>30.512423999999999</v>
      </c>
      <c r="F7816" t="s">
        <v>2829</v>
      </c>
      <c r="G7816">
        <v>-89.811130000000006</v>
      </c>
      <c r="H7816">
        <v>1600</v>
      </c>
      <c r="I7816">
        <v>-23</v>
      </c>
      <c r="J7816">
        <v>154</v>
      </c>
      <c r="K7816">
        <v>-320</v>
      </c>
      <c r="L7816">
        <v>1200</v>
      </c>
      <c r="M7816" t="str">
        <f t="shared" si="779"/>
        <v xml:space="preserve">N35DC   </v>
      </c>
      <c r="N7816">
        <v>1</v>
      </c>
      <c r="O7816">
        <v>1675</v>
      </c>
    </row>
    <row r="7817" spans="1:15" x14ac:dyDescent="0.25">
      <c r="A7817" t="str">
        <f>"10/21/2020 19:08:48.583"</f>
        <v>10/21/2020 19:08:48.583</v>
      </c>
      <c r="B7817" t="str">
        <f t="shared" si="778"/>
        <v>19:08:56.547</v>
      </c>
      <c r="C7817" t="str">
        <f t="shared" si="778"/>
        <v>19:08:56.547</v>
      </c>
      <c r="D7817" t="s">
        <v>3127</v>
      </c>
      <c r="E7817">
        <v>30.512423999999999</v>
      </c>
      <c r="F7817" t="s">
        <v>2829</v>
      </c>
      <c r="G7817">
        <v>-89.811130000000006</v>
      </c>
      <c r="H7817">
        <v>1600</v>
      </c>
      <c r="I7817">
        <v>-23</v>
      </c>
      <c r="J7817">
        <v>154</v>
      </c>
      <c r="K7817">
        <v>-320</v>
      </c>
      <c r="L7817">
        <v>1200</v>
      </c>
      <c r="M7817" t="str">
        <f t="shared" si="779"/>
        <v xml:space="preserve">N35DC   </v>
      </c>
      <c r="N7817">
        <v>1</v>
      </c>
      <c r="O7817">
        <v>1675</v>
      </c>
    </row>
    <row r="7818" spans="1:15" x14ac:dyDescent="0.25">
      <c r="A7818" t="str">
        <f>"10/21/2020 19:08:48.583"</f>
        <v>10/21/2020 19:08:48.583</v>
      </c>
      <c r="B7818" t="str">
        <f t="shared" si="778"/>
        <v>19:08:56.547</v>
      </c>
      <c r="C7818" t="str">
        <f t="shared" si="778"/>
        <v>19:08:56.547</v>
      </c>
      <c r="D7818" t="s">
        <v>3127</v>
      </c>
      <c r="E7818">
        <v>30.512423999999999</v>
      </c>
      <c r="F7818" t="s">
        <v>2829</v>
      </c>
      <c r="G7818">
        <v>-89.811130000000006</v>
      </c>
      <c r="H7818">
        <v>1600</v>
      </c>
      <c r="I7818">
        <v>-23</v>
      </c>
      <c r="J7818">
        <v>154</v>
      </c>
      <c r="K7818">
        <v>-320</v>
      </c>
      <c r="L7818">
        <v>1200</v>
      </c>
      <c r="M7818" t="str">
        <f t="shared" si="779"/>
        <v xml:space="preserve">N35DC   </v>
      </c>
      <c r="N7818">
        <v>1</v>
      </c>
      <c r="O7818">
        <v>1675</v>
      </c>
    </row>
    <row r="7819" spans="1:15" x14ac:dyDescent="0.25">
      <c r="A7819" t="str">
        <f>"10/21/2020 19:08:48.583"</f>
        <v>10/21/2020 19:08:48.583</v>
      </c>
      <c r="B7819" t="str">
        <f t="shared" si="778"/>
        <v>19:08:56.547</v>
      </c>
      <c r="C7819" t="str">
        <f t="shared" si="778"/>
        <v>19:08:56.547</v>
      </c>
      <c r="D7819" t="s">
        <v>3127</v>
      </c>
      <c r="E7819">
        <v>30.512423999999999</v>
      </c>
      <c r="F7819" t="s">
        <v>2829</v>
      </c>
      <c r="G7819">
        <v>-89.811130000000006</v>
      </c>
      <c r="H7819">
        <v>1600</v>
      </c>
      <c r="I7819">
        <v>-23</v>
      </c>
      <c r="J7819">
        <v>154</v>
      </c>
      <c r="K7819">
        <v>-320</v>
      </c>
      <c r="L7819">
        <v>1200</v>
      </c>
      <c r="M7819" t="str">
        <f t="shared" si="779"/>
        <v xml:space="preserve">N35DC   </v>
      </c>
      <c r="N7819">
        <v>1</v>
      </c>
      <c r="O7819">
        <v>1675</v>
      </c>
    </row>
    <row r="7820" spans="1:15" x14ac:dyDescent="0.25">
      <c r="A7820" t="str">
        <f>"10/21/2020 19:08:49.434"</f>
        <v>10/21/2020 19:08:49.434</v>
      </c>
      <c r="B7820" t="str">
        <f>"19:08:57.391"</f>
        <v>19:08:57.391</v>
      </c>
      <c r="C7820" t="str">
        <f>"19:08:57.091"</f>
        <v>19:08:57.091</v>
      </c>
      <c r="D7820" t="s">
        <v>3128</v>
      </c>
      <c r="E7820">
        <v>30.513045999999999</v>
      </c>
      <c r="F7820" t="s">
        <v>3061</v>
      </c>
      <c r="G7820">
        <v>-89.811194</v>
      </c>
      <c r="H7820">
        <v>1600</v>
      </c>
      <c r="I7820">
        <v>-25</v>
      </c>
      <c r="J7820">
        <v>154</v>
      </c>
      <c r="K7820">
        <v>-256</v>
      </c>
      <c r="L7820">
        <v>1200</v>
      </c>
      <c r="M7820" t="str">
        <f t="shared" si="779"/>
        <v xml:space="preserve">N35DC   </v>
      </c>
      <c r="N7820">
        <v>1</v>
      </c>
      <c r="O7820">
        <v>1675</v>
      </c>
    </row>
    <row r="7821" spans="1:15" x14ac:dyDescent="0.25">
      <c r="A7821" t="str">
        <f>"10/21/2020 19:08:49.434"</f>
        <v>10/21/2020 19:08:49.434</v>
      </c>
      <c r="B7821" t="str">
        <f>"19:08:57.391"</f>
        <v>19:08:57.391</v>
      </c>
      <c r="C7821" t="str">
        <f>"19:08:57.091"</f>
        <v>19:08:57.091</v>
      </c>
      <c r="D7821" t="s">
        <v>3128</v>
      </c>
      <c r="E7821">
        <v>30.513045999999999</v>
      </c>
      <c r="F7821" t="s">
        <v>3061</v>
      </c>
      <c r="G7821">
        <v>-89.811194</v>
      </c>
      <c r="H7821">
        <v>1600</v>
      </c>
      <c r="I7821">
        <v>-25</v>
      </c>
      <c r="J7821">
        <v>154</v>
      </c>
      <c r="K7821">
        <v>-256</v>
      </c>
      <c r="L7821">
        <v>1200</v>
      </c>
      <c r="M7821" t="str">
        <f t="shared" si="779"/>
        <v xml:space="preserve">N35DC   </v>
      </c>
      <c r="N7821">
        <v>1</v>
      </c>
      <c r="O7821">
        <v>1675</v>
      </c>
    </row>
    <row r="7822" spans="1:15" x14ac:dyDescent="0.25">
      <c r="A7822" t="str">
        <f>"10/21/2020 19:08:49.434"</f>
        <v>10/21/2020 19:08:49.434</v>
      </c>
      <c r="B7822" t="str">
        <f>"19:08:57.391"</f>
        <v>19:08:57.391</v>
      </c>
      <c r="C7822" t="str">
        <f>"19:08:57.091"</f>
        <v>19:08:57.091</v>
      </c>
      <c r="D7822" t="s">
        <v>3128</v>
      </c>
      <c r="E7822">
        <v>30.513045999999999</v>
      </c>
      <c r="F7822" t="s">
        <v>3061</v>
      </c>
      <c r="G7822">
        <v>-89.811194</v>
      </c>
      <c r="H7822">
        <v>1600</v>
      </c>
      <c r="I7822">
        <v>-25</v>
      </c>
      <c r="J7822">
        <v>154</v>
      </c>
      <c r="K7822">
        <v>-256</v>
      </c>
      <c r="L7822">
        <v>1200</v>
      </c>
      <c r="M7822" t="str">
        <f t="shared" si="779"/>
        <v xml:space="preserve">N35DC   </v>
      </c>
      <c r="N7822">
        <v>1</v>
      </c>
      <c r="O7822">
        <v>1675</v>
      </c>
    </row>
    <row r="7823" spans="1:15" x14ac:dyDescent="0.25">
      <c r="A7823" t="str">
        <f>"10/21/2020 19:08:49.434"</f>
        <v>10/21/2020 19:08:49.434</v>
      </c>
      <c r="B7823" t="str">
        <f>"19:08:57.391"</f>
        <v>19:08:57.391</v>
      </c>
      <c r="C7823" t="str">
        <f>"19:08:57.091"</f>
        <v>19:08:57.091</v>
      </c>
      <c r="D7823" t="s">
        <v>3128</v>
      </c>
      <c r="E7823">
        <v>30.513045999999999</v>
      </c>
      <c r="F7823" t="s">
        <v>3061</v>
      </c>
      <c r="G7823">
        <v>-89.811194</v>
      </c>
      <c r="H7823">
        <v>1600</v>
      </c>
      <c r="I7823">
        <v>-25</v>
      </c>
      <c r="J7823">
        <v>154</v>
      </c>
      <c r="K7823">
        <v>-256</v>
      </c>
      <c r="L7823">
        <v>1200</v>
      </c>
      <c r="M7823" t="str">
        <f t="shared" si="779"/>
        <v xml:space="preserve">N35DC   </v>
      </c>
      <c r="N7823">
        <v>1</v>
      </c>
      <c r="O7823">
        <v>1675</v>
      </c>
    </row>
    <row r="7824" spans="1:15" x14ac:dyDescent="0.25">
      <c r="A7824" t="str">
        <f>"10/21/2020 19:08:49.434"</f>
        <v>10/21/2020 19:08:49.434</v>
      </c>
      <c r="B7824" t="str">
        <f>"19:08:57.391"</f>
        <v>19:08:57.391</v>
      </c>
      <c r="C7824" t="str">
        <f>"19:08:57.091"</f>
        <v>19:08:57.091</v>
      </c>
      <c r="D7824" t="s">
        <v>3128</v>
      </c>
      <c r="E7824">
        <v>30.513045999999999</v>
      </c>
      <c r="F7824" t="s">
        <v>3061</v>
      </c>
      <c r="G7824">
        <v>-89.811194</v>
      </c>
      <c r="H7824">
        <v>1600</v>
      </c>
      <c r="I7824">
        <v>-25</v>
      </c>
      <c r="J7824">
        <v>154</v>
      </c>
      <c r="K7824">
        <v>-256</v>
      </c>
      <c r="L7824">
        <v>1200</v>
      </c>
      <c r="M7824" t="str">
        <f t="shared" si="779"/>
        <v xml:space="preserve">N35DC   </v>
      </c>
      <c r="N7824">
        <v>1</v>
      </c>
      <c r="O7824">
        <v>1675</v>
      </c>
    </row>
    <row r="7825" spans="1:15" x14ac:dyDescent="0.25">
      <c r="A7825" t="str">
        <f>"10/21/2020 19:08:50.401"</f>
        <v>10/21/2020 19:08:50.401</v>
      </c>
      <c r="B7825" t="str">
        <f>"19:08:58.352"</f>
        <v>19:08:58.352</v>
      </c>
      <c r="C7825" t="str">
        <f>"19:08:58.152"</f>
        <v>19:08:58.152</v>
      </c>
      <c r="D7825" t="s">
        <v>3129</v>
      </c>
      <c r="E7825">
        <v>30.513732000000001</v>
      </c>
      <c r="F7825" t="s">
        <v>3063</v>
      </c>
      <c r="G7825">
        <v>-89.811366000000007</v>
      </c>
      <c r="H7825">
        <v>1600</v>
      </c>
      <c r="I7825">
        <v>-26</v>
      </c>
      <c r="J7825">
        <v>154</v>
      </c>
      <c r="K7825">
        <v>-64</v>
      </c>
      <c r="L7825">
        <v>1200</v>
      </c>
      <c r="M7825" t="str">
        <f t="shared" si="779"/>
        <v xml:space="preserve">N35DC   </v>
      </c>
      <c r="N7825">
        <v>1</v>
      </c>
      <c r="O7825">
        <v>1675</v>
      </c>
    </row>
    <row r="7826" spans="1:15" x14ac:dyDescent="0.25">
      <c r="A7826" t="str">
        <f>"10/21/2020 19:08:50.401"</f>
        <v>10/21/2020 19:08:50.401</v>
      </c>
      <c r="B7826" t="str">
        <f>"19:08:58.352"</f>
        <v>19:08:58.352</v>
      </c>
      <c r="C7826" t="str">
        <f>"19:08:58.152"</f>
        <v>19:08:58.152</v>
      </c>
      <c r="D7826" t="s">
        <v>3129</v>
      </c>
      <c r="E7826">
        <v>30.513732000000001</v>
      </c>
      <c r="F7826" t="s">
        <v>3063</v>
      </c>
      <c r="G7826">
        <v>-89.811366000000007</v>
      </c>
      <c r="H7826">
        <v>1600</v>
      </c>
      <c r="I7826">
        <v>-26</v>
      </c>
      <c r="J7826">
        <v>154</v>
      </c>
      <c r="K7826">
        <v>-64</v>
      </c>
      <c r="L7826">
        <v>1200</v>
      </c>
      <c r="M7826" t="str">
        <f t="shared" si="779"/>
        <v xml:space="preserve">N35DC   </v>
      </c>
      <c r="N7826">
        <v>1</v>
      </c>
      <c r="O7826">
        <v>1675</v>
      </c>
    </row>
    <row r="7827" spans="1:15" x14ac:dyDescent="0.25">
      <c r="A7827" t="str">
        <f>"10/21/2020 19:08:50.401"</f>
        <v>10/21/2020 19:08:50.401</v>
      </c>
      <c r="B7827" t="str">
        <f>"19:08:58.352"</f>
        <v>19:08:58.352</v>
      </c>
      <c r="C7827" t="str">
        <f>"19:08:58.152"</f>
        <v>19:08:58.152</v>
      </c>
      <c r="D7827" t="s">
        <v>3129</v>
      </c>
      <c r="E7827">
        <v>30.513732000000001</v>
      </c>
      <c r="F7827" t="s">
        <v>3063</v>
      </c>
      <c r="G7827">
        <v>-89.811366000000007</v>
      </c>
      <c r="H7827">
        <v>1600</v>
      </c>
      <c r="I7827">
        <v>-26</v>
      </c>
      <c r="J7827">
        <v>154</v>
      </c>
      <c r="K7827">
        <v>-64</v>
      </c>
      <c r="L7827">
        <v>1200</v>
      </c>
      <c r="M7827" t="str">
        <f t="shared" si="779"/>
        <v xml:space="preserve">N35DC   </v>
      </c>
      <c r="N7827">
        <v>1</v>
      </c>
      <c r="O7827">
        <v>1675</v>
      </c>
    </row>
    <row r="7828" spans="1:15" x14ac:dyDescent="0.25">
      <c r="A7828" t="str">
        <f>"10/21/2020 19:08:50.401"</f>
        <v>10/21/2020 19:08:50.401</v>
      </c>
      <c r="B7828" t="str">
        <f>"19:08:58.352"</f>
        <v>19:08:58.352</v>
      </c>
      <c r="C7828" t="str">
        <f>"19:08:58.152"</f>
        <v>19:08:58.152</v>
      </c>
      <c r="D7828" t="s">
        <v>3129</v>
      </c>
      <c r="E7828">
        <v>30.513732000000001</v>
      </c>
      <c r="F7828" t="s">
        <v>3063</v>
      </c>
      <c r="G7828">
        <v>-89.811366000000007</v>
      </c>
      <c r="H7828">
        <v>1600</v>
      </c>
      <c r="I7828">
        <v>-26</v>
      </c>
      <c r="J7828">
        <v>154</v>
      </c>
      <c r="K7828">
        <v>-64</v>
      </c>
      <c r="L7828">
        <v>1200</v>
      </c>
      <c r="M7828" t="str">
        <f t="shared" si="779"/>
        <v xml:space="preserve">N35DC   </v>
      </c>
      <c r="N7828">
        <v>1</v>
      </c>
      <c r="O7828">
        <v>1675</v>
      </c>
    </row>
    <row r="7829" spans="1:15" x14ac:dyDescent="0.25">
      <c r="A7829" t="str">
        <f>"10/21/2020 19:08:50.401"</f>
        <v>10/21/2020 19:08:50.401</v>
      </c>
      <c r="B7829" t="str">
        <f>"19:08:58.352"</f>
        <v>19:08:58.352</v>
      </c>
      <c r="C7829" t="str">
        <f>"19:08:58.152"</f>
        <v>19:08:58.152</v>
      </c>
      <c r="D7829" t="s">
        <v>3129</v>
      </c>
      <c r="E7829">
        <v>30.513732000000001</v>
      </c>
      <c r="F7829" t="s">
        <v>3063</v>
      </c>
      <c r="G7829">
        <v>-89.811366000000007</v>
      </c>
      <c r="H7829">
        <v>1600</v>
      </c>
      <c r="I7829">
        <v>-26</v>
      </c>
      <c r="J7829">
        <v>154</v>
      </c>
      <c r="K7829">
        <v>-64</v>
      </c>
      <c r="L7829">
        <v>1200</v>
      </c>
      <c r="M7829" t="str">
        <f t="shared" si="779"/>
        <v xml:space="preserve">N35DC   </v>
      </c>
      <c r="N7829">
        <v>1</v>
      </c>
      <c r="O7829">
        <v>1675</v>
      </c>
    </row>
    <row r="7830" spans="1:15" x14ac:dyDescent="0.25">
      <c r="A7830" t="str">
        <f>"10/21/2020 19:08:54.397"</f>
        <v>10/21/2020 19:08:54.397</v>
      </c>
      <c r="B7830" t="str">
        <f>"19:09:02.336"</f>
        <v>19:09:02.336</v>
      </c>
      <c r="C7830" t="str">
        <f>"19:09:02.236"</f>
        <v>19:09:02.236</v>
      </c>
      <c r="D7830" t="s">
        <v>3130</v>
      </c>
      <c r="E7830">
        <v>30.516565</v>
      </c>
      <c r="F7830" t="s">
        <v>2346</v>
      </c>
      <c r="G7830">
        <v>-89.811965999999998</v>
      </c>
      <c r="H7830">
        <v>1600</v>
      </c>
      <c r="I7830">
        <v>-26</v>
      </c>
      <c r="J7830">
        <v>153</v>
      </c>
      <c r="K7830">
        <v>0</v>
      </c>
      <c r="L7830">
        <v>1200</v>
      </c>
      <c r="M7830" t="str">
        <f t="shared" si="779"/>
        <v xml:space="preserve">N35DC   </v>
      </c>
      <c r="N7830">
        <v>1</v>
      </c>
      <c r="O7830">
        <v>1675</v>
      </c>
    </row>
    <row r="7831" spans="1:15" x14ac:dyDescent="0.25">
      <c r="A7831" t="str">
        <f>"10/21/2020 19:08:54.397"</f>
        <v>10/21/2020 19:08:54.397</v>
      </c>
      <c r="B7831" t="str">
        <f>"19:09:02.336"</f>
        <v>19:09:02.336</v>
      </c>
      <c r="C7831" t="str">
        <f>"19:09:02.236"</f>
        <v>19:09:02.236</v>
      </c>
      <c r="D7831" t="s">
        <v>3130</v>
      </c>
      <c r="E7831">
        <v>30.516565</v>
      </c>
      <c r="F7831" t="s">
        <v>2346</v>
      </c>
      <c r="G7831">
        <v>-89.811965999999998</v>
      </c>
      <c r="H7831">
        <v>1600</v>
      </c>
      <c r="I7831">
        <v>-26</v>
      </c>
      <c r="J7831">
        <v>153</v>
      </c>
      <c r="K7831">
        <v>0</v>
      </c>
      <c r="L7831">
        <v>1200</v>
      </c>
      <c r="M7831" t="str">
        <f t="shared" si="779"/>
        <v xml:space="preserve">N35DC   </v>
      </c>
      <c r="N7831">
        <v>1</v>
      </c>
      <c r="O7831">
        <v>1675</v>
      </c>
    </row>
    <row r="7832" spans="1:15" x14ac:dyDescent="0.25">
      <c r="A7832" t="str">
        <f>"10/21/2020 19:08:54.397"</f>
        <v>10/21/2020 19:08:54.397</v>
      </c>
      <c r="B7832" t="str">
        <f>"19:09:02.336"</f>
        <v>19:09:02.336</v>
      </c>
      <c r="C7832" t="str">
        <f>"19:09:02.236"</f>
        <v>19:09:02.236</v>
      </c>
      <c r="D7832" t="s">
        <v>3130</v>
      </c>
      <c r="E7832">
        <v>30.516565</v>
      </c>
      <c r="F7832" t="s">
        <v>2346</v>
      </c>
      <c r="G7832">
        <v>-89.811965999999998</v>
      </c>
      <c r="H7832">
        <v>1600</v>
      </c>
      <c r="I7832">
        <v>-26</v>
      </c>
      <c r="J7832">
        <v>153</v>
      </c>
      <c r="K7832">
        <v>0</v>
      </c>
      <c r="L7832">
        <v>1200</v>
      </c>
      <c r="M7832" t="str">
        <f t="shared" si="779"/>
        <v xml:space="preserve">N35DC   </v>
      </c>
      <c r="N7832">
        <v>1</v>
      </c>
      <c r="O7832">
        <v>1675</v>
      </c>
    </row>
    <row r="7833" spans="1:15" x14ac:dyDescent="0.25">
      <c r="A7833" t="str">
        <f>"10/21/2020 19:08:54.397"</f>
        <v>10/21/2020 19:08:54.397</v>
      </c>
      <c r="B7833" t="str">
        <f>"19:09:02.336"</f>
        <v>19:09:02.336</v>
      </c>
      <c r="C7833" t="str">
        <f>"19:09:02.236"</f>
        <v>19:09:02.236</v>
      </c>
      <c r="D7833" t="s">
        <v>3130</v>
      </c>
      <c r="E7833">
        <v>30.516565</v>
      </c>
      <c r="F7833" t="s">
        <v>2346</v>
      </c>
      <c r="G7833">
        <v>-89.811965999999998</v>
      </c>
      <c r="H7833">
        <v>1600</v>
      </c>
      <c r="I7833">
        <v>-26</v>
      </c>
      <c r="J7833">
        <v>153</v>
      </c>
      <c r="K7833">
        <v>0</v>
      </c>
      <c r="L7833">
        <v>1200</v>
      </c>
      <c r="M7833" t="str">
        <f t="shared" si="779"/>
        <v xml:space="preserve">N35DC   </v>
      </c>
      <c r="N7833">
        <v>1</v>
      </c>
      <c r="O7833">
        <v>1675</v>
      </c>
    </row>
    <row r="7834" spans="1:15" x14ac:dyDescent="0.25">
      <c r="A7834" t="str">
        <f>"10/21/2020 19:08:54.397"</f>
        <v>10/21/2020 19:08:54.397</v>
      </c>
      <c r="B7834" t="str">
        <f>"19:09:02.336"</f>
        <v>19:09:02.336</v>
      </c>
      <c r="C7834" t="str">
        <f>"19:09:02.236"</f>
        <v>19:09:02.236</v>
      </c>
      <c r="D7834" t="s">
        <v>3130</v>
      </c>
      <c r="E7834">
        <v>30.516565</v>
      </c>
      <c r="F7834" t="s">
        <v>2346</v>
      </c>
      <c r="G7834">
        <v>-89.811965999999998</v>
      </c>
      <c r="H7834">
        <v>1600</v>
      </c>
      <c r="I7834">
        <v>-26</v>
      </c>
      <c r="J7834">
        <v>153</v>
      </c>
      <c r="K7834">
        <v>0</v>
      </c>
      <c r="L7834">
        <v>1200</v>
      </c>
      <c r="M7834" t="str">
        <f t="shared" si="779"/>
        <v xml:space="preserve">N35DC   </v>
      </c>
      <c r="N7834">
        <v>1</v>
      </c>
      <c r="O7834">
        <v>1675</v>
      </c>
    </row>
    <row r="7835" spans="1:15" x14ac:dyDescent="0.25">
      <c r="A7835" t="str">
        <f>"10/21/2020 19:08:57.396"</f>
        <v>10/21/2020 19:08:57.396</v>
      </c>
      <c r="B7835" t="str">
        <f>"19:09:05.352"</f>
        <v>19:09:05.352</v>
      </c>
      <c r="C7835" t="str">
        <f>"19:09:05.052"</f>
        <v>19:09:05.052</v>
      </c>
      <c r="D7835" t="s">
        <v>3131</v>
      </c>
      <c r="E7835">
        <v>30.518688999999998</v>
      </c>
      <c r="F7835" t="s">
        <v>2847</v>
      </c>
      <c r="G7835">
        <v>-89.812309999999997</v>
      </c>
      <c r="H7835">
        <v>1600</v>
      </c>
      <c r="I7835">
        <v>-22</v>
      </c>
      <c r="J7835">
        <v>153</v>
      </c>
      <c r="K7835">
        <v>128</v>
      </c>
      <c r="L7835">
        <v>1200</v>
      </c>
      <c r="M7835" t="str">
        <f t="shared" si="779"/>
        <v xml:space="preserve">N35DC   </v>
      </c>
      <c r="N7835">
        <v>1</v>
      </c>
      <c r="O7835">
        <v>1675</v>
      </c>
    </row>
    <row r="7836" spans="1:15" x14ac:dyDescent="0.25">
      <c r="A7836" t="str">
        <f>"10/21/2020 19:08:57.396"</f>
        <v>10/21/2020 19:08:57.396</v>
      </c>
      <c r="B7836" t="str">
        <f>"19:09:05.352"</f>
        <v>19:09:05.352</v>
      </c>
      <c r="C7836" t="str">
        <f>"19:09:05.052"</f>
        <v>19:09:05.052</v>
      </c>
      <c r="D7836" t="s">
        <v>3131</v>
      </c>
      <c r="E7836">
        <v>30.518688999999998</v>
      </c>
      <c r="F7836" t="s">
        <v>2847</v>
      </c>
      <c r="G7836">
        <v>-89.812309999999997</v>
      </c>
      <c r="H7836">
        <v>1600</v>
      </c>
      <c r="I7836">
        <v>-22</v>
      </c>
      <c r="J7836">
        <v>153</v>
      </c>
      <c r="K7836">
        <v>128</v>
      </c>
      <c r="L7836">
        <v>1200</v>
      </c>
      <c r="M7836" t="str">
        <f t="shared" si="779"/>
        <v xml:space="preserve">N35DC   </v>
      </c>
      <c r="N7836">
        <v>1</v>
      </c>
      <c r="O7836">
        <v>1675</v>
      </c>
    </row>
    <row r="7837" spans="1:15" x14ac:dyDescent="0.25">
      <c r="A7837" t="str">
        <f>"10/21/2020 19:08:57.396"</f>
        <v>10/21/2020 19:08:57.396</v>
      </c>
      <c r="B7837" t="str">
        <f>"19:09:05.352"</f>
        <v>19:09:05.352</v>
      </c>
      <c r="C7837" t="str">
        <f>"19:09:05.052"</f>
        <v>19:09:05.052</v>
      </c>
      <c r="D7837" t="s">
        <v>3131</v>
      </c>
      <c r="E7837">
        <v>30.518688999999998</v>
      </c>
      <c r="F7837" t="s">
        <v>2847</v>
      </c>
      <c r="G7837">
        <v>-89.812309999999997</v>
      </c>
      <c r="H7837">
        <v>1600</v>
      </c>
      <c r="I7837">
        <v>-22</v>
      </c>
      <c r="J7837">
        <v>153</v>
      </c>
      <c r="K7837">
        <v>128</v>
      </c>
      <c r="L7837">
        <v>1200</v>
      </c>
      <c r="M7837" t="str">
        <f t="shared" si="779"/>
        <v xml:space="preserve">N35DC   </v>
      </c>
      <c r="N7837">
        <v>1</v>
      </c>
      <c r="O7837">
        <v>1675</v>
      </c>
    </row>
    <row r="7838" spans="1:15" x14ac:dyDescent="0.25">
      <c r="A7838" t="str">
        <f>"10/21/2020 19:08:57.396"</f>
        <v>10/21/2020 19:08:57.396</v>
      </c>
      <c r="B7838" t="str">
        <f>"19:09:05.352"</f>
        <v>19:09:05.352</v>
      </c>
      <c r="C7838" t="str">
        <f>"19:09:05.052"</f>
        <v>19:09:05.052</v>
      </c>
      <c r="D7838" t="s">
        <v>3131</v>
      </c>
      <c r="E7838">
        <v>30.518688999999998</v>
      </c>
      <c r="F7838" t="s">
        <v>2847</v>
      </c>
      <c r="G7838">
        <v>-89.812309999999997</v>
      </c>
      <c r="H7838">
        <v>1600</v>
      </c>
      <c r="I7838">
        <v>-22</v>
      </c>
      <c r="J7838">
        <v>153</v>
      </c>
      <c r="K7838">
        <v>128</v>
      </c>
      <c r="L7838">
        <v>1200</v>
      </c>
      <c r="M7838" t="str">
        <f t="shared" si="779"/>
        <v xml:space="preserve">N35DC   </v>
      </c>
      <c r="N7838">
        <v>1</v>
      </c>
      <c r="O7838">
        <v>1675</v>
      </c>
    </row>
    <row r="7839" spans="1:15" x14ac:dyDescent="0.25">
      <c r="A7839" t="str">
        <f>"10/21/2020 19:08:57.396"</f>
        <v>10/21/2020 19:08:57.396</v>
      </c>
      <c r="B7839" t="str">
        <f>"19:09:05.352"</f>
        <v>19:09:05.352</v>
      </c>
      <c r="C7839" t="str">
        <f>"19:09:05.052"</f>
        <v>19:09:05.052</v>
      </c>
      <c r="D7839" t="s">
        <v>3131</v>
      </c>
      <c r="E7839">
        <v>30.518688999999998</v>
      </c>
      <c r="F7839" t="s">
        <v>2847</v>
      </c>
      <c r="G7839">
        <v>-89.812309999999997</v>
      </c>
      <c r="H7839">
        <v>1600</v>
      </c>
      <c r="I7839">
        <v>-22</v>
      </c>
      <c r="J7839">
        <v>153</v>
      </c>
      <c r="K7839">
        <v>128</v>
      </c>
      <c r="L7839">
        <v>1200</v>
      </c>
      <c r="M7839" t="str">
        <f t="shared" si="779"/>
        <v xml:space="preserve">N35DC   </v>
      </c>
      <c r="N7839">
        <v>1</v>
      </c>
      <c r="O7839">
        <v>1675</v>
      </c>
    </row>
    <row r="7840" spans="1:15" x14ac:dyDescent="0.25">
      <c r="A7840" t="str">
        <f>"10/21/2020 19:08:58.356"</f>
        <v>10/21/2020 19:08:58.356</v>
      </c>
      <c r="B7840" t="str">
        <f>"19:09:06.313"</f>
        <v>19:09:06.313</v>
      </c>
      <c r="C7840" t="str">
        <f>"19:09:06.012"</f>
        <v>19:09:06.012</v>
      </c>
      <c r="D7840" t="s">
        <v>3132</v>
      </c>
      <c r="E7840">
        <v>30.519376000000001</v>
      </c>
      <c r="F7840" t="s">
        <v>3133</v>
      </c>
      <c r="G7840">
        <v>-89.812416999999996</v>
      </c>
      <c r="H7840">
        <v>1600</v>
      </c>
      <c r="I7840">
        <v>-19</v>
      </c>
      <c r="J7840">
        <v>153</v>
      </c>
      <c r="K7840">
        <v>192</v>
      </c>
      <c r="L7840">
        <v>1200</v>
      </c>
      <c r="M7840" t="str">
        <f t="shared" si="779"/>
        <v xml:space="preserve">N35DC   </v>
      </c>
      <c r="N7840">
        <v>1</v>
      </c>
      <c r="O7840">
        <v>1700</v>
      </c>
    </row>
    <row r="7841" spans="1:15" x14ac:dyDescent="0.25">
      <c r="A7841" t="str">
        <f>"10/21/2020 19:08:58.356"</f>
        <v>10/21/2020 19:08:58.356</v>
      </c>
      <c r="B7841" t="str">
        <f>"19:09:06.313"</f>
        <v>19:09:06.313</v>
      </c>
      <c r="C7841" t="str">
        <f>"19:09:06.012"</f>
        <v>19:09:06.012</v>
      </c>
      <c r="D7841" t="s">
        <v>3132</v>
      </c>
      <c r="E7841">
        <v>30.519376000000001</v>
      </c>
      <c r="F7841" t="s">
        <v>3133</v>
      </c>
      <c r="G7841">
        <v>-89.812416999999996</v>
      </c>
      <c r="H7841">
        <v>1600</v>
      </c>
      <c r="I7841">
        <v>-19</v>
      </c>
      <c r="J7841">
        <v>153</v>
      </c>
      <c r="K7841">
        <v>192</v>
      </c>
      <c r="L7841">
        <v>1200</v>
      </c>
      <c r="M7841" t="str">
        <f t="shared" si="779"/>
        <v xml:space="preserve">N35DC   </v>
      </c>
      <c r="N7841">
        <v>1</v>
      </c>
      <c r="O7841">
        <v>1700</v>
      </c>
    </row>
    <row r="7842" spans="1:15" x14ac:dyDescent="0.25">
      <c r="A7842" t="str">
        <f>"10/21/2020 19:08:58.356"</f>
        <v>10/21/2020 19:08:58.356</v>
      </c>
      <c r="B7842" t="str">
        <f>"19:09:06.313"</f>
        <v>19:09:06.313</v>
      </c>
      <c r="C7842" t="str">
        <f>"19:09:06.012"</f>
        <v>19:09:06.012</v>
      </c>
      <c r="D7842" t="s">
        <v>3132</v>
      </c>
      <c r="E7842">
        <v>30.519376000000001</v>
      </c>
      <c r="F7842" t="s">
        <v>3133</v>
      </c>
      <c r="G7842">
        <v>-89.812416999999996</v>
      </c>
      <c r="H7842">
        <v>1600</v>
      </c>
      <c r="I7842">
        <v>-19</v>
      </c>
      <c r="J7842">
        <v>153</v>
      </c>
      <c r="K7842">
        <v>192</v>
      </c>
      <c r="L7842">
        <v>1200</v>
      </c>
      <c r="M7842" t="str">
        <f t="shared" si="779"/>
        <v xml:space="preserve">N35DC   </v>
      </c>
      <c r="N7842">
        <v>1</v>
      </c>
      <c r="O7842">
        <v>1700</v>
      </c>
    </row>
    <row r="7843" spans="1:15" x14ac:dyDescent="0.25">
      <c r="A7843" t="str">
        <f>"10/21/2020 19:08:58.356"</f>
        <v>10/21/2020 19:08:58.356</v>
      </c>
      <c r="B7843" t="str">
        <f>"19:09:06.313"</f>
        <v>19:09:06.313</v>
      </c>
      <c r="C7843" t="str">
        <f>"19:09:06.012"</f>
        <v>19:09:06.012</v>
      </c>
      <c r="D7843" t="s">
        <v>3132</v>
      </c>
      <c r="E7843">
        <v>30.519376000000001</v>
      </c>
      <c r="F7843" t="s">
        <v>3133</v>
      </c>
      <c r="G7843">
        <v>-89.812416999999996</v>
      </c>
      <c r="H7843">
        <v>1600</v>
      </c>
      <c r="I7843">
        <v>-19</v>
      </c>
      <c r="J7843">
        <v>153</v>
      </c>
      <c r="K7843">
        <v>192</v>
      </c>
      <c r="L7843">
        <v>1200</v>
      </c>
      <c r="M7843" t="str">
        <f t="shared" si="779"/>
        <v xml:space="preserve">N35DC   </v>
      </c>
      <c r="N7843">
        <v>1</v>
      </c>
      <c r="O7843">
        <v>1700</v>
      </c>
    </row>
    <row r="7844" spans="1:15" x14ac:dyDescent="0.25">
      <c r="A7844" t="str">
        <f>"10/21/2020 19:08:58.356"</f>
        <v>10/21/2020 19:08:58.356</v>
      </c>
      <c r="B7844" t="str">
        <f>"19:09:06.313"</f>
        <v>19:09:06.313</v>
      </c>
      <c r="C7844" t="str">
        <f>"19:09:06.012"</f>
        <v>19:09:06.012</v>
      </c>
      <c r="D7844" t="s">
        <v>3132</v>
      </c>
      <c r="E7844">
        <v>30.519376000000001</v>
      </c>
      <c r="F7844" t="s">
        <v>3133</v>
      </c>
      <c r="G7844">
        <v>-89.812416999999996</v>
      </c>
      <c r="H7844">
        <v>1600</v>
      </c>
      <c r="I7844">
        <v>-19</v>
      </c>
      <c r="J7844">
        <v>153</v>
      </c>
      <c r="K7844">
        <v>192</v>
      </c>
      <c r="L7844">
        <v>1200</v>
      </c>
      <c r="M7844" t="str">
        <f t="shared" si="779"/>
        <v xml:space="preserve">N35DC   </v>
      </c>
      <c r="N7844">
        <v>1</v>
      </c>
      <c r="O7844">
        <v>1700</v>
      </c>
    </row>
    <row r="7845" spans="1:15" x14ac:dyDescent="0.25">
      <c r="A7845" t="str">
        <f>"10/21/2020 19:09:00.493"</f>
        <v>10/21/2020 19:09:00.493</v>
      </c>
      <c r="B7845" t="str">
        <f>"19:09:08.477"</f>
        <v>19:09:08.477</v>
      </c>
      <c r="C7845" t="str">
        <f>"19:09:07.977"</f>
        <v>19:09:07.977</v>
      </c>
      <c r="D7845" t="s">
        <v>3134</v>
      </c>
      <c r="E7845">
        <v>30.520899</v>
      </c>
      <c r="F7845" t="s">
        <v>3135</v>
      </c>
      <c r="G7845">
        <v>-89.812589000000003</v>
      </c>
      <c r="H7845">
        <v>1600</v>
      </c>
      <c r="I7845">
        <v>-14</v>
      </c>
      <c r="J7845">
        <v>153</v>
      </c>
      <c r="K7845">
        <v>128</v>
      </c>
      <c r="L7845">
        <v>1200</v>
      </c>
      <c r="M7845" t="str">
        <f t="shared" si="779"/>
        <v xml:space="preserve">N35DC   </v>
      </c>
      <c r="N7845">
        <v>1</v>
      </c>
      <c r="O7845">
        <v>1700</v>
      </c>
    </row>
    <row r="7846" spans="1:15" x14ac:dyDescent="0.25">
      <c r="A7846" t="str">
        <f>"10/21/2020 19:09:00.493"</f>
        <v>10/21/2020 19:09:00.493</v>
      </c>
      <c r="B7846" t="str">
        <f>"19:09:08.477"</f>
        <v>19:09:08.477</v>
      </c>
      <c r="C7846" t="str">
        <f>"19:09:07.977"</f>
        <v>19:09:07.977</v>
      </c>
      <c r="D7846" t="s">
        <v>3134</v>
      </c>
      <c r="E7846">
        <v>30.520899</v>
      </c>
      <c r="F7846" t="s">
        <v>3135</v>
      </c>
      <c r="G7846">
        <v>-89.812589000000003</v>
      </c>
      <c r="H7846">
        <v>1600</v>
      </c>
      <c r="I7846">
        <v>-14</v>
      </c>
      <c r="J7846">
        <v>153</v>
      </c>
      <c r="K7846">
        <v>128</v>
      </c>
      <c r="L7846">
        <v>1200</v>
      </c>
      <c r="M7846" t="str">
        <f t="shared" si="779"/>
        <v xml:space="preserve">N35DC   </v>
      </c>
      <c r="N7846">
        <v>1</v>
      </c>
      <c r="O7846">
        <v>1700</v>
      </c>
    </row>
    <row r="7847" spans="1:15" x14ac:dyDescent="0.25">
      <c r="A7847" t="str">
        <f>"10/21/2020 19:09:00.493"</f>
        <v>10/21/2020 19:09:00.493</v>
      </c>
      <c r="B7847" t="str">
        <f>"19:09:08.477"</f>
        <v>19:09:08.477</v>
      </c>
      <c r="C7847" t="str">
        <f>"19:09:07.977"</f>
        <v>19:09:07.977</v>
      </c>
      <c r="D7847" t="s">
        <v>3134</v>
      </c>
      <c r="E7847">
        <v>30.520899</v>
      </c>
      <c r="F7847" t="s">
        <v>3135</v>
      </c>
      <c r="G7847">
        <v>-89.812589000000003</v>
      </c>
      <c r="H7847">
        <v>1600</v>
      </c>
      <c r="I7847">
        <v>-14</v>
      </c>
      <c r="J7847">
        <v>153</v>
      </c>
      <c r="K7847">
        <v>128</v>
      </c>
      <c r="L7847">
        <v>1200</v>
      </c>
      <c r="M7847" t="str">
        <f t="shared" si="779"/>
        <v xml:space="preserve">N35DC   </v>
      </c>
      <c r="N7847">
        <v>1</v>
      </c>
      <c r="O7847">
        <v>1700</v>
      </c>
    </row>
    <row r="7848" spans="1:15" x14ac:dyDescent="0.25">
      <c r="A7848" t="str">
        <f>"10/21/2020 19:09:00.493"</f>
        <v>10/21/2020 19:09:00.493</v>
      </c>
      <c r="B7848" t="str">
        <f>"19:09:08.477"</f>
        <v>19:09:08.477</v>
      </c>
      <c r="C7848" t="str">
        <f>"19:09:07.977"</f>
        <v>19:09:07.977</v>
      </c>
      <c r="D7848" t="s">
        <v>3134</v>
      </c>
      <c r="E7848">
        <v>30.520899</v>
      </c>
      <c r="F7848" t="s">
        <v>3135</v>
      </c>
      <c r="G7848">
        <v>-89.812589000000003</v>
      </c>
      <c r="H7848">
        <v>1600</v>
      </c>
      <c r="I7848">
        <v>-14</v>
      </c>
      <c r="J7848">
        <v>153</v>
      </c>
      <c r="K7848">
        <v>128</v>
      </c>
      <c r="L7848">
        <v>1200</v>
      </c>
      <c r="M7848" t="str">
        <f t="shared" si="779"/>
        <v xml:space="preserve">N35DC   </v>
      </c>
      <c r="N7848">
        <v>1</v>
      </c>
      <c r="O7848">
        <v>1700</v>
      </c>
    </row>
    <row r="7849" spans="1:15" x14ac:dyDescent="0.25">
      <c r="A7849" t="str">
        <f>"10/21/2020 19:09:00.493"</f>
        <v>10/21/2020 19:09:00.493</v>
      </c>
      <c r="B7849" t="str">
        <f>"19:09:08.477"</f>
        <v>19:09:08.477</v>
      </c>
      <c r="C7849" t="str">
        <f>"19:09:07.977"</f>
        <v>19:09:07.977</v>
      </c>
      <c r="D7849" t="s">
        <v>3134</v>
      </c>
      <c r="E7849">
        <v>30.520899</v>
      </c>
      <c r="F7849" t="s">
        <v>3135</v>
      </c>
      <c r="G7849">
        <v>-89.812589000000003</v>
      </c>
      <c r="H7849">
        <v>1600</v>
      </c>
      <c r="I7849">
        <v>-14</v>
      </c>
      <c r="J7849">
        <v>153</v>
      </c>
      <c r="K7849">
        <v>128</v>
      </c>
      <c r="L7849">
        <v>1200</v>
      </c>
      <c r="M7849" t="str">
        <f t="shared" si="779"/>
        <v xml:space="preserve">N35DC   </v>
      </c>
      <c r="N7849">
        <v>1</v>
      </c>
      <c r="O7849">
        <v>1700</v>
      </c>
    </row>
    <row r="7850" spans="1:15" x14ac:dyDescent="0.25">
      <c r="A7850" t="str">
        <f>"10/21/2020 19:09:03.547"</f>
        <v>10/21/2020 19:09:03.547</v>
      </c>
      <c r="B7850" t="str">
        <f>"19:09:11.477"</f>
        <v>19:09:11.477</v>
      </c>
      <c r="C7850" t="str">
        <f>"19:09:11.177"</f>
        <v>19:09:11.177</v>
      </c>
      <c r="D7850" t="s">
        <v>3136</v>
      </c>
      <c r="E7850">
        <v>30.523045</v>
      </c>
      <c r="F7850" t="s">
        <v>3137</v>
      </c>
      <c r="G7850">
        <v>-89.812674999999999</v>
      </c>
      <c r="H7850">
        <v>1600</v>
      </c>
      <c r="I7850">
        <v>-6</v>
      </c>
      <c r="J7850">
        <v>153</v>
      </c>
      <c r="K7850">
        <v>-64</v>
      </c>
      <c r="L7850">
        <v>1200</v>
      </c>
      <c r="M7850" t="str">
        <f t="shared" si="779"/>
        <v xml:space="preserve">N35DC   </v>
      </c>
      <c r="N7850">
        <v>1</v>
      </c>
      <c r="O7850">
        <v>1700</v>
      </c>
    </row>
    <row r="7851" spans="1:15" x14ac:dyDescent="0.25">
      <c r="A7851" t="str">
        <f>"10/21/2020 19:09:03.547"</f>
        <v>10/21/2020 19:09:03.547</v>
      </c>
      <c r="B7851" t="str">
        <f>"19:09:11.477"</f>
        <v>19:09:11.477</v>
      </c>
      <c r="C7851" t="str">
        <f>"19:09:11.177"</f>
        <v>19:09:11.177</v>
      </c>
      <c r="D7851" t="s">
        <v>3136</v>
      </c>
      <c r="E7851">
        <v>30.523045</v>
      </c>
      <c r="F7851" t="s">
        <v>3137</v>
      </c>
      <c r="G7851">
        <v>-89.812674999999999</v>
      </c>
      <c r="H7851">
        <v>1600</v>
      </c>
      <c r="I7851">
        <v>-6</v>
      </c>
      <c r="J7851">
        <v>153</v>
      </c>
      <c r="K7851">
        <v>-64</v>
      </c>
      <c r="L7851">
        <v>1200</v>
      </c>
      <c r="M7851" t="str">
        <f t="shared" si="779"/>
        <v xml:space="preserve">N35DC   </v>
      </c>
      <c r="N7851">
        <v>1</v>
      </c>
      <c r="O7851">
        <v>1700</v>
      </c>
    </row>
    <row r="7852" spans="1:15" x14ac:dyDescent="0.25">
      <c r="A7852" t="str">
        <f>"10/21/2020 19:09:03.547"</f>
        <v>10/21/2020 19:09:03.547</v>
      </c>
      <c r="B7852" t="str">
        <f>"19:09:11.477"</f>
        <v>19:09:11.477</v>
      </c>
      <c r="C7852" t="str">
        <f>"19:09:11.177"</f>
        <v>19:09:11.177</v>
      </c>
      <c r="D7852" t="s">
        <v>3136</v>
      </c>
      <c r="E7852">
        <v>30.523045</v>
      </c>
      <c r="F7852" t="s">
        <v>3137</v>
      </c>
      <c r="G7852">
        <v>-89.812674999999999</v>
      </c>
      <c r="H7852">
        <v>1600</v>
      </c>
      <c r="I7852">
        <v>-6</v>
      </c>
      <c r="J7852">
        <v>153</v>
      </c>
      <c r="K7852">
        <v>-64</v>
      </c>
      <c r="L7852">
        <v>1200</v>
      </c>
      <c r="M7852" t="str">
        <f t="shared" si="779"/>
        <v xml:space="preserve">N35DC   </v>
      </c>
      <c r="N7852">
        <v>1</v>
      </c>
      <c r="O7852">
        <v>1700</v>
      </c>
    </row>
    <row r="7853" spans="1:15" x14ac:dyDescent="0.25">
      <c r="A7853" t="str">
        <f>"10/21/2020 19:09:03.547"</f>
        <v>10/21/2020 19:09:03.547</v>
      </c>
      <c r="B7853" t="str">
        <f>"19:09:11.477"</f>
        <v>19:09:11.477</v>
      </c>
      <c r="C7853" t="str">
        <f>"19:09:11.177"</f>
        <v>19:09:11.177</v>
      </c>
      <c r="D7853" t="s">
        <v>3136</v>
      </c>
      <c r="E7853">
        <v>30.523045</v>
      </c>
      <c r="F7853" t="s">
        <v>3137</v>
      </c>
      <c r="G7853">
        <v>-89.812674999999999</v>
      </c>
      <c r="H7853">
        <v>1600</v>
      </c>
      <c r="I7853">
        <v>-6</v>
      </c>
      <c r="J7853">
        <v>153</v>
      </c>
      <c r="K7853">
        <v>-64</v>
      </c>
      <c r="L7853">
        <v>1200</v>
      </c>
      <c r="M7853" t="str">
        <f t="shared" si="779"/>
        <v xml:space="preserve">N35DC   </v>
      </c>
      <c r="N7853">
        <v>1</v>
      </c>
      <c r="O7853">
        <v>1700</v>
      </c>
    </row>
    <row r="7854" spans="1:15" x14ac:dyDescent="0.25">
      <c r="A7854" t="str">
        <f>"10/21/2020 19:09:03.547"</f>
        <v>10/21/2020 19:09:03.547</v>
      </c>
      <c r="B7854" t="str">
        <f>"19:09:11.477"</f>
        <v>19:09:11.477</v>
      </c>
      <c r="C7854" t="str">
        <f>"19:09:11.177"</f>
        <v>19:09:11.177</v>
      </c>
      <c r="D7854" t="s">
        <v>3136</v>
      </c>
      <c r="E7854">
        <v>30.523045</v>
      </c>
      <c r="F7854" t="s">
        <v>3137</v>
      </c>
      <c r="G7854">
        <v>-89.812674999999999</v>
      </c>
      <c r="H7854">
        <v>1600</v>
      </c>
      <c r="I7854">
        <v>-6</v>
      </c>
      <c r="J7854">
        <v>153</v>
      </c>
      <c r="K7854">
        <v>-64</v>
      </c>
      <c r="L7854">
        <v>1200</v>
      </c>
      <c r="M7854" t="str">
        <f t="shared" si="779"/>
        <v xml:space="preserve">N35DC   </v>
      </c>
      <c r="N7854">
        <v>1</v>
      </c>
      <c r="O7854">
        <v>1700</v>
      </c>
    </row>
    <row r="7855" spans="1:15" x14ac:dyDescent="0.25">
      <c r="A7855" t="str">
        <f>"10/21/2020 19:09:05.316"</f>
        <v>10/21/2020 19:09:05.316</v>
      </c>
      <c r="B7855" t="str">
        <f>"19:09:13.273"</f>
        <v>19:09:13.273</v>
      </c>
      <c r="C7855" t="str">
        <f>"19:09:12.973"</f>
        <v>19:09:12.973</v>
      </c>
      <c r="D7855" t="s">
        <v>3138</v>
      </c>
      <c r="E7855">
        <v>30.524332999999999</v>
      </c>
      <c r="F7855" t="s">
        <v>3139</v>
      </c>
      <c r="G7855">
        <v>-89.812738999999993</v>
      </c>
      <c r="H7855">
        <v>1600</v>
      </c>
      <c r="I7855">
        <v>-3</v>
      </c>
      <c r="J7855">
        <v>152</v>
      </c>
      <c r="K7855">
        <v>-64</v>
      </c>
      <c r="L7855">
        <v>1200</v>
      </c>
      <c r="M7855" t="str">
        <f t="shared" si="779"/>
        <v xml:space="preserve">N35DC   </v>
      </c>
      <c r="N7855">
        <v>1</v>
      </c>
      <c r="O7855">
        <v>1700</v>
      </c>
    </row>
    <row r="7856" spans="1:15" x14ac:dyDescent="0.25">
      <c r="A7856" t="str">
        <f>"10/21/2020 19:09:05.316"</f>
        <v>10/21/2020 19:09:05.316</v>
      </c>
      <c r="B7856" t="str">
        <f>"19:09:13.273"</f>
        <v>19:09:13.273</v>
      </c>
      <c r="C7856" t="str">
        <f>"19:09:12.973"</f>
        <v>19:09:12.973</v>
      </c>
      <c r="D7856" t="s">
        <v>3138</v>
      </c>
      <c r="E7856">
        <v>30.524332999999999</v>
      </c>
      <c r="F7856" t="s">
        <v>3139</v>
      </c>
      <c r="G7856">
        <v>-89.812738999999993</v>
      </c>
      <c r="H7856">
        <v>1600</v>
      </c>
      <c r="I7856">
        <v>-3</v>
      </c>
      <c r="J7856">
        <v>152</v>
      </c>
      <c r="K7856">
        <v>-64</v>
      </c>
      <c r="L7856">
        <v>1200</v>
      </c>
      <c r="M7856" t="str">
        <f t="shared" si="779"/>
        <v xml:space="preserve">N35DC   </v>
      </c>
      <c r="N7856">
        <v>1</v>
      </c>
      <c r="O7856">
        <v>1700</v>
      </c>
    </row>
    <row r="7857" spans="1:15" x14ac:dyDescent="0.25">
      <c r="A7857" t="str">
        <f>"10/21/2020 19:09:05.316"</f>
        <v>10/21/2020 19:09:05.316</v>
      </c>
      <c r="B7857" t="str">
        <f>"19:09:13.273"</f>
        <v>19:09:13.273</v>
      </c>
      <c r="C7857" t="str">
        <f>"19:09:12.973"</f>
        <v>19:09:12.973</v>
      </c>
      <c r="D7857" t="s">
        <v>3138</v>
      </c>
      <c r="E7857">
        <v>30.524332999999999</v>
      </c>
      <c r="F7857" t="s">
        <v>3139</v>
      </c>
      <c r="G7857">
        <v>-89.812738999999993</v>
      </c>
      <c r="H7857">
        <v>1600</v>
      </c>
      <c r="I7857">
        <v>-3</v>
      </c>
      <c r="J7857">
        <v>152</v>
      </c>
      <c r="K7857">
        <v>-64</v>
      </c>
      <c r="L7857">
        <v>1200</v>
      </c>
      <c r="M7857" t="str">
        <f t="shared" si="779"/>
        <v xml:space="preserve">N35DC   </v>
      </c>
      <c r="N7857">
        <v>1</v>
      </c>
      <c r="O7857">
        <v>1700</v>
      </c>
    </row>
    <row r="7858" spans="1:15" x14ac:dyDescent="0.25">
      <c r="A7858" t="str">
        <f>"10/21/2020 19:09:05.316"</f>
        <v>10/21/2020 19:09:05.316</v>
      </c>
      <c r="B7858" t="str">
        <f>"19:09:13.273"</f>
        <v>19:09:13.273</v>
      </c>
      <c r="C7858" t="str">
        <f>"19:09:12.973"</f>
        <v>19:09:12.973</v>
      </c>
      <c r="D7858" t="s">
        <v>3138</v>
      </c>
      <c r="E7858">
        <v>30.524332999999999</v>
      </c>
      <c r="F7858" t="s">
        <v>3139</v>
      </c>
      <c r="G7858">
        <v>-89.812738999999993</v>
      </c>
      <c r="H7858">
        <v>1600</v>
      </c>
      <c r="I7858">
        <v>-3</v>
      </c>
      <c r="J7858">
        <v>152</v>
      </c>
      <c r="K7858">
        <v>-64</v>
      </c>
      <c r="L7858">
        <v>1200</v>
      </c>
      <c r="M7858" t="str">
        <f t="shared" si="779"/>
        <v xml:space="preserve">N35DC   </v>
      </c>
      <c r="N7858">
        <v>1</v>
      </c>
      <c r="O7858">
        <v>1700</v>
      </c>
    </row>
    <row r="7859" spans="1:15" x14ac:dyDescent="0.25">
      <c r="A7859" t="str">
        <f>"10/21/2020 19:09:05.316"</f>
        <v>10/21/2020 19:09:05.316</v>
      </c>
      <c r="B7859" t="str">
        <f>"19:09:13.273"</f>
        <v>19:09:13.273</v>
      </c>
      <c r="C7859" t="str">
        <f>"19:09:12.973"</f>
        <v>19:09:12.973</v>
      </c>
      <c r="D7859" t="s">
        <v>3138</v>
      </c>
      <c r="E7859">
        <v>30.524332999999999</v>
      </c>
      <c r="F7859" t="s">
        <v>3139</v>
      </c>
      <c r="G7859">
        <v>-89.812738999999993</v>
      </c>
      <c r="H7859">
        <v>1600</v>
      </c>
      <c r="I7859">
        <v>-3</v>
      </c>
      <c r="J7859">
        <v>152</v>
      </c>
      <c r="K7859">
        <v>-64</v>
      </c>
      <c r="L7859">
        <v>1200</v>
      </c>
      <c r="M7859" t="str">
        <f t="shared" si="779"/>
        <v xml:space="preserve">N35DC   </v>
      </c>
      <c r="N7859">
        <v>1</v>
      </c>
      <c r="O7859">
        <v>1700</v>
      </c>
    </row>
    <row r="7860" spans="1:15" x14ac:dyDescent="0.25">
      <c r="A7860" t="str">
        <f>"10/21/2020 19:09:08.378"</f>
        <v>10/21/2020 19:09:08.378</v>
      </c>
      <c r="B7860" t="str">
        <f>"19:09:16.336"</f>
        <v>19:09:16.336</v>
      </c>
      <c r="C7860" t="str">
        <f>"19:09:16.136"</f>
        <v>19:09:16.136</v>
      </c>
      <c r="D7860" t="s">
        <v>3140</v>
      </c>
      <c r="E7860">
        <v>30.526499999999999</v>
      </c>
      <c r="F7860" t="s">
        <v>3139</v>
      </c>
      <c r="G7860">
        <v>-89.812738999999993</v>
      </c>
      <c r="H7860">
        <v>1600</v>
      </c>
      <c r="I7860">
        <v>1</v>
      </c>
      <c r="J7860">
        <v>152</v>
      </c>
      <c r="K7860">
        <v>64</v>
      </c>
      <c r="L7860">
        <v>1200</v>
      </c>
      <c r="M7860" t="str">
        <f t="shared" si="779"/>
        <v xml:space="preserve">N35DC   </v>
      </c>
      <c r="N7860">
        <v>1</v>
      </c>
      <c r="O7860">
        <v>1700</v>
      </c>
    </row>
    <row r="7861" spans="1:15" x14ac:dyDescent="0.25">
      <c r="A7861" t="str">
        <f>"10/21/2020 19:09:08.378"</f>
        <v>10/21/2020 19:09:08.378</v>
      </c>
      <c r="B7861" t="str">
        <f>"19:09:16.336"</f>
        <v>19:09:16.336</v>
      </c>
      <c r="C7861" t="str">
        <f>"19:09:16.136"</f>
        <v>19:09:16.136</v>
      </c>
      <c r="D7861" t="s">
        <v>3140</v>
      </c>
      <c r="E7861">
        <v>30.526499999999999</v>
      </c>
      <c r="F7861" t="s">
        <v>3139</v>
      </c>
      <c r="G7861">
        <v>-89.812738999999993</v>
      </c>
      <c r="H7861">
        <v>1600</v>
      </c>
      <c r="I7861">
        <v>1</v>
      </c>
      <c r="J7861">
        <v>152</v>
      </c>
      <c r="K7861">
        <v>64</v>
      </c>
      <c r="L7861">
        <v>1200</v>
      </c>
      <c r="M7861" t="str">
        <f t="shared" si="779"/>
        <v xml:space="preserve">N35DC   </v>
      </c>
      <c r="N7861">
        <v>1</v>
      </c>
      <c r="O7861">
        <v>1700</v>
      </c>
    </row>
    <row r="7862" spans="1:15" x14ac:dyDescent="0.25">
      <c r="A7862" t="str">
        <f>"10/21/2020 19:09:08.378"</f>
        <v>10/21/2020 19:09:08.378</v>
      </c>
      <c r="B7862" t="str">
        <f>"19:09:16.336"</f>
        <v>19:09:16.336</v>
      </c>
      <c r="C7862" t="str">
        <f>"19:09:16.136"</f>
        <v>19:09:16.136</v>
      </c>
      <c r="D7862" t="s">
        <v>3140</v>
      </c>
      <c r="E7862">
        <v>30.526499999999999</v>
      </c>
      <c r="F7862" t="s">
        <v>3139</v>
      </c>
      <c r="G7862">
        <v>-89.812738999999993</v>
      </c>
      <c r="H7862">
        <v>1600</v>
      </c>
      <c r="I7862">
        <v>1</v>
      </c>
      <c r="J7862">
        <v>152</v>
      </c>
      <c r="K7862">
        <v>64</v>
      </c>
      <c r="L7862">
        <v>1200</v>
      </c>
      <c r="M7862" t="str">
        <f t="shared" si="779"/>
        <v xml:space="preserve">N35DC   </v>
      </c>
      <c r="N7862">
        <v>1</v>
      </c>
      <c r="O7862">
        <v>1700</v>
      </c>
    </row>
    <row r="7863" spans="1:15" x14ac:dyDescent="0.25">
      <c r="A7863" t="str">
        <f>"10/21/2020 19:09:08.378"</f>
        <v>10/21/2020 19:09:08.378</v>
      </c>
      <c r="B7863" t="str">
        <f>"19:09:16.336"</f>
        <v>19:09:16.336</v>
      </c>
      <c r="C7863" t="str">
        <f>"19:09:16.136"</f>
        <v>19:09:16.136</v>
      </c>
      <c r="D7863" t="s">
        <v>3140</v>
      </c>
      <c r="E7863">
        <v>30.526499999999999</v>
      </c>
      <c r="F7863" t="s">
        <v>3139</v>
      </c>
      <c r="G7863">
        <v>-89.812738999999993</v>
      </c>
      <c r="H7863">
        <v>1600</v>
      </c>
      <c r="I7863">
        <v>1</v>
      </c>
      <c r="J7863">
        <v>152</v>
      </c>
      <c r="K7863">
        <v>64</v>
      </c>
      <c r="L7863">
        <v>1200</v>
      </c>
      <c r="M7863" t="str">
        <f t="shared" si="779"/>
        <v xml:space="preserve">N35DC   </v>
      </c>
      <c r="N7863">
        <v>1</v>
      </c>
      <c r="O7863">
        <v>1700</v>
      </c>
    </row>
    <row r="7864" spans="1:15" x14ac:dyDescent="0.25">
      <c r="A7864" t="str">
        <f>"10/21/2020 19:09:08.378"</f>
        <v>10/21/2020 19:09:08.378</v>
      </c>
      <c r="B7864" t="str">
        <f>"19:09:16.336"</f>
        <v>19:09:16.336</v>
      </c>
      <c r="C7864" t="str">
        <f>"19:09:16.136"</f>
        <v>19:09:16.136</v>
      </c>
      <c r="D7864" t="s">
        <v>3140</v>
      </c>
      <c r="E7864">
        <v>30.526499999999999</v>
      </c>
      <c r="F7864" t="s">
        <v>3139</v>
      </c>
      <c r="G7864">
        <v>-89.812738999999993</v>
      </c>
      <c r="H7864">
        <v>1600</v>
      </c>
      <c r="I7864">
        <v>1</v>
      </c>
      <c r="J7864">
        <v>152</v>
      </c>
      <c r="K7864">
        <v>64</v>
      </c>
      <c r="L7864">
        <v>1200</v>
      </c>
      <c r="M7864" t="str">
        <f t="shared" si="779"/>
        <v xml:space="preserve">N35DC   </v>
      </c>
      <c r="N7864">
        <v>1</v>
      </c>
      <c r="O7864">
        <v>1700</v>
      </c>
    </row>
    <row r="7865" spans="1:15" x14ac:dyDescent="0.25">
      <c r="A7865" t="str">
        <f>"10/21/2020 19:09:10.570"</f>
        <v>10/21/2020 19:09:10.570</v>
      </c>
      <c r="B7865" t="str">
        <f>"19:09:18.523"</f>
        <v>19:09:18.523</v>
      </c>
      <c r="C7865" t="str">
        <f>"19:09:18.223"</f>
        <v>19:09:18.223</v>
      </c>
      <c r="D7865" t="s">
        <v>3141</v>
      </c>
      <c r="E7865">
        <v>30.528023000000001</v>
      </c>
      <c r="F7865" t="s">
        <v>3139</v>
      </c>
      <c r="G7865">
        <v>-89.812738999999993</v>
      </c>
      <c r="H7865">
        <v>1600</v>
      </c>
      <c r="I7865">
        <v>-2</v>
      </c>
      <c r="J7865">
        <v>152</v>
      </c>
      <c r="K7865">
        <v>-64</v>
      </c>
      <c r="L7865">
        <v>1200</v>
      </c>
      <c r="M7865" t="str">
        <f t="shared" si="779"/>
        <v xml:space="preserve">N35DC   </v>
      </c>
      <c r="N7865">
        <v>1</v>
      </c>
      <c r="O7865">
        <v>1700</v>
      </c>
    </row>
    <row r="7866" spans="1:15" x14ac:dyDescent="0.25">
      <c r="A7866" t="str">
        <f>"10/21/2020 19:09:10.570"</f>
        <v>10/21/2020 19:09:10.570</v>
      </c>
      <c r="B7866" t="str">
        <f>"19:09:18.523"</f>
        <v>19:09:18.523</v>
      </c>
      <c r="C7866" t="str">
        <f>"19:09:18.223"</f>
        <v>19:09:18.223</v>
      </c>
      <c r="D7866" t="s">
        <v>3141</v>
      </c>
      <c r="E7866">
        <v>30.528023000000001</v>
      </c>
      <c r="F7866" t="s">
        <v>3139</v>
      </c>
      <c r="G7866">
        <v>-89.812738999999993</v>
      </c>
      <c r="H7866">
        <v>1600</v>
      </c>
      <c r="I7866">
        <v>-2</v>
      </c>
      <c r="J7866">
        <v>152</v>
      </c>
      <c r="K7866">
        <v>-64</v>
      </c>
      <c r="L7866">
        <v>1200</v>
      </c>
      <c r="M7866" t="str">
        <f t="shared" si="779"/>
        <v xml:space="preserve">N35DC   </v>
      </c>
      <c r="N7866">
        <v>1</v>
      </c>
      <c r="O7866">
        <v>1700</v>
      </c>
    </row>
    <row r="7867" spans="1:15" x14ac:dyDescent="0.25">
      <c r="A7867" t="str">
        <f>"10/21/2020 19:09:10.570"</f>
        <v>10/21/2020 19:09:10.570</v>
      </c>
      <c r="B7867" t="str">
        <f>"19:09:18.523"</f>
        <v>19:09:18.523</v>
      </c>
      <c r="C7867" t="str">
        <f>"19:09:18.223"</f>
        <v>19:09:18.223</v>
      </c>
      <c r="D7867" t="s">
        <v>3141</v>
      </c>
      <c r="E7867">
        <v>30.528023000000001</v>
      </c>
      <c r="F7867" t="s">
        <v>3139</v>
      </c>
      <c r="G7867">
        <v>-89.812738999999993</v>
      </c>
      <c r="H7867">
        <v>1600</v>
      </c>
      <c r="I7867">
        <v>-2</v>
      </c>
      <c r="J7867">
        <v>152</v>
      </c>
      <c r="K7867">
        <v>-64</v>
      </c>
      <c r="L7867">
        <v>1200</v>
      </c>
      <c r="M7867" t="str">
        <f t="shared" si="779"/>
        <v xml:space="preserve">N35DC   </v>
      </c>
      <c r="N7867">
        <v>1</v>
      </c>
      <c r="O7867">
        <v>1700</v>
      </c>
    </row>
    <row r="7868" spans="1:15" x14ac:dyDescent="0.25">
      <c r="A7868" t="str">
        <f>"10/21/2020 19:09:10.570"</f>
        <v>10/21/2020 19:09:10.570</v>
      </c>
      <c r="B7868" t="str">
        <f>"19:09:18.523"</f>
        <v>19:09:18.523</v>
      </c>
      <c r="C7868" t="str">
        <f>"19:09:18.223"</f>
        <v>19:09:18.223</v>
      </c>
      <c r="D7868" t="s">
        <v>3141</v>
      </c>
      <c r="E7868">
        <v>30.528023000000001</v>
      </c>
      <c r="F7868" t="s">
        <v>3139</v>
      </c>
      <c r="G7868">
        <v>-89.812738999999993</v>
      </c>
      <c r="H7868">
        <v>1600</v>
      </c>
      <c r="I7868">
        <v>-2</v>
      </c>
      <c r="J7868">
        <v>152</v>
      </c>
      <c r="K7868">
        <v>-64</v>
      </c>
      <c r="L7868">
        <v>1200</v>
      </c>
      <c r="M7868" t="str">
        <f t="shared" si="779"/>
        <v xml:space="preserve">N35DC   </v>
      </c>
      <c r="N7868">
        <v>1</v>
      </c>
      <c r="O7868">
        <v>1700</v>
      </c>
    </row>
    <row r="7869" spans="1:15" x14ac:dyDescent="0.25">
      <c r="A7869" t="str">
        <f>"10/21/2020 19:09:10.570"</f>
        <v>10/21/2020 19:09:10.570</v>
      </c>
      <c r="B7869" t="str">
        <f>"19:09:18.523"</f>
        <v>19:09:18.523</v>
      </c>
      <c r="C7869" t="str">
        <f>"19:09:18.223"</f>
        <v>19:09:18.223</v>
      </c>
      <c r="D7869" t="s">
        <v>3141</v>
      </c>
      <c r="E7869">
        <v>30.528023000000001</v>
      </c>
      <c r="F7869" t="s">
        <v>3139</v>
      </c>
      <c r="G7869">
        <v>-89.812738999999993</v>
      </c>
      <c r="H7869">
        <v>1600</v>
      </c>
      <c r="I7869">
        <v>-2</v>
      </c>
      <c r="J7869">
        <v>152</v>
      </c>
      <c r="K7869">
        <v>-64</v>
      </c>
      <c r="L7869">
        <v>1200</v>
      </c>
      <c r="M7869" t="str">
        <f t="shared" si="779"/>
        <v xml:space="preserve">N35DC   </v>
      </c>
      <c r="N7869">
        <v>1</v>
      </c>
      <c r="O7869">
        <v>1700</v>
      </c>
    </row>
    <row r="7870" spans="1:15" x14ac:dyDescent="0.25">
      <c r="A7870" t="str">
        <f>"10/21/2020 19:09:11.632"</f>
        <v>10/21/2020 19:09:11.632</v>
      </c>
      <c r="B7870" t="str">
        <f>"19:09:19.586"</f>
        <v>19:09:19.586</v>
      </c>
      <c r="C7870" t="str">
        <f>"19:09:19.186"</f>
        <v>19:09:19.186</v>
      </c>
      <c r="D7870" t="s">
        <v>3142</v>
      </c>
      <c r="E7870">
        <v>30.528773999999999</v>
      </c>
      <c r="F7870" t="s">
        <v>3143</v>
      </c>
      <c r="G7870">
        <v>-89.812803000000002</v>
      </c>
      <c r="H7870">
        <v>1600</v>
      </c>
      <c r="I7870">
        <v>-6</v>
      </c>
      <c r="J7870">
        <v>152</v>
      </c>
      <c r="K7870">
        <v>0</v>
      </c>
      <c r="L7870">
        <v>1200</v>
      </c>
      <c r="M7870" t="str">
        <f t="shared" si="779"/>
        <v xml:space="preserve">N35DC   </v>
      </c>
      <c r="N7870">
        <v>1</v>
      </c>
      <c r="O7870">
        <v>1700</v>
      </c>
    </row>
    <row r="7871" spans="1:15" x14ac:dyDescent="0.25">
      <c r="A7871" t="str">
        <f>"10/21/2020 19:09:11.632"</f>
        <v>10/21/2020 19:09:11.632</v>
      </c>
      <c r="B7871" t="str">
        <f>"19:09:19.586"</f>
        <v>19:09:19.586</v>
      </c>
      <c r="C7871" t="str">
        <f>"19:09:19.186"</f>
        <v>19:09:19.186</v>
      </c>
      <c r="D7871" t="s">
        <v>3142</v>
      </c>
      <c r="E7871">
        <v>30.528773999999999</v>
      </c>
      <c r="F7871" t="s">
        <v>3143</v>
      </c>
      <c r="G7871">
        <v>-89.812803000000002</v>
      </c>
      <c r="H7871">
        <v>1600</v>
      </c>
      <c r="I7871">
        <v>-6</v>
      </c>
      <c r="J7871">
        <v>152</v>
      </c>
      <c r="K7871">
        <v>0</v>
      </c>
      <c r="L7871">
        <v>1200</v>
      </c>
      <c r="M7871" t="str">
        <f t="shared" si="779"/>
        <v xml:space="preserve">N35DC   </v>
      </c>
      <c r="N7871">
        <v>1</v>
      </c>
      <c r="O7871">
        <v>1700</v>
      </c>
    </row>
    <row r="7872" spans="1:15" x14ac:dyDescent="0.25">
      <c r="A7872" t="str">
        <f>"10/21/2020 19:09:11.632"</f>
        <v>10/21/2020 19:09:11.632</v>
      </c>
      <c r="B7872" t="str">
        <f>"19:09:19.586"</f>
        <v>19:09:19.586</v>
      </c>
      <c r="C7872" t="str">
        <f>"19:09:19.186"</f>
        <v>19:09:19.186</v>
      </c>
      <c r="D7872" t="s">
        <v>3142</v>
      </c>
      <c r="E7872">
        <v>30.528773999999999</v>
      </c>
      <c r="F7872" t="s">
        <v>3143</v>
      </c>
      <c r="G7872">
        <v>-89.812803000000002</v>
      </c>
      <c r="H7872">
        <v>1600</v>
      </c>
      <c r="I7872">
        <v>-6</v>
      </c>
      <c r="J7872">
        <v>152</v>
      </c>
      <c r="K7872">
        <v>0</v>
      </c>
      <c r="L7872">
        <v>1200</v>
      </c>
      <c r="M7872" t="str">
        <f t="shared" si="779"/>
        <v xml:space="preserve">N35DC   </v>
      </c>
      <c r="N7872">
        <v>1</v>
      </c>
      <c r="O7872">
        <v>1700</v>
      </c>
    </row>
    <row r="7873" spans="1:15" x14ac:dyDescent="0.25">
      <c r="A7873" t="str">
        <f>"10/21/2020 19:09:11.632"</f>
        <v>10/21/2020 19:09:11.632</v>
      </c>
      <c r="B7873" t="str">
        <f>"19:09:19.586"</f>
        <v>19:09:19.586</v>
      </c>
      <c r="C7873" t="str">
        <f>"19:09:19.186"</f>
        <v>19:09:19.186</v>
      </c>
      <c r="D7873" t="s">
        <v>3142</v>
      </c>
      <c r="E7873">
        <v>30.528773999999999</v>
      </c>
      <c r="F7873" t="s">
        <v>3143</v>
      </c>
      <c r="G7873">
        <v>-89.812803000000002</v>
      </c>
      <c r="H7873">
        <v>1600</v>
      </c>
      <c r="I7873">
        <v>-6</v>
      </c>
      <c r="J7873">
        <v>152</v>
      </c>
      <c r="K7873">
        <v>0</v>
      </c>
      <c r="L7873">
        <v>1200</v>
      </c>
      <c r="M7873" t="str">
        <f t="shared" si="779"/>
        <v xml:space="preserve">N35DC   </v>
      </c>
      <c r="N7873">
        <v>1</v>
      </c>
      <c r="O7873">
        <v>1700</v>
      </c>
    </row>
    <row r="7874" spans="1:15" x14ac:dyDescent="0.25">
      <c r="A7874" t="str">
        <f>"10/21/2020 19:09:11.632"</f>
        <v>10/21/2020 19:09:11.632</v>
      </c>
      <c r="B7874" t="str">
        <f>"19:09:19.586"</f>
        <v>19:09:19.586</v>
      </c>
      <c r="C7874" t="str">
        <f>"19:09:19.186"</f>
        <v>19:09:19.186</v>
      </c>
      <c r="D7874" t="s">
        <v>3142</v>
      </c>
      <c r="E7874">
        <v>30.528773999999999</v>
      </c>
      <c r="F7874" t="s">
        <v>3143</v>
      </c>
      <c r="G7874">
        <v>-89.812803000000002</v>
      </c>
      <c r="H7874">
        <v>1600</v>
      </c>
      <c r="I7874">
        <v>-6</v>
      </c>
      <c r="J7874">
        <v>152</v>
      </c>
      <c r="K7874">
        <v>0</v>
      </c>
      <c r="L7874">
        <v>1200</v>
      </c>
      <c r="M7874" t="str">
        <f t="shared" si="779"/>
        <v xml:space="preserve">N35DC   </v>
      </c>
      <c r="N7874">
        <v>1</v>
      </c>
      <c r="O7874">
        <v>1700</v>
      </c>
    </row>
    <row r="7875" spans="1:15" x14ac:dyDescent="0.25">
      <c r="A7875" t="str">
        <f>"10/21/2020 19:09:12.491"</f>
        <v>10/21/2020 19:09:12.491</v>
      </c>
      <c r="B7875" t="str">
        <f>"19:09:20.445"</f>
        <v>19:09:20.445</v>
      </c>
      <c r="C7875" t="str">
        <f>"19:09:20.245"</f>
        <v>19:09:20.245</v>
      </c>
      <c r="D7875" t="s">
        <v>328</v>
      </c>
      <c r="E7875">
        <v>30.529354000000001</v>
      </c>
      <c r="F7875" t="s">
        <v>3144</v>
      </c>
      <c r="G7875">
        <v>-89.812845999999993</v>
      </c>
      <c r="H7875">
        <v>1600</v>
      </c>
      <c r="I7875">
        <v>-10</v>
      </c>
      <c r="J7875">
        <v>152</v>
      </c>
      <c r="K7875">
        <v>64</v>
      </c>
      <c r="L7875">
        <v>1200</v>
      </c>
      <c r="M7875" t="str">
        <f t="shared" si="779"/>
        <v xml:space="preserve">N35DC   </v>
      </c>
      <c r="N7875">
        <v>1</v>
      </c>
      <c r="O7875">
        <v>1700</v>
      </c>
    </row>
    <row r="7876" spans="1:15" x14ac:dyDescent="0.25">
      <c r="A7876" t="str">
        <f>"10/21/2020 19:09:12.491"</f>
        <v>10/21/2020 19:09:12.491</v>
      </c>
      <c r="B7876" t="str">
        <f>"19:09:20.445"</f>
        <v>19:09:20.445</v>
      </c>
      <c r="C7876" t="str">
        <f>"19:09:20.245"</f>
        <v>19:09:20.245</v>
      </c>
      <c r="D7876" t="s">
        <v>328</v>
      </c>
      <c r="E7876">
        <v>30.529354000000001</v>
      </c>
      <c r="F7876" t="s">
        <v>3144</v>
      </c>
      <c r="G7876">
        <v>-89.812845999999993</v>
      </c>
      <c r="H7876">
        <v>1600</v>
      </c>
      <c r="I7876">
        <v>-10</v>
      </c>
      <c r="J7876">
        <v>152</v>
      </c>
      <c r="K7876">
        <v>64</v>
      </c>
      <c r="L7876">
        <v>1200</v>
      </c>
      <c r="M7876" t="str">
        <f t="shared" si="779"/>
        <v xml:space="preserve">N35DC   </v>
      </c>
      <c r="N7876">
        <v>1</v>
      </c>
      <c r="O7876">
        <v>1700</v>
      </c>
    </row>
    <row r="7877" spans="1:15" x14ac:dyDescent="0.25">
      <c r="A7877" t="str">
        <f>"10/21/2020 19:09:12.491"</f>
        <v>10/21/2020 19:09:12.491</v>
      </c>
      <c r="B7877" t="str">
        <f>"19:09:20.445"</f>
        <v>19:09:20.445</v>
      </c>
      <c r="C7877" t="str">
        <f>"19:09:20.245"</f>
        <v>19:09:20.245</v>
      </c>
      <c r="D7877" t="s">
        <v>328</v>
      </c>
      <c r="E7877">
        <v>30.529354000000001</v>
      </c>
      <c r="F7877" t="s">
        <v>3144</v>
      </c>
      <c r="G7877">
        <v>-89.812845999999993</v>
      </c>
      <c r="H7877">
        <v>1600</v>
      </c>
      <c r="I7877">
        <v>-10</v>
      </c>
      <c r="J7877">
        <v>152</v>
      </c>
      <c r="K7877">
        <v>64</v>
      </c>
      <c r="L7877">
        <v>1200</v>
      </c>
      <c r="M7877" t="str">
        <f t="shared" si="779"/>
        <v xml:space="preserve">N35DC   </v>
      </c>
      <c r="N7877">
        <v>1</v>
      </c>
      <c r="O7877">
        <v>1700</v>
      </c>
    </row>
    <row r="7878" spans="1:15" x14ac:dyDescent="0.25">
      <c r="A7878" t="str">
        <f>"10/21/2020 19:09:12.491"</f>
        <v>10/21/2020 19:09:12.491</v>
      </c>
      <c r="B7878" t="str">
        <f>"19:09:20.445"</f>
        <v>19:09:20.445</v>
      </c>
      <c r="C7878" t="str">
        <f>"19:09:20.245"</f>
        <v>19:09:20.245</v>
      </c>
      <c r="D7878" t="s">
        <v>328</v>
      </c>
      <c r="E7878">
        <v>30.529354000000001</v>
      </c>
      <c r="F7878" t="s">
        <v>3144</v>
      </c>
      <c r="G7878">
        <v>-89.812845999999993</v>
      </c>
      <c r="H7878">
        <v>1600</v>
      </c>
      <c r="I7878">
        <v>-10</v>
      </c>
      <c r="J7878">
        <v>152</v>
      </c>
      <c r="K7878">
        <v>64</v>
      </c>
      <c r="L7878">
        <v>1200</v>
      </c>
      <c r="M7878" t="str">
        <f t="shared" si="779"/>
        <v xml:space="preserve">N35DC   </v>
      </c>
      <c r="N7878">
        <v>1</v>
      </c>
      <c r="O7878">
        <v>1700</v>
      </c>
    </row>
    <row r="7879" spans="1:15" x14ac:dyDescent="0.25">
      <c r="A7879" t="str">
        <f>"10/21/2020 19:09:12.491"</f>
        <v>10/21/2020 19:09:12.491</v>
      </c>
      <c r="B7879" t="str">
        <f>"19:09:20.445"</f>
        <v>19:09:20.445</v>
      </c>
      <c r="C7879" t="str">
        <f>"19:09:20.245"</f>
        <v>19:09:20.245</v>
      </c>
      <c r="D7879" t="s">
        <v>328</v>
      </c>
      <c r="E7879">
        <v>30.529354000000001</v>
      </c>
      <c r="F7879" t="s">
        <v>3144</v>
      </c>
      <c r="G7879">
        <v>-89.812845999999993</v>
      </c>
      <c r="H7879">
        <v>1600</v>
      </c>
      <c r="I7879">
        <v>-10</v>
      </c>
      <c r="J7879">
        <v>152</v>
      </c>
      <c r="K7879">
        <v>64</v>
      </c>
      <c r="L7879">
        <v>1200</v>
      </c>
      <c r="M7879" t="str">
        <f t="shared" ref="M7879:M7942" si="780">"N35DC   "</f>
        <v xml:space="preserve">N35DC   </v>
      </c>
      <c r="N7879">
        <v>1</v>
      </c>
      <c r="O7879">
        <v>1700</v>
      </c>
    </row>
    <row r="7880" spans="1:15" x14ac:dyDescent="0.25">
      <c r="A7880" t="str">
        <f>"10/21/2020 19:09:15.487"</f>
        <v>10/21/2020 19:09:15.487</v>
      </c>
      <c r="B7880" t="str">
        <f>"19:09:23.430"</f>
        <v>19:09:23.430</v>
      </c>
      <c r="C7880" t="str">
        <f>"19:09:23.030"</f>
        <v>19:09:23.030</v>
      </c>
      <c r="D7880" t="s">
        <v>3145</v>
      </c>
      <c r="E7880">
        <v>30.531478</v>
      </c>
      <c r="F7880" t="s">
        <v>2851</v>
      </c>
      <c r="G7880">
        <v>-89.813168000000005</v>
      </c>
      <c r="H7880">
        <v>1600</v>
      </c>
      <c r="I7880">
        <v>-24</v>
      </c>
      <c r="J7880">
        <v>152</v>
      </c>
      <c r="K7880">
        <v>-128</v>
      </c>
      <c r="L7880">
        <v>1200</v>
      </c>
      <c r="M7880" t="str">
        <f t="shared" si="780"/>
        <v xml:space="preserve">N35DC   </v>
      </c>
      <c r="N7880">
        <v>1</v>
      </c>
      <c r="O7880">
        <v>1700</v>
      </c>
    </row>
    <row r="7881" spans="1:15" x14ac:dyDescent="0.25">
      <c r="A7881" t="str">
        <f>"10/21/2020 19:09:15.487"</f>
        <v>10/21/2020 19:09:15.487</v>
      </c>
      <c r="B7881" t="str">
        <f>"19:09:23.430"</f>
        <v>19:09:23.430</v>
      </c>
      <c r="C7881" t="str">
        <f>"19:09:23.030"</f>
        <v>19:09:23.030</v>
      </c>
      <c r="D7881" t="s">
        <v>3145</v>
      </c>
      <c r="E7881">
        <v>30.531478</v>
      </c>
      <c r="F7881" t="s">
        <v>2851</v>
      </c>
      <c r="G7881">
        <v>-89.813168000000005</v>
      </c>
      <c r="H7881">
        <v>1600</v>
      </c>
      <c r="I7881">
        <v>-24</v>
      </c>
      <c r="J7881">
        <v>152</v>
      </c>
      <c r="K7881">
        <v>-128</v>
      </c>
      <c r="L7881">
        <v>1200</v>
      </c>
      <c r="M7881" t="str">
        <f t="shared" si="780"/>
        <v xml:space="preserve">N35DC   </v>
      </c>
      <c r="N7881">
        <v>1</v>
      </c>
      <c r="O7881">
        <v>1700</v>
      </c>
    </row>
    <row r="7882" spans="1:15" x14ac:dyDescent="0.25">
      <c r="A7882" t="str">
        <f>"10/21/2020 19:09:15.487"</f>
        <v>10/21/2020 19:09:15.487</v>
      </c>
      <c r="B7882" t="str">
        <f>"19:09:23.430"</f>
        <v>19:09:23.430</v>
      </c>
      <c r="C7882" t="str">
        <f>"19:09:23.030"</f>
        <v>19:09:23.030</v>
      </c>
      <c r="D7882" t="s">
        <v>3145</v>
      </c>
      <c r="E7882">
        <v>30.531478</v>
      </c>
      <c r="F7882" t="s">
        <v>2851</v>
      </c>
      <c r="G7882">
        <v>-89.813168000000005</v>
      </c>
      <c r="H7882">
        <v>1600</v>
      </c>
      <c r="I7882">
        <v>-24</v>
      </c>
      <c r="J7882">
        <v>152</v>
      </c>
      <c r="K7882">
        <v>-128</v>
      </c>
      <c r="L7882">
        <v>1200</v>
      </c>
      <c r="M7882" t="str">
        <f t="shared" si="780"/>
        <v xml:space="preserve">N35DC   </v>
      </c>
      <c r="N7882">
        <v>1</v>
      </c>
      <c r="O7882">
        <v>1700</v>
      </c>
    </row>
    <row r="7883" spans="1:15" x14ac:dyDescent="0.25">
      <c r="A7883" t="str">
        <f>"10/21/2020 19:09:15.487"</f>
        <v>10/21/2020 19:09:15.487</v>
      </c>
      <c r="B7883" t="str">
        <f>"19:09:23.430"</f>
        <v>19:09:23.430</v>
      </c>
      <c r="C7883" t="str">
        <f>"19:09:23.030"</f>
        <v>19:09:23.030</v>
      </c>
      <c r="D7883" t="s">
        <v>3145</v>
      </c>
      <c r="E7883">
        <v>30.531478</v>
      </c>
      <c r="F7883" t="s">
        <v>2851</v>
      </c>
      <c r="G7883">
        <v>-89.813168000000005</v>
      </c>
      <c r="H7883">
        <v>1600</v>
      </c>
      <c r="I7883">
        <v>-24</v>
      </c>
      <c r="J7883">
        <v>152</v>
      </c>
      <c r="K7883">
        <v>-128</v>
      </c>
      <c r="L7883">
        <v>1200</v>
      </c>
      <c r="M7883" t="str">
        <f t="shared" si="780"/>
        <v xml:space="preserve">N35DC   </v>
      </c>
      <c r="N7883">
        <v>1</v>
      </c>
      <c r="O7883">
        <v>1700</v>
      </c>
    </row>
    <row r="7884" spans="1:15" x14ac:dyDescent="0.25">
      <c r="A7884" t="str">
        <f>"10/21/2020 19:09:15.487"</f>
        <v>10/21/2020 19:09:15.487</v>
      </c>
      <c r="B7884" t="str">
        <f>"19:09:23.430"</f>
        <v>19:09:23.430</v>
      </c>
      <c r="C7884" t="str">
        <f>"19:09:23.030"</f>
        <v>19:09:23.030</v>
      </c>
      <c r="D7884" t="s">
        <v>3145</v>
      </c>
      <c r="E7884">
        <v>30.531478</v>
      </c>
      <c r="F7884" t="s">
        <v>2851</v>
      </c>
      <c r="G7884">
        <v>-89.813168000000005</v>
      </c>
      <c r="H7884">
        <v>1600</v>
      </c>
      <c r="I7884">
        <v>-24</v>
      </c>
      <c r="J7884">
        <v>152</v>
      </c>
      <c r="K7884">
        <v>-128</v>
      </c>
      <c r="L7884">
        <v>1200</v>
      </c>
      <c r="M7884" t="str">
        <f t="shared" si="780"/>
        <v xml:space="preserve">N35DC   </v>
      </c>
      <c r="N7884">
        <v>1</v>
      </c>
      <c r="O7884">
        <v>1700</v>
      </c>
    </row>
    <row r="7885" spans="1:15" x14ac:dyDescent="0.25">
      <c r="A7885" t="str">
        <f>"10/21/2020 19:09:16.652"</f>
        <v>10/21/2020 19:09:16.652</v>
      </c>
      <c r="B7885" t="str">
        <f>"19:09:24.586"</f>
        <v>19:09:24.586</v>
      </c>
      <c r="C7885" t="str">
        <f>"19:09:24.186"</f>
        <v>19:09:24.186</v>
      </c>
      <c r="D7885" t="s">
        <v>3146</v>
      </c>
      <c r="E7885">
        <v>30.532292999999999</v>
      </c>
      <c r="F7885" t="s">
        <v>2820</v>
      </c>
      <c r="G7885">
        <v>-89.813339999999997</v>
      </c>
      <c r="H7885">
        <v>1600</v>
      </c>
      <c r="I7885">
        <v>-30</v>
      </c>
      <c r="J7885">
        <v>151</v>
      </c>
      <c r="K7885">
        <v>-256</v>
      </c>
      <c r="L7885">
        <v>1200</v>
      </c>
      <c r="M7885" t="str">
        <f t="shared" si="780"/>
        <v xml:space="preserve">N35DC   </v>
      </c>
      <c r="N7885">
        <v>1</v>
      </c>
      <c r="O7885">
        <v>1675</v>
      </c>
    </row>
    <row r="7886" spans="1:15" x14ac:dyDescent="0.25">
      <c r="A7886" t="str">
        <f>"10/21/2020 19:09:16.652"</f>
        <v>10/21/2020 19:09:16.652</v>
      </c>
      <c r="B7886" t="str">
        <f>"19:09:24.586"</f>
        <v>19:09:24.586</v>
      </c>
      <c r="C7886" t="str">
        <f>"19:09:24.186"</f>
        <v>19:09:24.186</v>
      </c>
      <c r="D7886" t="s">
        <v>3146</v>
      </c>
      <c r="E7886">
        <v>30.532292999999999</v>
      </c>
      <c r="F7886" t="s">
        <v>2820</v>
      </c>
      <c r="G7886">
        <v>-89.813339999999997</v>
      </c>
      <c r="H7886">
        <v>1600</v>
      </c>
      <c r="I7886">
        <v>-30</v>
      </c>
      <c r="J7886">
        <v>151</v>
      </c>
      <c r="K7886">
        <v>-256</v>
      </c>
      <c r="L7886">
        <v>1200</v>
      </c>
      <c r="M7886" t="str">
        <f t="shared" si="780"/>
        <v xml:space="preserve">N35DC   </v>
      </c>
      <c r="N7886">
        <v>1</v>
      </c>
      <c r="O7886">
        <v>1675</v>
      </c>
    </row>
    <row r="7887" spans="1:15" x14ac:dyDescent="0.25">
      <c r="A7887" t="str">
        <f>"10/21/2020 19:09:16.652"</f>
        <v>10/21/2020 19:09:16.652</v>
      </c>
      <c r="B7887" t="str">
        <f>"19:09:24.586"</f>
        <v>19:09:24.586</v>
      </c>
      <c r="C7887" t="str">
        <f>"19:09:24.186"</f>
        <v>19:09:24.186</v>
      </c>
      <c r="D7887" t="s">
        <v>3146</v>
      </c>
      <c r="E7887">
        <v>30.532292999999999</v>
      </c>
      <c r="F7887" t="s">
        <v>2820</v>
      </c>
      <c r="G7887">
        <v>-89.813339999999997</v>
      </c>
      <c r="H7887">
        <v>1600</v>
      </c>
      <c r="I7887">
        <v>-30</v>
      </c>
      <c r="J7887">
        <v>151</v>
      </c>
      <c r="K7887">
        <v>-256</v>
      </c>
      <c r="L7887">
        <v>1200</v>
      </c>
      <c r="M7887" t="str">
        <f t="shared" si="780"/>
        <v xml:space="preserve">N35DC   </v>
      </c>
      <c r="N7887">
        <v>1</v>
      </c>
      <c r="O7887">
        <v>1675</v>
      </c>
    </row>
    <row r="7888" spans="1:15" x14ac:dyDescent="0.25">
      <c r="A7888" t="str">
        <f>"10/21/2020 19:09:16.652"</f>
        <v>10/21/2020 19:09:16.652</v>
      </c>
      <c r="B7888" t="str">
        <f>"19:09:24.586"</f>
        <v>19:09:24.586</v>
      </c>
      <c r="C7888" t="str">
        <f>"19:09:24.186"</f>
        <v>19:09:24.186</v>
      </c>
      <c r="D7888" t="s">
        <v>3146</v>
      </c>
      <c r="E7888">
        <v>30.532292999999999</v>
      </c>
      <c r="F7888" t="s">
        <v>2820</v>
      </c>
      <c r="G7888">
        <v>-89.813339999999997</v>
      </c>
      <c r="H7888">
        <v>1600</v>
      </c>
      <c r="I7888">
        <v>-30</v>
      </c>
      <c r="J7888">
        <v>151</v>
      </c>
      <c r="K7888">
        <v>-256</v>
      </c>
      <c r="L7888">
        <v>1200</v>
      </c>
      <c r="M7888" t="str">
        <f t="shared" si="780"/>
        <v xml:space="preserve">N35DC   </v>
      </c>
      <c r="N7888">
        <v>1</v>
      </c>
      <c r="O7888">
        <v>1675</v>
      </c>
    </row>
    <row r="7889" spans="1:15" x14ac:dyDescent="0.25">
      <c r="A7889" t="str">
        <f>"10/21/2020 19:09:16.652"</f>
        <v>10/21/2020 19:09:16.652</v>
      </c>
      <c r="B7889" t="str">
        <f>"19:09:24.586"</f>
        <v>19:09:24.586</v>
      </c>
      <c r="C7889" t="str">
        <f>"19:09:24.186"</f>
        <v>19:09:24.186</v>
      </c>
      <c r="D7889" t="s">
        <v>3146</v>
      </c>
      <c r="E7889">
        <v>30.532292999999999</v>
      </c>
      <c r="F7889" t="s">
        <v>2820</v>
      </c>
      <c r="G7889">
        <v>-89.813339999999997</v>
      </c>
      <c r="H7889">
        <v>1600</v>
      </c>
      <c r="I7889">
        <v>-30</v>
      </c>
      <c r="J7889">
        <v>151</v>
      </c>
      <c r="K7889">
        <v>-256</v>
      </c>
      <c r="L7889">
        <v>1200</v>
      </c>
      <c r="M7889" t="str">
        <f t="shared" si="780"/>
        <v xml:space="preserve">N35DC   </v>
      </c>
      <c r="N7889">
        <v>1</v>
      </c>
      <c r="O7889">
        <v>1675</v>
      </c>
    </row>
    <row r="7890" spans="1:15" x14ac:dyDescent="0.25">
      <c r="A7890" t="str">
        <f>"10/21/2020 19:09:19.511"</f>
        <v>10/21/2020 19:09:19.511</v>
      </c>
      <c r="B7890" t="str">
        <f>"19:09:27.477"</f>
        <v>19:09:27.477</v>
      </c>
      <c r="C7890" t="str">
        <f>"19:09:27.277"</f>
        <v>19:09:27.277</v>
      </c>
      <c r="D7890" t="s">
        <v>3147</v>
      </c>
      <c r="E7890">
        <v>30.534267</v>
      </c>
      <c r="F7890" t="s">
        <v>3148</v>
      </c>
      <c r="G7890">
        <v>-89.814004999999995</v>
      </c>
      <c r="H7890">
        <v>1600</v>
      </c>
      <c r="I7890">
        <v>-51</v>
      </c>
      <c r="J7890">
        <v>148</v>
      </c>
      <c r="K7890">
        <v>-384</v>
      </c>
      <c r="L7890">
        <v>1200</v>
      </c>
      <c r="M7890" t="str">
        <f t="shared" si="780"/>
        <v xml:space="preserve">N35DC   </v>
      </c>
      <c r="N7890">
        <v>1</v>
      </c>
      <c r="O7890">
        <v>1675</v>
      </c>
    </row>
    <row r="7891" spans="1:15" x14ac:dyDescent="0.25">
      <c r="A7891" t="str">
        <f>"10/21/2020 19:09:19.511"</f>
        <v>10/21/2020 19:09:19.511</v>
      </c>
      <c r="B7891" t="str">
        <f>"19:09:27.477"</f>
        <v>19:09:27.477</v>
      </c>
      <c r="C7891" t="str">
        <f>"19:09:27.277"</f>
        <v>19:09:27.277</v>
      </c>
      <c r="D7891" t="s">
        <v>3147</v>
      </c>
      <c r="E7891">
        <v>30.534267</v>
      </c>
      <c r="F7891" t="s">
        <v>3148</v>
      </c>
      <c r="G7891">
        <v>-89.814004999999995</v>
      </c>
      <c r="H7891">
        <v>1600</v>
      </c>
      <c r="I7891">
        <v>-51</v>
      </c>
      <c r="J7891">
        <v>148</v>
      </c>
      <c r="K7891">
        <v>-384</v>
      </c>
      <c r="L7891">
        <v>1200</v>
      </c>
      <c r="M7891" t="str">
        <f t="shared" si="780"/>
        <v xml:space="preserve">N35DC   </v>
      </c>
      <c r="N7891">
        <v>1</v>
      </c>
      <c r="O7891">
        <v>1675</v>
      </c>
    </row>
    <row r="7892" spans="1:15" x14ac:dyDescent="0.25">
      <c r="A7892" t="str">
        <f>"10/21/2020 19:09:19.511"</f>
        <v>10/21/2020 19:09:19.511</v>
      </c>
      <c r="B7892" t="str">
        <f>"19:09:27.477"</f>
        <v>19:09:27.477</v>
      </c>
      <c r="C7892" t="str">
        <f>"19:09:27.277"</f>
        <v>19:09:27.277</v>
      </c>
      <c r="D7892" t="s">
        <v>3147</v>
      </c>
      <c r="E7892">
        <v>30.534267</v>
      </c>
      <c r="F7892" t="s">
        <v>3148</v>
      </c>
      <c r="G7892">
        <v>-89.814004999999995</v>
      </c>
      <c r="H7892">
        <v>1600</v>
      </c>
      <c r="I7892">
        <v>-51</v>
      </c>
      <c r="J7892">
        <v>148</v>
      </c>
      <c r="K7892">
        <v>-384</v>
      </c>
      <c r="L7892">
        <v>1200</v>
      </c>
      <c r="M7892" t="str">
        <f t="shared" si="780"/>
        <v xml:space="preserve">N35DC   </v>
      </c>
      <c r="N7892">
        <v>1</v>
      </c>
      <c r="O7892">
        <v>1675</v>
      </c>
    </row>
    <row r="7893" spans="1:15" x14ac:dyDescent="0.25">
      <c r="A7893" t="str">
        <f>"10/21/2020 19:09:19.511"</f>
        <v>10/21/2020 19:09:19.511</v>
      </c>
      <c r="B7893" t="str">
        <f>"19:09:27.477"</f>
        <v>19:09:27.477</v>
      </c>
      <c r="C7893" t="str">
        <f>"19:09:27.277"</f>
        <v>19:09:27.277</v>
      </c>
      <c r="D7893" t="s">
        <v>3147</v>
      </c>
      <c r="E7893">
        <v>30.534267</v>
      </c>
      <c r="F7893" t="s">
        <v>3148</v>
      </c>
      <c r="G7893">
        <v>-89.814004999999995</v>
      </c>
      <c r="H7893">
        <v>1600</v>
      </c>
      <c r="I7893">
        <v>-51</v>
      </c>
      <c r="J7893">
        <v>148</v>
      </c>
      <c r="K7893">
        <v>-384</v>
      </c>
      <c r="L7893">
        <v>1200</v>
      </c>
      <c r="M7893" t="str">
        <f t="shared" si="780"/>
        <v xml:space="preserve">N35DC   </v>
      </c>
      <c r="N7893">
        <v>1</v>
      </c>
      <c r="O7893">
        <v>1675</v>
      </c>
    </row>
    <row r="7894" spans="1:15" x14ac:dyDescent="0.25">
      <c r="A7894" t="str">
        <f>"10/21/2020 19:09:19.511"</f>
        <v>10/21/2020 19:09:19.511</v>
      </c>
      <c r="B7894" t="str">
        <f>"19:09:27.477"</f>
        <v>19:09:27.477</v>
      </c>
      <c r="C7894" t="str">
        <f>"19:09:27.277"</f>
        <v>19:09:27.277</v>
      </c>
      <c r="D7894" t="s">
        <v>3147</v>
      </c>
      <c r="E7894">
        <v>30.534267</v>
      </c>
      <c r="F7894" t="s">
        <v>3148</v>
      </c>
      <c r="G7894">
        <v>-89.814004999999995</v>
      </c>
      <c r="H7894">
        <v>1600</v>
      </c>
      <c r="I7894">
        <v>-51</v>
      </c>
      <c r="J7894">
        <v>148</v>
      </c>
      <c r="K7894">
        <v>-384</v>
      </c>
      <c r="L7894">
        <v>1200</v>
      </c>
      <c r="M7894" t="str">
        <f t="shared" si="780"/>
        <v xml:space="preserve">N35DC   </v>
      </c>
      <c r="N7894">
        <v>1</v>
      </c>
      <c r="O7894">
        <v>1675</v>
      </c>
    </row>
    <row r="7895" spans="1:15" x14ac:dyDescent="0.25">
      <c r="A7895" t="str">
        <f>"10/21/2020 19:09:20.524"</f>
        <v>10/21/2020 19:09:20.524</v>
      </c>
      <c r="B7895" t="str">
        <f>"19:09:28.484"</f>
        <v>19:09:28.484</v>
      </c>
      <c r="C7895" t="str">
        <f>"19:09:28.084"</f>
        <v>19:09:28.084</v>
      </c>
      <c r="D7895" t="s">
        <v>3149</v>
      </c>
      <c r="E7895">
        <v>30.534997000000001</v>
      </c>
      <c r="F7895" t="s">
        <v>3150</v>
      </c>
      <c r="G7895">
        <v>-89.814369999999997</v>
      </c>
      <c r="H7895">
        <v>1600</v>
      </c>
      <c r="I7895">
        <v>-56</v>
      </c>
      <c r="J7895">
        <v>147</v>
      </c>
      <c r="K7895">
        <v>-320</v>
      </c>
      <c r="L7895">
        <v>1200</v>
      </c>
      <c r="M7895" t="str">
        <f t="shared" si="780"/>
        <v xml:space="preserve">N35DC   </v>
      </c>
      <c r="N7895">
        <v>1</v>
      </c>
      <c r="O7895">
        <v>1675</v>
      </c>
    </row>
    <row r="7896" spans="1:15" x14ac:dyDescent="0.25">
      <c r="A7896" t="str">
        <f>"10/21/2020 19:09:20.524"</f>
        <v>10/21/2020 19:09:20.524</v>
      </c>
      <c r="B7896" t="str">
        <f>"19:09:28.484"</f>
        <v>19:09:28.484</v>
      </c>
      <c r="C7896" t="str">
        <f>"19:09:28.084"</f>
        <v>19:09:28.084</v>
      </c>
      <c r="D7896" t="s">
        <v>3149</v>
      </c>
      <c r="E7896">
        <v>30.534997000000001</v>
      </c>
      <c r="F7896" t="s">
        <v>3150</v>
      </c>
      <c r="G7896">
        <v>-89.814369999999997</v>
      </c>
      <c r="H7896">
        <v>1600</v>
      </c>
      <c r="I7896">
        <v>-56</v>
      </c>
      <c r="J7896">
        <v>147</v>
      </c>
      <c r="K7896">
        <v>-320</v>
      </c>
      <c r="L7896">
        <v>1200</v>
      </c>
      <c r="M7896" t="str">
        <f t="shared" si="780"/>
        <v xml:space="preserve">N35DC   </v>
      </c>
      <c r="N7896">
        <v>1</v>
      </c>
      <c r="O7896">
        <v>1675</v>
      </c>
    </row>
    <row r="7897" spans="1:15" x14ac:dyDescent="0.25">
      <c r="A7897" t="str">
        <f>"10/21/2020 19:09:20.524"</f>
        <v>10/21/2020 19:09:20.524</v>
      </c>
      <c r="B7897" t="str">
        <f>"19:09:28.484"</f>
        <v>19:09:28.484</v>
      </c>
      <c r="C7897" t="str">
        <f>"19:09:28.084"</f>
        <v>19:09:28.084</v>
      </c>
      <c r="D7897" t="s">
        <v>3149</v>
      </c>
      <c r="E7897">
        <v>30.534997000000001</v>
      </c>
      <c r="F7897" t="s">
        <v>3150</v>
      </c>
      <c r="G7897">
        <v>-89.814369999999997</v>
      </c>
      <c r="H7897">
        <v>1600</v>
      </c>
      <c r="I7897">
        <v>-56</v>
      </c>
      <c r="J7897">
        <v>147</v>
      </c>
      <c r="K7897">
        <v>-320</v>
      </c>
      <c r="L7897">
        <v>1200</v>
      </c>
      <c r="M7897" t="str">
        <f t="shared" si="780"/>
        <v xml:space="preserve">N35DC   </v>
      </c>
      <c r="N7897">
        <v>1</v>
      </c>
      <c r="O7897">
        <v>1675</v>
      </c>
    </row>
    <row r="7898" spans="1:15" x14ac:dyDescent="0.25">
      <c r="A7898" t="str">
        <f>"10/21/2020 19:09:20.524"</f>
        <v>10/21/2020 19:09:20.524</v>
      </c>
      <c r="B7898" t="str">
        <f>"19:09:28.484"</f>
        <v>19:09:28.484</v>
      </c>
      <c r="C7898" t="str">
        <f>"19:09:28.084"</f>
        <v>19:09:28.084</v>
      </c>
      <c r="D7898" t="s">
        <v>3149</v>
      </c>
      <c r="E7898">
        <v>30.534997000000001</v>
      </c>
      <c r="F7898" t="s">
        <v>3150</v>
      </c>
      <c r="G7898">
        <v>-89.814369999999997</v>
      </c>
      <c r="H7898">
        <v>1600</v>
      </c>
      <c r="I7898">
        <v>-56</v>
      </c>
      <c r="J7898">
        <v>147</v>
      </c>
      <c r="K7898">
        <v>-320</v>
      </c>
      <c r="L7898">
        <v>1200</v>
      </c>
      <c r="M7898" t="str">
        <f t="shared" si="780"/>
        <v xml:space="preserve">N35DC   </v>
      </c>
      <c r="N7898">
        <v>1</v>
      </c>
      <c r="O7898">
        <v>1675</v>
      </c>
    </row>
    <row r="7899" spans="1:15" x14ac:dyDescent="0.25">
      <c r="A7899" t="str">
        <f>"10/21/2020 19:09:20.524"</f>
        <v>10/21/2020 19:09:20.524</v>
      </c>
      <c r="B7899" t="str">
        <f>"19:09:28.484"</f>
        <v>19:09:28.484</v>
      </c>
      <c r="C7899" t="str">
        <f>"19:09:28.084"</f>
        <v>19:09:28.084</v>
      </c>
      <c r="D7899" t="s">
        <v>3149</v>
      </c>
      <c r="E7899">
        <v>30.534997000000001</v>
      </c>
      <c r="F7899" t="s">
        <v>3150</v>
      </c>
      <c r="G7899">
        <v>-89.814369999999997</v>
      </c>
      <c r="H7899">
        <v>1600</v>
      </c>
      <c r="I7899">
        <v>-56</v>
      </c>
      <c r="J7899">
        <v>147</v>
      </c>
      <c r="K7899">
        <v>-320</v>
      </c>
      <c r="L7899">
        <v>1200</v>
      </c>
      <c r="M7899" t="str">
        <f t="shared" si="780"/>
        <v xml:space="preserve">N35DC   </v>
      </c>
      <c r="N7899">
        <v>1</v>
      </c>
      <c r="O7899">
        <v>1675</v>
      </c>
    </row>
    <row r="7900" spans="1:15" x14ac:dyDescent="0.25">
      <c r="A7900" t="str">
        <f>"10/21/2020 19:09:23.696"</f>
        <v>10/21/2020 19:09:23.696</v>
      </c>
      <c r="B7900" t="str">
        <f>"19:09:31.617"</f>
        <v>19:09:31.617</v>
      </c>
      <c r="C7900" t="str">
        <f>"19:09:31.217"</f>
        <v>19:09:31.217</v>
      </c>
      <c r="D7900" t="s">
        <v>3151</v>
      </c>
      <c r="E7900">
        <v>30.537057000000001</v>
      </c>
      <c r="F7900" t="s">
        <v>63</v>
      </c>
      <c r="G7900">
        <v>-89.815550000000002</v>
      </c>
      <c r="H7900">
        <v>1600</v>
      </c>
      <c r="I7900">
        <v>-77</v>
      </c>
      <c r="J7900">
        <v>139</v>
      </c>
      <c r="K7900">
        <v>-128</v>
      </c>
      <c r="L7900">
        <v>1200</v>
      </c>
      <c r="M7900" t="str">
        <f t="shared" si="780"/>
        <v xml:space="preserve">N35DC   </v>
      </c>
      <c r="N7900">
        <v>1</v>
      </c>
      <c r="O7900">
        <v>1650</v>
      </c>
    </row>
    <row r="7901" spans="1:15" x14ac:dyDescent="0.25">
      <c r="A7901" t="str">
        <f>"10/21/2020 19:09:23.696"</f>
        <v>10/21/2020 19:09:23.696</v>
      </c>
      <c r="B7901" t="str">
        <f>"19:09:31.617"</f>
        <v>19:09:31.617</v>
      </c>
      <c r="C7901" t="str">
        <f>"19:09:31.217"</f>
        <v>19:09:31.217</v>
      </c>
      <c r="D7901" t="s">
        <v>3151</v>
      </c>
      <c r="E7901">
        <v>30.537057000000001</v>
      </c>
      <c r="F7901" t="s">
        <v>63</v>
      </c>
      <c r="G7901">
        <v>-89.815550000000002</v>
      </c>
      <c r="H7901">
        <v>1600</v>
      </c>
      <c r="I7901">
        <v>-77</v>
      </c>
      <c r="J7901">
        <v>139</v>
      </c>
      <c r="K7901">
        <v>-128</v>
      </c>
      <c r="L7901">
        <v>1200</v>
      </c>
      <c r="M7901" t="str">
        <f t="shared" si="780"/>
        <v xml:space="preserve">N35DC   </v>
      </c>
      <c r="N7901">
        <v>1</v>
      </c>
      <c r="O7901">
        <v>1650</v>
      </c>
    </row>
    <row r="7902" spans="1:15" x14ac:dyDescent="0.25">
      <c r="A7902" t="str">
        <f>"10/21/2020 19:09:23.696"</f>
        <v>10/21/2020 19:09:23.696</v>
      </c>
      <c r="B7902" t="str">
        <f>"19:09:31.617"</f>
        <v>19:09:31.617</v>
      </c>
      <c r="C7902" t="str">
        <f>"19:09:31.217"</f>
        <v>19:09:31.217</v>
      </c>
      <c r="D7902" t="s">
        <v>3151</v>
      </c>
      <c r="E7902">
        <v>30.537057000000001</v>
      </c>
      <c r="F7902" t="s">
        <v>63</v>
      </c>
      <c r="G7902">
        <v>-89.815550000000002</v>
      </c>
      <c r="H7902">
        <v>1600</v>
      </c>
      <c r="I7902">
        <v>-77</v>
      </c>
      <c r="J7902">
        <v>139</v>
      </c>
      <c r="K7902">
        <v>-128</v>
      </c>
      <c r="L7902">
        <v>1200</v>
      </c>
      <c r="M7902" t="str">
        <f t="shared" si="780"/>
        <v xml:space="preserve">N35DC   </v>
      </c>
      <c r="N7902">
        <v>1</v>
      </c>
      <c r="O7902">
        <v>1650</v>
      </c>
    </row>
    <row r="7903" spans="1:15" x14ac:dyDescent="0.25">
      <c r="A7903" t="str">
        <f>"10/21/2020 19:09:23.696"</f>
        <v>10/21/2020 19:09:23.696</v>
      </c>
      <c r="B7903" t="str">
        <f>"19:09:31.617"</f>
        <v>19:09:31.617</v>
      </c>
      <c r="C7903" t="str">
        <f>"19:09:31.217"</f>
        <v>19:09:31.217</v>
      </c>
      <c r="D7903" t="s">
        <v>3151</v>
      </c>
      <c r="E7903">
        <v>30.537057000000001</v>
      </c>
      <c r="F7903" t="s">
        <v>63</v>
      </c>
      <c r="G7903">
        <v>-89.815550000000002</v>
      </c>
      <c r="H7903">
        <v>1600</v>
      </c>
      <c r="I7903">
        <v>-77</v>
      </c>
      <c r="J7903">
        <v>139</v>
      </c>
      <c r="K7903">
        <v>-128</v>
      </c>
      <c r="L7903">
        <v>1200</v>
      </c>
      <c r="M7903" t="str">
        <f t="shared" si="780"/>
        <v xml:space="preserve">N35DC   </v>
      </c>
      <c r="N7903">
        <v>1</v>
      </c>
      <c r="O7903">
        <v>1650</v>
      </c>
    </row>
    <row r="7904" spans="1:15" x14ac:dyDescent="0.25">
      <c r="A7904" t="str">
        <f>"10/21/2020 19:09:23.696"</f>
        <v>10/21/2020 19:09:23.696</v>
      </c>
      <c r="B7904" t="str">
        <f>"19:09:31.617"</f>
        <v>19:09:31.617</v>
      </c>
      <c r="C7904" t="str">
        <f>"19:09:31.217"</f>
        <v>19:09:31.217</v>
      </c>
      <c r="D7904" t="s">
        <v>3151</v>
      </c>
      <c r="E7904">
        <v>30.537057000000001</v>
      </c>
      <c r="F7904" t="s">
        <v>63</v>
      </c>
      <c r="G7904">
        <v>-89.815550000000002</v>
      </c>
      <c r="H7904">
        <v>1600</v>
      </c>
      <c r="I7904">
        <v>-77</v>
      </c>
      <c r="J7904">
        <v>139</v>
      </c>
      <c r="K7904">
        <v>-128</v>
      </c>
      <c r="L7904">
        <v>1200</v>
      </c>
      <c r="M7904" t="str">
        <f t="shared" si="780"/>
        <v xml:space="preserve">N35DC   </v>
      </c>
      <c r="N7904">
        <v>1</v>
      </c>
      <c r="O7904">
        <v>1650</v>
      </c>
    </row>
    <row r="7905" spans="1:15" x14ac:dyDescent="0.25">
      <c r="A7905" t="str">
        <f>"10/21/2020 19:09:24.607"</f>
        <v>10/21/2020 19:09:24.607</v>
      </c>
      <c r="B7905" t="str">
        <f>"19:09:32.547"</f>
        <v>19:09:32.547</v>
      </c>
      <c r="C7905" t="str">
        <f>"19:09:32.347"</f>
        <v>19:09:32.347</v>
      </c>
      <c r="D7905" t="s">
        <v>3152</v>
      </c>
      <c r="E7905">
        <v>30.537593000000001</v>
      </c>
      <c r="F7905" t="s">
        <v>2938</v>
      </c>
      <c r="G7905">
        <v>-89.815978999999999</v>
      </c>
      <c r="H7905">
        <v>1600</v>
      </c>
      <c r="I7905">
        <v>-85</v>
      </c>
      <c r="J7905">
        <v>135</v>
      </c>
      <c r="K7905">
        <v>-128</v>
      </c>
      <c r="L7905">
        <v>1200</v>
      </c>
      <c r="M7905" t="str">
        <f t="shared" si="780"/>
        <v xml:space="preserve">N35DC   </v>
      </c>
      <c r="N7905">
        <v>1</v>
      </c>
      <c r="O7905">
        <v>1650</v>
      </c>
    </row>
    <row r="7906" spans="1:15" x14ac:dyDescent="0.25">
      <c r="A7906" t="str">
        <f>"10/21/2020 19:09:24.607"</f>
        <v>10/21/2020 19:09:24.607</v>
      </c>
      <c r="B7906" t="str">
        <f>"19:09:32.547"</f>
        <v>19:09:32.547</v>
      </c>
      <c r="C7906" t="str">
        <f>"19:09:32.347"</f>
        <v>19:09:32.347</v>
      </c>
      <c r="D7906" t="s">
        <v>3152</v>
      </c>
      <c r="E7906">
        <v>30.537593000000001</v>
      </c>
      <c r="F7906" t="s">
        <v>2938</v>
      </c>
      <c r="G7906">
        <v>-89.815978999999999</v>
      </c>
      <c r="H7906">
        <v>1600</v>
      </c>
      <c r="I7906">
        <v>-85</v>
      </c>
      <c r="J7906">
        <v>135</v>
      </c>
      <c r="K7906">
        <v>-128</v>
      </c>
      <c r="L7906">
        <v>1200</v>
      </c>
      <c r="M7906" t="str">
        <f t="shared" si="780"/>
        <v xml:space="preserve">N35DC   </v>
      </c>
      <c r="N7906">
        <v>1</v>
      </c>
      <c r="O7906">
        <v>1650</v>
      </c>
    </row>
    <row r="7907" spans="1:15" x14ac:dyDescent="0.25">
      <c r="A7907" t="str">
        <f>"10/21/2020 19:09:24.607"</f>
        <v>10/21/2020 19:09:24.607</v>
      </c>
      <c r="B7907" t="str">
        <f>"19:09:32.547"</f>
        <v>19:09:32.547</v>
      </c>
      <c r="C7907" t="str">
        <f>"19:09:32.347"</f>
        <v>19:09:32.347</v>
      </c>
      <c r="D7907" t="s">
        <v>3152</v>
      </c>
      <c r="E7907">
        <v>30.537593000000001</v>
      </c>
      <c r="F7907" t="s">
        <v>2938</v>
      </c>
      <c r="G7907">
        <v>-89.815978999999999</v>
      </c>
      <c r="H7907">
        <v>1600</v>
      </c>
      <c r="I7907">
        <v>-85</v>
      </c>
      <c r="J7907">
        <v>135</v>
      </c>
      <c r="K7907">
        <v>-128</v>
      </c>
      <c r="L7907">
        <v>1200</v>
      </c>
      <c r="M7907" t="str">
        <f t="shared" si="780"/>
        <v xml:space="preserve">N35DC   </v>
      </c>
      <c r="N7907">
        <v>1</v>
      </c>
      <c r="O7907">
        <v>1650</v>
      </c>
    </row>
    <row r="7908" spans="1:15" x14ac:dyDescent="0.25">
      <c r="A7908" t="str">
        <f>"10/21/2020 19:09:24.607"</f>
        <v>10/21/2020 19:09:24.607</v>
      </c>
      <c r="B7908" t="str">
        <f>"19:09:32.547"</f>
        <v>19:09:32.547</v>
      </c>
      <c r="C7908" t="str">
        <f>"19:09:32.347"</f>
        <v>19:09:32.347</v>
      </c>
      <c r="D7908" t="s">
        <v>3152</v>
      </c>
      <c r="E7908">
        <v>30.537593000000001</v>
      </c>
      <c r="F7908" t="s">
        <v>2938</v>
      </c>
      <c r="G7908">
        <v>-89.815978999999999</v>
      </c>
      <c r="H7908">
        <v>1600</v>
      </c>
      <c r="I7908">
        <v>-85</v>
      </c>
      <c r="J7908">
        <v>135</v>
      </c>
      <c r="K7908">
        <v>-128</v>
      </c>
      <c r="L7908">
        <v>1200</v>
      </c>
      <c r="M7908" t="str">
        <f t="shared" si="780"/>
        <v xml:space="preserve">N35DC   </v>
      </c>
      <c r="N7908">
        <v>1</v>
      </c>
      <c r="O7908">
        <v>1650</v>
      </c>
    </row>
    <row r="7909" spans="1:15" x14ac:dyDescent="0.25">
      <c r="A7909" t="str">
        <f>"10/21/2020 19:09:24.607"</f>
        <v>10/21/2020 19:09:24.607</v>
      </c>
      <c r="B7909" t="str">
        <f>"19:09:32.547"</f>
        <v>19:09:32.547</v>
      </c>
      <c r="C7909" t="str">
        <f>"19:09:32.347"</f>
        <v>19:09:32.347</v>
      </c>
      <c r="D7909" t="s">
        <v>3152</v>
      </c>
      <c r="E7909">
        <v>30.537593000000001</v>
      </c>
      <c r="F7909" t="s">
        <v>2938</v>
      </c>
      <c r="G7909">
        <v>-89.815978999999999</v>
      </c>
      <c r="H7909">
        <v>1600</v>
      </c>
      <c r="I7909">
        <v>-85</v>
      </c>
      <c r="J7909">
        <v>135</v>
      </c>
      <c r="K7909">
        <v>-128</v>
      </c>
      <c r="L7909">
        <v>1200</v>
      </c>
      <c r="M7909" t="str">
        <f t="shared" si="780"/>
        <v xml:space="preserve">N35DC   </v>
      </c>
      <c r="N7909">
        <v>1</v>
      </c>
      <c r="O7909">
        <v>1650</v>
      </c>
    </row>
    <row r="7910" spans="1:15" x14ac:dyDescent="0.25">
      <c r="A7910" t="str">
        <f>"10/21/2020 19:09:27.568"</f>
        <v>10/21/2020 19:09:27.568</v>
      </c>
      <c r="B7910" t="str">
        <f>"19:09:35.500"</f>
        <v>19:09:35.500</v>
      </c>
      <c r="C7910" t="str">
        <f>"19:09:35.300"</f>
        <v>19:09:35.300</v>
      </c>
      <c r="D7910" t="s">
        <v>3153</v>
      </c>
      <c r="E7910">
        <v>30.539331000000001</v>
      </c>
      <c r="F7910" t="s">
        <v>3154</v>
      </c>
      <c r="G7910">
        <v>-89.817524000000006</v>
      </c>
      <c r="H7910">
        <v>1600</v>
      </c>
      <c r="I7910">
        <v>-104</v>
      </c>
      <c r="J7910">
        <v>123</v>
      </c>
      <c r="K7910">
        <v>128</v>
      </c>
      <c r="L7910">
        <v>1200</v>
      </c>
      <c r="M7910" t="str">
        <f t="shared" si="780"/>
        <v xml:space="preserve">N35DC   </v>
      </c>
      <c r="N7910">
        <v>1</v>
      </c>
      <c r="O7910">
        <v>1650</v>
      </c>
    </row>
    <row r="7911" spans="1:15" x14ac:dyDescent="0.25">
      <c r="A7911" t="str">
        <f>"10/21/2020 19:09:27.568"</f>
        <v>10/21/2020 19:09:27.568</v>
      </c>
      <c r="B7911" t="str">
        <f>"19:09:35.500"</f>
        <v>19:09:35.500</v>
      </c>
      <c r="C7911" t="str">
        <f>"19:09:35.300"</f>
        <v>19:09:35.300</v>
      </c>
      <c r="D7911" t="s">
        <v>3153</v>
      </c>
      <c r="E7911">
        <v>30.539331000000001</v>
      </c>
      <c r="F7911" t="s">
        <v>3154</v>
      </c>
      <c r="G7911">
        <v>-89.817524000000006</v>
      </c>
      <c r="H7911">
        <v>1600</v>
      </c>
      <c r="I7911">
        <v>-104</v>
      </c>
      <c r="J7911">
        <v>123</v>
      </c>
      <c r="K7911">
        <v>128</v>
      </c>
      <c r="L7911">
        <v>1200</v>
      </c>
      <c r="M7911" t="str">
        <f t="shared" si="780"/>
        <v xml:space="preserve">N35DC   </v>
      </c>
      <c r="N7911">
        <v>1</v>
      </c>
      <c r="O7911">
        <v>1650</v>
      </c>
    </row>
    <row r="7912" spans="1:15" x14ac:dyDescent="0.25">
      <c r="A7912" t="str">
        <f>"10/21/2020 19:09:27.568"</f>
        <v>10/21/2020 19:09:27.568</v>
      </c>
      <c r="B7912" t="str">
        <f>"19:09:35.500"</f>
        <v>19:09:35.500</v>
      </c>
      <c r="C7912" t="str">
        <f>"19:09:35.300"</f>
        <v>19:09:35.300</v>
      </c>
      <c r="D7912" t="s">
        <v>3153</v>
      </c>
      <c r="E7912">
        <v>30.539331000000001</v>
      </c>
      <c r="F7912" t="s">
        <v>3154</v>
      </c>
      <c r="G7912">
        <v>-89.817524000000006</v>
      </c>
      <c r="H7912">
        <v>1600</v>
      </c>
      <c r="I7912">
        <v>-104</v>
      </c>
      <c r="J7912">
        <v>123</v>
      </c>
      <c r="K7912">
        <v>128</v>
      </c>
      <c r="L7912">
        <v>1200</v>
      </c>
      <c r="M7912" t="str">
        <f t="shared" si="780"/>
        <v xml:space="preserve">N35DC   </v>
      </c>
      <c r="N7912">
        <v>1</v>
      </c>
      <c r="O7912">
        <v>1650</v>
      </c>
    </row>
    <row r="7913" spans="1:15" x14ac:dyDescent="0.25">
      <c r="A7913" t="str">
        <f>"10/21/2020 19:09:27.568"</f>
        <v>10/21/2020 19:09:27.568</v>
      </c>
      <c r="B7913" t="str">
        <f>"19:09:35.500"</f>
        <v>19:09:35.500</v>
      </c>
      <c r="C7913" t="str">
        <f>"19:09:35.300"</f>
        <v>19:09:35.300</v>
      </c>
      <c r="D7913" t="s">
        <v>3153</v>
      </c>
      <c r="E7913">
        <v>30.539331000000001</v>
      </c>
      <c r="F7913" t="s">
        <v>3154</v>
      </c>
      <c r="G7913">
        <v>-89.817524000000006</v>
      </c>
      <c r="H7913">
        <v>1600</v>
      </c>
      <c r="I7913">
        <v>-104</v>
      </c>
      <c r="J7913">
        <v>123</v>
      </c>
      <c r="K7913">
        <v>128</v>
      </c>
      <c r="L7913">
        <v>1200</v>
      </c>
      <c r="M7913" t="str">
        <f t="shared" si="780"/>
        <v xml:space="preserve">N35DC   </v>
      </c>
      <c r="N7913">
        <v>1</v>
      </c>
      <c r="O7913">
        <v>1650</v>
      </c>
    </row>
    <row r="7914" spans="1:15" x14ac:dyDescent="0.25">
      <c r="A7914" t="str">
        <f>"10/21/2020 19:09:27.568"</f>
        <v>10/21/2020 19:09:27.568</v>
      </c>
      <c r="B7914" t="str">
        <f>"19:09:35.500"</f>
        <v>19:09:35.500</v>
      </c>
      <c r="C7914" t="str">
        <f>"19:09:35.300"</f>
        <v>19:09:35.300</v>
      </c>
      <c r="D7914" t="s">
        <v>3153</v>
      </c>
      <c r="E7914">
        <v>30.539331000000001</v>
      </c>
      <c r="F7914" t="s">
        <v>3154</v>
      </c>
      <c r="G7914">
        <v>-89.817524000000006</v>
      </c>
      <c r="H7914">
        <v>1600</v>
      </c>
      <c r="I7914">
        <v>-104</v>
      </c>
      <c r="J7914">
        <v>123</v>
      </c>
      <c r="K7914">
        <v>128</v>
      </c>
      <c r="L7914">
        <v>1200</v>
      </c>
      <c r="M7914" t="str">
        <f t="shared" si="780"/>
        <v xml:space="preserve">N35DC   </v>
      </c>
      <c r="N7914">
        <v>1</v>
      </c>
      <c r="O7914">
        <v>1650</v>
      </c>
    </row>
    <row r="7915" spans="1:15" x14ac:dyDescent="0.25">
      <c r="A7915" t="str">
        <f>"10/21/2020 19:09:30.675"</f>
        <v>10/21/2020 19:09:30.675</v>
      </c>
      <c r="B7915" t="str">
        <f>"19:09:38.633"</f>
        <v>19:09:38.633</v>
      </c>
      <c r="C7915" t="str">
        <f>"19:09:38.333"</f>
        <v>19:09:38.333</v>
      </c>
      <c r="D7915" t="s">
        <v>2741</v>
      </c>
      <c r="E7915">
        <v>30.540962</v>
      </c>
      <c r="F7915" t="s">
        <v>3155</v>
      </c>
      <c r="G7915">
        <v>-89.819434000000001</v>
      </c>
      <c r="H7915">
        <v>1600</v>
      </c>
      <c r="I7915">
        <v>-120</v>
      </c>
      <c r="J7915">
        <v>108</v>
      </c>
      <c r="K7915">
        <v>384</v>
      </c>
      <c r="L7915">
        <v>1200</v>
      </c>
      <c r="M7915" t="str">
        <f t="shared" si="780"/>
        <v xml:space="preserve">N35DC   </v>
      </c>
      <c r="N7915">
        <v>1</v>
      </c>
      <c r="O7915">
        <v>1675</v>
      </c>
    </row>
    <row r="7916" spans="1:15" x14ac:dyDescent="0.25">
      <c r="A7916" t="str">
        <f>"10/21/2020 19:09:30.675"</f>
        <v>10/21/2020 19:09:30.675</v>
      </c>
      <c r="B7916" t="str">
        <f>"19:09:38.633"</f>
        <v>19:09:38.633</v>
      </c>
      <c r="C7916" t="str">
        <f>"19:09:38.333"</f>
        <v>19:09:38.333</v>
      </c>
      <c r="D7916" t="s">
        <v>2741</v>
      </c>
      <c r="E7916">
        <v>30.540962</v>
      </c>
      <c r="F7916" t="s">
        <v>3155</v>
      </c>
      <c r="G7916">
        <v>-89.819434000000001</v>
      </c>
      <c r="H7916">
        <v>1600</v>
      </c>
      <c r="I7916">
        <v>-120</v>
      </c>
      <c r="J7916">
        <v>108</v>
      </c>
      <c r="K7916">
        <v>384</v>
      </c>
      <c r="L7916">
        <v>1200</v>
      </c>
      <c r="M7916" t="str">
        <f t="shared" si="780"/>
        <v xml:space="preserve">N35DC   </v>
      </c>
      <c r="N7916">
        <v>1</v>
      </c>
      <c r="O7916">
        <v>1675</v>
      </c>
    </row>
    <row r="7917" spans="1:15" x14ac:dyDescent="0.25">
      <c r="A7917" t="str">
        <f>"10/21/2020 19:09:30.675"</f>
        <v>10/21/2020 19:09:30.675</v>
      </c>
      <c r="B7917" t="str">
        <f>"19:09:38.633"</f>
        <v>19:09:38.633</v>
      </c>
      <c r="C7917" t="str">
        <f>"19:09:38.333"</f>
        <v>19:09:38.333</v>
      </c>
      <c r="D7917" t="s">
        <v>2741</v>
      </c>
      <c r="E7917">
        <v>30.540962</v>
      </c>
      <c r="F7917" t="s">
        <v>3155</v>
      </c>
      <c r="G7917">
        <v>-89.819434000000001</v>
      </c>
      <c r="H7917">
        <v>1600</v>
      </c>
      <c r="I7917">
        <v>-120</v>
      </c>
      <c r="J7917">
        <v>108</v>
      </c>
      <c r="K7917">
        <v>384</v>
      </c>
      <c r="L7917">
        <v>1200</v>
      </c>
      <c r="M7917" t="str">
        <f t="shared" si="780"/>
        <v xml:space="preserve">N35DC   </v>
      </c>
      <c r="N7917">
        <v>1</v>
      </c>
      <c r="O7917">
        <v>1675</v>
      </c>
    </row>
    <row r="7918" spans="1:15" x14ac:dyDescent="0.25">
      <c r="A7918" t="str">
        <f>"10/21/2020 19:09:30.675"</f>
        <v>10/21/2020 19:09:30.675</v>
      </c>
      <c r="B7918" t="str">
        <f>"19:09:38.633"</f>
        <v>19:09:38.633</v>
      </c>
      <c r="C7918" t="str">
        <f>"19:09:38.333"</f>
        <v>19:09:38.333</v>
      </c>
      <c r="D7918" t="s">
        <v>2741</v>
      </c>
      <c r="E7918">
        <v>30.540962</v>
      </c>
      <c r="F7918" t="s">
        <v>3155</v>
      </c>
      <c r="G7918">
        <v>-89.819434000000001</v>
      </c>
      <c r="H7918">
        <v>1600</v>
      </c>
      <c r="I7918">
        <v>-120</v>
      </c>
      <c r="J7918">
        <v>108</v>
      </c>
      <c r="K7918">
        <v>384</v>
      </c>
      <c r="L7918">
        <v>1200</v>
      </c>
      <c r="M7918" t="str">
        <f t="shared" si="780"/>
        <v xml:space="preserve">N35DC   </v>
      </c>
      <c r="N7918">
        <v>1</v>
      </c>
      <c r="O7918">
        <v>1675</v>
      </c>
    </row>
    <row r="7919" spans="1:15" x14ac:dyDescent="0.25">
      <c r="A7919" t="str">
        <f>"10/21/2020 19:09:30.675"</f>
        <v>10/21/2020 19:09:30.675</v>
      </c>
      <c r="B7919" t="str">
        <f>"19:09:38.633"</f>
        <v>19:09:38.633</v>
      </c>
      <c r="C7919" t="str">
        <f>"19:09:38.333"</f>
        <v>19:09:38.333</v>
      </c>
      <c r="D7919" t="s">
        <v>2741</v>
      </c>
      <c r="E7919">
        <v>30.540962</v>
      </c>
      <c r="F7919" t="s">
        <v>3155</v>
      </c>
      <c r="G7919">
        <v>-89.819434000000001</v>
      </c>
      <c r="H7919">
        <v>1600</v>
      </c>
      <c r="I7919">
        <v>-120</v>
      </c>
      <c r="J7919">
        <v>108</v>
      </c>
      <c r="K7919">
        <v>384</v>
      </c>
      <c r="L7919">
        <v>1200</v>
      </c>
      <c r="M7919" t="str">
        <f t="shared" si="780"/>
        <v xml:space="preserve">N35DC   </v>
      </c>
      <c r="N7919">
        <v>1</v>
      </c>
      <c r="O7919">
        <v>1675</v>
      </c>
    </row>
    <row r="7920" spans="1:15" x14ac:dyDescent="0.25">
      <c r="A7920" t="str">
        <f>"10/21/2020 19:09:31.662"</f>
        <v>10/21/2020 19:09:31.662</v>
      </c>
      <c r="B7920" t="str">
        <f>"19:09:39.609"</f>
        <v>19:09:39.609</v>
      </c>
      <c r="C7920" t="str">
        <f>"19:09:39.309"</f>
        <v>19:09:39.309</v>
      </c>
      <c r="D7920" t="s">
        <v>3156</v>
      </c>
      <c r="E7920">
        <v>30.541433999999999</v>
      </c>
      <c r="F7920" t="s">
        <v>3157</v>
      </c>
      <c r="G7920">
        <v>-89.820076999999998</v>
      </c>
      <c r="H7920">
        <v>1600</v>
      </c>
      <c r="I7920">
        <v>-124</v>
      </c>
      <c r="J7920">
        <v>104</v>
      </c>
      <c r="K7920">
        <v>384</v>
      </c>
      <c r="L7920">
        <v>1200</v>
      </c>
      <c r="M7920" t="str">
        <f t="shared" si="780"/>
        <v xml:space="preserve">N35DC   </v>
      </c>
      <c r="N7920">
        <v>1</v>
      </c>
      <c r="O7920">
        <v>1675</v>
      </c>
    </row>
    <row r="7921" spans="1:15" x14ac:dyDescent="0.25">
      <c r="A7921" t="str">
        <f>"10/21/2020 19:09:31.662"</f>
        <v>10/21/2020 19:09:31.662</v>
      </c>
      <c r="B7921" t="str">
        <f>"19:09:39.609"</f>
        <v>19:09:39.609</v>
      </c>
      <c r="C7921" t="str">
        <f>"19:09:39.309"</f>
        <v>19:09:39.309</v>
      </c>
      <c r="D7921" t="s">
        <v>3156</v>
      </c>
      <c r="E7921">
        <v>30.541433999999999</v>
      </c>
      <c r="F7921" t="s">
        <v>3157</v>
      </c>
      <c r="G7921">
        <v>-89.820076999999998</v>
      </c>
      <c r="H7921">
        <v>1600</v>
      </c>
      <c r="I7921">
        <v>-124</v>
      </c>
      <c r="J7921">
        <v>104</v>
      </c>
      <c r="K7921">
        <v>384</v>
      </c>
      <c r="L7921">
        <v>1200</v>
      </c>
      <c r="M7921" t="str">
        <f t="shared" si="780"/>
        <v xml:space="preserve">N35DC   </v>
      </c>
      <c r="N7921">
        <v>1</v>
      </c>
      <c r="O7921">
        <v>1675</v>
      </c>
    </row>
    <row r="7922" spans="1:15" x14ac:dyDescent="0.25">
      <c r="A7922" t="str">
        <f>"10/21/2020 19:09:31.662"</f>
        <v>10/21/2020 19:09:31.662</v>
      </c>
      <c r="B7922" t="str">
        <f>"19:09:39.609"</f>
        <v>19:09:39.609</v>
      </c>
      <c r="C7922" t="str">
        <f>"19:09:39.309"</f>
        <v>19:09:39.309</v>
      </c>
      <c r="D7922" t="s">
        <v>3156</v>
      </c>
      <c r="E7922">
        <v>30.541433999999999</v>
      </c>
      <c r="F7922" t="s">
        <v>3157</v>
      </c>
      <c r="G7922">
        <v>-89.820076999999998</v>
      </c>
      <c r="H7922">
        <v>1600</v>
      </c>
      <c r="I7922">
        <v>-124</v>
      </c>
      <c r="J7922">
        <v>104</v>
      </c>
      <c r="K7922">
        <v>384</v>
      </c>
      <c r="L7922">
        <v>1200</v>
      </c>
      <c r="M7922" t="str">
        <f t="shared" si="780"/>
        <v xml:space="preserve">N35DC   </v>
      </c>
      <c r="N7922">
        <v>1</v>
      </c>
      <c r="O7922">
        <v>1675</v>
      </c>
    </row>
    <row r="7923" spans="1:15" x14ac:dyDescent="0.25">
      <c r="A7923" t="str">
        <f>"10/21/2020 19:09:31.662"</f>
        <v>10/21/2020 19:09:31.662</v>
      </c>
      <c r="B7923" t="str">
        <f>"19:09:39.609"</f>
        <v>19:09:39.609</v>
      </c>
      <c r="C7923" t="str">
        <f>"19:09:39.309"</f>
        <v>19:09:39.309</v>
      </c>
      <c r="D7923" t="s">
        <v>3156</v>
      </c>
      <c r="E7923">
        <v>30.541433999999999</v>
      </c>
      <c r="F7923" t="s">
        <v>3157</v>
      </c>
      <c r="G7923">
        <v>-89.820076999999998</v>
      </c>
      <c r="H7923">
        <v>1600</v>
      </c>
      <c r="I7923">
        <v>-124</v>
      </c>
      <c r="J7923">
        <v>104</v>
      </c>
      <c r="K7923">
        <v>384</v>
      </c>
      <c r="L7923">
        <v>1200</v>
      </c>
      <c r="M7923" t="str">
        <f t="shared" si="780"/>
        <v xml:space="preserve">N35DC   </v>
      </c>
      <c r="N7923">
        <v>1</v>
      </c>
      <c r="O7923">
        <v>1675</v>
      </c>
    </row>
    <row r="7924" spans="1:15" x14ac:dyDescent="0.25">
      <c r="A7924" t="str">
        <f>"10/21/2020 19:09:31.662"</f>
        <v>10/21/2020 19:09:31.662</v>
      </c>
      <c r="B7924" t="str">
        <f>"19:09:39.609"</f>
        <v>19:09:39.609</v>
      </c>
      <c r="C7924" t="str">
        <f>"19:09:39.309"</f>
        <v>19:09:39.309</v>
      </c>
      <c r="D7924" t="s">
        <v>3156</v>
      </c>
      <c r="E7924">
        <v>30.541433999999999</v>
      </c>
      <c r="F7924" t="s">
        <v>3157</v>
      </c>
      <c r="G7924">
        <v>-89.820076999999998</v>
      </c>
      <c r="H7924">
        <v>1600</v>
      </c>
      <c r="I7924">
        <v>-124</v>
      </c>
      <c r="J7924">
        <v>104</v>
      </c>
      <c r="K7924">
        <v>384</v>
      </c>
      <c r="L7924">
        <v>1200</v>
      </c>
      <c r="M7924" t="str">
        <f t="shared" si="780"/>
        <v xml:space="preserve">N35DC   </v>
      </c>
      <c r="N7924">
        <v>1</v>
      </c>
      <c r="O7924">
        <v>1675</v>
      </c>
    </row>
    <row r="7925" spans="1:15" x14ac:dyDescent="0.25">
      <c r="A7925" t="str">
        <f>"10/21/2020 19:09:34.621"</f>
        <v>10/21/2020 19:09:34.621</v>
      </c>
      <c r="B7925" t="str">
        <f>"19:09:42.578"</f>
        <v>19:09:42.578</v>
      </c>
      <c r="C7925" t="str">
        <f>"19:09:42.178"</f>
        <v>19:09:42.178</v>
      </c>
      <c r="D7925" t="s">
        <v>3158</v>
      </c>
      <c r="E7925">
        <v>30.542764999999999</v>
      </c>
      <c r="F7925" t="s">
        <v>3159</v>
      </c>
      <c r="G7925">
        <v>-89.822115999999994</v>
      </c>
      <c r="H7925">
        <v>1600</v>
      </c>
      <c r="I7925">
        <v>-131</v>
      </c>
      <c r="J7925">
        <v>95</v>
      </c>
      <c r="K7925">
        <v>384</v>
      </c>
      <c r="L7925">
        <v>1200</v>
      </c>
      <c r="M7925" t="str">
        <f t="shared" si="780"/>
        <v xml:space="preserve">N35DC   </v>
      </c>
      <c r="N7925">
        <v>1</v>
      </c>
      <c r="O7925">
        <v>1700</v>
      </c>
    </row>
    <row r="7926" spans="1:15" x14ac:dyDescent="0.25">
      <c r="A7926" t="str">
        <f>"10/21/2020 19:09:34.621"</f>
        <v>10/21/2020 19:09:34.621</v>
      </c>
      <c r="B7926" t="str">
        <f>"19:09:42.578"</f>
        <v>19:09:42.578</v>
      </c>
      <c r="C7926" t="str">
        <f>"19:09:42.178"</f>
        <v>19:09:42.178</v>
      </c>
      <c r="D7926" t="s">
        <v>3158</v>
      </c>
      <c r="E7926">
        <v>30.542764999999999</v>
      </c>
      <c r="F7926" t="s">
        <v>3159</v>
      </c>
      <c r="G7926">
        <v>-89.822115999999994</v>
      </c>
      <c r="H7926">
        <v>1600</v>
      </c>
      <c r="I7926">
        <v>-131</v>
      </c>
      <c r="J7926">
        <v>95</v>
      </c>
      <c r="K7926">
        <v>384</v>
      </c>
      <c r="L7926">
        <v>1200</v>
      </c>
      <c r="M7926" t="str">
        <f t="shared" si="780"/>
        <v xml:space="preserve">N35DC   </v>
      </c>
      <c r="N7926">
        <v>1</v>
      </c>
      <c r="O7926">
        <v>1700</v>
      </c>
    </row>
    <row r="7927" spans="1:15" x14ac:dyDescent="0.25">
      <c r="A7927" t="str">
        <f>"10/21/2020 19:09:34.621"</f>
        <v>10/21/2020 19:09:34.621</v>
      </c>
      <c r="B7927" t="str">
        <f>"19:09:42.578"</f>
        <v>19:09:42.578</v>
      </c>
      <c r="C7927" t="str">
        <f>"19:09:42.178"</f>
        <v>19:09:42.178</v>
      </c>
      <c r="D7927" t="s">
        <v>3158</v>
      </c>
      <c r="E7927">
        <v>30.542764999999999</v>
      </c>
      <c r="F7927" t="s">
        <v>3159</v>
      </c>
      <c r="G7927">
        <v>-89.822115999999994</v>
      </c>
      <c r="H7927">
        <v>1600</v>
      </c>
      <c r="I7927">
        <v>-131</v>
      </c>
      <c r="J7927">
        <v>95</v>
      </c>
      <c r="K7927">
        <v>384</v>
      </c>
      <c r="L7927">
        <v>1200</v>
      </c>
      <c r="M7927" t="str">
        <f t="shared" si="780"/>
        <v xml:space="preserve">N35DC   </v>
      </c>
      <c r="N7927">
        <v>1</v>
      </c>
      <c r="O7927">
        <v>1700</v>
      </c>
    </row>
    <row r="7928" spans="1:15" x14ac:dyDescent="0.25">
      <c r="A7928" t="str">
        <f>"10/21/2020 19:09:34.621"</f>
        <v>10/21/2020 19:09:34.621</v>
      </c>
      <c r="B7928" t="str">
        <f>"19:09:42.578"</f>
        <v>19:09:42.578</v>
      </c>
      <c r="C7928" t="str">
        <f>"19:09:42.178"</f>
        <v>19:09:42.178</v>
      </c>
      <c r="D7928" t="s">
        <v>3158</v>
      </c>
      <c r="E7928">
        <v>30.542764999999999</v>
      </c>
      <c r="F7928" t="s">
        <v>3159</v>
      </c>
      <c r="G7928">
        <v>-89.822115999999994</v>
      </c>
      <c r="H7928">
        <v>1600</v>
      </c>
      <c r="I7928">
        <v>-131</v>
      </c>
      <c r="J7928">
        <v>95</v>
      </c>
      <c r="K7928">
        <v>384</v>
      </c>
      <c r="L7928">
        <v>1200</v>
      </c>
      <c r="M7928" t="str">
        <f t="shared" si="780"/>
        <v xml:space="preserve">N35DC   </v>
      </c>
      <c r="N7928">
        <v>1</v>
      </c>
      <c r="O7928">
        <v>1700</v>
      </c>
    </row>
    <row r="7929" spans="1:15" x14ac:dyDescent="0.25">
      <c r="A7929" t="str">
        <f>"10/21/2020 19:09:34.621"</f>
        <v>10/21/2020 19:09:34.621</v>
      </c>
      <c r="B7929" t="str">
        <f>"19:09:42.578"</f>
        <v>19:09:42.578</v>
      </c>
      <c r="C7929" t="str">
        <f>"19:09:42.178"</f>
        <v>19:09:42.178</v>
      </c>
      <c r="D7929" t="s">
        <v>3158</v>
      </c>
      <c r="E7929">
        <v>30.542764999999999</v>
      </c>
      <c r="F7929" t="s">
        <v>3159</v>
      </c>
      <c r="G7929">
        <v>-89.822115999999994</v>
      </c>
      <c r="H7929">
        <v>1600</v>
      </c>
      <c r="I7929">
        <v>-131</v>
      </c>
      <c r="J7929">
        <v>95</v>
      </c>
      <c r="K7929">
        <v>384</v>
      </c>
      <c r="L7929">
        <v>1200</v>
      </c>
      <c r="M7929" t="str">
        <f t="shared" si="780"/>
        <v xml:space="preserve">N35DC   </v>
      </c>
      <c r="N7929">
        <v>1</v>
      </c>
      <c r="O7929">
        <v>1700</v>
      </c>
    </row>
    <row r="7930" spans="1:15" x14ac:dyDescent="0.25">
      <c r="A7930" t="str">
        <f>"10/21/2020 19:09:35.509"</f>
        <v>10/21/2020 19:09:35.509</v>
      </c>
      <c r="B7930" t="str">
        <f t="shared" ref="B7930:C7934" si="781">"19:09:43.469"</f>
        <v>19:09:43.469</v>
      </c>
      <c r="C7930" t="str">
        <f t="shared" si="781"/>
        <v>19:09:43.469</v>
      </c>
      <c r="D7930" t="s">
        <v>742</v>
      </c>
      <c r="E7930">
        <v>30.543151000000002</v>
      </c>
      <c r="F7930" t="s">
        <v>3160</v>
      </c>
      <c r="G7930">
        <v>-89.822781000000006</v>
      </c>
      <c r="H7930">
        <v>1600</v>
      </c>
      <c r="I7930">
        <v>-133</v>
      </c>
      <c r="J7930">
        <v>91</v>
      </c>
      <c r="K7930">
        <v>448</v>
      </c>
      <c r="L7930">
        <v>1200</v>
      </c>
      <c r="M7930" t="str">
        <f t="shared" si="780"/>
        <v xml:space="preserve">N35DC   </v>
      </c>
      <c r="N7930">
        <v>1</v>
      </c>
      <c r="O7930">
        <v>1700</v>
      </c>
    </row>
    <row r="7931" spans="1:15" x14ac:dyDescent="0.25">
      <c r="A7931" t="str">
        <f>"10/21/2020 19:09:35.509"</f>
        <v>10/21/2020 19:09:35.509</v>
      </c>
      <c r="B7931" t="str">
        <f t="shared" si="781"/>
        <v>19:09:43.469</v>
      </c>
      <c r="C7931" t="str">
        <f t="shared" si="781"/>
        <v>19:09:43.469</v>
      </c>
      <c r="D7931" t="s">
        <v>742</v>
      </c>
      <c r="E7931">
        <v>30.543151000000002</v>
      </c>
      <c r="F7931" t="s">
        <v>3160</v>
      </c>
      <c r="G7931">
        <v>-89.822781000000006</v>
      </c>
      <c r="H7931">
        <v>1600</v>
      </c>
      <c r="I7931">
        <v>-133</v>
      </c>
      <c r="J7931">
        <v>91</v>
      </c>
      <c r="K7931">
        <v>448</v>
      </c>
      <c r="L7931">
        <v>1200</v>
      </c>
      <c r="M7931" t="str">
        <f t="shared" si="780"/>
        <v xml:space="preserve">N35DC   </v>
      </c>
      <c r="N7931">
        <v>1</v>
      </c>
      <c r="O7931">
        <v>1700</v>
      </c>
    </row>
    <row r="7932" spans="1:15" x14ac:dyDescent="0.25">
      <c r="A7932" t="str">
        <f>"10/21/2020 19:09:35.509"</f>
        <v>10/21/2020 19:09:35.509</v>
      </c>
      <c r="B7932" t="str">
        <f t="shared" si="781"/>
        <v>19:09:43.469</v>
      </c>
      <c r="C7932" t="str">
        <f t="shared" si="781"/>
        <v>19:09:43.469</v>
      </c>
      <c r="D7932" t="s">
        <v>742</v>
      </c>
      <c r="E7932">
        <v>30.543151000000002</v>
      </c>
      <c r="F7932" t="s">
        <v>3160</v>
      </c>
      <c r="G7932">
        <v>-89.822781000000006</v>
      </c>
      <c r="H7932">
        <v>1600</v>
      </c>
      <c r="I7932">
        <v>-133</v>
      </c>
      <c r="J7932">
        <v>91</v>
      </c>
      <c r="K7932">
        <v>448</v>
      </c>
      <c r="L7932">
        <v>1200</v>
      </c>
      <c r="M7932" t="str">
        <f t="shared" si="780"/>
        <v xml:space="preserve">N35DC   </v>
      </c>
      <c r="N7932">
        <v>1</v>
      </c>
      <c r="O7932">
        <v>1700</v>
      </c>
    </row>
    <row r="7933" spans="1:15" x14ac:dyDescent="0.25">
      <c r="A7933" t="str">
        <f>"10/21/2020 19:09:35.509"</f>
        <v>10/21/2020 19:09:35.509</v>
      </c>
      <c r="B7933" t="str">
        <f t="shared" si="781"/>
        <v>19:09:43.469</v>
      </c>
      <c r="C7933" t="str">
        <f t="shared" si="781"/>
        <v>19:09:43.469</v>
      </c>
      <c r="D7933" t="s">
        <v>742</v>
      </c>
      <c r="E7933">
        <v>30.543151000000002</v>
      </c>
      <c r="F7933" t="s">
        <v>3160</v>
      </c>
      <c r="G7933">
        <v>-89.822781000000006</v>
      </c>
      <c r="H7933">
        <v>1600</v>
      </c>
      <c r="I7933">
        <v>-133</v>
      </c>
      <c r="J7933">
        <v>91</v>
      </c>
      <c r="K7933">
        <v>448</v>
      </c>
      <c r="L7933">
        <v>1200</v>
      </c>
      <c r="M7933" t="str">
        <f t="shared" si="780"/>
        <v xml:space="preserve">N35DC   </v>
      </c>
      <c r="N7933">
        <v>1</v>
      </c>
      <c r="O7933">
        <v>1700</v>
      </c>
    </row>
    <row r="7934" spans="1:15" x14ac:dyDescent="0.25">
      <c r="A7934" t="str">
        <f>"10/21/2020 19:09:35.509"</f>
        <v>10/21/2020 19:09:35.509</v>
      </c>
      <c r="B7934" t="str">
        <f t="shared" si="781"/>
        <v>19:09:43.469</v>
      </c>
      <c r="C7934" t="str">
        <f t="shared" si="781"/>
        <v>19:09:43.469</v>
      </c>
      <c r="D7934" t="s">
        <v>742</v>
      </c>
      <c r="E7934">
        <v>30.543151000000002</v>
      </c>
      <c r="F7934" t="s">
        <v>3160</v>
      </c>
      <c r="G7934">
        <v>-89.822781000000006</v>
      </c>
      <c r="H7934">
        <v>1600</v>
      </c>
      <c r="I7934">
        <v>-133</v>
      </c>
      <c r="J7934">
        <v>91</v>
      </c>
      <c r="K7934">
        <v>448</v>
      </c>
      <c r="L7934">
        <v>1200</v>
      </c>
      <c r="M7934" t="str">
        <f t="shared" si="780"/>
        <v xml:space="preserve">N35DC   </v>
      </c>
      <c r="N7934">
        <v>1</v>
      </c>
      <c r="O7934">
        <v>1700</v>
      </c>
    </row>
    <row r="7935" spans="1:15" x14ac:dyDescent="0.25">
      <c r="A7935" t="str">
        <f>"10/21/2020 19:09:38.671"</f>
        <v>10/21/2020 19:09:38.671</v>
      </c>
      <c r="B7935" t="str">
        <f>"19:09:46.617"</f>
        <v>19:09:46.617</v>
      </c>
      <c r="C7935" t="str">
        <f>"19:09:46.417"</f>
        <v>19:09:46.417</v>
      </c>
      <c r="D7935" t="s">
        <v>3161</v>
      </c>
      <c r="E7935">
        <v>30.544460000000001</v>
      </c>
      <c r="F7935" t="s">
        <v>3162</v>
      </c>
      <c r="G7935">
        <v>-89.825034000000002</v>
      </c>
      <c r="H7935">
        <v>1700</v>
      </c>
      <c r="I7935">
        <v>-135</v>
      </c>
      <c r="J7935">
        <v>87</v>
      </c>
      <c r="K7935">
        <v>448</v>
      </c>
      <c r="L7935">
        <v>1200</v>
      </c>
      <c r="M7935" t="str">
        <f t="shared" si="780"/>
        <v xml:space="preserve">N35DC   </v>
      </c>
      <c r="N7935">
        <v>1</v>
      </c>
      <c r="O7935">
        <v>1725</v>
      </c>
    </row>
    <row r="7936" spans="1:15" x14ac:dyDescent="0.25">
      <c r="A7936" t="str">
        <f>"10/21/2020 19:09:38.671"</f>
        <v>10/21/2020 19:09:38.671</v>
      </c>
      <c r="B7936" t="str">
        <f>"19:09:46.617"</f>
        <v>19:09:46.617</v>
      </c>
      <c r="C7936" t="str">
        <f>"19:09:46.417"</f>
        <v>19:09:46.417</v>
      </c>
      <c r="D7936" t="s">
        <v>3161</v>
      </c>
      <c r="E7936">
        <v>30.544460000000001</v>
      </c>
      <c r="F7936" t="s">
        <v>3162</v>
      </c>
      <c r="G7936">
        <v>-89.825034000000002</v>
      </c>
      <c r="H7936">
        <v>1700</v>
      </c>
      <c r="I7936">
        <v>-135</v>
      </c>
      <c r="J7936">
        <v>87</v>
      </c>
      <c r="K7936">
        <v>448</v>
      </c>
      <c r="L7936">
        <v>1200</v>
      </c>
      <c r="M7936" t="str">
        <f t="shared" si="780"/>
        <v xml:space="preserve">N35DC   </v>
      </c>
      <c r="N7936">
        <v>1</v>
      </c>
      <c r="O7936">
        <v>1725</v>
      </c>
    </row>
    <row r="7937" spans="1:15" x14ac:dyDescent="0.25">
      <c r="A7937" t="str">
        <f>"10/21/2020 19:09:38.671"</f>
        <v>10/21/2020 19:09:38.671</v>
      </c>
      <c r="B7937" t="str">
        <f>"19:09:46.617"</f>
        <v>19:09:46.617</v>
      </c>
      <c r="C7937" t="str">
        <f>"19:09:46.417"</f>
        <v>19:09:46.417</v>
      </c>
      <c r="D7937" t="s">
        <v>3161</v>
      </c>
      <c r="E7937">
        <v>30.544460000000001</v>
      </c>
      <c r="F7937" t="s">
        <v>3162</v>
      </c>
      <c r="G7937">
        <v>-89.825034000000002</v>
      </c>
      <c r="H7937">
        <v>1700</v>
      </c>
      <c r="I7937">
        <v>-135</v>
      </c>
      <c r="J7937">
        <v>87</v>
      </c>
      <c r="K7937">
        <v>448</v>
      </c>
      <c r="L7937">
        <v>1200</v>
      </c>
      <c r="M7937" t="str">
        <f t="shared" si="780"/>
        <v xml:space="preserve">N35DC   </v>
      </c>
      <c r="N7937">
        <v>1</v>
      </c>
      <c r="O7937">
        <v>1725</v>
      </c>
    </row>
    <row r="7938" spans="1:15" x14ac:dyDescent="0.25">
      <c r="A7938" t="str">
        <f>"10/21/2020 19:09:38.671"</f>
        <v>10/21/2020 19:09:38.671</v>
      </c>
      <c r="B7938" t="str">
        <f>"19:09:46.617"</f>
        <v>19:09:46.617</v>
      </c>
      <c r="C7938" t="str">
        <f>"19:09:46.417"</f>
        <v>19:09:46.417</v>
      </c>
      <c r="D7938" t="s">
        <v>3161</v>
      </c>
      <c r="E7938">
        <v>30.544460000000001</v>
      </c>
      <c r="F7938" t="s">
        <v>3162</v>
      </c>
      <c r="G7938">
        <v>-89.825034000000002</v>
      </c>
      <c r="H7938">
        <v>1700</v>
      </c>
      <c r="I7938">
        <v>-135</v>
      </c>
      <c r="J7938">
        <v>87</v>
      </c>
      <c r="K7938">
        <v>448</v>
      </c>
      <c r="L7938">
        <v>1200</v>
      </c>
      <c r="M7938" t="str">
        <f t="shared" si="780"/>
        <v xml:space="preserve">N35DC   </v>
      </c>
      <c r="N7938">
        <v>1</v>
      </c>
      <c r="O7938">
        <v>1725</v>
      </c>
    </row>
    <row r="7939" spans="1:15" x14ac:dyDescent="0.25">
      <c r="A7939" t="str">
        <f>"10/21/2020 19:09:38.671"</f>
        <v>10/21/2020 19:09:38.671</v>
      </c>
      <c r="B7939" t="str">
        <f>"19:09:46.617"</f>
        <v>19:09:46.617</v>
      </c>
      <c r="C7939" t="str">
        <f>"19:09:46.417"</f>
        <v>19:09:46.417</v>
      </c>
      <c r="D7939" t="s">
        <v>3161</v>
      </c>
      <c r="E7939">
        <v>30.544460000000001</v>
      </c>
      <c r="F7939" t="s">
        <v>3162</v>
      </c>
      <c r="G7939">
        <v>-89.825034000000002</v>
      </c>
      <c r="H7939">
        <v>1700</v>
      </c>
      <c r="I7939">
        <v>-135</v>
      </c>
      <c r="J7939">
        <v>87</v>
      </c>
      <c r="K7939">
        <v>448</v>
      </c>
      <c r="L7939">
        <v>1200</v>
      </c>
      <c r="M7939" t="str">
        <f t="shared" si="780"/>
        <v xml:space="preserve">N35DC   </v>
      </c>
      <c r="N7939">
        <v>1</v>
      </c>
      <c r="O7939">
        <v>1725</v>
      </c>
    </row>
    <row r="7940" spans="1:15" x14ac:dyDescent="0.25">
      <c r="A7940" t="str">
        <f>"10/21/2020 19:09:41.736"</f>
        <v>10/21/2020 19:09:41.736</v>
      </c>
      <c r="B7940" t="str">
        <f>"19:09:49.703"</f>
        <v>19:09:49.703</v>
      </c>
      <c r="C7940" t="str">
        <f>"19:09:49.303"</f>
        <v>19:09:49.303</v>
      </c>
      <c r="D7940" t="s">
        <v>2738</v>
      </c>
      <c r="E7940">
        <v>30.545704000000001</v>
      </c>
      <c r="F7940" t="s">
        <v>3163</v>
      </c>
      <c r="G7940">
        <v>-89.827352000000005</v>
      </c>
      <c r="H7940">
        <v>1700</v>
      </c>
      <c r="I7940">
        <v>-135</v>
      </c>
      <c r="J7940">
        <v>86</v>
      </c>
      <c r="K7940">
        <v>128</v>
      </c>
      <c r="L7940">
        <v>1200</v>
      </c>
      <c r="M7940" t="str">
        <f t="shared" si="780"/>
        <v xml:space="preserve">N35DC   </v>
      </c>
      <c r="N7940">
        <v>1</v>
      </c>
      <c r="O7940">
        <v>1750</v>
      </c>
    </row>
    <row r="7941" spans="1:15" x14ac:dyDescent="0.25">
      <c r="A7941" t="str">
        <f>"10/21/2020 19:09:41.736"</f>
        <v>10/21/2020 19:09:41.736</v>
      </c>
      <c r="B7941" t="str">
        <f>"19:09:49.703"</f>
        <v>19:09:49.703</v>
      </c>
      <c r="C7941" t="str">
        <f>"19:09:49.303"</f>
        <v>19:09:49.303</v>
      </c>
      <c r="D7941" t="s">
        <v>2738</v>
      </c>
      <c r="E7941">
        <v>30.545704000000001</v>
      </c>
      <c r="F7941" t="s">
        <v>3163</v>
      </c>
      <c r="G7941">
        <v>-89.827352000000005</v>
      </c>
      <c r="H7941">
        <v>1700</v>
      </c>
      <c r="I7941">
        <v>-135</v>
      </c>
      <c r="J7941">
        <v>86</v>
      </c>
      <c r="K7941">
        <v>128</v>
      </c>
      <c r="L7941">
        <v>1200</v>
      </c>
      <c r="M7941" t="str">
        <f t="shared" si="780"/>
        <v xml:space="preserve">N35DC   </v>
      </c>
      <c r="N7941">
        <v>1</v>
      </c>
      <c r="O7941">
        <v>1750</v>
      </c>
    </row>
    <row r="7942" spans="1:15" x14ac:dyDescent="0.25">
      <c r="A7942" t="str">
        <f>"10/21/2020 19:09:41.736"</f>
        <v>10/21/2020 19:09:41.736</v>
      </c>
      <c r="B7942" t="str">
        <f>"19:09:49.703"</f>
        <v>19:09:49.703</v>
      </c>
      <c r="C7942" t="str">
        <f>"19:09:49.303"</f>
        <v>19:09:49.303</v>
      </c>
      <c r="D7942" t="s">
        <v>2738</v>
      </c>
      <c r="E7942">
        <v>30.545704000000001</v>
      </c>
      <c r="F7942" t="s">
        <v>3163</v>
      </c>
      <c r="G7942">
        <v>-89.827352000000005</v>
      </c>
      <c r="H7942">
        <v>1700</v>
      </c>
      <c r="I7942">
        <v>-135</v>
      </c>
      <c r="J7942">
        <v>86</v>
      </c>
      <c r="K7942">
        <v>128</v>
      </c>
      <c r="L7942">
        <v>1200</v>
      </c>
      <c r="M7942" t="str">
        <f t="shared" si="780"/>
        <v xml:space="preserve">N35DC   </v>
      </c>
      <c r="N7942">
        <v>1</v>
      </c>
      <c r="O7942">
        <v>1750</v>
      </c>
    </row>
    <row r="7943" spans="1:15" x14ac:dyDescent="0.25">
      <c r="A7943" t="str">
        <f>"10/21/2020 19:09:41.736"</f>
        <v>10/21/2020 19:09:41.736</v>
      </c>
      <c r="B7943" t="str">
        <f>"19:09:49.703"</f>
        <v>19:09:49.703</v>
      </c>
      <c r="C7943" t="str">
        <f>"19:09:49.303"</f>
        <v>19:09:49.303</v>
      </c>
      <c r="D7943" t="s">
        <v>2738</v>
      </c>
      <c r="E7943">
        <v>30.545704000000001</v>
      </c>
      <c r="F7943" t="s">
        <v>3163</v>
      </c>
      <c r="G7943">
        <v>-89.827352000000005</v>
      </c>
      <c r="H7943">
        <v>1700</v>
      </c>
      <c r="I7943">
        <v>-135</v>
      </c>
      <c r="J7943">
        <v>86</v>
      </c>
      <c r="K7943">
        <v>128</v>
      </c>
      <c r="L7943">
        <v>1200</v>
      </c>
      <c r="M7943" t="str">
        <f t="shared" ref="M7943:M8006" si="782">"N35DC   "</f>
        <v xml:space="preserve">N35DC   </v>
      </c>
      <c r="N7943">
        <v>1</v>
      </c>
      <c r="O7943">
        <v>1750</v>
      </c>
    </row>
    <row r="7944" spans="1:15" x14ac:dyDescent="0.25">
      <c r="A7944" t="str">
        <f>"10/21/2020 19:09:41.736"</f>
        <v>10/21/2020 19:09:41.736</v>
      </c>
      <c r="B7944" t="str">
        <f>"19:09:49.703"</f>
        <v>19:09:49.703</v>
      </c>
      <c r="C7944" t="str">
        <f>"19:09:49.303"</f>
        <v>19:09:49.303</v>
      </c>
      <c r="D7944" t="s">
        <v>2738</v>
      </c>
      <c r="E7944">
        <v>30.545704000000001</v>
      </c>
      <c r="F7944" t="s">
        <v>3163</v>
      </c>
      <c r="G7944">
        <v>-89.827352000000005</v>
      </c>
      <c r="H7944">
        <v>1700</v>
      </c>
      <c r="I7944">
        <v>-135</v>
      </c>
      <c r="J7944">
        <v>86</v>
      </c>
      <c r="K7944">
        <v>128</v>
      </c>
      <c r="L7944">
        <v>1200</v>
      </c>
      <c r="M7944" t="str">
        <f t="shared" si="782"/>
        <v xml:space="preserve">N35DC   </v>
      </c>
      <c r="N7944">
        <v>1</v>
      </c>
      <c r="O7944">
        <v>1750</v>
      </c>
    </row>
    <row r="7945" spans="1:15" x14ac:dyDescent="0.25">
      <c r="A7945" t="str">
        <f>"10/21/2020 19:09:44.694"</f>
        <v>10/21/2020 19:09:44.694</v>
      </c>
      <c r="B7945" t="str">
        <f>"19:09:52.656"</f>
        <v>19:09:52.656</v>
      </c>
      <c r="C7945" t="str">
        <f>"19:09:52.356"</f>
        <v>19:09:52.356</v>
      </c>
      <c r="D7945" t="s">
        <v>3164</v>
      </c>
      <c r="E7945">
        <v>30.546885</v>
      </c>
      <c r="F7945" t="s">
        <v>3165</v>
      </c>
      <c r="G7945">
        <v>-89.829432999999995</v>
      </c>
      <c r="H7945">
        <v>1700</v>
      </c>
      <c r="I7945">
        <v>-134</v>
      </c>
      <c r="J7945">
        <v>89</v>
      </c>
      <c r="K7945">
        <v>-256</v>
      </c>
      <c r="L7945">
        <v>1200</v>
      </c>
      <c r="M7945" t="str">
        <f t="shared" si="782"/>
        <v xml:space="preserve">N35DC   </v>
      </c>
      <c r="N7945">
        <v>1</v>
      </c>
      <c r="O7945">
        <v>1725</v>
      </c>
    </row>
    <row r="7946" spans="1:15" x14ac:dyDescent="0.25">
      <c r="A7946" t="str">
        <f>"10/21/2020 19:09:44.694"</f>
        <v>10/21/2020 19:09:44.694</v>
      </c>
      <c r="B7946" t="str">
        <f>"19:09:52.656"</f>
        <v>19:09:52.656</v>
      </c>
      <c r="C7946" t="str">
        <f>"19:09:52.356"</f>
        <v>19:09:52.356</v>
      </c>
      <c r="D7946" t="s">
        <v>3164</v>
      </c>
      <c r="E7946">
        <v>30.546885</v>
      </c>
      <c r="F7946" t="s">
        <v>3165</v>
      </c>
      <c r="G7946">
        <v>-89.829432999999995</v>
      </c>
      <c r="H7946">
        <v>1700</v>
      </c>
      <c r="I7946">
        <v>-134</v>
      </c>
      <c r="J7946">
        <v>89</v>
      </c>
      <c r="K7946">
        <v>-256</v>
      </c>
      <c r="L7946">
        <v>1200</v>
      </c>
      <c r="M7946" t="str">
        <f t="shared" si="782"/>
        <v xml:space="preserve">N35DC   </v>
      </c>
      <c r="N7946">
        <v>1</v>
      </c>
      <c r="O7946">
        <v>1725</v>
      </c>
    </row>
    <row r="7947" spans="1:15" x14ac:dyDescent="0.25">
      <c r="A7947" t="str">
        <f>"10/21/2020 19:09:44.694"</f>
        <v>10/21/2020 19:09:44.694</v>
      </c>
      <c r="B7947" t="str">
        <f>"19:09:52.656"</f>
        <v>19:09:52.656</v>
      </c>
      <c r="C7947" t="str">
        <f>"19:09:52.356"</f>
        <v>19:09:52.356</v>
      </c>
      <c r="D7947" t="s">
        <v>3164</v>
      </c>
      <c r="E7947">
        <v>30.546885</v>
      </c>
      <c r="F7947" t="s">
        <v>3165</v>
      </c>
      <c r="G7947">
        <v>-89.829432999999995</v>
      </c>
      <c r="H7947">
        <v>1700</v>
      </c>
      <c r="I7947">
        <v>-134</v>
      </c>
      <c r="J7947">
        <v>89</v>
      </c>
      <c r="K7947">
        <v>-256</v>
      </c>
      <c r="L7947">
        <v>1200</v>
      </c>
      <c r="M7947" t="str">
        <f t="shared" si="782"/>
        <v xml:space="preserve">N35DC   </v>
      </c>
      <c r="N7947">
        <v>1</v>
      </c>
      <c r="O7947">
        <v>1725</v>
      </c>
    </row>
    <row r="7948" spans="1:15" x14ac:dyDescent="0.25">
      <c r="A7948" t="str">
        <f>"10/21/2020 19:09:44.694"</f>
        <v>10/21/2020 19:09:44.694</v>
      </c>
      <c r="B7948" t="str">
        <f>"19:09:52.656"</f>
        <v>19:09:52.656</v>
      </c>
      <c r="C7948" t="str">
        <f>"19:09:52.356"</f>
        <v>19:09:52.356</v>
      </c>
      <c r="D7948" t="s">
        <v>3164</v>
      </c>
      <c r="E7948">
        <v>30.546885</v>
      </c>
      <c r="F7948" t="s">
        <v>3165</v>
      </c>
      <c r="G7948">
        <v>-89.829432999999995</v>
      </c>
      <c r="H7948">
        <v>1700</v>
      </c>
      <c r="I7948">
        <v>-134</v>
      </c>
      <c r="J7948">
        <v>89</v>
      </c>
      <c r="K7948">
        <v>-256</v>
      </c>
      <c r="L7948">
        <v>1200</v>
      </c>
      <c r="M7948" t="str">
        <f t="shared" si="782"/>
        <v xml:space="preserve">N35DC   </v>
      </c>
      <c r="N7948">
        <v>1</v>
      </c>
      <c r="O7948">
        <v>1725</v>
      </c>
    </row>
    <row r="7949" spans="1:15" x14ac:dyDescent="0.25">
      <c r="A7949" t="str">
        <f>"10/21/2020 19:09:44.694"</f>
        <v>10/21/2020 19:09:44.694</v>
      </c>
      <c r="B7949" t="str">
        <f>"19:09:52.656"</f>
        <v>19:09:52.656</v>
      </c>
      <c r="C7949" t="str">
        <f>"19:09:52.356"</f>
        <v>19:09:52.356</v>
      </c>
      <c r="D7949" t="s">
        <v>3164</v>
      </c>
      <c r="E7949">
        <v>30.546885</v>
      </c>
      <c r="F7949" t="s">
        <v>3165</v>
      </c>
      <c r="G7949">
        <v>-89.829432999999995</v>
      </c>
      <c r="H7949">
        <v>1700</v>
      </c>
      <c r="I7949">
        <v>-134</v>
      </c>
      <c r="J7949">
        <v>89</v>
      </c>
      <c r="K7949">
        <v>-256</v>
      </c>
      <c r="L7949">
        <v>1200</v>
      </c>
      <c r="M7949" t="str">
        <f t="shared" si="782"/>
        <v xml:space="preserve">N35DC   </v>
      </c>
      <c r="N7949">
        <v>1</v>
      </c>
      <c r="O7949">
        <v>1725</v>
      </c>
    </row>
    <row r="7950" spans="1:15" x14ac:dyDescent="0.25">
      <c r="A7950" t="str">
        <f>"10/21/2020 19:09:45.866"</f>
        <v>10/21/2020 19:09:45.866</v>
      </c>
      <c r="B7950" t="str">
        <f t="shared" ref="B7950:C7954" si="783">"19:09:53.828"</f>
        <v>19:09:53.828</v>
      </c>
      <c r="C7950" t="str">
        <f t="shared" si="783"/>
        <v>19:09:53.828</v>
      </c>
      <c r="D7950" t="s">
        <v>3166</v>
      </c>
      <c r="E7950">
        <v>30.5474</v>
      </c>
      <c r="F7950" t="s">
        <v>3167</v>
      </c>
      <c r="G7950">
        <v>-89.830269999999999</v>
      </c>
      <c r="H7950">
        <v>1700</v>
      </c>
      <c r="I7950">
        <v>-133</v>
      </c>
      <c r="J7950">
        <v>91</v>
      </c>
      <c r="K7950">
        <v>-256</v>
      </c>
      <c r="L7950">
        <v>1200</v>
      </c>
      <c r="M7950" t="str">
        <f t="shared" si="782"/>
        <v xml:space="preserve">N35DC   </v>
      </c>
      <c r="N7950">
        <v>1</v>
      </c>
      <c r="O7950">
        <v>1725</v>
      </c>
    </row>
    <row r="7951" spans="1:15" x14ac:dyDescent="0.25">
      <c r="A7951" t="str">
        <f>"10/21/2020 19:09:45.866"</f>
        <v>10/21/2020 19:09:45.866</v>
      </c>
      <c r="B7951" t="str">
        <f t="shared" si="783"/>
        <v>19:09:53.828</v>
      </c>
      <c r="C7951" t="str">
        <f t="shared" si="783"/>
        <v>19:09:53.828</v>
      </c>
      <c r="D7951" t="s">
        <v>3166</v>
      </c>
      <c r="E7951">
        <v>30.5474</v>
      </c>
      <c r="F7951" t="s">
        <v>3167</v>
      </c>
      <c r="G7951">
        <v>-89.830269999999999</v>
      </c>
      <c r="H7951">
        <v>1700</v>
      </c>
      <c r="I7951">
        <v>-133</v>
      </c>
      <c r="J7951">
        <v>91</v>
      </c>
      <c r="K7951">
        <v>-256</v>
      </c>
      <c r="L7951">
        <v>1200</v>
      </c>
      <c r="M7951" t="str">
        <f t="shared" si="782"/>
        <v xml:space="preserve">N35DC   </v>
      </c>
      <c r="N7951">
        <v>1</v>
      </c>
      <c r="O7951">
        <v>1725</v>
      </c>
    </row>
    <row r="7952" spans="1:15" x14ac:dyDescent="0.25">
      <c r="A7952" t="str">
        <f>"10/21/2020 19:09:45.866"</f>
        <v>10/21/2020 19:09:45.866</v>
      </c>
      <c r="B7952" t="str">
        <f t="shared" si="783"/>
        <v>19:09:53.828</v>
      </c>
      <c r="C7952" t="str">
        <f t="shared" si="783"/>
        <v>19:09:53.828</v>
      </c>
      <c r="D7952" t="s">
        <v>3166</v>
      </c>
      <c r="E7952">
        <v>30.5474</v>
      </c>
      <c r="F7952" t="s">
        <v>3167</v>
      </c>
      <c r="G7952">
        <v>-89.830269999999999</v>
      </c>
      <c r="H7952">
        <v>1700</v>
      </c>
      <c r="I7952">
        <v>-133</v>
      </c>
      <c r="J7952">
        <v>91</v>
      </c>
      <c r="K7952">
        <v>-256</v>
      </c>
      <c r="L7952">
        <v>1200</v>
      </c>
      <c r="M7952" t="str">
        <f t="shared" si="782"/>
        <v xml:space="preserve">N35DC   </v>
      </c>
      <c r="N7952">
        <v>1</v>
      </c>
      <c r="O7952">
        <v>1725</v>
      </c>
    </row>
    <row r="7953" spans="1:15" x14ac:dyDescent="0.25">
      <c r="A7953" t="str">
        <f>"10/21/2020 19:09:45.866"</f>
        <v>10/21/2020 19:09:45.866</v>
      </c>
      <c r="B7953" t="str">
        <f t="shared" si="783"/>
        <v>19:09:53.828</v>
      </c>
      <c r="C7953" t="str">
        <f t="shared" si="783"/>
        <v>19:09:53.828</v>
      </c>
      <c r="D7953" t="s">
        <v>3166</v>
      </c>
      <c r="E7953">
        <v>30.5474</v>
      </c>
      <c r="F7953" t="s">
        <v>3167</v>
      </c>
      <c r="G7953">
        <v>-89.830269999999999</v>
      </c>
      <c r="H7953">
        <v>1700</v>
      </c>
      <c r="I7953">
        <v>-133</v>
      </c>
      <c r="J7953">
        <v>91</v>
      </c>
      <c r="K7953">
        <v>-256</v>
      </c>
      <c r="L7953">
        <v>1200</v>
      </c>
      <c r="M7953" t="str">
        <f t="shared" si="782"/>
        <v xml:space="preserve">N35DC   </v>
      </c>
      <c r="N7953">
        <v>1</v>
      </c>
      <c r="O7953">
        <v>1725</v>
      </c>
    </row>
    <row r="7954" spans="1:15" x14ac:dyDescent="0.25">
      <c r="A7954" t="str">
        <f>"10/21/2020 19:09:45.866"</f>
        <v>10/21/2020 19:09:45.866</v>
      </c>
      <c r="B7954" t="str">
        <f t="shared" si="783"/>
        <v>19:09:53.828</v>
      </c>
      <c r="C7954" t="str">
        <f t="shared" si="783"/>
        <v>19:09:53.828</v>
      </c>
      <c r="D7954" t="s">
        <v>3166</v>
      </c>
      <c r="E7954">
        <v>30.5474</v>
      </c>
      <c r="F7954" t="s">
        <v>3167</v>
      </c>
      <c r="G7954">
        <v>-89.830269999999999</v>
      </c>
      <c r="H7954">
        <v>1700</v>
      </c>
      <c r="I7954">
        <v>-133</v>
      </c>
      <c r="J7954">
        <v>91</v>
      </c>
      <c r="K7954">
        <v>-256</v>
      </c>
      <c r="L7954">
        <v>1200</v>
      </c>
      <c r="M7954" t="str">
        <f t="shared" si="782"/>
        <v xml:space="preserve">N35DC   </v>
      </c>
      <c r="N7954">
        <v>1</v>
      </c>
      <c r="O7954">
        <v>1725</v>
      </c>
    </row>
    <row r="7955" spans="1:15" x14ac:dyDescent="0.25">
      <c r="A7955" t="str">
        <f>"10/21/2020 19:09:48.845"</f>
        <v>10/21/2020 19:09:48.845</v>
      </c>
      <c r="B7955" t="str">
        <f t="shared" ref="B7955:C7959" si="784">"19:09:56.781"</f>
        <v>19:09:56.781</v>
      </c>
      <c r="C7955" t="str">
        <f t="shared" si="784"/>
        <v>19:09:56.781</v>
      </c>
      <c r="D7955" t="s">
        <v>2734</v>
      </c>
      <c r="E7955">
        <v>30.548687000000001</v>
      </c>
      <c r="F7955" t="s">
        <v>3168</v>
      </c>
      <c r="G7955">
        <v>-89.832351000000003</v>
      </c>
      <c r="H7955">
        <v>1700</v>
      </c>
      <c r="I7955">
        <v>-131</v>
      </c>
      <c r="J7955">
        <v>96</v>
      </c>
      <c r="K7955">
        <v>0</v>
      </c>
      <c r="L7955">
        <v>1200</v>
      </c>
      <c r="M7955" t="str">
        <f t="shared" si="782"/>
        <v xml:space="preserve">N35DC   </v>
      </c>
      <c r="N7955">
        <v>1</v>
      </c>
      <c r="O7955">
        <v>1725</v>
      </c>
    </row>
    <row r="7956" spans="1:15" x14ac:dyDescent="0.25">
      <c r="A7956" t="str">
        <f>"10/21/2020 19:09:48.845"</f>
        <v>10/21/2020 19:09:48.845</v>
      </c>
      <c r="B7956" t="str">
        <f t="shared" si="784"/>
        <v>19:09:56.781</v>
      </c>
      <c r="C7956" t="str">
        <f t="shared" si="784"/>
        <v>19:09:56.781</v>
      </c>
      <c r="D7956" t="s">
        <v>2734</v>
      </c>
      <c r="E7956">
        <v>30.548687000000001</v>
      </c>
      <c r="F7956" t="s">
        <v>3168</v>
      </c>
      <c r="G7956">
        <v>-89.832351000000003</v>
      </c>
      <c r="H7956">
        <v>1700</v>
      </c>
      <c r="I7956">
        <v>-131</v>
      </c>
      <c r="J7956">
        <v>96</v>
      </c>
      <c r="K7956">
        <v>0</v>
      </c>
      <c r="L7956">
        <v>1200</v>
      </c>
      <c r="M7956" t="str">
        <f t="shared" si="782"/>
        <v xml:space="preserve">N35DC   </v>
      </c>
      <c r="N7956">
        <v>1</v>
      </c>
      <c r="O7956">
        <v>1725</v>
      </c>
    </row>
    <row r="7957" spans="1:15" x14ac:dyDescent="0.25">
      <c r="A7957" t="str">
        <f>"10/21/2020 19:09:48.845"</f>
        <v>10/21/2020 19:09:48.845</v>
      </c>
      <c r="B7957" t="str">
        <f t="shared" si="784"/>
        <v>19:09:56.781</v>
      </c>
      <c r="C7957" t="str">
        <f t="shared" si="784"/>
        <v>19:09:56.781</v>
      </c>
      <c r="D7957" t="s">
        <v>2734</v>
      </c>
      <c r="E7957">
        <v>30.548687000000001</v>
      </c>
      <c r="F7957" t="s">
        <v>3168</v>
      </c>
      <c r="G7957">
        <v>-89.832351000000003</v>
      </c>
      <c r="H7957">
        <v>1700</v>
      </c>
      <c r="I7957">
        <v>-131</v>
      </c>
      <c r="J7957">
        <v>96</v>
      </c>
      <c r="K7957">
        <v>0</v>
      </c>
      <c r="L7957">
        <v>1200</v>
      </c>
      <c r="M7957" t="str">
        <f t="shared" si="782"/>
        <v xml:space="preserve">N35DC   </v>
      </c>
      <c r="N7957">
        <v>1</v>
      </c>
      <c r="O7957">
        <v>1725</v>
      </c>
    </row>
    <row r="7958" spans="1:15" x14ac:dyDescent="0.25">
      <c r="A7958" t="str">
        <f>"10/21/2020 19:09:48.845"</f>
        <v>10/21/2020 19:09:48.845</v>
      </c>
      <c r="B7958" t="str">
        <f t="shared" si="784"/>
        <v>19:09:56.781</v>
      </c>
      <c r="C7958" t="str">
        <f t="shared" si="784"/>
        <v>19:09:56.781</v>
      </c>
      <c r="D7958" t="s">
        <v>2734</v>
      </c>
      <c r="E7958">
        <v>30.548687000000001</v>
      </c>
      <c r="F7958" t="s">
        <v>3168</v>
      </c>
      <c r="G7958">
        <v>-89.832351000000003</v>
      </c>
      <c r="H7958">
        <v>1700</v>
      </c>
      <c r="I7958">
        <v>-131</v>
      </c>
      <c r="J7958">
        <v>96</v>
      </c>
      <c r="K7958">
        <v>0</v>
      </c>
      <c r="L7958">
        <v>1200</v>
      </c>
      <c r="M7958" t="str">
        <f t="shared" si="782"/>
        <v xml:space="preserve">N35DC   </v>
      </c>
      <c r="N7958">
        <v>1</v>
      </c>
      <c r="O7958">
        <v>1725</v>
      </c>
    </row>
    <row r="7959" spans="1:15" x14ac:dyDescent="0.25">
      <c r="A7959" t="str">
        <f>"10/21/2020 19:09:48.845"</f>
        <v>10/21/2020 19:09:48.845</v>
      </c>
      <c r="B7959" t="str">
        <f t="shared" si="784"/>
        <v>19:09:56.781</v>
      </c>
      <c r="C7959" t="str">
        <f t="shared" si="784"/>
        <v>19:09:56.781</v>
      </c>
      <c r="D7959" t="s">
        <v>2734</v>
      </c>
      <c r="E7959">
        <v>30.548687000000001</v>
      </c>
      <c r="F7959" t="s">
        <v>3168</v>
      </c>
      <c r="G7959">
        <v>-89.832351000000003</v>
      </c>
      <c r="H7959">
        <v>1700</v>
      </c>
      <c r="I7959">
        <v>-131</v>
      </c>
      <c r="J7959">
        <v>96</v>
      </c>
      <c r="K7959">
        <v>0</v>
      </c>
      <c r="L7959">
        <v>1200</v>
      </c>
      <c r="M7959" t="str">
        <f t="shared" si="782"/>
        <v xml:space="preserve">N35DC   </v>
      </c>
      <c r="N7959">
        <v>1</v>
      </c>
      <c r="O7959">
        <v>1725</v>
      </c>
    </row>
    <row r="7960" spans="1:15" x14ac:dyDescent="0.25">
      <c r="A7960" t="str">
        <f>"10/21/2020 19:09:49.826"</f>
        <v>10/21/2020 19:09:49.826</v>
      </c>
      <c r="B7960" t="str">
        <f>"19:09:57.789"</f>
        <v>19:09:57.789</v>
      </c>
      <c r="C7960" t="str">
        <f>"19:09:57.289"</f>
        <v>19:09:57.289</v>
      </c>
      <c r="D7960" t="s">
        <v>3169</v>
      </c>
      <c r="E7960">
        <v>30.549137999999999</v>
      </c>
      <c r="F7960" t="s">
        <v>3170</v>
      </c>
      <c r="G7960">
        <v>-89.833059000000006</v>
      </c>
      <c r="H7960">
        <v>1700</v>
      </c>
      <c r="I7960">
        <v>-130</v>
      </c>
      <c r="J7960">
        <v>98</v>
      </c>
      <c r="K7960">
        <v>-64</v>
      </c>
      <c r="L7960">
        <v>1200</v>
      </c>
      <c r="M7960" t="str">
        <f t="shared" si="782"/>
        <v xml:space="preserve">N35DC   </v>
      </c>
      <c r="N7960">
        <v>1</v>
      </c>
      <c r="O7960">
        <v>1725</v>
      </c>
    </row>
    <row r="7961" spans="1:15" x14ac:dyDescent="0.25">
      <c r="A7961" t="str">
        <f>"10/21/2020 19:09:49.826"</f>
        <v>10/21/2020 19:09:49.826</v>
      </c>
      <c r="B7961" t="str">
        <f>"19:09:57.789"</f>
        <v>19:09:57.789</v>
      </c>
      <c r="C7961" t="str">
        <f>"19:09:57.289"</f>
        <v>19:09:57.289</v>
      </c>
      <c r="D7961" t="s">
        <v>3169</v>
      </c>
      <c r="E7961">
        <v>30.549137999999999</v>
      </c>
      <c r="F7961" t="s">
        <v>3170</v>
      </c>
      <c r="G7961">
        <v>-89.833059000000006</v>
      </c>
      <c r="H7961">
        <v>1700</v>
      </c>
      <c r="I7961">
        <v>-130</v>
      </c>
      <c r="J7961">
        <v>98</v>
      </c>
      <c r="K7961">
        <v>-64</v>
      </c>
      <c r="L7961">
        <v>1200</v>
      </c>
      <c r="M7961" t="str">
        <f t="shared" si="782"/>
        <v xml:space="preserve">N35DC   </v>
      </c>
      <c r="N7961">
        <v>1</v>
      </c>
      <c r="O7961">
        <v>1725</v>
      </c>
    </row>
    <row r="7962" spans="1:15" x14ac:dyDescent="0.25">
      <c r="A7962" t="str">
        <f>"10/21/2020 19:09:49.826"</f>
        <v>10/21/2020 19:09:49.826</v>
      </c>
      <c r="B7962" t="str">
        <f>"19:09:57.789"</f>
        <v>19:09:57.789</v>
      </c>
      <c r="C7962" t="str">
        <f>"19:09:57.289"</f>
        <v>19:09:57.289</v>
      </c>
      <c r="D7962" t="s">
        <v>3169</v>
      </c>
      <c r="E7962">
        <v>30.549137999999999</v>
      </c>
      <c r="F7962" t="s">
        <v>3170</v>
      </c>
      <c r="G7962">
        <v>-89.833059000000006</v>
      </c>
      <c r="H7962">
        <v>1700</v>
      </c>
      <c r="I7962">
        <v>-130</v>
      </c>
      <c r="J7962">
        <v>98</v>
      </c>
      <c r="K7962">
        <v>-64</v>
      </c>
      <c r="L7962">
        <v>1200</v>
      </c>
      <c r="M7962" t="str">
        <f t="shared" si="782"/>
        <v xml:space="preserve">N35DC   </v>
      </c>
      <c r="N7962">
        <v>1</v>
      </c>
      <c r="O7962">
        <v>1725</v>
      </c>
    </row>
    <row r="7963" spans="1:15" x14ac:dyDescent="0.25">
      <c r="A7963" t="str">
        <f>"10/21/2020 19:09:49.826"</f>
        <v>10/21/2020 19:09:49.826</v>
      </c>
      <c r="B7963" t="str">
        <f>"19:09:57.789"</f>
        <v>19:09:57.789</v>
      </c>
      <c r="C7963" t="str">
        <f>"19:09:57.289"</f>
        <v>19:09:57.289</v>
      </c>
      <c r="D7963" t="s">
        <v>3169</v>
      </c>
      <c r="E7963">
        <v>30.549137999999999</v>
      </c>
      <c r="F7963" t="s">
        <v>3170</v>
      </c>
      <c r="G7963">
        <v>-89.833059000000006</v>
      </c>
      <c r="H7963">
        <v>1700</v>
      </c>
      <c r="I7963">
        <v>-130</v>
      </c>
      <c r="J7963">
        <v>98</v>
      </c>
      <c r="K7963">
        <v>-64</v>
      </c>
      <c r="L7963">
        <v>1200</v>
      </c>
      <c r="M7963" t="str">
        <f t="shared" si="782"/>
        <v xml:space="preserve">N35DC   </v>
      </c>
      <c r="N7963">
        <v>1</v>
      </c>
      <c r="O7963">
        <v>1725</v>
      </c>
    </row>
    <row r="7964" spans="1:15" x14ac:dyDescent="0.25">
      <c r="A7964" t="str">
        <f>"10/21/2020 19:09:49.826"</f>
        <v>10/21/2020 19:09:49.826</v>
      </c>
      <c r="B7964" t="str">
        <f>"19:09:57.789"</f>
        <v>19:09:57.789</v>
      </c>
      <c r="C7964" t="str">
        <f>"19:09:57.289"</f>
        <v>19:09:57.289</v>
      </c>
      <c r="D7964" t="s">
        <v>3169</v>
      </c>
      <c r="E7964">
        <v>30.549137999999999</v>
      </c>
      <c r="F7964" t="s">
        <v>3170</v>
      </c>
      <c r="G7964">
        <v>-89.833059000000006</v>
      </c>
      <c r="H7964">
        <v>1700</v>
      </c>
      <c r="I7964">
        <v>-130</v>
      </c>
      <c r="J7964">
        <v>98</v>
      </c>
      <c r="K7964">
        <v>-64</v>
      </c>
      <c r="L7964">
        <v>1200</v>
      </c>
      <c r="M7964" t="str">
        <f t="shared" si="782"/>
        <v xml:space="preserve">N35DC   </v>
      </c>
      <c r="N7964">
        <v>1</v>
      </c>
      <c r="O7964">
        <v>1725</v>
      </c>
    </row>
    <row r="7965" spans="1:15" x14ac:dyDescent="0.25">
      <c r="A7965" t="str">
        <f>"10/21/2020 19:09:52.787"</f>
        <v>10/21/2020 19:09:52.787</v>
      </c>
      <c r="B7965" t="str">
        <f>"19:10:00.742"</f>
        <v>19:10:00.742</v>
      </c>
      <c r="C7965" t="str">
        <f>"19:10:00.442"</f>
        <v>19:10:00.442</v>
      </c>
      <c r="D7965" t="s">
        <v>3171</v>
      </c>
      <c r="E7965">
        <v>30.550554000000002</v>
      </c>
      <c r="F7965" t="s">
        <v>414</v>
      </c>
      <c r="G7965">
        <v>-89.835098000000002</v>
      </c>
      <c r="H7965">
        <v>1600</v>
      </c>
      <c r="I7965">
        <v>-127</v>
      </c>
      <c r="J7965">
        <v>105</v>
      </c>
      <c r="K7965">
        <v>-576</v>
      </c>
      <c r="L7965">
        <v>1200</v>
      </c>
      <c r="M7965" t="str">
        <f t="shared" si="782"/>
        <v xml:space="preserve">N35DC   </v>
      </c>
      <c r="N7965">
        <v>1</v>
      </c>
      <c r="O7965">
        <v>1700</v>
      </c>
    </row>
    <row r="7966" spans="1:15" x14ac:dyDescent="0.25">
      <c r="A7966" t="str">
        <f>"10/21/2020 19:09:52.787"</f>
        <v>10/21/2020 19:09:52.787</v>
      </c>
      <c r="B7966" t="str">
        <f>"19:10:00.742"</f>
        <v>19:10:00.742</v>
      </c>
      <c r="C7966" t="str">
        <f>"19:10:00.442"</f>
        <v>19:10:00.442</v>
      </c>
      <c r="D7966" t="s">
        <v>3171</v>
      </c>
      <c r="E7966">
        <v>30.550554000000002</v>
      </c>
      <c r="F7966" t="s">
        <v>414</v>
      </c>
      <c r="G7966">
        <v>-89.835098000000002</v>
      </c>
      <c r="H7966">
        <v>1600</v>
      </c>
      <c r="I7966">
        <v>-127</v>
      </c>
      <c r="J7966">
        <v>105</v>
      </c>
      <c r="K7966">
        <v>-576</v>
      </c>
      <c r="L7966">
        <v>1200</v>
      </c>
      <c r="M7966" t="str">
        <f t="shared" si="782"/>
        <v xml:space="preserve">N35DC   </v>
      </c>
      <c r="N7966">
        <v>1</v>
      </c>
      <c r="O7966">
        <v>1700</v>
      </c>
    </row>
    <row r="7967" spans="1:15" x14ac:dyDescent="0.25">
      <c r="A7967" t="str">
        <f>"10/21/2020 19:09:52.787"</f>
        <v>10/21/2020 19:09:52.787</v>
      </c>
      <c r="B7967" t="str">
        <f>"19:10:00.742"</f>
        <v>19:10:00.742</v>
      </c>
      <c r="C7967" t="str">
        <f>"19:10:00.442"</f>
        <v>19:10:00.442</v>
      </c>
      <c r="D7967" t="s">
        <v>3171</v>
      </c>
      <c r="E7967">
        <v>30.550554000000002</v>
      </c>
      <c r="F7967" t="s">
        <v>414</v>
      </c>
      <c r="G7967">
        <v>-89.835098000000002</v>
      </c>
      <c r="H7967">
        <v>1600</v>
      </c>
      <c r="I7967">
        <v>-127</v>
      </c>
      <c r="J7967">
        <v>105</v>
      </c>
      <c r="K7967">
        <v>-576</v>
      </c>
      <c r="L7967">
        <v>1200</v>
      </c>
      <c r="M7967" t="str">
        <f t="shared" si="782"/>
        <v xml:space="preserve">N35DC   </v>
      </c>
      <c r="N7967">
        <v>1</v>
      </c>
      <c r="O7967">
        <v>1700</v>
      </c>
    </row>
    <row r="7968" spans="1:15" x14ac:dyDescent="0.25">
      <c r="A7968" t="str">
        <f>"10/21/2020 19:09:52.787"</f>
        <v>10/21/2020 19:09:52.787</v>
      </c>
      <c r="B7968" t="str">
        <f>"19:10:00.742"</f>
        <v>19:10:00.742</v>
      </c>
      <c r="C7968" t="str">
        <f>"19:10:00.442"</f>
        <v>19:10:00.442</v>
      </c>
      <c r="D7968" t="s">
        <v>3171</v>
      </c>
      <c r="E7968">
        <v>30.550554000000002</v>
      </c>
      <c r="F7968" t="s">
        <v>414</v>
      </c>
      <c r="G7968">
        <v>-89.835098000000002</v>
      </c>
      <c r="H7968">
        <v>1600</v>
      </c>
      <c r="I7968">
        <v>-127</v>
      </c>
      <c r="J7968">
        <v>105</v>
      </c>
      <c r="K7968">
        <v>-576</v>
      </c>
      <c r="L7968">
        <v>1200</v>
      </c>
      <c r="M7968" t="str">
        <f t="shared" si="782"/>
        <v xml:space="preserve">N35DC   </v>
      </c>
      <c r="N7968">
        <v>1</v>
      </c>
      <c r="O7968">
        <v>1700</v>
      </c>
    </row>
    <row r="7969" spans="1:15" x14ac:dyDescent="0.25">
      <c r="A7969" t="str">
        <f>"10/21/2020 19:09:52.787"</f>
        <v>10/21/2020 19:09:52.787</v>
      </c>
      <c r="B7969" t="str">
        <f>"19:10:00.742"</f>
        <v>19:10:00.742</v>
      </c>
      <c r="C7969" t="str">
        <f>"19:10:00.442"</f>
        <v>19:10:00.442</v>
      </c>
      <c r="D7969" t="s">
        <v>3171</v>
      </c>
      <c r="E7969">
        <v>30.550554000000002</v>
      </c>
      <c r="F7969" t="s">
        <v>414</v>
      </c>
      <c r="G7969">
        <v>-89.835098000000002</v>
      </c>
      <c r="H7969">
        <v>1600</v>
      </c>
      <c r="I7969">
        <v>-127</v>
      </c>
      <c r="J7969">
        <v>105</v>
      </c>
      <c r="K7969">
        <v>-576</v>
      </c>
      <c r="L7969">
        <v>1200</v>
      </c>
      <c r="M7969" t="str">
        <f t="shared" si="782"/>
        <v xml:space="preserve">N35DC   </v>
      </c>
      <c r="N7969">
        <v>1</v>
      </c>
      <c r="O7969">
        <v>1700</v>
      </c>
    </row>
    <row r="7970" spans="1:15" x14ac:dyDescent="0.25">
      <c r="A7970" t="str">
        <f>"10/21/2020 19:09:54.004"</f>
        <v>10/21/2020 19:09:54.004</v>
      </c>
      <c r="B7970" t="str">
        <f>"19:10:01.930"</f>
        <v>19:10:01.930</v>
      </c>
      <c r="C7970" t="str">
        <f>"19:10:01.830"</f>
        <v>19:10:01.830</v>
      </c>
      <c r="D7970" t="s">
        <v>373</v>
      </c>
      <c r="E7970">
        <v>30.551112</v>
      </c>
      <c r="F7970" t="s">
        <v>3172</v>
      </c>
      <c r="G7970">
        <v>-89.83587</v>
      </c>
      <c r="H7970">
        <v>1600</v>
      </c>
      <c r="I7970">
        <v>-124</v>
      </c>
      <c r="J7970">
        <v>108</v>
      </c>
      <c r="K7970">
        <v>-448</v>
      </c>
      <c r="L7970">
        <v>1200</v>
      </c>
      <c r="M7970" t="str">
        <f t="shared" si="782"/>
        <v xml:space="preserve">N35DC   </v>
      </c>
      <c r="N7970">
        <v>1</v>
      </c>
      <c r="O7970">
        <v>1700</v>
      </c>
    </row>
    <row r="7971" spans="1:15" x14ac:dyDescent="0.25">
      <c r="A7971" t="str">
        <f>"10/21/2020 19:09:54.004"</f>
        <v>10/21/2020 19:09:54.004</v>
      </c>
      <c r="B7971" t="str">
        <f>"19:10:01.930"</f>
        <v>19:10:01.930</v>
      </c>
      <c r="C7971" t="str">
        <f>"19:10:01.830"</f>
        <v>19:10:01.830</v>
      </c>
      <c r="D7971" t="s">
        <v>373</v>
      </c>
      <c r="E7971">
        <v>30.551112</v>
      </c>
      <c r="F7971" t="s">
        <v>3172</v>
      </c>
      <c r="G7971">
        <v>-89.83587</v>
      </c>
      <c r="H7971">
        <v>1600</v>
      </c>
      <c r="I7971">
        <v>-124</v>
      </c>
      <c r="J7971">
        <v>108</v>
      </c>
      <c r="K7971">
        <v>-448</v>
      </c>
      <c r="L7971">
        <v>1200</v>
      </c>
      <c r="M7971" t="str">
        <f t="shared" si="782"/>
        <v xml:space="preserve">N35DC   </v>
      </c>
      <c r="N7971">
        <v>1</v>
      </c>
      <c r="O7971">
        <v>1700</v>
      </c>
    </row>
    <row r="7972" spans="1:15" x14ac:dyDescent="0.25">
      <c r="A7972" t="str">
        <f>"10/21/2020 19:09:54.004"</f>
        <v>10/21/2020 19:09:54.004</v>
      </c>
      <c r="B7972" t="str">
        <f>"19:10:01.930"</f>
        <v>19:10:01.930</v>
      </c>
      <c r="C7972" t="str">
        <f>"19:10:01.830"</f>
        <v>19:10:01.830</v>
      </c>
      <c r="D7972" t="s">
        <v>373</v>
      </c>
      <c r="E7972">
        <v>30.551112</v>
      </c>
      <c r="F7972" t="s">
        <v>3172</v>
      </c>
      <c r="G7972">
        <v>-89.83587</v>
      </c>
      <c r="H7972">
        <v>1600</v>
      </c>
      <c r="I7972">
        <v>-124</v>
      </c>
      <c r="J7972">
        <v>108</v>
      </c>
      <c r="K7972">
        <v>-448</v>
      </c>
      <c r="L7972">
        <v>1200</v>
      </c>
      <c r="M7972" t="str">
        <f t="shared" si="782"/>
        <v xml:space="preserve">N35DC   </v>
      </c>
      <c r="N7972">
        <v>1</v>
      </c>
      <c r="O7972">
        <v>1700</v>
      </c>
    </row>
    <row r="7973" spans="1:15" x14ac:dyDescent="0.25">
      <c r="A7973" t="str">
        <f>"10/21/2020 19:09:54.004"</f>
        <v>10/21/2020 19:09:54.004</v>
      </c>
      <c r="B7973" t="str">
        <f>"19:10:01.930"</f>
        <v>19:10:01.930</v>
      </c>
      <c r="C7973" t="str">
        <f>"19:10:01.830"</f>
        <v>19:10:01.830</v>
      </c>
      <c r="D7973" t="s">
        <v>373</v>
      </c>
      <c r="E7973">
        <v>30.551112</v>
      </c>
      <c r="F7973" t="s">
        <v>3172</v>
      </c>
      <c r="G7973">
        <v>-89.83587</v>
      </c>
      <c r="H7973">
        <v>1600</v>
      </c>
      <c r="I7973">
        <v>-124</v>
      </c>
      <c r="J7973">
        <v>108</v>
      </c>
      <c r="K7973">
        <v>-448</v>
      </c>
      <c r="L7973">
        <v>1200</v>
      </c>
      <c r="M7973" t="str">
        <f t="shared" si="782"/>
        <v xml:space="preserve">N35DC   </v>
      </c>
      <c r="N7973">
        <v>1</v>
      </c>
      <c r="O7973">
        <v>1700</v>
      </c>
    </row>
    <row r="7974" spans="1:15" x14ac:dyDescent="0.25">
      <c r="A7974" t="str">
        <f>"10/21/2020 19:09:54.004"</f>
        <v>10/21/2020 19:09:54.004</v>
      </c>
      <c r="B7974" t="str">
        <f>"19:10:01.930"</f>
        <v>19:10:01.930</v>
      </c>
      <c r="C7974" t="str">
        <f>"19:10:01.830"</f>
        <v>19:10:01.830</v>
      </c>
      <c r="D7974" t="s">
        <v>373</v>
      </c>
      <c r="E7974">
        <v>30.551112</v>
      </c>
      <c r="F7974" t="s">
        <v>3172</v>
      </c>
      <c r="G7974">
        <v>-89.83587</v>
      </c>
      <c r="H7974">
        <v>1600</v>
      </c>
      <c r="I7974">
        <v>-124</v>
      </c>
      <c r="J7974">
        <v>108</v>
      </c>
      <c r="K7974">
        <v>-448</v>
      </c>
      <c r="L7974">
        <v>1200</v>
      </c>
      <c r="M7974" t="str">
        <f t="shared" si="782"/>
        <v xml:space="preserve">N35DC   </v>
      </c>
      <c r="N7974">
        <v>1</v>
      </c>
      <c r="O7974">
        <v>1700</v>
      </c>
    </row>
    <row r="7975" spans="1:15" x14ac:dyDescent="0.25">
      <c r="A7975" t="str">
        <f>"10/21/2020 19:09:56.956"</f>
        <v>10/21/2020 19:09:56.956</v>
      </c>
      <c r="B7975" t="str">
        <f>"19:10:04.914"</f>
        <v>19:10:04.914</v>
      </c>
      <c r="C7975" t="str">
        <f>"19:10:04.514"</f>
        <v>19:10:04.514</v>
      </c>
      <c r="D7975" t="s">
        <v>3173</v>
      </c>
      <c r="E7975">
        <v>30.552700000000002</v>
      </c>
      <c r="F7975" t="s">
        <v>3174</v>
      </c>
      <c r="G7975">
        <v>-89.837844000000004</v>
      </c>
      <c r="H7975">
        <v>1600</v>
      </c>
      <c r="I7975">
        <v>-119</v>
      </c>
      <c r="J7975">
        <v>114</v>
      </c>
      <c r="K7975">
        <v>-192</v>
      </c>
      <c r="L7975">
        <v>1200</v>
      </c>
      <c r="M7975" t="str">
        <f t="shared" si="782"/>
        <v xml:space="preserve">N35DC   </v>
      </c>
      <c r="N7975">
        <v>1</v>
      </c>
      <c r="O7975">
        <v>1675</v>
      </c>
    </row>
    <row r="7976" spans="1:15" x14ac:dyDescent="0.25">
      <c r="A7976" t="str">
        <f>"10/21/2020 19:09:56.956"</f>
        <v>10/21/2020 19:09:56.956</v>
      </c>
      <c r="B7976" t="str">
        <f>"19:10:04.914"</f>
        <v>19:10:04.914</v>
      </c>
      <c r="C7976" t="str">
        <f>"19:10:04.514"</f>
        <v>19:10:04.514</v>
      </c>
      <c r="D7976" t="s">
        <v>3173</v>
      </c>
      <c r="E7976">
        <v>30.552700000000002</v>
      </c>
      <c r="F7976" t="s">
        <v>3174</v>
      </c>
      <c r="G7976">
        <v>-89.837844000000004</v>
      </c>
      <c r="H7976">
        <v>1600</v>
      </c>
      <c r="I7976">
        <v>-119</v>
      </c>
      <c r="J7976">
        <v>114</v>
      </c>
      <c r="K7976">
        <v>-192</v>
      </c>
      <c r="L7976">
        <v>1200</v>
      </c>
      <c r="M7976" t="str">
        <f t="shared" si="782"/>
        <v xml:space="preserve">N35DC   </v>
      </c>
      <c r="N7976">
        <v>1</v>
      </c>
      <c r="O7976">
        <v>1675</v>
      </c>
    </row>
    <row r="7977" spans="1:15" x14ac:dyDescent="0.25">
      <c r="A7977" t="str">
        <f>"10/21/2020 19:09:56.956"</f>
        <v>10/21/2020 19:09:56.956</v>
      </c>
      <c r="B7977" t="str">
        <f>"19:10:04.914"</f>
        <v>19:10:04.914</v>
      </c>
      <c r="C7977" t="str">
        <f>"19:10:04.514"</f>
        <v>19:10:04.514</v>
      </c>
      <c r="D7977" t="s">
        <v>3173</v>
      </c>
      <c r="E7977">
        <v>30.552700000000002</v>
      </c>
      <c r="F7977" t="s">
        <v>3174</v>
      </c>
      <c r="G7977">
        <v>-89.837844000000004</v>
      </c>
      <c r="H7977">
        <v>1600</v>
      </c>
      <c r="I7977">
        <v>-119</v>
      </c>
      <c r="J7977">
        <v>114</v>
      </c>
      <c r="K7977">
        <v>-192</v>
      </c>
      <c r="L7977">
        <v>1200</v>
      </c>
      <c r="M7977" t="str">
        <f t="shared" si="782"/>
        <v xml:space="preserve">N35DC   </v>
      </c>
      <c r="N7977">
        <v>1</v>
      </c>
      <c r="O7977">
        <v>1675</v>
      </c>
    </row>
    <row r="7978" spans="1:15" x14ac:dyDescent="0.25">
      <c r="A7978" t="str">
        <f>"10/21/2020 19:09:56.956"</f>
        <v>10/21/2020 19:09:56.956</v>
      </c>
      <c r="B7978" t="str">
        <f>"19:10:04.914"</f>
        <v>19:10:04.914</v>
      </c>
      <c r="C7978" t="str">
        <f>"19:10:04.514"</f>
        <v>19:10:04.514</v>
      </c>
      <c r="D7978" t="s">
        <v>3173</v>
      </c>
      <c r="E7978">
        <v>30.552700000000002</v>
      </c>
      <c r="F7978" t="s">
        <v>3174</v>
      </c>
      <c r="G7978">
        <v>-89.837844000000004</v>
      </c>
      <c r="H7978">
        <v>1600</v>
      </c>
      <c r="I7978">
        <v>-119</v>
      </c>
      <c r="J7978">
        <v>114</v>
      </c>
      <c r="K7978">
        <v>-192</v>
      </c>
      <c r="L7978">
        <v>1200</v>
      </c>
      <c r="M7978" t="str">
        <f t="shared" si="782"/>
        <v xml:space="preserve">N35DC   </v>
      </c>
      <c r="N7978">
        <v>1</v>
      </c>
      <c r="O7978">
        <v>1675</v>
      </c>
    </row>
    <row r="7979" spans="1:15" x14ac:dyDescent="0.25">
      <c r="A7979" t="str">
        <f>"10/21/2020 19:09:56.956"</f>
        <v>10/21/2020 19:09:56.956</v>
      </c>
      <c r="B7979" t="str">
        <f>"19:10:04.914"</f>
        <v>19:10:04.914</v>
      </c>
      <c r="C7979" t="str">
        <f>"19:10:04.514"</f>
        <v>19:10:04.514</v>
      </c>
      <c r="D7979" t="s">
        <v>3173</v>
      </c>
      <c r="E7979">
        <v>30.552700000000002</v>
      </c>
      <c r="F7979" t="s">
        <v>3174</v>
      </c>
      <c r="G7979">
        <v>-89.837844000000004</v>
      </c>
      <c r="H7979">
        <v>1600</v>
      </c>
      <c r="I7979">
        <v>-119</v>
      </c>
      <c r="J7979">
        <v>114</v>
      </c>
      <c r="K7979">
        <v>-192</v>
      </c>
      <c r="L7979">
        <v>1200</v>
      </c>
      <c r="M7979" t="str">
        <f t="shared" si="782"/>
        <v xml:space="preserve">N35DC   </v>
      </c>
      <c r="N7979">
        <v>1</v>
      </c>
      <c r="O7979">
        <v>1675</v>
      </c>
    </row>
    <row r="7980" spans="1:15" x14ac:dyDescent="0.25">
      <c r="A7980" t="str">
        <f>"10/21/2020 19:09:57.915"</f>
        <v>10/21/2020 19:09:57.915</v>
      </c>
      <c r="B7980" t="str">
        <f>"19:10:05.859"</f>
        <v>19:10:05.859</v>
      </c>
      <c r="C7980" t="str">
        <f>"19:10:05.659"</f>
        <v>19:10:05.659</v>
      </c>
      <c r="D7980" t="s">
        <v>3175</v>
      </c>
      <c r="E7980">
        <v>30.553215000000002</v>
      </c>
      <c r="F7980" t="s">
        <v>3176</v>
      </c>
      <c r="G7980">
        <v>-89.838380999999998</v>
      </c>
      <c r="H7980">
        <v>1600</v>
      </c>
      <c r="I7980">
        <v>-116</v>
      </c>
      <c r="J7980">
        <v>116</v>
      </c>
      <c r="K7980">
        <v>-64</v>
      </c>
      <c r="L7980">
        <v>1200</v>
      </c>
      <c r="M7980" t="str">
        <f t="shared" si="782"/>
        <v xml:space="preserve">N35DC   </v>
      </c>
      <c r="N7980">
        <v>1</v>
      </c>
      <c r="O7980">
        <v>1675</v>
      </c>
    </row>
    <row r="7981" spans="1:15" x14ac:dyDescent="0.25">
      <c r="A7981" t="str">
        <f>"10/21/2020 19:09:57.915"</f>
        <v>10/21/2020 19:09:57.915</v>
      </c>
      <c r="B7981" t="str">
        <f>"19:10:05.859"</f>
        <v>19:10:05.859</v>
      </c>
      <c r="C7981" t="str">
        <f>"19:10:05.659"</f>
        <v>19:10:05.659</v>
      </c>
      <c r="D7981" t="s">
        <v>3175</v>
      </c>
      <c r="E7981">
        <v>30.553215000000002</v>
      </c>
      <c r="F7981" t="s">
        <v>3176</v>
      </c>
      <c r="G7981">
        <v>-89.838380999999998</v>
      </c>
      <c r="H7981">
        <v>1600</v>
      </c>
      <c r="I7981">
        <v>-116</v>
      </c>
      <c r="J7981">
        <v>116</v>
      </c>
      <c r="K7981">
        <v>-64</v>
      </c>
      <c r="L7981">
        <v>1200</v>
      </c>
      <c r="M7981" t="str">
        <f t="shared" si="782"/>
        <v xml:space="preserve">N35DC   </v>
      </c>
      <c r="N7981">
        <v>1</v>
      </c>
      <c r="O7981">
        <v>1675</v>
      </c>
    </row>
    <row r="7982" spans="1:15" x14ac:dyDescent="0.25">
      <c r="A7982" t="str">
        <f>"10/21/2020 19:09:57.915"</f>
        <v>10/21/2020 19:09:57.915</v>
      </c>
      <c r="B7982" t="str">
        <f>"19:10:05.859"</f>
        <v>19:10:05.859</v>
      </c>
      <c r="C7982" t="str">
        <f>"19:10:05.659"</f>
        <v>19:10:05.659</v>
      </c>
      <c r="D7982" t="s">
        <v>3175</v>
      </c>
      <c r="E7982">
        <v>30.553215000000002</v>
      </c>
      <c r="F7982" t="s">
        <v>3176</v>
      </c>
      <c r="G7982">
        <v>-89.838380999999998</v>
      </c>
      <c r="H7982">
        <v>1600</v>
      </c>
      <c r="I7982">
        <v>-116</v>
      </c>
      <c r="J7982">
        <v>116</v>
      </c>
      <c r="K7982">
        <v>-64</v>
      </c>
      <c r="L7982">
        <v>1200</v>
      </c>
      <c r="M7982" t="str">
        <f t="shared" si="782"/>
        <v xml:space="preserve">N35DC   </v>
      </c>
      <c r="N7982">
        <v>1</v>
      </c>
      <c r="O7982">
        <v>1675</v>
      </c>
    </row>
    <row r="7983" spans="1:15" x14ac:dyDescent="0.25">
      <c r="A7983" t="str">
        <f>"10/21/2020 19:09:57.915"</f>
        <v>10/21/2020 19:09:57.915</v>
      </c>
      <c r="B7983" t="str">
        <f>"19:10:05.859"</f>
        <v>19:10:05.859</v>
      </c>
      <c r="C7983" t="str">
        <f>"19:10:05.659"</f>
        <v>19:10:05.659</v>
      </c>
      <c r="D7983" t="s">
        <v>3175</v>
      </c>
      <c r="E7983">
        <v>30.553215000000002</v>
      </c>
      <c r="F7983" t="s">
        <v>3176</v>
      </c>
      <c r="G7983">
        <v>-89.838380999999998</v>
      </c>
      <c r="H7983">
        <v>1600</v>
      </c>
      <c r="I7983">
        <v>-116</v>
      </c>
      <c r="J7983">
        <v>116</v>
      </c>
      <c r="K7983">
        <v>-64</v>
      </c>
      <c r="L7983">
        <v>1200</v>
      </c>
      <c r="M7983" t="str">
        <f t="shared" si="782"/>
        <v xml:space="preserve">N35DC   </v>
      </c>
      <c r="N7983">
        <v>1</v>
      </c>
      <c r="O7983">
        <v>1675</v>
      </c>
    </row>
    <row r="7984" spans="1:15" x14ac:dyDescent="0.25">
      <c r="A7984" t="str">
        <f>"10/21/2020 19:09:57.915"</f>
        <v>10/21/2020 19:09:57.915</v>
      </c>
      <c r="B7984" t="str">
        <f>"19:10:05.859"</f>
        <v>19:10:05.859</v>
      </c>
      <c r="C7984" t="str">
        <f>"19:10:05.659"</f>
        <v>19:10:05.659</v>
      </c>
      <c r="D7984" t="s">
        <v>3175</v>
      </c>
      <c r="E7984">
        <v>30.553215000000002</v>
      </c>
      <c r="F7984" t="s">
        <v>3176</v>
      </c>
      <c r="G7984">
        <v>-89.838380999999998</v>
      </c>
      <c r="H7984">
        <v>1600</v>
      </c>
      <c r="I7984">
        <v>-116</v>
      </c>
      <c r="J7984">
        <v>116</v>
      </c>
      <c r="K7984">
        <v>-64</v>
      </c>
      <c r="L7984">
        <v>1200</v>
      </c>
      <c r="M7984" t="str">
        <f t="shared" si="782"/>
        <v xml:space="preserve">N35DC   </v>
      </c>
      <c r="N7984">
        <v>1</v>
      </c>
      <c r="O7984">
        <v>1675</v>
      </c>
    </row>
    <row r="7985" spans="1:15" x14ac:dyDescent="0.25">
      <c r="A7985" t="str">
        <f>"10/21/2020 19:09:58.807"</f>
        <v>10/21/2020 19:09:58.807</v>
      </c>
      <c r="B7985" t="str">
        <f>"19:10:06.773"</f>
        <v>19:10:06.773</v>
      </c>
      <c r="C7985" t="str">
        <f>"19:10:06.573"</f>
        <v>19:10:06.573</v>
      </c>
      <c r="D7985" t="s">
        <v>379</v>
      </c>
      <c r="E7985">
        <v>30.553687</v>
      </c>
      <c r="F7985" t="s">
        <v>3177</v>
      </c>
      <c r="G7985">
        <v>-89.838938999999996</v>
      </c>
      <c r="H7985">
        <v>1600</v>
      </c>
      <c r="I7985">
        <v>-115</v>
      </c>
      <c r="J7985">
        <v>117</v>
      </c>
      <c r="K7985">
        <v>-64</v>
      </c>
      <c r="L7985">
        <v>1200</v>
      </c>
      <c r="M7985" t="str">
        <f t="shared" si="782"/>
        <v xml:space="preserve">N35DC   </v>
      </c>
      <c r="N7985">
        <v>1</v>
      </c>
      <c r="O7985">
        <v>1675</v>
      </c>
    </row>
    <row r="7986" spans="1:15" x14ac:dyDescent="0.25">
      <c r="A7986" t="str">
        <f>"10/21/2020 19:09:58.807"</f>
        <v>10/21/2020 19:09:58.807</v>
      </c>
      <c r="B7986" t="str">
        <f>"19:10:06.773"</f>
        <v>19:10:06.773</v>
      </c>
      <c r="C7986" t="str">
        <f>"19:10:06.573"</f>
        <v>19:10:06.573</v>
      </c>
      <c r="D7986" t="s">
        <v>379</v>
      </c>
      <c r="E7986">
        <v>30.553687</v>
      </c>
      <c r="F7986" t="s">
        <v>3177</v>
      </c>
      <c r="G7986">
        <v>-89.838938999999996</v>
      </c>
      <c r="H7986">
        <v>1600</v>
      </c>
      <c r="I7986">
        <v>-115</v>
      </c>
      <c r="J7986">
        <v>117</v>
      </c>
      <c r="K7986">
        <v>-64</v>
      </c>
      <c r="L7986">
        <v>1200</v>
      </c>
      <c r="M7986" t="str">
        <f t="shared" si="782"/>
        <v xml:space="preserve">N35DC   </v>
      </c>
      <c r="N7986">
        <v>1</v>
      </c>
      <c r="O7986">
        <v>1675</v>
      </c>
    </row>
    <row r="7987" spans="1:15" x14ac:dyDescent="0.25">
      <c r="A7987" t="str">
        <f>"10/21/2020 19:09:58.807"</f>
        <v>10/21/2020 19:09:58.807</v>
      </c>
      <c r="B7987" t="str">
        <f>"19:10:06.773"</f>
        <v>19:10:06.773</v>
      </c>
      <c r="C7987" t="str">
        <f>"19:10:06.573"</f>
        <v>19:10:06.573</v>
      </c>
      <c r="D7987" t="s">
        <v>379</v>
      </c>
      <c r="E7987">
        <v>30.553687</v>
      </c>
      <c r="F7987" t="s">
        <v>3177</v>
      </c>
      <c r="G7987">
        <v>-89.838938999999996</v>
      </c>
      <c r="H7987">
        <v>1600</v>
      </c>
      <c r="I7987">
        <v>-115</v>
      </c>
      <c r="J7987">
        <v>117</v>
      </c>
      <c r="K7987">
        <v>-64</v>
      </c>
      <c r="L7987">
        <v>1200</v>
      </c>
      <c r="M7987" t="str">
        <f t="shared" si="782"/>
        <v xml:space="preserve">N35DC   </v>
      </c>
      <c r="N7987">
        <v>1</v>
      </c>
      <c r="O7987">
        <v>1675</v>
      </c>
    </row>
    <row r="7988" spans="1:15" x14ac:dyDescent="0.25">
      <c r="A7988" t="str">
        <f>"10/21/2020 19:09:58.807"</f>
        <v>10/21/2020 19:09:58.807</v>
      </c>
      <c r="B7988" t="str">
        <f>"19:10:06.773"</f>
        <v>19:10:06.773</v>
      </c>
      <c r="C7988" t="str">
        <f>"19:10:06.573"</f>
        <v>19:10:06.573</v>
      </c>
      <c r="D7988" t="s">
        <v>379</v>
      </c>
      <c r="E7988">
        <v>30.553687</v>
      </c>
      <c r="F7988" t="s">
        <v>3177</v>
      </c>
      <c r="G7988">
        <v>-89.838938999999996</v>
      </c>
      <c r="H7988">
        <v>1600</v>
      </c>
      <c r="I7988">
        <v>-115</v>
      </c>
      <c r="J7988">
        <v>117</v>
      </c>
      <c r="K7988">
        <v>-64</v>
      </c>
      <c r="L7988">
        <v>1200</v>
      </c>
      <c r="M7988" t="str">
        <f t="shared" si="782"/>
        <v xml:space="preserve">N35DC   </v>
      </c>
      <c r="N7988">
        <v>1</v>
      </c>
      <c r="O7988">
        <v>1675</v>
      </c>
    </row>
    <row r="7989" spans="1:15" x14ac:dyDescent="0.25">
      <c r="A7989" t="str">
        <f>"10/21/2020 19:09:58.807"</f>
        <v>10/21/2020 19:09:58.807</v>
      </c>
      <c r="B7989" t="str">
        <f>"19:10:06.773"</f>
        <v>19:10:06.773</v>
      </c>
      <c r="C7989" t="str">
        <f>"19:10:06.573"</f>
        <v>19:10:06.573</v>
      </c>
      <c r="D7989" t="s">
        <v>379</v>
      </c>
      <c r="E7989">
        <v>30.553687</v>
      </c>
      <c r="F7989" t="s">
        <v>3177</v>
      </c>
      <c r="G7989">
        <v>-89.838938999999996</v>
      </c>
      <c r="H7989">
        <v>1600</v>
      </c>
      <c r="I7989">
        <v>-115</v>
      </c>
      <c r="J7989">
        <v>117</v>
      </c>
      <c r="K7989">
        <v>-64</v>
      </c>
      <c r="L7989">
        <v>1200</v>
      </c>
      <c r="M7989" t="str">
        <f t="shared" si="782"/>
        <v xml:space="preserve">N35DC   </v>
      </c>
      <c r="N7989">
        <v>1</v>
      </c>
      <c r="O7989">
        <v>1675</v>
      </c>
    </row>
    <row r="7990" spans="1:15" x14ac:dyDescent="0.25">
      <c r="A7990" t="str">
        <f>"10/21/2020 19:10:01.656"</f>
        <v>10/21/2020 19:10:01.656</v>
      </c>
      <c r="B7990" t="str">
        <f>"19:10:09.609"</f>
        <v>19:10:09.609</v>
      </c>
      <c r="C7990" t="str">
        <f>"19:10:09.409"</f>
        <v>19:10:09.409</v>
      </c>
      <c r="D7990" t="s">
        <v>3178</v>
      </c>
      <c r="E7990">
        <v>30.555274000000001</v>
      </c>
      <c r="F7990" t="s">
        <v>3179</v>
      </c>
      <c r="G7990">
        <v>-89.840633999999994</v>
      </c>
      <c r="H7990">
        <v>1600</v>
      </c>
      <c r="I7990">
        <v>-110</v>
      </c>
      <c r="J7990">
        <v>121</v>
      </c>
      <c r="K7990">
        <v>128</v>
      </c>
      <c r="L7990">
        <v>1200</v>
      </c>
      <c r="M7990" t="str">
        <f t="shared" si="782"/>
        <v xml:space="preserve">N35DC   </v>
      </c>
      <c r="N7990">
        <v>1</v>
      </c>
      <c r="O7990">
        <v>1675</v>
      </c>
    </row>
    <row r="7991" spans="1:15" x14ac:dyDescent="0.25">
      <c r="A7991" t="str">
        <f>"10/21/2020 19:10:01.656"</f>
        <v>10/21/2020 19:10:01.656</v>
      </c>
      <c r="B7991" t="str">
        <f>"19:10:09.609"</f>
        <v>19:10:09.609</v>
      </c>
      <c r="C7991" t="str">
        <f>"19:10:09.409"</f>
        <v>19:10:09.409</v>
      </c>
      <c r="D7991" t="s">
        <v>3178</v>
      </c>
      <c r="E7991">
        <v>30.555274000000001</v>
      </c>
      <c r="F7991" t="s">
        <v>3179</v>
      </c>
      <c r="G7991">
        <v>-89.840633999999994</v>
      </c>
      <c r="H7991">
        <v>1600</v>
      </c>
      <c r="I7991">
        <v>-110</v>
      </c>
      <c r="J7991">
        <v>121</v>
      </c>
      <c r="K7991">
        <v>128</v>
      </c>
      <c r="L7991">
        <v>1200</v>
      </c>
      <c r="M7991" t="str">
        <f t="shared" si="782"/>
        <v xml:space="preserve">N35DC   </v>
      </c>
      <c r="N7991">
        <v>1</v>
      </c>
      <c r="O7991">
        <v>1675</v>
      </c>
    </row>
    <row r="7992" spans="1:15" x14ac:dyDescent="0.25">
      <c r="A7992" t="str">
        <f>"10/21/2020 19:10:01.656"</f>
        <v>10/21/2020 19:10:01.656</v>
      </c>
      <c r="B7992" t="str">
        <f>"19:10:09.609"</f>
        <v>19:10:09.609</v>
      </c>
      <c r="C7992" t="str">
        <f>"19:10:09.409"</f>
        <v>19:10:09.409</v>
      </c>
      <c r="D7992" t="s">
        <v>3178</v>
      </c>
      <c r="E7992">
        <v>30.555274000000001</v>
      </c>
      <c r="F7992" t="s">
        <v>3179</v>
      </c>
      <c r="G7992">
        <v>-89.840633999999994</v>
      </c>
      <c r="H7992">
        <v>1600</v>
      </c>
      <c r="I7992">
        <v>-110</v>
      </c>
      <c r="J7992">
        <v>121</v>
      </c>
      <c r="K7992">
        <v>128</v>
      </c>
      <c r="L7992">
        <v>1200</v>
      </c>
      <c r="M7992" t="str">
        <f t="shared" si="782"/>
        <v xml:space="preserve">N35DC   </v>
      </c>
      <c r="N7992">
        <v>1</v>
      </c>
      <c r="O7992">
        <v>1675</v>
      </c>
    </row>
    <row r="7993" spans="1:15" x14ac:dyDescent="0.25">
      <c r="A7993" t="str">
        <f>"10/21/2020 19:10:01.656"</f>
        <v>10/21/2020 19:10:01.656</v>
      </c>
      <c r="B7993" t="str">
        <f>"19:10:09.609"</f>
        <v>19:10:09.609</v>
      </c>
      <c r="C7993" t="str">
        <f>"19:10:09.409"</f>
        <v>19:10:09.409</v>
      </c>
      <c r="D7993" t="s">
        <v>3178</v>
      </c>
      <c r="E7993">
        <v>30.555274000000001</v>
      </c>
      <c r="F7993" t="s">
        <v>3179</v>
      </c>
      <c r="G7993">
        <v>-89.840633999999994</v>
      </c>
      <c r="H7993">
        <v>1600</v>
      </c>
      <c r="I7993">
        <v>-110</v>
      </c>
      <c r="J7993">
        <v>121</v>
      </c>
      <c r="K7993">
        <v>128</v>
      </c>
      <c r="L7993">
        <v>1200</v>
      </c>
      <c r="M7993" t="str">
        <f t="shared" si="782"/>
        <v xml:space="preserve">N35DC   </v>
      </c>
      <c r="N7993">
        <v>1</v>
      </c>
      <c r="O7993">
        <v>1675</v>
      </c>
    </row>
    <row r="7994" spans="1:15" x14ac:dyDescent="0.25">
      <c r="A7994" t="str">
        <f>"10/21/2020 19:10:01.656"</f>
        <v>10/21/2020 19:10:01.656</v>
      </c>
      <c r="B7994" t="str">
        <f>"19:10:09.609"</f>
        <v>19:10:09.609</v>
      </c>
      <c r="C7994" t="str">
        <f>"19:10:09.409"</f>
        <v>19:10:09.409</v>
      </c>
      <c r="D7994" t="s">
        <v>3178</v>
      </c>
      <c r="E7994">
        <v>30.555274000000001</v>
      </c>
      <c r="F7994" t="s">
        <v>3179</v>
      </c>
      <c r="G7994">
        <v>-89.840633999999994</v>
      </c>
      <c r="H7994">
        <v>1600</v>
      </c>
      <c r="I7994">
        <v>-110</v>
      </c>
      <c r="J7994">
        <v>121</v>
      </c>
      <c r="K7994">
        <v>128</v>
      </c>
      <c r="L7994">
        <v>1200</v>
      </c>
      <c r="M7994" t="str">
        <f t="shared" si="782"/>
        <v xml:space="preserve">N35DC   </v>
      </c>
      <c r="N7994">
        <v>1</v>
      </c>
      <c r="O7994">
        <v>1675</v>
      </c>
    </row>
    <row r="7995" spans="1:15" x14ac:dyDescent="0.25">
      <c r="A7995" t="str">
        <f>"10/21/2020 19:10:02.670"</f>
        <v>10/21/2020 19:10:02.670</v>
      </c>
      <c r="B7995" t="str">
        <f>"19:10:10.625"</f>
        <v>19:10:10.625</v>
      </c>
      <c r="C7995" t="str">
        <f>"19:10:10.325"</f>
        <v>19:10:10.325</v>
      </c>
      <c r="D7995" t="s">
        <v>3180</v>
      </c>
      <c r="E7995">
        <v>30.555875</v>
      </c>
      <c r="F7995" t="s">
        <v>3181</v>
      </c>
      <c r="G7995">
        <v>-89.841256000000001</v>
      </c>
      <c r="H7995">
        <v>1600</v>
      </c>
      <c r="I7995">
        <v>-108</v>
      </c>
      <c r="J7995">
        <v>122</v>
      </c>
      <c r="K7995">
        <v>192</v>
      </c>
      <c r="L7995">
        <v>1200</v>
      </c>
      <c r="M7995" t="str">
        <f t="shared" si="782"/>
        <v xml:space="preserve">N35DC   </v>
      </c>
      <c r="N7995">
        <v>1</v>
      </c>
      <c r="O7995">
        <v>1675</v>
      </c>
    </row>
    <row r="7996" spans="1:15" x14ac:dyDescent="0.25">
      <c r="A7996" t="str">
        <f>"10/21/2020 19:10:02.670"</f>
        <v>10/21/2020 19:10:02.670</v>
      </c>
      <c r="B7996" t="str">
        <f>"19:10:10.625"</f>
        <v>19:10:10.625</v>
      </c>
      <c r="C7996" t="str">
        <f>"19:10:10.325"</f>
        <v>19:10:10.325</v>
      </c>
      <c r="D7996" t="s">
        <v>3180</v>
      </c>
      <c r="E7996">
        <v>30.555875</v>
      </c>
      <c r="F7996" t="s">
        <v>3181</v>
      </c>
      <c r="G7996">
        <v>-89.841256000000001</v>
      </c>
      <c r="H7996">
        <v>1600</v>
      </c>
      <c r="I7996">
        <v>-108</v>
      </c>
      <c r="J7996">
        <v>122</v>
      </c>
      <c r="K7996">
        <v>192</v>
      </c>
      <c r="L7996">
        <v>1200</v>
      </c>
      <c r="M7996" t="str">
        <f t="shared" si="782"/>
        <v xml:space="preserve">N35DC   </v>
      </c>
      <c r="N7996">
        <v>1</v>
      </c>
      <c r="O7996">
        <v>1675</v>
      </c>
    </row>
    <row r="7997" spans="1:15" x14ac:dyDescent="0.25">
      <c r="A7997" t="str">
        <f>"10/21/2020 19:10:02.670"</f>
        <v>10/21/2020 19:10:02.670</v>
      </c>
      <c r="B7997" t="str">
        <f>"19:10:10.625"</f>
        <v>19:10:10.625</v>
      </c>
      <c r="C7997" t="str">
        <f>"19:10:10.325"</f>
        <v>19:10:10.325</v>
      </c>
      <c r="D7997" t="s">
        <v>3180</v>
      </c>
      <c r="E7997">
        <v>30.555875</v>
      </c>
      <c r="F7997" t="s">
        <v>3181</v>
      </c>
      <c r="G7997">
        <v>-89.841256000000001</v>
      </c>
      <c r="H7997">
        <v>1600</v>
      </c>
      <c r="I7997">
        <v>-108</v>
      </c>
      <c r="J7997">
        <v>122</v>
      </c>
      <c r="K7997">
        <v>192</v>
      </c>
      <c r="L7997">
        <v>1200</v>
      </c>
      <c r="M7997" t="str">
        <f t="shared" si="782"/>
        <v xml:space="preserve">N35DC   </v>
      </c>
      <c r="N7997">
        <v>1</v>
      </c>
      <c r="O7997">
        <v>1675</v>
      </c>
    </row>
    <row r="7998" spans="1:15" x14ac:dyDescent="0.25">
      <c r="A7998" t="str">
        <f>"10/21/2020 19:10:02.670"</f>
        <v>10/21/2020 19:10:02.670</v>
      </c>
      <c r="B7998" t="str">
        <f>"19:10:10.625"</f>
        <v>19:10:10.625</v>
      </c>
      <c r="C7998" t="str">
        <f>"19:10:10.325"</f>
        <v>19:10:10.325</v>
      </c>
      <c r="D7998" t="s">
        <v>3180</v>
      </c>
      <c r="E7998">
        <v>30.555875</v>
      </c>
      <c r="F7998" t="s">
        <v>3181</v>
      </c>
      <c r="G7998">
        <v>-89.841256000000001</v>
      </c>
      <c r="H7998">
        <v>1600</v>
      </c>
      <c r="I7998">
        <v>-108</v>
      </c>
      <c r="J7998">
        <v>122</v>
      </c>
      <c r="K7998">
        <v>192</v>
      </c>
      <c r="L7998">
        <v>1200</v>
      </c>
      <c r="M7998" t="str">
        <f t="shared" si="782"/>
        <v xml:space="preserve">N35DC   </v>
      </c>
      <c r="N7998">
        <v>1</v>
      </c>
      <c r="O7998">
        <v>1675</v>
      </c>
    </row>
    <row r="7999" spans="1:15" x14ac:dyDescent="0.25">
      <c r="A7999" t="str">
        <f>"10/21/2020 19:10:02.670"</f>
        <v>10/21/2020 19:10:02.670</v>
      </c>
      <c r="B7999" t="str">
        <f>"19:10:10.625"</f>
        <v>19:10:10.625</v>
      </c>
      <c r="C7999" t="str">
        <f>"19:10:10.325"</f>
        <v>19:10:10.325</v>
      </c>
      <c r="D7999" t="s">
        <v>3180</v>
      </c>
      <c r="E7999">
        <v>30.555875</v>
      </c>
      <c r="F7999" t="s">
        <v>3181</v>
      </c>
      <c r="G7999">
        <v>-89.841256000000001</v>
      </c>
      <c r="H7999">
        <v>1600</v>
      </c>
      <c r="I7999">
        <v>-108</v>
      </c>
      <c r="J7999">
        <v>122</v>
      </c>
      <c r="K7999">
        <v>192</v>
      </c>
      <c r="L7999">
        <v>1200</v>
      </c>
      <c r="M7999" t="str">
        <f t="shared" si="782"/>
        <v xml:space="preserve">N35DC   </v>
      </c>
      <c r="N7999">
        <v>1</v>
      </c>
      <c r="O7999">
        <v>1675</v>
      </c>
    </row>
    <row r="8000" spans="1:15" x14ac:dyDescent="0.25">
      <c r="A8000" t="str">
        <f>"10/21/2020 19:10:05.833"</f>
        <v>10/21/2020 19:10:05.833</v>
      </c>
      <c r="B8000" t="str">
        <f>"19:10:13.781"</f>
        <v>19:10:13.781</v>
      </c>
      <c r="C8000" t="str">
        <f>"19:10:13.581"</f>
        <v>19:10:13.581</v>
      </c>
      <c r="D8000" t="s">
        <v>3182</v>
      </c>
      <c r="E8000">
        <v>30.557656000000001</v>
      </c>
      <c r="F8000" t="s">
        <v>3183</v>
      </c>
      <c r="G8000">
        <v>-89.842950999999999</v>
      </c>
      <c r="H8000">
        <v>1600</v>
      </c>
      <c r="I8000">
        <v>-101</v>
      </c>
      <c r="J8000">
        <v>125</v>
      </c>
      <c r="K8000">
        <v>256</v>
      </c>
      <c r="L8000">
        <v>1200</v>
      </c>
      <c r="M8000" t="str">
        <f t="shared" si="782"/>
        <v xml:space="preserve">N35DC   </v>
      </c>
      <c r="N8000">
        <v>1</v>
      </c>
      <c r="O8000">
        <v>1700</v>
      </c>
    </row>
    <row r="8001" spans="1:15" x14ac:dyDescent="0.25">
      <c r="A8001" t="str">
        <f>"10/21/2020 19:10:05.833"</f>
        <v>10/21/2020 19:10:05.833</v>
      </c>
      <c r="B8001" t="str">
        <f>"19:10:13.781"</f>
        <v>19:10:13.781</v>
      </c>
      <c r="C8001" t="str">
        <f>"19:10:13.581"</f>
        <v>19:10:13.581</v>
      </c>
      <c r="D8001" t="s">
        <v>3182</v>
      </c>
      <c r="E8001">
        <v>30.557656000000001</v>
      </c>
      <c r="F8001" t="s">
        <v>3183</v>
      </c>
      <c r="G8001">
        <v>-89.842950999999999</v>
      </c>
      <c r="H8001">
        <v>1600</v>
      </c>
      <c r="I8001">
        <v>-101</v>
      </c>
      <c r="J8001">
        <v>125</v>
      </c>
      <c r="K8001">
        <v>256</v>
      </c>
      <c r="L8001">
        <v>1200</v>
      </c>
      <c r="M8001" t="str">
        <f t="shared" si="782"/>
        <v xml:space="preserve">N35DC   </v>
      </c>
      <c r="N8001">
        <v>1</v>
      </c>
      <c r="O8001">
        <v>1700</v>
      </c>
    </row>
    <row r="8002" spans="1:15" x14ac:dyDescent="0.25">
      <c r="A8002" t="str">
        <f>"10/21/2020 19:10:05.833"</f>
        <v>10/21/2020 19:10:05.833</v>
      </c>
      <c r="B8002" t="str">
        <f>"19:10:13.781"</f>
        <v>19:10:13.781</v>
      </c>
      <c r="C8002" t="str">
        <f>"19:10:13.581"</f>
        <v>19:10:13.581</v>
      </c>
      <c r="D8002" t="s">
        <v>3182</v>
      </c>
      <c r="E8002">
        <v>30.557656000000001</v>
      </c>
      <c r="F8002" t="s">
        <v>3183</v>
      </c>
      <c r="G8002">
        <v>-89.842950999999999</v>
      </c>
      <c r="H8002">
        <v>1600</v>
      </c>
      <c r="I8002">
        <v>-101</v>
      </c>
      <c r="J8002">
        <v>125</v>
      </c>
      <c r="K8002">
        <v>256</v>
      </c>
      <c r="L8002">
        <v>1200</v>
      </c>
      <c r="M8002" t="str">
        <f t="shared" si="782"/>
        <v xml:space="preserve">N35DC   </v>
      </c>
      <c r="N8002">
        <v>1</v>
      </c>
      <c r="O8002">
        <v>1700</v>
      </c>
    </row>
    <row r="8003" spans="1:15" x14ac:dyDescent="0.25">
      <c r="A8003" t="str">
        <f>"10/21/2020 19:10:05.833"</f>
        <v>10/21/2020 19:10:05.833</v>
      </c>
      <c r="B8003" t="str">
        <f>"19:10:13.781"</f>
        <v>19:10:13.781</v>
      </c>
      <c r="C8003" t="str">
        <f>"19:10:13.581"</f>
        <v>19:10:13.581</v>
      </c>
      <c r="D8003" t="s">
        <v>3182</v>
      </c>
      <c r="E8003">
        <v>30.557656000000001</v>
      </c>
      <c r="F8003" t="s">
        <v>3183</v>
      </c>
      <c r="G8003">
        <v>-89.842950999999999</v>
      </c>
      <c r="H8003">
        <v>1600</v>
      </c>
      <c r="I8003">
        <v>-101</v>
      </c>
      <c r="J8003">
        <v>125</v>
      </c>
      <c r="K8003">
        <v>256</v>
      </c>
      <c r="L8003">
        <v>1200</v>
      </c>
      <c r="M8003" t="str">
        <f t="shared" si="782"/>
        <v xml:space="preserve">N35DC   </v>
      </c>
      <c r="N8003">
        <v>1</v>
      </c>
      <c r="O8003">
        <v>1700</v>
      </c>
    </row>
    <row r="8004" spans="1:15" x14ac:dyDescent="0.25">
      <c r="A8004" t="str">
        <f>"10/21/2020 19:10:05.833"</f>
        <v>10/21/2020 19:10:05.833</v>
      </c>
      <c r="B8004" t="str">
        <f>"19:10:13.781"</f>
        <v>19:10:13.781</v>
      </c>
      <c r="C8004" t="str">
        <f>"19:10:13.581"</f>
        <v>19:10:13.581</v>
      </c>
      <c r="D8004" t="s">
        <v>3182</v>
      </c>
      <c r="E8004">
        <v>30.557656000000001</v>
      </c>
      <c r="F8004" t="s">
        <v>3183</v>
      </c>
      <c r="G8004">
        <v>-89.842950999999999</v>
      </c>
      <c r="H8004">
        <v>1600</v>
      </c>
      <c r="I8004">
        <v>-101</v>
      </c>
      <c r="J8004">
        <v>125</v>
      </c>
      <c r="K8004">
        <v>256</v>
      </c>
      <c r="L8004">
        <v>1200</v>
      </c>
      <c r="M8004" t="str">
        <f t="shared" si="782"/>
        <v xml:space="preserve">N35DC   </v>
      </c>
      <c r="N8004">
        <v>1</v>
      </c>
      <c r="O8004">
        <v>1700</v>
      </c>
    </row>
    <row r="8005" spans="1:15" x14ac:dyDescent="0.25">
      <c r="A8005" t="str">
        <f>"10/21/2020 19:10:08.790"</f>
        <v>10/21/2020 19:10:08.790</v>
      </c>
      <c r="B8005" t="str">
        <f>"19:10:16.750"</f>
        <v>19:10:16.750</v>
      </c>
      <c r="C8005" t="str">
        <f>"19:10:16.350"</f>
        <v>19:10:16.350</v>
      </c>
      <c r="D8005" t="s">
        <v>3184</v>
      </c>
      <c r="E8005">
        <v>30.559394000000001</v>
      </c>
      <c r="F8005" t="s">
        <v>1599</v>
      </c>
      <c r="G8005">
        <v>-89.844538999999997</v>
      </c>
      <c r="H8005">
        <v>1600</v>
      </c>
      <c r="I8005">
        <v>-98</v>
      </c>
      <c r="J8005">
        <v>127</v>
      </c>
      <c r="K8005">
        <v>128</v>
      </c>
      <c r="L8005">
        <v>1200</v>
      </c>
      <c r="M8005" t="str">
        <f t="shared" si="782"/>
        <v xml:space="preserve">N35DC   </v>
      </c>
      <c r="N8005">
        <v>1</v>
      </c>
      <c r="O8005">
        <v>1700</v>
      </c>
    </row>
    <row r="8006" spans="1:15" x14ac:dyDescent="0.25">
      <c r="A8006" t="str">
        <f>"10/21/2020 19:10:08.790"</f>
        <v>10/21/2020 19:10:08.790</v>
      </c>
      <c r="B8006" t="str">
        <f>"19:10:16.750"</f>
        <v>19:10:16.750</v>
      </c>
      <c r="C8006" t="str">
        <f>"19:10:16.350"</f>
        <v>19:10:16.350</v>
      </c>
      <c r="D8006" t="s">
        <v>3184</v>
      </c>
      <c r="E8006">
        <v>30.559394000000001</v>
      </c>
      <c r="F8006" t="s">
        <v>1599</v>
      </c>
      <c r="G8006">
        <v>-89.844538999999997</v>
      </c>
      <c r="H8006">
        <v>1600</v>
      </c>
      <c r="I8006">
        <v>-98</v>
      </c>
      <c r="J8006">
        <v>127</v>
      </c>
      <c r="K8006">
        <v>128</v>
      </c>
      <c r="L8006">
        <v>1200</v>
      </c>
      <c r="M8006" t="str">
        <f t="shared" si="782"/>
        <v xml:space="preserve">N35DC   </v>
      </c>
      <c r="N8006">
        <v>1</v>
      </c>
      <c r="O8006">
        <v>1700</v>
      </c>
    </row>
    <row r="8007" spans="1:15" x14ac:dyDescent="0.25">
      <c r="A8007" t="str">
        <f>"10/21/2020 19:10:08.790"</f>
        <v>10/21/2020 19:10:08.790</v>
      </c>
      <c r="B8007" t="str">
        <f>"19:10:16.750"</f>
        <v>19:10:16.750</v>
      </c>
      <c r="C8007" t="str">
        <f>"19:10:16.350"</f>
        <v>19:10:16.350</v>
      </c>
      <c r="D8007" t="s">
        <v>3184</v>
      </c>
      <c r="E8007">
        <v>30.559394000000001</v>
      </c>
      <c r="F8007" t="s">
        <v>1599</v>
      </c>
      <c r="G8007">
        <v>-89.844538999999997</v>
      </c>
      <c r="H8007">
        <v>1600</v>
      </c>
      <c r="I8007">
        <v>-98</v>
      </c>
      <c r="J8007">
        <v>127</v>
      </c>
      <c r="K8007">
        <v>128</v>
      </c>
      <c r="L8007">
        <v>1200</v>
      </c>
      <c r="M8007" t="str">
        <f t="shared" ref="M8007:M8070" si="785">"N35DC   "</f>
        <v xml:space="preserve">N35DC   </v>
      </c>
      <c r="N8007">
        <v>1</v>
      </c>
      <c r="O8007">
        <v>1700</v>
      </c>
    </row>
    <row r="8008" spans="1:15" x14ac:dyDescent="0.25">
      <c r="A8008" t="str">
        <f>"10/21/2020 19:10:08.790"</f>
        <v>10/21/2020 19:10:08.790</v>
      </c>
      <c r="B8008" t="str">
        <f>"19:10:16.750"</f>
        <v>19:10:16.750</v>
      </c>
      <c r="C8008" t="str">
        <f>"19:10:16.350"</f>
        <v>19:10:16.350</v>
      </c>
      <c r="D8008" t="s">
        <v>3184</v>
      </c>
      <c r="E8008">
        <v>30.559394000000001</v>
      </c>
      <c r="F8008" t="s">
        <v>1599</v>
      </c>
      <c r="G8008">
        <v>-89.844538999999997</v>
      </c>
      <c r="H8008">
        <v>1600</v>
      </c>
      <c r="I8008">
        <v>-98</v>
      </c>
      <c r="J8008">
        <v>127</v>
      </c>
      <c r="K8008">
        <v>128</v>
      </c>
      <c r="L8008">
        <v>1200</v>
      </c>
      <c r="M8008" t="str">
        <f t="shared" si="785"/>
        <v xml:space="preserve">N35DC   </v>
      </c>
      <c r="N8008">
        <v>1</v>
      </c>
      <c r="O8008">
        <v>1700</v>
      </c>
    </row>
    <row r="8009" spans="1:15" x14ac:dyDescent="0.25">
      <c r="A8009" t="str">
        <f>"10/21/2020 19:10:08.790"</f>
        <v>10/21/2020 19:10:08.790</v>
      </c>
      <c r="B8009" t="str">
        <f>"19:10:16.750"</f>
        <v>19:10:16.750</v>
      </c>
      <c r="C8009" t="str">
        <f>"19:10:16.350"</f>
        <v>19:10:16.350</v>
      </c>
      <c r="D8009" t="s">
        <v>3184</v>
      </c>
      <c r="E8009">
        <v>30.559394000000001</v>
      </c>
      <c r="F8009" t="s">
        <v>1599</v>
      </c>
      <c r="G8009">
        <v>-89.844538999999997</v>
      </c>
      <c r="H8009">
        <v>1600</v>
      </c>
      <c r="I8009">
        <v>-98</v>
      </c>
      <c r="J8009">
        <v>127</v>
      </c>
      <c r="K8009">
        <v>128</v>
      </c>
      <c r="L8009">
        <v>1200</v>
      </c>
      <c r="M8009" t="str">
        <f t="shared" si="785"/>
        <v xml:space="preserve">N35DC   </v>
      </c>
      <c r="N8009">
        <v>1</v>
      </c>
      <c r="O8009">
        <v>1700</v>
      </c>
    </row>
    <row r="8010" spans="1:15" x14ac:dyDescent="0.25">
      <c r="A8010" t="str">
        <f>"10/21/2020 19:10:09.750"</f>
        <v>10/21/2020 19:10:09.750</v>
      </c>
      <c r="B8010" t="str">
        <f>"19:10:17.680"</f>
        <v>19:10:17.680</v>
      </c>
      <c r="C8010" t="str">
        <f>"19:10:17.380"</f>
        <v>19:10:17.380</v>
      </c>
      <c r="D8010" t="s">
        <v>3185</v>
      </c>
      <c r="E8010">
        <v>30.559974</v>
      </c>
      <c r="F8010" t="s">
        <v>551</v>
      </c>
      <c r="G8010">
        <v>-89.845011</v>
      </c>
      <c r="H8010">
        <v>1600</v>
      </c>
      <c r="I8010">
        <v>-96</v>
      </c>
      <c r="J8010">
        <v>129</v>
      </c>
      <c r="K8010">
        <v>128</v>
      </c>
      <c r="L8010">
        <v>1200</v>
      </c>
      <c r="M8010" t="str">
        <f t="shared" si="785"/>
        <v xml:space="preserve">N35DC   </v>
      </c>
      <c r="N8010">
        <v>1</v>
      </c>
      <c r="O8010">
        <v>1700</v>
      </c>
    </row>
    <row r="8011" spans="1:15" x14ac:dyDescent="0.25">
      <c r="A8011" t="str">
        <f>"10/21/2020 19:10:09.750"</f>
        <v>10/21/2020 19:10:09.750</v>
      </c>
      <c r="B8011" t="str">
        <f>"19:10:17.680"</f>
        <v>19:10:17.680</v>
      </c>
      <c r="C8011" t="str">
        <f>"19:10:17.380"</f>
        <v>19:10:17.380</v>
      </c>
      <c r="D8011" t="s">
        <v>3185</v>
      </c>
      <c r="E8011">
        <v>30.559974</v>
      </c>
      <c r="F8011" t="s">
        <v>551</v>
      </c>
      <c r="G8011">
        <v>-89.845011</v>
      </c>
      <c r="H8011">
        <v>1600</v>
      </c>
      <c r="I8011">
        <v>-96</v>
      </c>
      <c r="J8011">
        <v>129</v>
      </c>
      <c r="K8011">
        <v>128</v>
      </c>
      <c r="L8011">
        <v>1200</v>
      </c>
      <c r="M8011" t="str">
        <f t="shared" si="785"/>
        <v xml:space="preserve">N35DC   </v>
      </c>
      <c r="N8011">
        <v>1</v>
      </c>
      <c r="O8011">
        <v>1700</v>
      </c>
    </row>
    <row r="8012" spans="1:15" x14ac:dyDescent="0.25">
      <c r="A8012" t="str">
        <f>"10/21/2020 19:10:09.750"</f>
        <v>10/21/2020 19:10:09.750</v>
      </c>
      <c r="B8012" t="str">
        <f>"19:10:17.680"</f>
        <v>19:10:17.680</v>
      </c>
      <c r="C8012" t="str">
        <f>"19:10:17.380"</f>
        <v>19:10:17.380</v>
      </c>
      <c r="D8012" t="s">
        <v>3185</v>
      </c>
      <c r="E8012">
        <v>30.559974</v>
      </c>
      <c r="F8012" t="s">
        <v>551</v>
      </c>
      <c r="G8012">
        <v>-89.845011</v>
      </c>
      <c r="H8012">
        <v>1600</v>
      </c>
      <c r="I8012">
        <v>-96</v>
      </c>
      <c r="J8012">
        <v>129</v>
      </c>
      <c r="K8012">
        <v>128</v>
      </c>
      <c r="L8012">
        <v>1200</v>
      </c>
      <c r="M8012" t="str">
        <f t="shared" si="785"/>
        <v xml:space="preserve">N35DC   </v>
      </c>
      <c r="N8012">
        <v>1</v>
      </c>
      <c r="O8012">
        <v>1700</v>
      </c>
    </row>
    <row r="8013" spans="1:15" x14ac:dyDescent="0.25">
      <c r="A8013" t="str">
        <f>"10/21/2020 19:10:09.750"</f>
        <v>10/21/2020 19:10:09.750</v>
      </c>
      <c r="B8013" t="str">
        <f>"19:10:17.680"</f>
        <v>19:10:17.680</v>
      </c>
      <c r="C8013" t="str">
        <f>"19:10:17.380"</f>
        <v>19:10:17.380</v>
      </c>
      <c r="D8013" t="s">
        <v>3185</v>
      </c>
      <c r="E8013">
        <v>30.559974</v>
      </c>
      <c r="F8013" t="s">
        <v>551</v>
      </c>
      <c r="G8013">
        <v>-89.845011</v>
      </c>
      <c r="H8013">
        <v>1600</v>
      </c>
      <c r="I8013">
        <v>-96</v>
      </c>
      <c r="J8013">
        <v>129</v>
      </c>
      <c r="K8013">
        <v>128</v>
      </c>
      <c r="L8013">
        <v>1200</v>
      </c>
      <c r="M8013" t="str">
        <f t="shared" si="785"/>
        <v xml:space="preserve">N35DC   </v>
      </c>
      <c r="N8013">
        <v>1</v>
      </c>
      <c r="O8013">
        <v>1700</v>
      </c>
    </row>
    <row r="8014" spans="1:15" x14ac:dyDescent="0.25">
      <c r="A8014" t="str">
        <f>"10/21/2020 19:10:09.750"</f>
        <v>10/21/2020 19:10:09.750</v>
      </c>
      <c r="B8014" t="str">
        <f>"19:10:17.680"</f>
        <v>19:10:17.680</v>
      </c>
      <c r="C8014" t="str">
        <f>"19:10:17.380"</f>
        <v>19:10:17.380</v>
      </c>
      <c r="D8014" t="s">
        <v>3185</v>
      </c>
      <c r="E8014">
        <v>30.559974</v>
      </c>
      <c r="F8014" t="s">
        <v>551</v>
      </c>
      <c r="G8014">
        <v>-89.845011</v>
      </c>
      <c r="H8014">
        <v>1600</v>
      </c>
      <c r="I8014">
        <v>-96</v>
      </c>
      <c r="J8014">
        <v>129</v>
      </c>
      <c r="K8014">
        <v>128</v>
      </c>
      <c r="L8014">
        <v>1200</v>
      </c>
      <c r="M8014" t="str">
        <f t="shared" si="785"/>
        <v xml:space="preserve">N35DC   </v>
      </c>
      <c r="N8014">
        <v>1</v>
      </c>
      <c r="O8014">
        <v>1700</v>
      </c>
    </row>
    <row r="8015" spans="1:15" x14ac:dyDescent="0.25">
      <c r="A8015" t="str">
        <f>"10/21/2020 19:10:10.841"</f>
        <v>10/21/2020 19:10:10.841</v>
      </c>
      <c r="B8015" t="str">
        <f>"19:10:18.789"</f>
        <v>19:10:18.789</v>
      </c>
      <c r="C8015" t="str">
        <f>"19:10:18.289"</f>
        <v>19:10:18.289</v>
      </c>
      <c r="D8015" t="s">
        <v>3186</v>
      </c>
      <c r="E8015">
        <v>30.560617000000001</v>
      </c>
      <c r="F8015" t="s">
        <v>599</v>
      </c>
      <c r="G8015">
        <v>-89.845590999999999</v>
      </c>
      <c r="H8015">
        <v>1700</v>
      </c>
      <c r="I8015">
        <v>-95</v>
      </c>
      <c r="J8015">
        <v>129</v>
      </c>
      <c r="K8015">
        <v>256</v>
      </c>
      <c r="L8015">
        <v>1200</v>
      </c>
      <c r="M8015" t="str">
        <f t="shared" si="785"/>
        <v xml:space="preserve">N35DC   </v>
      </c>
      <c r="N8015">
        <v>1</v>
      </c>
      <c r="O8015">
        <v>1700</v>
      </c>
    </row>
    <row r="8016" spans="1:15" x14ac:dyDescent="0.25">
      <c r="A8016" t="str">
        <f>"10/21/2020 19:10:10.841"</f>
        <v>10/21/2020 19:10:10.841</v>
      </c>
      <c r="B8016" t="str">
        <f>"19:10:18.789"</f>
        <v>19:10:18.789</v>
      </c>
      <c r="C8016" t="str">
        <f>"19:10:18.289"</f>
        <v>19:10:18.289</v>
      </c>
      <c r="D8016" t="s">
        <v>3186</v>
      </c>
      <c r="E8016">
        <v>30.560617000000001</v>
      </c>
      <c r="F8016" t="s">
        <v>599</v>
      </c>
      <c r="G8016">
        <v>-89.845590999999999</v>
      </c>
      <c r="H8016">
        <v>1700</v>
      </c>
      <c r="I8016">
        <v>-95</v>
      </c>
      <c r="J8016">
        <v>129</v>
      </c>
      <c r="K8016">
        <v>256</v>
      </c>
      <c r="L8016">
        <v>1200</v>
      </c>
      <c r="M8016" t="str">
        <f t="shared" si="785"/>
        <v xml:space="preserve">N35DC   </v>
      </c>
      <c r="N8016">
        <v>1</v>
      </c>
      <c r="O8016">
        <v>1700</v>
      </c>
    </row>
    <row r="8017" spans="1:15" x14ac:dyDescent="0.25">
      <c r="A8017" t="str">
        <f>"10/21/2020 19:10:10.841"</f>
        <v>10/21/2020 19:10:10.841</v>
      </c>
      <c r="B8017" t="str">
        <f>"19:10:18.789"</f>
        <v>19:10:18.789</v>
      </c>
      <c r="C8017" t="str">
        <f>"19:10:18.289"</f>
        <v>19:10:18.289</v>
      </c>
      <c r="D8017" t="s">
        <v>3186</v>
      </c>
      <c r="E8017">
        <v>30.560617000000001</v>
      </c>
      <c r="F8017" t="s">
        <v>599</v>
      </c>
      <c r="G8017">
        <v>-89.845590999999999</v>
      </c>
      <c r="H8017">
        <v>1700</v>
      </c>
      <c r="I8017">
        <v>-95</v>
      </c>
      <c r="J8017">
        <v>129</v>
      </c>
      <c r="K8017">
        <v>256</v>
      </c>
      <c r="L8017">
        <v>1200</v>
      </c>
      <c r="M8017" t="str">
        <f t="shared" si="785"/>
        <v xml:space="preserve">N35DC   </v>
      </c>
      <c r="N8017">
        <v>1</v>
      </c>
      <c r="O8017">
        <v>1700</v>
      </c>
    </row>
    <row r="8018" spans="1:15" x14ac:dyDescent="0.25">
      <c r="A8018" t="str">
        <f>"10/21/2020 19:10:10.841"</f>
        <v>10/21/2020 19:10:10.841</v>
      </c>
      <c r="B8018" t="str">
        <f>"19:10:18.789"</f>
        <v>19:10:18.789</v>
      </c>
      <c r="C8018" t="str">
        <f>"19:10:18.289"</f>
        <v>19:10:18.289</v>
      </c>
      <c r="D8018" t="s">
        <v>3186</v>
      </c>
      <c r="E8018">
        <v>30.560617000000001</v>
      </c>
      <c r="F8018" t="s">
        <v>599</v>
      </c>
      <c r="G8018">
        <v>-89.845590999999999</v>
      </c>
      <c r="H8018">
        <v>1700</v>
      </c>
      <c r="I8018">
        <v>-95</v>
      </c>
      <c r="J8018">
        <v>129</v>
      </c>
      <c r="K8018">
        <v>256</v>
      </c>
      <c r="L8018">
        <v>1200</v>
      </c>
      <c r="M8018" t="str">
        <f t="shared" si="785"/>
        <v xml:space="preserve">N35DC   </v>
      </c>
      <c r="N8018">
        <v>1</v>
      </c>
      <c r="O8018">
        <v>1700</v>
      </c>
    </row>
    <row r="8019" spans="1:15" x14ac:dyDescent="0.25">
      <c r="A8019" t="str">
        <f>"10/21/2020 19:10:10.841"</f>
        <v>10/21/2020 19:10:10.841</v>
      </c>
      <c r="B8019" t="str">
        <f>"19:10:18.789"</f>
        <v>19:10:18.789</v>
      </c>
      <c r="C8019" t="str">
        <f>"19:10:18.289"</f>
        <v>19:10:18.289</v>
      </c>
      <c r="D8019" t="s">
        <v>3186</v>
      </c>
      <c r="E8019">
        <v>30.560617000000001</v>
      </c>
      <c r="F8019" t="s">
        <v>599</v>
      </c>
      <c r="G8019">
        <v>-89.845590999999999</v>
      </c>
      <c r="H8019">
        <v>1700</v>
      </c>
      <c r="I8019">
        <v>-95</v>
      </c>
      <c r="J8019">
        <v>129</v>
      </c>
      <c r="K8019">
        <v>256</v>
      </c>
      <c r="L8019">
        <v>1200</v>
      </c>
      <c r="M8019" t="str">
        <f t="shared" si="785"/>
        <v xml:space="preserve">N35DC   </v>
      </c>
      <c r="N8019">
        <v>1</v>
      </c>
      <c r="O8019">
        <v>1700</v>
      </c>
    </row>
    <row r="8020" spans="1:15" x14ac:dyDescent="0.25">
      <c r="A8020" t="str">
        <f>"10/21/2020 19:10:14.046"</f>
        <v>10/21/2020 19:10:14.046</v>
      </c>
      <c r="B8020" t="str">
        <f>"19:10:21.984"</f>
        <v>19:10:21.984</v>
      </c>
      <c r="C8020" t="str">
        <f>"19:10:21.584"</f>
        <v>19:10:21.584</v>
      </c>
      <c r="D8020" t="s">
        <v>3187</v>
      </c>
      <c r="E8020">
        <v>30.562570000000001</v>
      </c>
      <c r="F8020" t="s">
        <v>617</v>
      </c>
      <c r="G8020">
        <v>-89.847136000000006</v>
      </c>
      <c r="H8020">
        <v>1700</v>
      </c>
      <c r="I8020">
        <v>-90</v>
      </c>
      <c r="J8020">
        <v>132</v>
      </c>
      <c r="K8020">
        <v>128</v>
      </c>
      <c r="L8020">
        <v>1200</v>
      </c>
      <c r="M8020" t="str">
        <f t="shared" si="785"/>
        <v xml:space="preserve">N35DC   </v>
      </c>
      <c r="N8020">
        <v>1</v>
      </c>
      <c r="O8020">
        <v>1725</v>
      </c>
    </row>
    <row r="8021" spans="1:15" x14ac:dyDescent="0.25">
      <c r="A8021" t="str">
        <f>"10/21/2020 19:10:14.046"</f>
        <v>10/21/2020 19:10:14.046</v>
      </c>
      <c r="B8021" t="str">
        <f>"19:10:21.984"</f>
        <v>19:10:21.984</v>
      </c>
      <c r="C8021" t="str">
        <f>"19:10:21.584"</f>
        <v>19:10:21.584</v>
      </c>
      <c r="D8021" t="s">
        <v>3187</v>
      </c>
      <c r="E8021">
        <v>30.562570000000001</v>
      </c>
      <c r="F8021" t="s">
        <v>617</v>
      </c>
      <c r="G8021">
        <v>-89.847136000000006</v>
      </c>
      <c r="H8021">
        <v>1700</v>
      </c>
      <c r="I8021">
        <v>-90</v>
      </c>
      <c r="J8021">
        <v>132</v>
      </c>
      <c r="K8021">
        <v>128</v>
      </c>
      <c r="L8021">
        <v>1200</v>
      </c>
      <c r="M8021" t="str">
        <f t="shared" si="785"/>
        <v xml:space="preserve">N35DC   </v>
      </c>
      <c r="N8021">
        <v>1</v>
      </c>
      <c r="O8021">
        <v>1725</v>
      </c>
    </row>
    <row r="8022" spans="1:15" x14ac:dyDescent="0.25">
      <c r="A8022" t="str">
        <f>"10/21/2020 19:10:14.046"</f>
        <v>10/21/2020 19:10:14.046</v>
      </c>
      <c r="B8022" t="str">
        <f>"19:10:21.984"</f>
        <v>19:10:21.984</v>
      </c>
      <c r="C8022" t="str">
        <f>"19:10:21.584"</f>
        <v>19:10:21.584</v>
      </c>
      <c r="D8022" t="s">
        <v>3187</v>
      </c>
      <c r="E8022">
        <v>30.562570000000001</v>
      </c>
      <c r="F8022" t="s">
        <v>617</v>
      </c>
      <c r="G8022">
        <v>-89.847136000000006</v>
      </c>
      <c r="H8022">
        <v>1700</v>
      </c>
      <c r="I8022">
        <v>-90</v>
      </c>
      <c r="J8022">
        <v>132</v>
      </c>
      <c r="K8022">
        <v>128</v>
      </c>
      <c r="L8022">
        <v>1200</v>
      </c>
      <c r="M8022" t="str">
        <f t="shared" si="785"/>
        <v xml:space="preserve">N35DC   </v>
      </c>
      <c r="N8022">
        <v>1</v>
      </c>
      <c r="O8022">
        <v>1725</v>
      </c>
    </row>
    <row r="8023" spans="1:15" x14ac:dyDescent="0.25">
      <c r="A8023" t="str">
        <f>"10/21/2020 19:10:14.046"</f>
        <v>10/21/2020 19:10:14.046</v>
      </c>
      <c r="B8023" t="str">
        <f>"19:10:21.984"</f>
        <v>19:10:21.984</v>
      </c>
      <c r="C8023" t="str">
        <f>"19:10:21.584"</f>
        <v>19:10:21.584</v>
      </c>
      <c r="D8023" t="s">
        <v>3187</v>
      </c>
      <c r="E8023">
        <v>30.562570000000001</v>
      </c>
      <c r="F8023" t="s">
        <v>617</v>
      </c>
      <c r="G8023">
        <v>-89.847136000000006</v>
      </c>
      <c r="H8023">
        <v>1700</v>
      </c>
      <c r="I8023">
        <v>-90</v>
      </c>
      <c r="J8023">
        <v>132</v>
      </c>
      <c r="K8023">
        <v>128</v>
      </c>
      <c r="L8023">
        <v>1200</v>
      </c>
      <c r="M8023" t="str">
        <f t="shared" si="785"/>
        <v xml:space="preserve">N35DC   </v>
      </c>
      <c r="N8023">
        <v>1</v>
      </c>
      <c r="O8023">
        <v>1725</v>
      </c>
    </row>
    <row r="8024" spans="1:15" x14ac:dyDescent="0.25">
      <c r="A8024" t="str">
        <f>"10/21/2020 19:10:14.046"</f>
        <v>10/21/2020 19:10:14.046</v>
      </c>
      <c r="B8024" t="str">
        <f>"19:10:21.984"</f>
        <v>19:10:21.984</v>
      </c>
      <c r="C8024" t="str">
        <f>"19:10:21.584"</f>
        <v>19:10:21.584</v>
      </c>
      <c r="D8024" t="s">
        <v>3187</v>
      </c>
      <c r="E8024">
        <v>30.562570000000001</v>
      </c>
      <c r="F8024" t="s">
        <v>617</v>
      </c>
      <c r="G8024">
        <v>-89.847136000000006</v>
      </c>
      <c r="H8024">
        <v>1700</v>
      </c>
      <c r="I8024">
        <v>-90</v>
      </c>
      <c r="J8024">
        <v>132</v>
      </c>
      <c r="K8024">
        <v>128</v>
      </c>
      <c r="L8024">
        <v>1200</v>
      </c>
      <c r="M8024" t="str">
        <f t="shared" si="785"/>
        <v xml:space="preserve">N35DC   </v>
      </c>
      <c r="N8024">
        <v>1</v>
      </c>
      <c r="O8024">
        <v>1725</v>
      </c>
    </row>
    <row r="8025" spans="1:15" x14ac:dyDescent="0.25">
      <c r="A8025" t="str">
        <f>"10/21/2020 19:10:15.140"</f>
        <v>10/21/2020 19:10:15.140</v>
      </c>
      <c r="B8025" t="str">
        <f>"19:10:23.109"</f>
        <v>19:10:23.109</v>
      </c>
      <c r="C8025" t="str">
        <f>"19:10:23.009"</f>
        <v>19:10:23.009</v>
      </c>
      <c r="D8025" t="s">
        <v>3188</v>
      </c>
      <c r="E8025">
        <v>30.563257</v>
      </c>
      <c r="F8025" t="s">
        <v>3189</v>
      </c>
      <c r="G8025">
        <v>-89.847672000000003</v>
      </c>
      <c r="H8025">
        <v>1700</v>
      </c>
      <c r="I8025">
        <v>-87</v>
      </c>
      <c r="J8025">
        <v>134</v>
      </c>
      <c r="K8025">
        <v>64</v>
      </c>
      <c r="L8025">
        <v>1200</v>
      </c>
      <c r="M8025" t="str">
        <f t="shared" si="785"/>
        <v xml:space="preserve">N35DC   </v>
      </c>
      <c r="N8025">
        <v>1</v>
      </c>
      <c r="O8025">
        <v>1725</v>
      </c>
    </row>
    <row r="8026" spans="1:15" x14ac:dyDescent="0.25">
      <c r="A8026" t="str">
        <f>"10/21/2020 19:10:15.140"</f>
        <v>10/21/2020 19:10:15.140</v>
      </c>
      <c r="B8026" t="str">
        <f>"19:10:23.109"</f>
        <v>19:10:23.109</v>
      </c>
      <c r="C8026" t="str">
        <f>"19:10:23.009"</f>
        <v>19:10:23.009</v>
      </c>
      <c r="D8026" t="s">
        <v>3188</v>
      </c>
      <c r="E8026">
        <v>30.563257</v>
      </c>
      <c r="F8026" t="s">
        <v>3189</v>
      </c>
      <c r="G8026">
        <v>-89.847672000000003</v>
      </c>
      <c r="H8026">
        <v>1700</v>
      </c>
      <c r="I8026">
        <v>-87</v>
      </c>
      <c r="J8026">
        <v>134</v>
      </c>
      <c r="K8026">
        <v>64</v>
      </c>
      <c r="L8026">
        <v>1200</v>
      </c>
      <c r="M8026" t="str">
        <f t="shared" si="785"/>
        <v xml:space="preserve">N35DC   </v>
      </c>
      <c r="N8026">
        <v>1</v>
      </c>
      <c r="O8026">
        <v>1725</v>
      </c>
    </row>
    <row r="8027" spans="1:15" x14ac:dyDescent="0.25">
      <c r="A8027" t="str">
        <f>"10/21/2020 19:10:15.140"</f>
        <v>10/21/2020 19:10:15.140</v>
      </c>
      <c r="B8027" t="str">
        <f>"19:10:23.109"</f>
        <v>19:10:23.109</v>
      </c>
      <c r="C8027" t="str">
        <f>"19:10:23.009"</f>
        <v>19:10:23.009</v>
      </c>
      <c r="D8027" t="s">
        <v>3188</v>
      </c>
      <c r="E8027">
        <v>30.563257</v>
      </c>
      <c r="F8027" t="s">
        <v>3189</v>
      </c>
      <c r="G8027">
        <v>-89.847672000000003</v>
      </c>
      <c r="H8027">
        <v>1700</v>
      </c>
      <c r="I8027">
        <v>-87</v>
      </c>
      <c r="J8027">
        <v>134</v>
      </c>
      <c r="K8027">
        <v>64</v>
      </c>
      <c r="L8027">
        <v>1200</v>
      </c>
      <c r="M8027" t="str">
        <f t="shared" si="785"/>
        <v xml:space="preserve">N35DC   </v>
      </c>
      <c r="N8027">
        <v>1</v>
      </c>
      <c r="O8027">
        <v>1725</v>
      </c>
    </row>
    <row r="8028" spans="1:15" x14ac:dyDescent="0.25">
      <c r="A8028" t="str">
        <f>"10/21/2020 19:10:15.140"</f>
        <v>10/21/2020 19:10:15.140</v>
      </c>
      <c r="B8028" t="str">
        <f>"19:10:23.109"</f>
        <v>19:10:23.109</v>
      </c>
      <c r="C8028" t="str">
        <f>"19:10:23.009"</f>
        <v>19:10:23.009</v>
      </c>
      <c r="D8028" t="s">
        <v>3188</v>
      </c>
      <c r="E8028">
        <v>30.563257</v>
      </c>
      <c r="F8028" t="s">
        <v>3189</v>
      </c>
      <c r="G8028">
        <v>-89.847672000000003</v>
      </c>
      <c r="H8028">
        <v>1700</v>
      </c>
      <c r="I8028">
        <v>-87</v>
      </c>
      <c r="J8028">
        <v>134</v>
      </c>
      <c r="K8028">
        <v>64</v>
      </c>
      <c r="L8028">
        <v>1200</v>
      </c>
      <c r="M8028" t="str">
        <f t="shared" si="785"/>
        <v xml:space="preserve">N35DC   </v>
      </c>
      <c r="N8028">
        <v>1</v>
      </c>
      <c r="O8028">
        <v>1725</v>
      </c>
    </row>
    <row r="8029" spans="1:15" x14ac:dyDescent="0.25">
      <c r="A8029" t="str">
        <f>"10/21/2020 19:10:15.140"</f>
        <v>10/21/2020 19:10:15.140</v>
      </c>
      <c r="B8029" t="str">
        <f>"19:10:23.109"</f>
        <v>19:10:23.109</v>
      </c>
      <c r="C8029" t="str">
        <f>"19:10:23.009"</f>
        <v>19:10:23.009</v>
      </c>
      <c r="D8029" t="s">
        <v>3188</v>
      </c>
      <c r="E8029">
        <v>30.563257</v>
      </c>
      <c r="F8029" t="s">
        <v>3189</v>
      </c>
      <c r="G8029">
        <v>-89.847672000000003</v>
      </c>
      <c r="H8029">
        <v>1700</v>
      </c>
      <c r="I8029">
        <v>-87</v>
      </c>
      <c r="J8029">
        <v>134</v>
      </c>
      <c r="K8029">
        <v>64</v>
      </c>
      <c r="L8029">
        <v>1200</v>
      </c>
      <c r="M8029" t="str">
        <f t="shared" si="785"/>
        <v xml:space="preserve">N35DC   </v>
      </c>
      <c r="N8029">
        <v>1</v>
      </c>
      <c r="O8029">
        <v>1725</v>
      </c>
    </row>
    <row r="8030" spans="1:15" x14ac:dyDescent="0.25">
      <c r="A8030" t="str">
        <f>"10/21/2020 19:10:18.935"</f>
        <v>10/21/2020 19:10:18.935</v>
      </c>
      <c r="B8030" t="str">
        <f t="shared" ref="B8030:C8034" si="786">"19:10:26.883"</f>
        <v>19:10:26.883</v>
      </c>
      <c r="C8030" t="str">
        <f t="shared" si="786"/>
        <v>19:10:26.883</v>
      </c>
      <c r="D8030" t="s">
        <v>3190</v>
      </c>
      <c r="E8030">
        <v>30.565660000000001</v>
      </c>
      <c r="F8030" t="s">
        <v>2084</v>
      </c>
      <c r="G8030">
        <v>-89.849367000000001</v>
      </c>
      <c r="H8030">
        <v>1600</v>
      </c>
      <c r="I8030">
        <v>-81</v>
      </c>
      <c r="J8030">
        <v>138</v>
      </c>
      <c r="K8030">
        <v>-320</v>
      </c>
      <c r="L8030">
        <v>1200</v>
      </c>
      <c r="M8030" t="str">
        <f t="shared" si="785"/>
        <v xml:space="preserve">N35DC   </v>
      </c>
      <c r="N8030">
        <v>1</v>
      </c>
      <c r="O8030">
        <v>1800</v>
      </c>
    </row>
    <row r="8031" spans="1:15" x14ac:dyDescent="0.25">
      <c r="A8031" t="str">
        <f>"10/21/2020 19:10:18.935"</f>
        <v>10/21/2020 19:10:18.935</v>
      </c>
      <c r="B8031" t="str">
        <f t="shared" si="786"/>
        <v>19:10:26.883</v>
      </c>
      <c r="C8031" t="str">
        <f t="shared" si="786"/>
        <v>19:10:26.883</v>
      </c>
      <c r="D8031" t="s">
        <v>3190</v>
      </c>
      <c r="E8031">
        <v>30.565660000000001</v>
      </c>
      <c r="F8031" t="s">
        <v>2084</v>
      </c>
      <c r="G8031">
        <v>-89.849367000000001</v>
      </c>
      <c r="H8031">
        <v>1600</v>
      </c>
      <c r="I8031">
        <v>-81</v>
      </c>
      <c r="J8031">
        <v>138</v>
      </c>
      <c r="K8031">
        <v>-320</v>
      </c>
      <c r="L8031">
        <v>1200</v>
      </c>
      <c r="M8031" t="str">
        <f t="shared" si="785"/>
        <v xml:space="preserve">N35DC   </v>
      </c>
      <c r="N8031">
        <v>1</v>
      </c>
      <c r="O8031">
        <v>1800</v>
      </c>
    </row>
    <row r="8032" spans="1:15" x14ac:dyDescent="0.25">
      <c r="A8032" t="str">
        <f>"10/21/2020 19:10:18.935"</f>
        <v>10/21/2020 19:10:18.935</v>
      </c>
      <c r="B8032" t="str">
        <f t="shared" si="786"/>
        <v>19:10:26.883</v>
      </c>
      <c r="C8032" t="str">
        <f t="shared" si="786"/>
        <v>19:10:26.883</v>
      </c>
      <c r="D8032" t="s">
        <v>3190</v>
      </c>
      <c r="E8032">
        <v>30.565660000000001</v>
      </c>
      <c r="F8032" t="s">
        <v>2084</v>
      </c>
      <c r="G8032">
        <v>-89.849367000000001</v>
      </c>
      <c r="H8032">
        <v>1600</v>
      </c>
      <c r="I8032">
        <v>-81</v>
      </c>
      <c r="J8032">
        <v>138</v>
      </c>
      <c r="K8032">
        <v>-320</v>
      </c>
      <c r="L8032">
        <v>1200</v>
      </c>
      <c r="M8032" t="str">
        <f t="shared" si="785"/>
        <v xml:space="preserve">N35DC   </v>
      </c>
      <c r="N8032">
        <v>1</v>
      </c>
      <c r="O8032">
        <v>1800</v>
      </c>
    </row>
    <row r="8033" spans="1:15" x14ac:dyDescent="0.25">
      <c r="A8033" t="str">
        <f>"10/21/2020 19:10:18.935"</f>
        <v>10/21/2020 19:10:18.935</v>
      </c>
      <c r="B8033" t="str">
        <f t="shared" si="786"/>
        <v>19:10:26.883</v>
      </c>
      <c r="C8033" t="str">
        <f t="shared" si="786"/>
        <v>19:10:26.883</v>
      </c>
      <c r="D8033" t="s">
        <v>3190</v>
      </c>
      <c r="E8033">
        <v>30.565660000000001</v>
      </c>
      <c r="F8033" t="s">
        <v>2084</v>
      </c>
      <c r="G8033">
        <v>-89.849367000000001</v>
      </c>
      <c r="H8033">
        <v>1600</v>
      </c>
      <c r="I8033">
        <v>-81</v>
      </c>
      <c r="J8033">
        <v>138</v>
      </c>
      <c r="K8033">
        <v>-320</v>
      </c>
      <c r="L8033">
        <v>1200</v>
      </c>
      <c r="M8033" t="str">
        <f t="shared" si="785"/>
        <v xml:space="preserve">N35DC   </v>
      </c>
      <c r="N8033">
        <v>1</v>
      </c>
      <c r="O8033">
        <v>1800</v>
      </c>
    </row>
    <row r="8034" spans="1:15" x14ac:dyDescent="0.25">
      <c r="A8034" t="str">
        <f>"10/21/2020 19:10:18.935"</f>
        <v>10/21/2020 19:10:18.935</v>
      </c>
      <c r="B8034" t="str">
        <f t="shared" si="786"/>
        <v>19:10:26.883</v>
      </c>
      <c r="C8034" t="str">
        <f t="shared" si="786"/>
        <v>19:10:26.883</v>
      </c>
      <c r="D8034" t="s">
        <v>3190</v>
      </c>
      <c r="E8034">
        <v>30.565660000000001</v>
      </c>
      <c r="F8034" t="s">
        <v>2084</v>
      </c>
      <c r="G8034">
        <v>-89.849367000000001</v>
      </c>
      <c r="H8034">
        <v>1600</v>
      </c>
      <c r="I8034">
        <v>-81</v>
      </c>
      <c r="J8034">
        <v>138</v>
      </c>
      <c r="K8034">
        <v>-320</v>
      </c>
      <c r="L8034">
        <v>1200</v>
      </c>
      <c r="M8034" t="str">
        <f t="shared" si="785"/>
        <v xml:space="preserve">N35DC   </v>
      </c>
      <c r="N8034">
        <v>1</v>
      </c>
      <c r="O8034">
        <v>1800</v>
      </c>
    </row>
    <row r="8035" spans="1:15" x14ac:dyDescent="0.25">
      <c r="A8035" t="str">
        <f>"10/21/2020 19:10:19.899"</f>
        <v>10/21/2020 19:10:19.899</v>
      </c>
      <c r="B8035" t="str">
        <f>"19:10:27.844"</f>
        <v>19:10:27.844</v>
      </c>
      <c r="C8035" t="str">
        <f>"19:10:27.444"</f>
        <v>19:10:27.444</v>
      </c>
      <c r="D8035" t="s">
        <v>3191</v>
      </c>
      <c r="E8035">
        <v>30.566282000000001</v>
      </c>
      <c r="F8035" t="s">
        <v>1632</v>
      </c>
      <c r="G8035">
        <v>-89.849753000000007</v>
      </c>
      <c r="H8035">
        <v>1600</v>
      </c>
      <c r="I8035">
        <v>-81</v>
      </c>
      <c r="J8035">
        <v>138</v>
      </c>
      <c r="K8035">
        <v>-256</v>
      </c>
      <c r="L8035">
        <v>1200</v>
      </c>
      <c r="M8035" t="str">
        <f t="shared" si="785"/>
        <v xml:space="preserve">N35DC   </v>
      </c>
      <c r="N8035">
        <v>1</v>
      </c>
      <c r="O8035">
        <v>1600</v>
      </c>
    </row>
    <row r="8036" spans="1:15" x14ac:dyDescent="0.25">
      <c r="A8036" t="str">
        <f>"10/21/2020 19:10:19.899"</f>
        <v>10/21/2020 19:10:19.899</v>
      </c>
      <c r="B8036" t="str">
        <f>"19:10:27.844"</f>
        <v>19:10:27.844</v>
      </c>
      <c r="C8036" t="str">
        <f>"19:10:27.444"</f>
        <v>19:10:27.444</v>
      </c>
      <c r="D8036" t="s">
        <v>3191</v>
      </c>
      <c r="E8036">
        <v>30.566282000000001</v>
      </c>
      <c r="F8036" t="s">
        <v>1632</v>
      </c>
      <c r="G8036">
        <v>-89.849753000000007</v>
      </c>
      <c r="H8036">
        <v>1600</v>
      </c>
      <c r="I8036">
        <v>-81</v>
      </c>
      <c r="J8036">
        <v>138</v>
      </c>
      <c r="K8036">
        <v>-256</v>
      </c>
      <c r="L8036">
        <v>1200</v>
      </c>
      <c r="M8036" t="str">
        <f t="shared" si="785"/>
        <v xml:space="preserve">N35DC   </v>
      </c>
      <c r="N8036">
        <v>1</v>
      </c>
      <c r="O8036">
        <v>1600</v>
      </c>
    </row>
    <row r="8037" spans="1:15" x14ac:dyDescent="0.25">
      <c r="A8037" t="str">
        <f>"10/21/2020 19:10:19.899"</f>
        <v>10/21/2020 19:10:19.899</v>
      </c>
      <c r="B8037" t="str">
        <f>"19:10:27.844"</f>
        <v>19:10:27.844</v>
      </c>
      <c r="C8037" t="str">
        <f>"19:10:27.444"</f>
        <v>19:10:27.444</v>
      </c>
      <c r="D8037" t="s">
        <v>3191</v>
      </c>
      <c r="E8037">
        <v>30.566282000000001</v>
      </c>
      <c r="F8037" t="s">
        <v>1632</v>
      </c>
      <c r="G8037">
        <v>-89.849753000000007</v>
      </c>
      <c r="H8037">
        <v>1600</v>
      </c>
      <c r="I8037">
        <v>-81</v>
      </c>
      <c r="J8037">
        <v>138</v>
      </c>
      <c r="K8037">
        <v>-256</v>
      </c>
      <c r="L8037">
        <v>1200</v>
      </c>
      <c r="M8037" t="str">
        <f t="shared" si="785"/>
        <v xml:space="preserve">N35DC   </v>
      </c>
      <c r="N8037">
        <v>1</v>
      </c>
      <c r="O8037">
        <v>1600</v>
      </c>
    </row>
    <row r="8038" spans="1:15" x14ac:dyDescent="0.25">
      <c r="A8038" t="str">
        <f>"10/21/2020 19:10:19.899"</f>
        <v>10/21/2020 19:10:19.899</v>
      </c>
      <c r="B8038" t="str">
        <f>"19:10:27.844"</f>
        <v>19:10:27.844</v>
      </c>
      <c r="C8038" t="str">
        <f>"19:10:27.444"</f>
        <v>19:10:27.444</v>
      </c>
      <c r="D8038" t="s">
        <v>3191</v>
      </c>
      <c r="E8038">
        <v>30.566282000000001</v>
      </c>
      <c r="F8038" t="s">
        <v>1632</v>
      </c>
      <c r="G8038">
        <v>-89.849753000000007</v>
      </c>
      <c r="H8038">
        <v>1600</v>
      </c>
      <c r="I8038">
        <v>-81</v>
      </c>
      <c r="J8038">
        <v>138</v>
      </c>
      <c r="K8038">
        <v>-256</v>
      </c>
      <c r="L8038">
        <v>1200</v>
      </c>
      <c r="M8038" t="str">
        <f t="shared" si="785"/>
        <v xml:space="preserve">N35DC   </v>
      </c>
      <c r="N8038">
        <v>1</v>
      </c>
      <c r="O8038">
        <v>1600</v>
      </c>
    </row>
    <row r="8039" spans="1:15" x14ac:dyDescent="0.25">
      <c r="A8039" t="str">
        <f>"10/21/2020 19:10:19.899"</f>
        <v>10/21/2020 19:10:19.899</v>
      </c>
      <c r="B8039" t="str">
        <f>"19:10:27.844"</f>
        <v>19:10:27.844</v>
      </c>
      <c r="C8039" t="str">
        <f>"19:10:27.444"</f>
        <v>19:10:27.444</v>
      </c>
      <c r="D8039" t="s">
        <v>3191</v>
      </c>
      <c r="E8039">
        <v>30.566282000000001</v>
      </c>
      <c r="F8039" t="s">
        <v>1632</v>
      </c>
      <c r="G8039">
        <v>-89.849753000000007</v>
      </c>
      <c r="H8039">
        <v>1600</v>
      </c>
      <c r="I8039">
        <v>-81</v>
      </c>
      <c r="J8039">
        <v>138</v>
      </c>
      <c r="K8039">
        <v>-256</v>
      </c>
      <c r="L8039">
        <v>1200</v>
      </c>
      <c r="M8039" t="str">
        <f t="shared" si="785"/>
        <v xml:space="preserve">N35DC   </v>
      </c>
      <c r="N8039">
        <v>1</v>
      </c>
      <c r="O8039">
        <v>1600</v>
      </c>
    </row>
    <row r="8040" spans="1:15" x14ac:dyDescent="0.25">
      <c r="A8040" t="str">
        <f>"10/21/2020 19:10:22.942"</f>
        <v>10/21/2020 19:10:22.942</v>
      </c>
      <c r="B8040" t="str">
        <f>"19:10:30.906"</f>
        <v>19:10:30.906</v>
      </c>
      <c r="C8040" t="str">
        <f>"19:10:30.606"</f>
        <v>19:10:30.606</v>
      </c>
      <c r="D8040" t="s">
        <v>3192</v>
      </c>
      <c r="E8040">
        <v>30.568277999999999</v>
      </c>
      <c r="F8040" t="s">
        <v>3193</v>
      </c>
      <c r="G8040">
        <v>-89.851040999999995</v>
      </c>
      <c r="H8040">
        <v>1600</v>
      </c>
      <c r="I8040">
        <v>-76</v>
      </c>
      <c r="J8040">
        <v>139</v>
      </c>
      <c r="K8040">
        <v>-256</v>
      </c>
      <c r="L8040">
        <v>1200</v>
      </c>
      <c r="M8040" t="str">
        <f t="shared" si="785"/>
        <v xml:space="preserve">N35DC   </v>
      </c>
      <c r="N8040">
        <v>1</v>
      </c>
      <c r="O8040">
        <v>1700</v>
      </c>
    </row>
    <row r="8041" spans="1:15" x14ac:dyDescent="0.25">
      <c r="A8041" t="str">
        <f>"10/21/2020 19:10:22.942"</f>
        <v>10/21/2020 19:10:22.942</v>
      </c>
      <c r="B8041" t="str">
        <f>"19:10:30.906"</f>
        <v>19:10:30.906</v>
      </c>
      <c r="C8041" t="str">
        <f>"19:10:30.606"</f>
        <v>19:10:30.606</v>
      </c>
      <c r="D8041" t="s">
        <v>3192</v>
      </c>
      <c r="E8041">
        <v>30.568277999999999</v>
      </c>
      <c r="F8041" t="s">
        <v>3193</v>
      </c>
      <c r="G8041">
        <v>-89.851040999999995</v>
      </c>
      <c r="H8041">
        <v>1600</v>
      </c>
      <c r="I8041">
        <v>-76</v>
      </c>
      <c r="J8041">
        <v>139</v>
      </c>
      <c r="K8041">
        <v>-256</v>
      </c>
      <c r="L8041">
        <v>1200</v>
      </c>
      <c r="M8041" t="str">
        <f t="shared" si="785"/>
        <v xml:space="preserve">N35DC   </v>
      </c>
      <c r="N8041">
        <v>1</v>
      </c>
      <c r="O8041">
        <v>1700</v>
      </c>
    </row>
    <row r="8042" spans="1:15" x14ac:dyDescent="0.25">
      <c r="A8042" t="str">
        <f>"10/21/2020 19:10:22.942"</f>
        <v>10/21/2020 19:10:22.942</v>
      </c>
      <c r="B8042" t="str">
        <f>"19:10:30.906"</f>
        <v>19:10:30.906</v>
      </c>
      <c r="C8042" t="str">
        <f>"19:10:30.606"</f>
        <v>19:10:30.606</v>
      </c>
      <c r="D8042" t="s">
        <v>3192</v>
      </c>
      <c r="E8042">
        <v>30.568277999999999</v>
      </c>
      <c r="F8042" t="s">
        <v>3193</v>
      </c>
      <c r="G8042">
        <v>-89.851040999999995</v>
      </c>
      <c r="H8042">
        <v>1600</v>
      </c>
      <c r="I8042">
        <v>-76</v>
      </c>
      <c r="J8042">
        <v>139</v>
      </c>
      <c r="K8042">
        <v>-256</v>
      </c>
      <c r="L8042">
        <v>1200</v>
      </c>
      <c r="M8042" t="str">
        <f t="shared" si="785"/>
        <v xml:space="preserve">N35DC   </v>
      </c>
      <c r="N8042">
        <v>1</v>
      </c>
      <c r="O8042">
        <v>1700</v>
      </c>
    </row>
    <row r="8043" spans="1:15" x14ac:dyDescent="0.25">
      <c r="A8043" t="str">
        <f>"10/21/2020 19:10:22.942"</f>
        <v>10/21/2020 19:10:22.942</v>
      </c>
      <c r="B8043" t="str">
        <f>"19:10:30.906"</f>
        <v>19:10:30.906</v>
      </c>
      <c r="C8043" t="str">
        <f>"19:10:30.606"</f>
        <v>19:10:30.606</v>
      </c>
      <c r="D8043" t="s">
        <v>3192</v>
      </c>
      <c r="E8043">
        <v>30.568277999999999</v>
      </c>
      <c r="F8043" t="s">
        <v>3193</v>
      </c>
      <c r="G8043">
        <v>-89.851040999999995</v>
      </c>
      <c r="H8043">
        <v>1600</v>
      </c>
      <c r="I8043">
        <v>-76</v>
      </c>
      <c r="J8043">
        <v>139</v>
      </c>
      <c r="K8043">
        <v>-256</v>
      </c>
      <c r="L8043">
        <v>1200</v>
      </c>
      <c r="M8043" t="str">
        <f t="shared" si="785"/>
        <v xml:space="preserve">N35DC   </v>
      </c>
      <c r="N8043">
        <v>1</v>
      </c>
      <c r="O8043">
        <v>1700</v>
      </c>
    </row>
    <row r="8044" spans="1:15" x14ac:dyDescent="0.25">
      <c r="A8044" t="str">
        <f>"10/21/2020 19:10:22.942"</f>
        <v>10/21/2020 19:10:22.942</v>
      </c>
      <c r="B8044" t="str">
        <f>"19:10:30.906"</f>
        <v>19:10:30.906</v>
      </c>
      <c r="C8044" t="str">
        <f>"19:10:30.606"</f>
        <v>19:10:30.606</v>
      </c>
      <c r="D8044" t="s">
        <v>3192</v>
      </c>
      <c r="E8044">
        <v>30.568277999999999</v>
      </c>
      <c r="F8044" t="s">
        <v>3193</v>
      </c>
      <c r="G8044">
        <v>-89.851040999999995</v>
      </c>
      <c r="H8044">
        <v>1600</v>
      </c>
      <c r="I8044">
        <v>-76</v>
      </c>
      <c r="J8044">
        <v>139</v>
      </c>
      <c r="K8044">
        <v>-256</v>
      </c>
      <c r="L8044">
        <v>1200</v>
      </c>
      <c r="M8044" t="str">
        <f t="shared" si="785"/>
        <v xml:space="preserve">N35DC   </v>
      </c>
      <c r="N8044">
        <v>1</v>
      </c>
      <c r="O8044">
        <v>1700</v>
      </c>
    </row>
    <row r="8045" spans="1:15" x14ac:dyDescent="0.25">
      <c r="A8045" t="str">
        <f>"10/21/2020 19:10:25.857"</f>
        <v>10/21/2020 19:10:25.857</v>
      </c>
      <c r="B8045" t="str">
        <f>"19:10:33.813"</f>
        <v>19:10:33.813</v>
      </c>
      <c r="C8045" t="str">
        <f>"19:10:33.512"</f>
        <v>19:10:33.512</v>
      </c>
      <c r="D8045" t="s">
        <v>3194</v>
      </c>
      <c r="E8045">
        <v>30.570166</v>
      </c>
      <c r="F8045" t="s">
        <v>2075</v>
      </c>
      <c r="G8045">
        <v>-89.852177999999995</v>
      </c>
      <c r="H8045">
        <v>1600</v>
      </c>
      <c r="I8045">
        <v>-72</v>
      </c>
      <c r="J8045">
        <v>140</v>
      </c>
      <c r="K8045">
        <v>0</v>
      </c>
      <c r="L8045">
        <v>1200</v>
      </c>
      <c r="M8045" t="str">
        <f t="shared" si="785"/>
        <v xml:space="preserve">N35DC   </v>
      </c>
      <c r="N8045">
        <v>1</v>
      </c>
      <c r="O8045">
        <v>1700</v>
      </c>
    </row>
    <row r="8046" spans="1:15" x14ac:dyDescent="0.25">
      <c r="A8046" t="str">
        <f>"10/21/2020 19:10:25.857"</f>
        <v>10/21/2020 19:10:25.857</v>
      </c>
      <c r="B8046" t="str">
        <f>"19:10:33.813"</f>
        <v>19:10:33.813</v>
      </c>
      <c r="C8046" t="str">
        <f>"19:10:33.512"</f>
        <v>19:10:33.512</v>
      </c>
      <c r="D8046" t="s">
        <v>3194</v>
      </c>
      <c r="E8046">
        <v>30.570166</v>
      </c>
      <c r="F8046" t="s">
        <v>2075</v>
      </c>
      <c r="G8046">
        <v>-89.852177999999995</v>
      </c>
      <c r="H8046">
        <v>1600</v>
      </c>
      <c r="I8046">
        <v>-72</v>
      </c>
      <c r="J8046">
        <v>140</v>
      </c>
      <c r="K8046">
        <v>0</v>
      </c>
      <c r="L8046">
        <v>1200</v>
      </c>
      <c r="M8046" t="str">
        <f t="shared" si="785"/>
        <v xml:space="preserve">N35DC   </v>
      </c>
      <c r="N8046">
        <v>1</v>
      </c>
      <c r="O8046">
        <v>1700</v>
      </c>
    </row>
    <row r="8047" spans="1:15" x14ac:dyDescent="0.25">
      <c r="A8047" t="str">
        <f>"10/21/2020 19:10:25.857"</f>
        <v>10/21/2020 19:10:25.857</v>
      </c>
      <c r="B8047" t="str">
        <f>"19:10:33.813"</f>
        <v>19:10:33.813</v>
      </c>
      <c r="C8047" t="str">
        <f>"19:10:33.512"</f>
        <v>19:10:33.512</v>
      </c>
      <c r="D8047" t="s">
        <v>3194</v>
      </c>
      <c r="E8047">
        <v>30.570166</v>
      </c>
      <c r="F8047" t="s">
        <v>2075</v>
      </c>
      <c r="G8047">
        <v>-89.852177999999995</v>
      </c>
      <c r="H8047">
        <v>1600</v>
      </c>
      <c r="I8047">
        <v>-72</v>
      </c>
      <c r="J8047">
        <v>140</v>
      </c>
      <c r="K8047">
        <v>0</v>
      </c>
      <c r="L8047">
        <v>1200</v>
      </c>
      <c r="M8047" t="str">
        <f t="shared" si="785"/>
        <v xml:space="preserve">N35DC   </v>
      </c>
      <c r="N8047">
        <v>1</v>
      </c>
      <c r="O8047">
        <v>1700</v>
      </c>
    </row>
    <row r="8048" spans="1:15" x14ac:dyDescent="0.25">
      <c r="A8048" t="str">
        <f>"10/21/2020 19:10:25.857"</f>
        <v>10/21/2020 19:10:25.857</v>
      </c>
      <c r="B8048" t="str">
        <f>"19:10:33.813"</f>
        <v>19:10:33.813</v>
      </c>
      <c r="C8048" t="str">
        <f>"19:10:33.512"</f>
        <v>19:10:33.512</v>
      </c>
      <c r="D8048" t="s">
        <v>3194</v>
      </c>
      <c r="E8048">
        <v>30.570166</v>
      </c>
      <c r="F8048" t="s">
        <v>2075</v>
      </c>
      <c r="G8048">
        <v>-89.852177999999995</v>
      </c>
      <c r="H8048">
        <v>1600</v>
      </c>
      <c r="I8048">
        <v>-72</v>
      </c>
      <c r="J8048">
        <v>140</v>
      </c>
      <c r="K8048">
        <v>0</v>
      </c>
      <c r="L8048">
        <v>1200</v>
      </c>
      <c r="M8048" t="str">
        <f t="shared" si="785"/>
        <v xml:space="preserve">N35DC   </v>
      </c>
      <c r="N8048">
        <v>1</v>
      </c>
      <c r="O8048">
        <v>1700</v>
      </c>
    </row>
    <row r="8049" spans="1:15" x14ac:dyDescent="0.25">
      <c r="A8049" t="str">
        <f>"10/21/2020 19:10:25.857"</f>
        <v>10/21/2020 19:10:25.857</v>
      </c>
      <c r="B8049" t="str">
        <f>"19:10:33.813"</f>
        <v>19:10:33.813</v>
      </c>
      <c r="C8049" t="str">
        <f>"19:10:33.512"</f>
        <v>19:10:33.512</v>
      </c>
      <c r="D8049" t="s">
        <v>3194</v>
      </c>
      <c r="E8049">
        <v>30.570166</v>
      </c>
      <c r="F8049" t="s">
        <v>2075</v>
      </c>
      <c r="G8049">
        <v>-89.852177999999995</v>
      </c>
      <c r="H8049">
        <v>1600</v>
      </c>
      <c r="I8049">
        <v>-72</v>
      </c>
      <c r="J8049">
        <v>140</v>
      </c>
      <c r="K8049">
        <v>0</v>
      </c>
      <c r="L8049">
        <v>1200</v>
      </c>
      <c r="M8049" t="str">
        <f t="shared" si="785"/>
        <v xml:space="preserve">N35DC   </v>
      </c>
      <c r="N8049">
        <v>1</v>
      </c>
      <c r="O8049">
        <v>1700</v>
      </c>
    </row>
    <row r="8050" spans="1:15" x14ac:dyDescent="0.25">
      <c r="A8050" t="str">
        <f>"10/21/2020 19:10:26.949"</f>
        <v>10/21/2020 19:10:26.949</v>
      </c>
      <c r="B8050" t="str">
        <f>"19:10:34.914"</f>
        <v>19:10:34.914</v>
      </c>
      <c r="C8050" t="str">
        <f>"19:10:34.414"</f>
        <v>19:10:34.414</v>
      </c>
      <c r="D8050" t="s">
        <v>3195</v>
      </c>
      <c r="E8050">
        <v>30.570874</v>
      </c>
      <c r="F8050" t="s">
        <v>3196</v>
      </c>
      <c r="G8050">
        <v>-89.852607000000006</v>
      </c>
      <c r="H8050">
        <v>1600</v>
      </c>
      <c r="I8050">
        <v>-70</v>
      </c>
      <c r="J8050">
        <v>141</v>
      </c>
      <c r="K8050">
        <v>-64</v>
      </c>
      <c r="L8050">
        <v>1200</v>
      </c>
      <c r="M8050" t="str">
        <f t="shared" si="785"/>
        <v xml:space="preserve">N35DC   </v>
      </c>
      <c r="N8050">
        <v>1</v>
      </c>
      <c r="O8050">
        <v>1700</v>
      </c>
    </row>
    <row r="8051" spans="1:15" x14ac:dyDescent="0.25">
      <c r="A8051" t="str">
        <f>"10/21/2020 19:10:26.949"</f>
        <v>10/21/2020 19:10:26.949</v>
      </c>
      <c r="B8051" t="str">
        <f>"19:10:34.914"</f>
        <v>19:10:34.914</v>
      </c>
      <c r="C8051" t="str">
        <f>"19:10:34.414"</f>
        <v>19:10:34.414</v>
      </c>
      <c r="D8051" t="s">
        <v>3195</v>
      </c>
      <c r="E8051">
        <v>30.570874</v>
      </c>
      <c r="F8051" t="s">
        <v>3196</v>
      </c>
      <c r="G8051">
        <v>-89.852607000000006</v>
      </c>
      <c r="H8051">
        <v>1600</v>
      </c>
      <c r="I8051">
        <v>-70</v>
      </c>
      <c r="J8051">
        <v>141</v>
      </c>
      <c r="K8051">
        <v>-64</v>
      </c>
      <c r="L8051">
        <v>1200</v>
      </c>
      <c r="M8051" t="str">
        <f t="shared" si="785"/>
        <v xml:space="preserve">N35DC   </v>
      </c>
      <c r="N8051">
        <v>1</v>
      </c>
      <c r="O8051">
        <v>1700</v>
      </c>
    </row>
    <row r="8052" spans="1:15" x14ac:dyDescent="0.25">
      <c r="A8052" t="str">
        <f>"10/21/2020 19:10:26.949"</f>
        <v>10/21/2020 19:10:26.949</v>
      </c>
      <c r="B8052" t="str">
        <f>"19:10:34.914"</f>
        <v>19:10:34.914</v>
      </c>
      <c r="C8052" t="str">
        <f>"19:10:34.414"</f>
        <v>19:10:34.414</v>
      </c>
      <c r="D8052" t="s">
        <v>3195</v>
      </c>
      <c r="E8052">
        <v>30.570874</v>
      </c>
      <c r="F8052" t="s">
        <v>3196</v>
      </c>
      <c r="G8052">
        <v>-89.852607000000006</v>
      </c>
      <c r="H8052">
        <v>1600</v>
      </c>
      <c r="I8052">
        <v>-70</v>
      </c>
      <c r="J8052">
        <v>141</v>
      </c>
      <c r="K8052">
        <v>-64</v>
      </c>
      <c r="L8052">
        <v>1200</v>
      </c>
      <c r="M8052" t="str">
        <f t="shared" si="785"/>
        <v xml:space="preserve">N35DC   </v>
      </c>
      <c r="N8052">
        <v>1</v>
      </c>
      <c r="O8052">
        <v>1700</v>
      </c>
    </row>
    <row r="8053" spans="1:15" x14ac:dyDescent="0.25">
      <c r="A8053" t="str">
        <f>"10/21/2020 19:10:26.949"</f>
        <v>10/21/2020 19:10:26.949</v>
      </c>
      <c r="B8053" t="str">
        <f>"19:10:34.914"</f>
        <v>19:10:34.914</v>
      </c>
      <c r="C8053" t="str">
        <f>"19:10:34.414"</f>
        <v>19:10:34.414</v>
      </c>
      <c r="D8053" t="s">
        <v>3195</v>
      </c>
      <c r="E8053">
        <v>30.570874</v>
      </c>
      <c r="F8053" t="s">
        <v>3196</v>
      </c>
      <c r="G8053">
        <v>-89.852607000000006</v>
      </c>
      <c r="H8053">
        <v>1600</v>
      </c>
      <c r="I8053">
        <v>-70</v>
      </c>
      <c r="J8053">
        <v>141</v>
      </c>
      <c r="K8053">
        <v>-64</v>
      </c>
      <c r="L8053">
        <v>1200</v>
      </c>
      <c r="M8053" t="str">
        <f t="shared" si="785"/>
        <v xml:space="preserve">N35DC   </v>
      </c>
      <c r="N8053">
        <v>1</v>
      </c>
      <c r="O8053">
        <v>1700</v>
      </c>
    </row>
    <row r="8054" spans="1:15" x14ac:dyDescent="0.25">
      <c r="A8054" t="str">
        <f>"10/21/2020 19:10:26.949"</f>
        <v>10/21/2020 19:10:26.949</v>
      </c>
      <c r="B8054" t="str">
        <f>"19:10:34.914"</f>
        <v>19:10:34.914</v>
      </c>
      <c r="C8054" t="str">
        <f>"19:10:34.414"</f>
        <v>19:10:34.414</v>
      </c>
      <c r="D8054" t="s">
        <v>3195</v>
      </c>
      <c r="E8054">
        <v>30.570874</v>
      </c>
      <c r="F8054" t="s">
        <v>3196</v>
      </c>
      <c r="G8054">
        <v>-89.852607000000006</v>
      </c>
      <c r="H8054">
        <v>1600</v>
      </c>
      <c r="I8054">
        <v>-70</v>
      </c>
      <c r="J8054">
        <v>141</v>
      </c>
      <c r="K8054">
        <v>-64</v>
      </c>
      <c r="L8054">
        <v>1200</v>
      </c>
      <c r="M8054" t="str">
        <f t="shared" si="785"/>
        <v xml:space="preserve">N35DC   </v>
      </c>
      <c r="N8054">
        <v>1</v>
      </c>
      <c r="O8054">
        <v>1700</v>
      </c>
    </row>
    <row r="8055" spans="1:15" x14ac:dyDescent="0.25">
      <c r="A8055" t="str">
        <f>"10/21/2020 19:10:28.955"</f>
        <v>10/21/2020 19:10:28.955</v>
      </c>
      <c r="B8055" t="str">
        <f>"19:10:36.906"</f>
        <v>19:10:36.906</v>
      </c>
      <c r="C8055" t="str">
        <f>"19:10:36.606"</f>
        <v>19:10:36.606</v>
      </c>
      <c r="D8055" t="s">
        <v>3197</v>
      </c>
      <c r="E8055">
        <v>30.572161999999999</v>
      </c>
      <c r="F8055" t="s">
        <v>3198</v>
      </c>
      <c r="G8055">
        <v>-89.853358</v>
      </c>
      <c r="H8055">
        <v>1600</v>
      </c>
      <c r="I8055">
        <v>-65</v>
      </c>
      <c r="J8055">
        <v>143</v>
      </c>
      <c r="K8055">
        <v>-128</v>
      </c>
      <c r="L8055">
        <v>1200</v>
      </c>
      <c r="M8055" t="str">
        <f t="shared" si="785"/>
        <v xml:space="preserve">N35DC   </v>
      </c>
      <c r="N8055">
        <v>1</v>
      </c>
      <c r="O8055">
        <v>1700</v>
      </c>
    </row>
    <row r="8056" spans="1:15" x14ac:dyDescent="0.25">
      <c r="A8056" t="str">
        <f>"10/21/2020 19:10:28.955"</f>
        <v>10/21/2020 19:10:28.955</v>
      </c>
      <c r="B8056" t="str">
        <f>"19:10:36.906"</f>
        <v>19:10:36.906</v>
      </c>
      <c r="C8056" t="str">
        <f>"19:10:36.606"</f>
        <v>19:10:36.606</v>
      </c>
      <c r="D8056" t="s">
        <v>3197</v>
      </c>
      <c r="E8056">
        <v>30.572161999999999</v>
      </c>
      <c r="F8056" t="s">
        <v>3198</v>
      </c>
      <c r="G8056">
        <v>-89.853358</v>
      </c>
      <c r="H8056">
        <v>1600</v>
      </c>
      <c r="I8056">
        <v>-65</v>
      </c>
      <c r="J8056">
        <v>143</v>
      </c>
      <c r="K8056">
        <v>-128</v>
      </c>
      <c r="L8056">
        <v>1200</v>
      </c>
      <c r="M8056" t="str">
        <f t="shared" si="785"/>
        <v xml:space="preserve">N35DC   </v>
      </c>
      <c r="N8056">
        <v>1</v>
      </c>
      <c r="O8056">
        <v>1700</v>
      </c>
    </row>
    <row r="8057" spans="1:15" x14ac:dyDescent="0.25">
      <c r="A8057" t="str">
        <f>"10/21/2020 19:10:28.955"</f>
        <v>10/21/2020 19:10:28.955</v>
      </c>
      <c r="B8057" t="str">
        <f>"19:10:36.906"</f>
        <v>19:10:36.906</v>
      </c>
      <c r="C8057" t="str">
        <f>"19:10:36.606"</f>
        <v>19:10:36.606</v>
      </c>
      <c r="D8057" t="s">
        <v>3197</v>
      </c>
      <c r="E8057">
        <v>30.572161999999999</v>
      </c>
      <c r="F8057" t="s">
        <v>3198</v>
      </c>
      <c r="G8057">
        <v>-89.853358</v>
      </c>
      <c r="H8057">
        <v>1600</v>
      </c>
      <c r="I8057">
        <v>-65</v>
      </c>
      <c r="J8057">
        <v>143</v>
      </c>
      <c r="K8057">
        <v>-128</v>
      </c>
      <c r="L8057">
        <v>1200</v>
      </c>
      <c r="M8057" t="str">
        <f t="shared" si="785"/>
        <v xml:space="preserve">N35DC   </v>
      </c>
      <c r="N8057">
        <v>1</v>
      </c>
      <c r="O8057">
        <v>1700</v>
      </c>
    </row>
    <row r="8058" spans="1:15" x14ac:dyDescent="0.25">
      <c r="A8058" t="str">
        <f>"10/21/2020 19:10:28.955"</f>
        <v>10/21/2020 19:10:28.955</v>
      </c>
      <c r="B8058" t="str">
        <f>"19:10:36.906"</f>
        <v>19:10:36.906</v>
      </c>
      <c r="C8058" t="str">
        <f>"19:10:36.606"</f>
        <v>19:10:36.606</v>
      </c>
      <c r="D8058" t="s">
        <v>3197</v>
      </c>
      <c r="E8058">
        <v>30.572161999999999</v>
      </c>
      <c r="F8058" t="s">
        <v>3198</v>
      </c>
      <c r="G8058">
        <v>-89.853358</v>
      </c>
      <c r="H8058">
        <v>1600</v>
      </c>
      <c r="I8058">
        <v>-65</v>
      </c>
      <c r="J8058">
        <v>143</v>
      </c>
      <c r="K8058">
        <v>-128</v>
      </c>
      <c r="L8058">
        <v>1200</v>
      </c>
      <c r="M8058" t="str">
        <f t="shared" si="785"/>
        <v xml:space="preserve">N35DC   </v>
      </c>
      <c r="N8058">
        <v>1</v>
      </c>
      <c r="O8058">
        <v>1700</v>
      </c>
    </row>
    <row r="8059" spans="1:15" x14ac:dyDescent="0.25">
      <c r="A8059" t="str">
        <f>"10/21/2020 19:10:28.955"</f>
        <v>10/21/2020 19:10:28.955</v>
      </c>
      <c r="B8059" t="str">
        <f>"19:10:36.906"</f>
        <v>19:10:36.906</v>
      </c>
      <c r="C8059" t="str">
        <f>"19:10:36.606"</f>
        <v>19:10:36.606</v>
      </c>
      <c r="D8059" t="s">
        <v>3197</v>
      </c>
      <c r="E8059">
        <v>30.572161999999999</v>
      </c>
      <c r="F8059" t="s">
        <v>3198</v>
      </c>
      <c r="G8059">
        <v>-89.853358</v>
      </c>
      <c r="H8059">
        <v>1600</v>
      </c>
      <c r="I8059">
        <v>-65</v>
      </c>
      <c r="J8059">
        <v>143</v>
      </c>
      <c r="K8059">
        <v>-128</v>
      </c>
      <c r="L8059">
        <v>1200</v>
      </c>
      <c r="M8059" t="str">
        <f t="shared" si="785"/>
        <v xml:space="preserve">N35DC   </v>
      </c>
      <c r="N8059">
        <v>1</v>
      </c>
      <c r="O8059">
        <v>1700</v>
      </c>
    </row>
    <row r="8060" spans="1:15" x14ac:dyDescent="0.25">
      <c r="A8060" t="str">
        <f>"10/21/2020 19:10:29.816"</f>
        <v>10/21/2020 19:10:29.816</v>
      </c>
      <c r="B8060" t="str">
        <f>"19:10:37.758"</f>
        <v>19:10:37.758</v>
      </c>
      <c r="C8060" t="str">
        <f>"19:10:37.558"</f>
        <v>19:10:37.558</v>
      </c>
      <c r="D8060" t="s">
        <v>3199</v>
      </c>
      <c r="E8060">
        <v>30.572762000000001</v>
      </c>
      <c r="F8060" t="s">
        <v>1830</v>
      </c>
      <c r="G8060">
        <v>-89.853572999999997</v>
      </c>
      <c r="H8060">
        <v>1600</v>
      </c>
      <c r="I8060">
        <v>-62</v>
      </c>
      <c r="J8060">
        <v>145</v>
      </c>
      <c r="K8060">
        <v>-192</v>
      </c>
      <c r="L8060">
        <v>1200</v>
      </c>
      <c r="M8060" t="str">
        <f t="shared" si="785"/>
        <v xml:space="preserve">N35DC   </v>
      </c>
      <c r="N8060">
        <v>1</v>
      </c>
      <c r="O8060">
        <v>1700</v>
      </c>
    </row>
    <row r="8061" spans="1:15" x14ac:dyDescent="0.25">
      <c r="A8061" t="str">
        <f>"10/21/2020 19:10:29.816"</f>
        <v>10/21/2020 19:10:29.816</v>
      </c>
      <c r="B8061" t="str">
        <f>"19:10:37.758"</f>
        <v>19:10:37.758</v>
      </c>
      <c r="C8061" t="str">
        <f>"19:10:37.558"</f>
        <v>19:10:37.558</v>
      </c>
      <c r="D8061" t="s">
        <v>3199</v>
      </c>
      <c r="E8061">
        <v>30.572762000000001</v>
      </c>
      <c r="F8061" t="s">
        <v>1830</v>
      </c>
      <c r="G8061">
        <v>-89.853572999999997</v>
      </c>
      <c r="H8061">
        <v>1600</v>
      </c>
      <c r="I8061">
        <v>-62</v>
      </c>
      <c r="J8061">
        <v>145</v>
      </c>
      <c r="K8061">
        <v>-192</v>
      </c>
      <c r="L8061">
        <v>1200</v>
      </c>
      <c r="M8061" t="str">
        <f t="shared" si="785"/>
        <v xml:space="preserve">N35DC   </v>
      </c>
      <c r="N8061">
        <v>1</v>
      </c>
      <c r="O8061">
        <v>1700</v>
      </c>
    </row>
    <row r="8062" spans="1:15" x14ac:dyDescent="0.25">
      <c r="A8062" t="str">
        <f>"10/21/2020 19:10:29.816"</f>
        <v>10/21/2020 19:10:29.816</v>
      </c>
      <c r="B8062" t="str">
        <f>"19:10:37.758"</f>
        <v>19:10:37.758</v>
      </c>
      <c r="C8062" t="str">
        <f>"19:10:37.558"</f>
        <v>19:10:37.558</v>
      </c>
      <c r="D8062" t="s">
        <v>3199</v>
      </c>
      <c r="E8062">
        <v>30.572762000000001</v>
      </c>
      <c r="F8062" t="s">
        <v>1830</v>
      </c>
      <c r="G8062">
        <v>-89.853572999999997</v>
      </c>
      <c r="H8062">
        <v>1600</v>
      </c>
      <c r="I8062">
        <v>-62</v>
      </c>
      <c r="J8062">
        <v>145</v>
      </c>
      <c r="K8062">
        <v>-192</v>
      </c>
      <c r="L8062">
        <v>1200</v>
      </c>
      <c r="M8062" t="str">
        <f t="shared" si="785"/>
        <v xml:space="preserve">N35DC   </v>
      </c>
      <c r="N8062">
        <v>1</v>
      </c>
      <c r="O8062">
        <v>1700</v>
      </c>
    </row>
    <row r="8063" spans="1:15" x14ac:dyDescent="0.25">
      <c r="A8063" t="str">
        <f>"10/21/2020 19:10:29.816"</f>
        <v>10/21/2020 19:10:29.816</v>
      </c>
      <c r="B8063" t="str">
        <f>"19:10:37.758"</f>
        <v>19:10:37.758</v>
      </c>
      <c r="C8063" t="str">
        <f>"19:10:37.558"</f>
        <v>19:10:37.558</v>
      </c>
      <c r="D8063" t="s">
        <v>3199</v>
      </c>
      <c r="E8063">
        <v>30.572762000000001</v>
      </c>
      <c r="F8063" t="s">
        <v>1830</v>
      </c>
      <c r="G8063">
        <v>-89.853572999999997</v>
      </c>
      <c r="H8063">
        <v>1600</v>
      </c>
      <c r="I8063">
        <v>-62</v>
      </c>
      <c r="J8063">
        <v>145</v>
      </c>
      <c r="K8063">
        <v>-192</v>
      </c>
      <c r="L8063">
        <v>1200</v>
      </c>
      <c r="M8063" t="str">
        <f t="shared" si="785"/>
        <v xml:space="preserve">N35DC   </v>
      </c>
      <c r="N8063">
        <v>1</v>
      </c>
      <c r="O8063">
        <v>1700</v>
      </c>
    </row>
    <row r="8064" spans="1:15" x14ac:dyDescent="0.25">
      <c r="A8064" t="str">
        <f>"10/21/2020 19:10:29.816"</f>
        <v>10/21/2020 19:10:29.816</v>
      </c>
      <c r="B8064" t="str">
        <f>"19:10:37.758"</f>
        <v>19:10:37.758</v>
      </c>
      <c r="C8064" t="str">
        <f>"19:10:37.558"</f>
        <v>19:10:37.558</v>
      </c>
      <c r="D8064" t="s">
        <v>3199</v>
      </c>
      <c r="E8064">
        <v>30.572762000000001</v>
      </c>
      <c r="F8064" t="s">
        <v>1830</v>
      </c>
      <c r="G8064">
        <v>-89.853572999999997</v>
      </c>
      <c r="H8064">
        <v>1600</v>
      </c>
      <c r="I8064">
        <v>-62</v>
      </c>
      <c r="J8064">
        <v>145</v>
      </c>
      <c r="K8064">
        <v>-192</v>
      </c>
      <c r="L8064">
        <v>1200</v>
      </c>
      <c r="M8064" t="str">
        <f t="shared" si="785"/>
        <v xml:space="preserve">N35DC   </v>
      </c>
      <c r="N8064">
        <v>1</v>
      </c>
      <c r="O8064">
        <v>1700</v>
      </c>
    </row>
    <row r="8065" spans="1:15" x14ac:dyDescent="0.25">
      <c r="A8065" t="str">
        <f>"10/21/2020 19:10:30.725"</f>
        <v>10/21/2020 19:10:30.725</v>
      </c>
      <c r="B8065" t="str">
        <f>"19:10:38.648"</f>
        <v>19:10:38.648</v>
      </c>
      <c r="C8065" t="str">
        <f>"19:10:38.548"</f>
        <v>19:10:38.548</v>
      </c>
      <c r="D8065" t="s">
        <v>794</v>
      </c>
      <c r="E8065">
        <v>30.573363000000001</v>
      </c>
      <c r="F8065" t="s">
        <v>3200</v>
      </c>
      <c r="G8065">
        <v>-89.853830000000002</v>
      </c>
      <c r="H8065">
        <v>1600</v>
      </c>
      <c r="I8065">
        <v>-57</v>
      </c>
      <c r="J8065">
        <v>146</v>
      </c>
      <c r="K8065">
        <v>-192</v>
      </c>
      <c r="L8065">
        <v>1200</v>
      </c>
      <c r="M8065" t="str">
        <f t="shared" si="785"/>
        <v xml:space="preserve">N35DC   </v>
      </c>
      <c r="N8065">
        <v>1</v>
      </c>
      <c r="O8065">
        <v>1675</v>
      </c>
    </row>
    <row r="8066" spans="1:15" x14ac:dyDescent="0.25">
      <c r="A8066" t="str">
        <f>"10/21/2020 19:10:30.725"</f>
        <v>10/21/2020 19:10:30.725</v>
      </c>
      <c r="B8066" t="str">
        <f>"19:10:38.648"</f>
        <v>19:10:38.648</v>
      </c>
      <c r="C8066" t="str">
        <f>"19:10:38.548"</f>
        <v>19:10:38.548</v>
      </c>
      <c r="D8066" t="s">
        <v>794</v>
      </c>
      <c r="E8066">
        <v>30.573363000000001</v>
      </c>
      <c r="F8066" t="s">
        <v>3200</v>
      </c>
      <c r="G8066">
        <v>-89.853830000000002</v>
      </c>
      <c r="H8066">
        <v>1600</v>
      </c>
      <c r="I8066">
        <v>-57</v>
      </c>
      <c r="J8066">
        <v>146</v>
      </c>
      <c r="K8066">
        <v>-192</v>
      </c>
      <c r="L8066">
        <v>1200</v>
      </c>
      <c r="M8066" t="str">
        <f t="shared" si="785"/>
        <v xml:space="preserve">N35DC   </v>
      </c>
      <c r="N8066">
        <v>1</v>
      </c>
      <c r="O8066">
        <v>1675</v>
      </c>
    </row>
    <row r="8067" spans="1:15" x14ac:dyDescent="0.25">
      <c r="A8067" t="str">
        <f>"10/21/2020 19:10:30.725"</f>
        <v>10/21/2020 19:10:30.725</v>
      </c>
      <c r="B8067" t="str">
        <f>"19:10:38.648"</f>
        <v>19:10:38.648</v>
      </c>
      <c r="C8067" t="str">
        <f>"19:10:38.548"</f>
        <v>19:10:38.548</v>
      </c>
      <c r="D8067" t="s">
        <v>794</v>
      </c>
      <c r="E8067">
        <v>30.573363000000001</v>
      </c>
      <c r="F8067" t="s">
        <v>3200</v>
      </c>
      <c r="G8067">
        <v>-89.853830000000002</v>
      </c>
      <c r="H8067">
        <v>1600</v>
      </c>
      <c r="I8067">
        <v>-57</v>
      </c>
      <c r="J8067">
        <v>146</v>
      </c>
      <c r="K8067">
        <v>-192</v>
      </c>
      <c r="L8067">
        <v>1200</v>
      </c>
      <c r="M8067" t="str">
        <f t="shared" si="785"/>
        <v xml:space="preserve">N35DC   </v>
      </c>
      <c r="N8067">
        <v>1</v>
      </c>
      <c r="O8067">
        <v>1675</v>
      </c>
    </row>
    <row r="8068" spans="1:15" x14ac:dyDescent="0.25">
      <c r="A8068" t="str">
        <f>"10/21/2020 19:10:30.725"</f>
        <v>10/21/2020 19:10:30.725</v>
      </c>
      <c r="B8068" t="str">
        <f>"19:10:38.648"</f>
        <v>19:10:38.648</v>
      </c>
      <c r="C8068" t="str">
        <f>"19:10:38.548"</f>
        <v>19:10:38.548</v>
      </c>
      <c r="D8068" t="s">
        <v>794</v>
      </c>
      <c r="E8068">
        <v>30.573363000000001</v>
      </c>
      <c r="F8068" t="s">
        <v>3200</v>
      </c>
      <c r="G8068">
        <v>-89.853830000000002</v>
      </c>
      <c r="H8068">
        <v>1600</v>
      </c>
      <c r="I8068">
        <v>-57</v>
      </c>
      <c r="J8068">
        <v>146</v>
      </c>
      <c r="K8068">
        <v>-192</v>
      </c>
      <c r="L8068">
        <v>1200</v>
      </c>
      <c r="M8068" t="str">
        <f t="shared" si="785"/>
        <v xml:space="preserve">N35DC   </v>
      </c>
      <c r="N8068">
        <v>1</v>
      </c>
      <c r="O8068">
        <v>1675</v>
      </c>
    </row>
    <row r="8069" spans="1:15" x14ac:dyDescent="0.25">
      <c r="A8069" t="str">
        <f>"10/21/2020 19:10:30.725"</f>
        <v>10/21/2020 19:10:30.725</v>
      </c>
      <c r="B8069" t="str">
        <f>"19:10:38.648"</f>
        <v>19:10:38.648</v>
      </c>
      <c r="C8069" t="str">
        <f>"19:10:38.548"</f>
        <v>19:10:38.548</v>
      </c>
      <c r="D8069" t="s">
        <v>794</v>
      </c>
      <c r="E8069">
        <v>30.573363000000001</v>
      </c>
      <c r="F8069" t="s">
        <v>3200</v>
      </c>
      <c r="G8069">
        <v>-89.853830000000002</v>
      </c>
      <c r="H8069">
        <v>1600</v>
      </c>
      <c r="I8069">
        <v>-57</v>
      </c>
      <c r="J8069">
        <v>146</v>
      </c>
      <c r="K8069">
        <v>-192</v>
      </c>
      <c r="L8069">
        <v>1200</v>
      </c>
      <c r="M8069" t="str">
        <f t="shared" si="785"/>
        <v xml:space="preserve">N35DC   </v>
      </c>
      <c r="N8069">
        <v>1</v>
      </c>
      <c r="O8069">
        <v>1675</v>
      </c>
    </row>
    <row r="8070" spans="1:15" x14ac:dyDescent="0.25">
      <c r="A8070" t="str">
        <f>"10/21/2020 19:10:34.009"</f>
        <v>10/21/2020 19:10:34.009</v>
      </c>
      <c r="B8070" t="str">
        <f>"19:10:41.961"</f>
        <v>19:10:41.961</v>
      </c>
      <c r="C8070" t="str">
        <f>"19:10:41.561"</f>
        <v>19:10:41.561</v>
      </c>
      <c r="D8070" t="s">
        <v>3201</v>
      </c>
      <c r="E8070">
        <v>30.575659000000002</v>
      </c>
      <c r="F8070" t="s">
        <v>1792</v>
      </c>
      <c r="G8070">
        <v>-89.854646000000002</v>
      </c>
      <c r="H8070">
        <v>1600</v>
      </c>
      <c r="I8070">
        <v>-40</v>
      </c>
      <c r="J8070">
        <v>151</v>
      </c>
      <c r="K8070">
        <v>-192</v>
      </c>
      <c r="L8070">
        <v>1200</v>
      </c>
      <c r="M8070" t="str">
        <f t="shared" si="785"/>
        <v xml:space="preserve">N35DC   </v>
      </c>
      <c r="N8070">
        <v>1</v>
      </c>
      <c r="O8070">
        <v>1675</v>
      </c>
    </row>
    <row r="8071" spans="1:15" x14ac:dyDescent="0.25">
      <c r="A8071" t="str">
        <f>"10/21/2020 19:10:34.009"</f>
        <v>10/21/2020 19:10:34.009</v>
      </c>
      <c r="B8071" t="str">
        <f>"19:10:41.961"</f>
        <v>19:10:41.961</v>
      </c>
      <c r="C8071" t="str">
        <f>"19:10:41.561"</f>
        <v>19:10:41.561</v>
      </c>
      <c r="D8071" t="s">
        <v>3201</v>
      </c>
      <c r="E8071">
        <v>30.575659000000002</v>
      </c>
      <c r="F8071" t="s">
        <v>1792</v>
      </c>
      <c r="G8071">
        <v>-89.854646000000002</v>
      </c>
      <c r="H8071">
        <v>1600</v>
      </c>
      <c r="I8071">
        <v>-40</v>
      </c>
      <c r="J8071">
        <v>151</v>
      </c>
      <c r="K8071">
        <v>-192</v>
      </c>
      <c r="L8071">
        <v>1200</v>
      </c>
      <c r="M8071" t="str">
        <f t="shared" ref="M8071:M8134" si="787">"N35DC   "</f>
        <v xml:space="preserve">N35DC   </v>
      </c>
      <c r="N8071">
        <v>1</v>
      </c>
      <c r="O8071">
        <v>1675</v>
      </c>
    </row>
    <row r="8072" spans="1:15" x14ac:dyDescent="0.25">
      <c r="A8072" t="str">
        <f>"10/21/2020 19:10:34.009"</f>
        <v>10/21/2020 19:10:34.009</v>
      </c>
      <c r="B8072" t="str">
        <f>"19:10:41.961"</f>
        <v>19:10:41.961</v>
      </c>
      <c r="C8072" t="str">
        <f>"19:10:41.561"</f>
        <v>19:10:41.561</v>
      </c>
      <c r="D8072" t="s">
        <v>3201</v>
      </c>
      <c r="E8072">
        <v>30.575659000000002</v>
      </c>
      <c r="F8072" t="s">
        <v>1792</v>
      </c>
      <c r="G8072">
        <v>-89.854646000000002</v>
      </c>
      <c r="H8072">
        <v>1600</v>
      </c>
      <c r="I8072">
        <v>-40</v>
      </c>
      <c r="J8072">
        <v>151</v>
      </c>
      <c r="K8072">
        <v>-192</v>
      </c>
      <c r="L8072">
        <v>1200</v>
      </c>
      <c r="M8072" t="str">
        <f t="shared" si="787"/>
        <v xml:space="preserve">N35DC   </v>
      </c>
      <c r="N8072">
        <v>1</v>
      </c>
      <c r="O8072">
        <v>1675</v>
      </c>
    </row>
    <row r="8073" spans="1:15" x14ac:dyDescent="0.25">
      <c r="A8073" t="str">
        <f>"10/21/2020 19:10:34.009"</f>
        <v>10/21/2020 19:10:34.009</v>
      </c>
      <c r="B8073" t="str">
        <f>"19:10:41.961"</f>
        <v>19:10:41.961</v>
      </c>
      <c r="C8073" t="str">
        <f>"19:10:41.561"</f>
        <v>19:10:41.561</v>
      </c>
      <c r="D8073" t="s">
        <v>3201</v>
      </c>
      <c r="E8073">
        <v>30.575659000000002</v>
      </c>
      <c r="F8073" t="s">
        <v>1792</v>
      </c>
      <c r="G8073">
        <v>-89.854646000000002</v>
      </c>
      <c r="H8073">
        <v>1600</v>
      </c>
      <c r="I8073">
        <v>-40</v>
      </c>
      <c r="J8073">
        <v>151</v>
      </c>
      <c r="K8073">
        <v>-192</v>
      </c>
      <c r="L8073">
        <v>1200</v>
      </c>
      <c r="M8073" t="str">
        <f t="shared" si="787"/>
        <v xml:space="preserve">N35DC   </v>
      </c>
      <c r="N8073">
        <v>1</v>
      </c>
      <c r="O8073">
        <v>1675</v>
      </c>
    </row>
    <row r="8074" spans="1:15" x14ac:dyDescent="0.25">
      <c r="A8074" t="str">
        <f>"10/21/2020 19:10:34.009"</f>
        <v>10/21/2020 19:10:34.009</v>
      </c>
      <c r="B8074" t="str">
        <f>"19:10:41.961"</f>
        <v>19:10:41.961</v>
      </c>
      <c r="C8074" t="str">
        <f>"19:10:41.561"</f>
        <v>19:10:41.561</v>
      </c>
      <c r="D8074" t="s">
        <v>3201</v>
      </c>
      <c r="E8074">
        <v>30.575659000000002</v>
      </c>
      <c r="F8074" t="s">
        <v>1792</v>
      </c>
      <c r="G8074">
        <v>-89.854646000000002</v>
      </c>
      <c r="H8074">
        <v>1600</v>
      </c>
      <c r="I8074">
        <v>-40</v>
      </c>
      <c r="J8074">
        <v>151</v>
      </c>
      <c r="K8074">
        <v>-192</v>
      </c>
      <c r="L8074">
        <v>1200</v>
      </c>
      <c r="M8074" t="str">
        <f t="shared" si="787"/>
        <v xml:space="preserve">N35DC   </v>
      </c>
      <c r="N8074">
        <v>1</v>
      </c>
      <c r="O8074">
        <v>1675</v>
      </c>
    </row>
    <row r="8075" spans="1:15" x14ac:dyDescent="0.25">
      <c r="A8075" t="str">
        <f>"10/21/2020 19:10:36.140"</f>
        <v>10/21/2020 19:10:36.140</v>
      </c>
      <c r="B8075" t="str">
        <f>"19:10:44.078"</f>
        <v>19:10:44.078</v>
      </c>
      <c r="C8075" t="str">
        <f>"19:10:43.978"</f>
        <v>19:10:43.978</v>
      </c>
      <c r="D8075" t="s">
        <v>3202</v>
      </c>
      <c r="E8075">
        <v>30.57714</v>
      </c>
      <c r="F8075" t="s">
        <v>1848</v>
      </c>
      <c r="G8075">
        <v>-89.855031999999994</v>
      </c>
      <c r="H8075">
        <v>1600</v>
      </c>
      <c r="I8075">
        <v>-26</v>
      </c>
      <c r="J8075">
        <v>155</v>
      </c>
      <c r="K8075">
        <v>-128</v>
      </c>
      <c r="L8075">
        <v>1200</v>
      </c>
      <c r="M8075" t="str">
        <f t="shared" si="787"/>
        <v xml:space="preserve">N35DC   </v>
      </c>
      <c r="N8075">
        <v>1</v>
      </c>
      <c r="O8075">
        <v>1675</v>
      </c>
    </row>
    <row r="8076" spans="1:15" x14ac:dyDescent="0.25">
      <c r="A8076" t="str">
        <f>"10/21/2020 19:10:36.140"</f>
        <v>10/21/2020 19:10:36.140</v>
      </c>
      <c r="B8076" t="str">
        <f>"19:10:44.078"</f>
        <v>19:10:44.078</v>
      </c>
      <c r="C8076" t="str">
        <f>"19:10:43.978"</f>
        <v>19:10:43.978</v>
      </c>
      <c r="D8076" t="s">
        <v>3202</v>
      </c>
      <c r="E8076">
        <v>30.57714</v>
      </c>
      <c r="F8076" t="s">
        <v>1848</v>
      </c>
      <c r="G8076">
        <v>-89.855031999999994</v>
      </c>
      <c r="H8076">
        <v>1600</v>
      </c>
      <c r="I8076">
        <v>-26</v>
      </c>
      <c r="J8076">
        <v>155</v>
      </c>
      <c r="K8076">
        <v>-128</v>
      </c>
      <c r="L8076">
        <v>1200</v>
      </c>
      <c r="M8076" t="str">
        <f t="shared" si="787"/>
        <v xml:space="preserve">N35DC   </v>
      </c>
      <c r="N8076">
        <v>1</v>
      </c>
      <c r="O8076">
        <v>1675</v>
      </c>
    </row>
    <row r="8077" spans="1:15" x14ac:dyDescent="0.25">
      <c r="A8077" t="str">
        <f>"10/21/2020 19:10:36.140"</f>
        <v>10/21/2020 19:10:36.140</v>
      </c>
      <c r="B8077" t="str">
        <f>"19:10:44.078"</f>
        <v>19:10:44.078</v>
      </c>
      <c r="C8077" t="str">
        <f>"19:10:43.978"</f>
        <v>19:10:43.978</v>
      </c>
      <c r="D8077" t="s">
        <v>3202</v>
      </c>
      <c r="E8077">
        <v>30.57714</v>
      </c>
      <c r="F8077" t="s">
        <v>1848</v>
      </c>
      <c r="G8077">
        <v>-89.855031999999994</v>
      </c>
      <c r="H8077">
        <v>1600</v>
      </c>
      <c r="I8077">
        <v>-26</v>
      </c>
      <c r="J8077">
        <v>155</v>
      </c>
      <c r="K8077">
        <v>-128</v>
      </c>
      <c r="L8077">
        <v>1200</v>
      </c>
      <c r="M8077" t="str">
        <f t="shared" si="787"/>
        <v xml:space="preserve">N35DC   </v>
      </c>
      <c r="N8077">
        <v>1</v>
      </c>
      <c r="O8077">
        <v>1675</v>
      </c>
    </row>
    <row r="8078" spans="1:15" x14ac:dyDescent="0.25">
      <c r="A8078" t="str">
        <f>"10/21/2020 19:10:36.140"</f>
        <v>10/21/2020 19:10:36.140</v>
      </c>
      <c r="B8078" t="str">
        <f>"19:10:44.078"</f>
        <v>19:10:44.078</v>
      </c>
      <c r="C8078" t="str">
        <f>"19:10:43.978"</f>
        <v>19:10:43.978</v>
      </c>
      <c r="D8078" t="s">
        <v>3202</v>
      </c>
      <c r="E8078">
        <v>30.57714</v>
      </c>
      <c r="F8078" t="s">
        <v>1848</v>
      </c>
      <c r="G8078">
        <v>-89.855031999999994</v>
      </c>
      <c r="H8078">
        <v>1600</v>
      </c>
      <c r="I8078">
        <v>-26</v>
      </c>
      <c r="J8078">
        <v>155</v>
      </c>
      <c r="K8078">
        <v>-128</v>
      </c>
      <c r="L8078">
        <v>1200</v>
      </c>
      <c r="M8078" t="str">
        <f t="shared" si="787"/>
        <v xml:space="preserve">N35DC   </v>
      </c>
      <c r="N8078">
        <v>1</v>
      </c>
      <c r="O8078">
        <v>1675</v>
      </c>
    </row>
    <row r="8079" spans="1:15" x14ac:dyDescent="0.25">
      <c r="A8079" t="str">
        <f>"10/21/2020 19:10:36.140"</f>
        <v>10/21/2020 19:10:36.140</v>
      </c>
      <c r="B8079" t="str">
        <f>"19:10:44.078"</f>
        <v>19:10:44.078</v>
      </c>
      <c r="C8079" t="str">
        <f>"19:10:43.978"</f>
        <v>19:10:43.978</v>
      </c>
      <c r="D8079" t="s">
        <v>3202</v>
      </c>
      <c r="E8079">
        <v>30.57714</v>
      </c>
      <c r="F8079" t="s">
        <v>1848</v>
      </c>
      <c r="G8079">
        <v>-89.855031999999994</v>
      </c>
      <c r="H8079">
        <v>1600</v>
      </c>
      <c r="I8079">
        <v>-26</v>
      </c>
      <c r="J8079">
        <v>155</v>
      </c>
      <c r="K8079">
        <v>-128</v>
      </c>
      <c r="L8079">
        <v>1200</v>
      </c>
      <c r="M8079" t="str">
        <f t="shared" si="787"/>
        <v xml:space="preserve">N35DC   </v>
      </c>
      <c r="N8079">
        <v>1</v>
      </c>
      <c r="O8079">
        <v>1675</v>
      </c>
    </row>
    <row r="8080" spans="1:15" x14ac:dyDescent="0.25">
      <c r="A8080" t="str">
        <f>"10/21/2020 19:10:37.240"</f>
        <v>10/21/2020 19:10:37.240</v>
      </c>
      <c r="B8080" t="str">
        <f>"19:10:45.203"</f>
        <v>19:10:45.203</v>
      </c>
      <c r="C8080" t="str">
        <f>"19:10:45.103"</f>
        <v>19:10:45.103</v>
      </c>
      <c r="D8080" t="s">
        <v>3203</v>
      </c>
      <c r="E8080">
        <v>30.577977000000001</v>
      </c>
      <c r="F8080" t="s">
        <v>2103</v>
      </c>
      <c r="G8080">
        <v>-89.855138999999994</v>
      </c>
      <c r="H8080">
        <v>1600</v>
      </c>
      <c r="I8080">
        <v>-20</v>
      </c>
      <c r="J8080">
        <v>156</v>
      </c>
      <c r="K8080">
        <v>-384</v>
      </c>
      <c r="L8080">
        <v>1200</v>
      </c>
      <c r="M8080" t="str">
        <f t="shared" si="787"/>
        <v xml:space="preserve">N35DC   </v>
      </c>
      <c r="N8080">
        <v>1</v>
      </c>
      <c r="O8080">
        <v>1675</v>
      </c>
    </row>
    <row r="8081" spans="1:15" x14ac:dyDescent="0.25">
      <c r="A8081" t="str">
        <f>"10/21/2020 19:10:37.240"</f>
        <v>10/21/2020 19:10:37.240</v>
      </c>
      <c r="B8081" t="str">
        <f>"19:10:45.203"</f>
        <v>19:10:45.203</v>
      </c>
      <c r="C8081" t="str">
        <f>"19:10:45.103"</f>
        <v>19:10:45.103</v>
      </c>
      <c r="D8081" t="s">
        <v>3203</v>
      </c>
      <c r="E8081">
        <v>30.577977000000001</v>
      </c>
      <c r="F8081" t="s">
        <v>2103</v>
      </c>
      <c r="G8081">
        <v>-89.855138999999994</v>
      </c>
      <c r="H8081">
        <v>1600</v>
      </c>
      <c r="I8081">
        <v>-20</v>
      </c>
      <c r="J8081">
        <v>156</v>
      </c>
      <c r="K8081">
        <v>-384</v>
      </c>
      <c r="L8081">
        <v>1200</v>
      </c>
      <c r="M8081" t="str">
        <f t="shared" si="787"/>
        <v xml:space="preserve">N35DC   </v>
      </c>
      <c r="N8081">
        <v>1</v>
      </c>
      <c r="O8081">
        <v>1675</v>
      </c>
    </row>
    <row r="8082" spans="1:15" x14ac:dyDescent="0.25">
      <c r="A8082" t="str">
        <f>"10/21/2020 19:10:37.240"</f>
        <v>10/21/2020 19:10:37.240</v>
      </c>
      <c r="B8082" t="str">
        <f>"19:10:45.203"</f>
        <v>19:10:45.203</v>
      </c>
      <c r="C8082" t="str">
        <f>"19:10:45.103"</f>
        <v>19:10:45.103</v>
      </c>
      <c r="D8082" t="s">
        <v>3203</v>
      </c>
      <c r="E8082">
        <v>30.577977000000001</v>
      </c>
      <c r="F8082" t="s">
        <v>2103</v>
      </c>
      <c r="G8082">
        <v>-89.855138999999994</v>
      </c>
      <c r="H8082">
        <v>1600</v>
      </c>
      <c r="I8082">
        <v>-20</v>
      </c>
      <c r="J8082">
        <v>156</v>
      </c>
      <c r="K8082">
        <v>-384</v>
      </c>
      <c r="L8082">
        <v>1200</v>
      </c>
      <c r="M8082" t="str">
        <f t="shared" si="787"/>
        <v xml:space="preserve">N35DC   </v>
      </c>
      <c r="N8082">
        <v>1</v>
      </c>
      <c r="O8082">
        <v>1675</v>
      </c>
    </row>
    <row r="8083" spans="1:15" x14ac:dyDescent="0.25">
      <c r="A8083" t="str">
        <f>"10/21/2020 19:10:37.240"</f>
        <v>10/21/2020 19:10:37.240</v>
      </c>
      <c r="B8083" t="str">
        <f>"19:10:45.203"</f>
        <v>19:10:45.203</v>
      </c>
      <c r="C8083" t="str">
        <f>"19:10:45.103"</f>
        <v>19:10:45.103</v>
      </c>
      <c r="D8083" t="s">
        <v>3203</v>
      </c>
      <c r="E8083">
        <v>30.577977000000001</v>
      </c>
      <c r="F8083" t="s">
        <v>2103</v>
      </c>
      <c r="G8083">
        <v>-89.855138999999994</v>
      </c>
      <c r="H8083">
        <v>1600</v>
      </c>
      <c r="I8083">
        <v>-20</v>
      </c>
      <c r="J8083">
        <v>156</v>
      </c>
      <c r="K8083">
        <v>-384</v>
      </c>
      <c r="L8083">
        <v>1200</v>
      </c>
      <c r="M8083" t="str">
        <f t="shared" si="787"/>
        <v xml:space="preserve">N35DC   </v>
      </c>
      <c r="N8083">
        <v>1</v>
      </c>
      <c r="O8083">
        <v>1675</v>
      </c>
    </row>
    <row r="8084" spans="1:15" x14ac:dyDescent="0.25">
      <c r="A8084" t="str">
        <f>"10/21/2020 19:10:37.240"</f>
        <v>10/21/2020 19:10:37.240</v>
      </c>
      <c r="B8084" t="str">
        <f>"19:10:45.203"</f>
        <v>19:10:45.203</v>
      </c>
      <c r="C8084" t="str">
        <f>"19:10:45.103"</f>
        <v>19:10:45.103</v>
      </c>
      <c r="D8084" t="s">
        <v>3203</v>
      </c>
      <c r="E8084">
        <v>30.577977000000001</v>
      </c>
      <c r="F8084" t="s">
        <v>2103</v>
      </c>
      <c r="G8084">
        <v>-89.855138999999994</v>
      </c>
      <c r="H8084">
        <v>1600</v>
      </c>
      <c r="I8084">
        <v>-20</v>
      </c>
      <c r="J8084">
        <v>156</v>
      </c>
      <c r="K8084">
        <v>-384</v>
      </c>
      <c r="L8084">
        <v>1200</v>
      </c>
      <c r="M8084" t="str">
        <f t="shared" si="787"/>
        <v xml:space="preserve">N35DC   </v>
      </c>
      <c r="N8084">
        <v>1</v>
      </c>
      <c r="O8084">
        <v>1675</v>
      </c>
    </row>
    <row r="8085" spans="1:15" x14ac:dyDescent="0.25">
      <c r="A8085" t="str">
        <f>"10/21/2020 19:10:41.039"</f>
        <v>10/21/2020 19:10:41.039</v>
      </c>
      <c r="B8085" t="str">
        <f>"19:10:49.008"</f>
        <v>19:10:49.008</v>
      </c>
      <c r="C8085" t="str">
        <f>"19:10:48.708"</f>
        <v>19:10:48.708</v>
      </c>
      <c r="D8085" t="s">
        <v>3204</v>
      </c>
      <c r="E8085">
        <v>30.580722999999999</v>
      </c>
      <c r="F8085" t="s">
        <v>1850</v>
      </c>
      <c r="G8085">
        <v>-89.855247000000006</v>
      </c>
      <c r="H8085">
        <v>1600</v>
      </c>
      <c r="I8085">
        <v>4</v>
      </c>
      <c r="J8085">
        <v>156</v>
      </c>
      <c r="K8085">
        <v>256</v>
      </c>
      <c r="L8085">
        <v>1200</v>
      </c>
      <c r="M8085" t="str">
        <f t="shared" si="787"/>
        <v xml:space="preserve">N35DC   </v>
      </c>
      <c r="N8085">
        <v>1</v>
      </c>
      <c r="O8085">
        <v>1675</v>
      </c>
    </row>
    <row r="8086" spans="1:15" x14ac:dyDescent="0.25">
      <c r="A8086" t="str">
        <f>"10/21/2020 19:10:41.039"</f>
        <v>10/21/2020 19:10:41.039</v>
      </c>
      <c r="B8086" t="str">
        <f>"19:10:49.008"</f>
        <v>19:10:49.008</v>
      </c>
      <c r="C8086" t="str">
        <f>"19:10:48.708"</f>
        <v>19:10:48.708</v>
      </c>
      <c r="D8086" t="s">
        <v>3204</v>
      </c>
      <c r="E8086">
        <v>30.580722999999999</v>
      </c>
      <c r="F8086" t="s">
        <v>1850</v>
      </c>
      <c r="G8086">
        <v>-89.855247000000006</v>
      </c>
      <c r="H8086">
        <v>1600</v>
      </c>
      <c r="I8086">
        <v>4</v>
      </c>
      <c r="J8086">
        <v>156</v>
      </c>
      <c r="K8086">
        <v>256</v>
      </c>
      <c r="L8086">
        <v>1200</v>
      </c>
      <c r="M8086" t="str">
        <f t="shared" si="787"/>
        <v xml:space="preserve">N35DC   </v>
      </c>
      <c r="N8086">
        <v>1</v>
      </c>
      <c r="O8086">
        <v>1675</v>
      </c>
    </row>
    <row r="8087" spans="1:15" x14ac:dyDescent="0.25">
      <c r="A8087" t="str">
        <f>"10/21/2020 19:10:41.039"</f>
        <v>10/21/2020 19:10:41.039</v>
      </c>
      <c r="B8087" t="str">
        <f>"19:10:49.008"</f>
        <v>19:10:49.008</v>
      </c>
      <c r="C8087" t="str">
        <f>"19:10:48.708"</f>
        <v>19:10:48.708</v>
      </c>
      <c r="D8087" t="s">
        <v>3204</v>
      </c>
      <c r="E8087">
        <v>30.580722999999999</v>
      </c>
      <c r="F8087" t="s">
        <v>1850</v>
      </c>
      <c r="G8087">
        <v>-89.855247000000006</v>
      </c>
      <c r="H8087">
        <v>1600</v>
      </c>
      <c r="I8087">
        <v>4</v>
      </c>
      <c r="J8087">
        <v>156</v>
      </c>
      <c r="K8087">
        <v>256</v>
      </c>
      <c r="L8087">
        <v>1200</v>
      </c>
      <c r="M8087" t="str">
        <f t="shared" si="787"/>
        <v xml:space="preserve">N35DC   </v>
      </c>
      <c r="N8087">
        <v>1</v>
      </c>
      <c r="O8087">
        <v>1675</v>
      </c>
    </row>
    <row r="8088" spans="1:15" x14ac:dyDescent="0.25">
      <c r="A8088" t="str">
        <f>"10/21/2020 19:10:41.039"</f>
        <v>10/21/2020 19:10:41.039</v>
      </c>
      <c r="B8088" t="str">
        <f>"19:10:49.008"</f>
        <v>19:10:49.008</v>
      </c>
      <c r="C8088" t="str">
        <f>"19:10:48.708"</f>
        <v>19:10:48.708</v>
      </c>
      <c r="D8088" t="s">
        <v>3204</v>
      </c>
      <c r="E8088">
        <v>30.580722999999999</v>
      </c>
      <c r="F8088" t="s">
        <v>1850</v>
      </c>
      <c r="G8088">
        <v>-89.855247000000006</v>
      </c>
      <c r="H8088">
        <v>1600</v>
      </c>
      <c r="I8088">
        <v>4</v>
      </c>
      <c r="J8088">
        <v>156</v>
      </c>
      <c r="K8088">
        <v>256</v>
      </c>
      <c r="L8088">
        <v>1200</v>
      </c>
      <c r="M8088" t="str">
        <f t="shared" si="787"/>
        <v xml:space="preserve">N35DC   </v>
      </c>
      <c r="N8088">
        <v>1</v>
      </c>
      <c r="O8088">
        <v>1675</v>
      </c>
    </row>
    <row r="8089" spans="1:15" x14ac:dyDescent="0.25">
      <c r="A8089" t="str">
        <f>"10/21/2020 19:10:41.039"</f>
        <v>10/21/2020 19:10:41.039</v>
      </c>
      <c r="B8089" t="str">
        <f>"19:10:49.008"</f>
        <v>19:10:49.008</v>
      </c>
      <c r="C8089" t="str">
        <f>"19:10:48.708"</f>
        <v>19:10:48.708</v>
      </c>
      <c r="D8089" t="s">
        <v>3204</v>
      </c>
      <c r="E8089">
        <v>30.580722999999999</v>
      </c>
      <c r="F8089" t="s">
        <v>1850</v>
      </c>
      <c r="G8089">
        <v>-89.855247000000006</v>
      </c>
      <c r="H8089">
        <v>1600</v>
      </c>
      <c r="I8089">
        <v>4</v>
      </c>
      <c r="J8089">
        <v>156</v>
      </c>
      <c r="K8089">
        <v>256</v>
      </c>
      <c r="L8089">
        <v>1200</v>
      </c>
      <c r="M8089" t="str">
        <f t="shared" si="787"/>
        <v xml:space="preserve">N35DC   </v>
      </c>
      <c r="N8089">
        <v>1</v>
      </c>
      <c r="O8089">
        <v>1675</v>
      </c>
    </row>
    <row r="8090" spans="1:15" x14ac:dyDescent="0.25">
      <c r="A8090" t="str">
        <f>"10/21/2020 19:10:46.192"</f>
        <v>10/21/2020 19:10:46.192</v>
      </c>
      <c r="B8090" t="str">
        <f>"19:10:54.125"</f>
        <v>19:10:54.125</v>
      </c>
      <c r="C8090" t="str">
        <f>"19:10:53.925"</f>
        <v>19:10:53.925</v>
      </c>
      <c r="D8090" t="s">
        <v>3205</v>
      </c>
      <c r="E8090">
        <v>30.584371000000001</v>
      </c>
      <c r="F8090" t="s">
        <v>682</v>
      </c>
      <c r="G8090">
        <v>-89.854538000000005</v>
      </c>
      <c r="H8090">
        <v>1600</v>
      </c>
      <c r="I8090">
        <v>39</v>
      </c>
      <c r="J8090">
        <v>149</v>
      </c>
      <c r="K8090">
        <v>256</v>
      </c>
      <c r="L8090">
        <v>1200</v>
      </c>
      <c r="M8090" t="str">
        <f t="shared" si="787"/>
        <v xml:space="preserve">N35DC   </v>
      </c>
      <c r="N8090">
        <v>1</v>
      </c>
      <c r="O8090">
        <v>1675</v>
      </c>
    </row>
    <row r="8091" spans="1:15" x14ac:dyDescent="0.25">
      <c r="A8091" t="str">
        <f>"10/21/2020 19:10:46.192"</f>
        <v>10/21/2020 19:10:46.192</v>
      </c>
      <c r="B8091" t="str">
        <f>"19:10:54.125"</f>
        <v>19:10:54.125</v>
      </c>
      <c r="C8091" t="str">
        <f>"19:10:53.925"</f>
        <v>19:10:53.925</v>
      </c>
      <c r="D8091" t="s">
        <v>3205</v>
      </c>
      <c r="E8091">
        <v>30.584371000000001</v>
      </c>
      <c r="F8091" t="s">
        <v>682</v>
      </c>
      <c r="G8091">
        <v>-89.854538000000005</v>
      </c>
      <c r="H8091">
        <v>1600</v>
      </c>
      <c r="I8091">
        <v>39</v>
      </c>
      <c r="J8091">
        <v>149</v>
      </c>
      <c r="K8091">
        <v>256</v>
      </c>
      <c r="L8091">
        <v>1200</v>
      </c>
      <c r="M8091" t="str">
        <f t="shared" si="787"/>
        <v xml:space="preserve">N35DC   </v>
      </c>
      <c r="N8091">
        <v>1</v>
      </c>
      <c r="O8091">
        <v>1675</v>
      </c>
    </row>
    <row r="8092" spans="1:15" x14ac:dyDescent="0.25">
      <c r="A8092" t="str">
        <f>"10/21/2020 19:10:46.192"</f>
        <v>10/21/2020 19:10:46.192</v>
      </c>
      <c r="B8092" t="str">
        <f>"19:10:54.125"</f>
        <v>19:10:54.125</v>
      </c>
      <c r="C8092" t="str">
        <f>"19:10:53.925"</f>
        <v>19:10:53.925</v>
      </c>
      <c r="D8092" t="s">
        <v>3205</v>
      </c>
      <c r="E8092">
        <v>30.584371000000001</v>
      </c>
      <c r="F8092" t="s">
        <v>682</v>
      </c>
      <c r="G8092">
        <v>-89.854538000000005</v>
      </c>
      <c r="H8092">
        <v>1600</v>
      </c>
      <c r="I8092">
        <v>39</v>
      </c>
      <c r="J8092">
        <v>149</v>
      </c>
      <c r="K8092">
        <v>256</v>
      </c>
      <c r="L8092">
        <v>1200</v>
      </c>
      <c r="M8092" t="str">
        <f t="shared" si="787"/>
        <v xml:space="preserve">N35DC   </v>
      </c>
      <c r="N8092">
        <v>1</v>
      </c>
      <c r="O8092">
        <v>1675</v>
      </c>
    </row>
    <row r="8093" spans="1:15" x14ac:dyDescent="0.25">
      <c r="A8093" t="str">
        <f>"10/21/2020 19:10:46.192"</f>
        <v>10/21/2020 19:10:46.192</v>
      </c>
      <c r="B8093" t="str">
        <f>"19:10:54.125"</f>
        <v>19:10:54.125</v>
      </c>
      <c r="C8093" t="str">
        <f>"19:10:53.925"</f>
        <v>19:10:53.925</v>
      </c>
      <c r="D8093" t="s">
        <v>3205</v>
      </c>
      <c r="E8093">
        <v>30.584371000000001</v>
      </c>
      <c r="F8093" t="s">
        <v>682</v>
      </c>
      <c r="G8093">
        <v>-89.854538000000005</v>
      </c>
      <c r="H8093">
        <v>1600</v>
      </c>
      <c r="I8093">
        <v>39</v>
      </c>
      <c r="J8093">
        <v>149</v>
      </c>
      <c r="K8093">
        <v>256</v>
      </c>
      <c r="L8093">
        <v>1200</v>
      </c>
      <c r="M8093" t="str">
        <f t="shared" si="787"/>
        <v xml:space="preserve">N35DC   </v>
      </c>
      <c r="N8093">
        <v>1</v>
      </c>
      <c r="O8093">
        <v>1675</v>
      </c>
    </row>
    <row r="8094" spans="1:15" x14ac:dyDescent="0.25">
      <c r="A8094" t="str">
        <f>"10/21/2020 19:10:46.192"</f>
        <v>10/21/2020 19:10:46.192</v>
      </c>
      <c r="B8094" t="str">
        <f>"19:10:54.125"</f>
        <v>19:10:54.125</v>
      </c>
      <c r="C8094" t="str">
        <f>"19:10:53.925"</f>
        <v>19:10:53.925</v>
      </c>
      <c r="D8094" t="s">
        <v>3205</v>
      </c>
      <c r="E8094">
        <v>30.584371000000001</v>
      </c>
      <c r="F8094" t="s">
        <v>682</v>
      </c>
      <c r="G8094">
        <v>-89.854538000000005</v>
      </c>
      <c r="H8094">
        <v>1600</v>
      </c>
      <c r="I8094">
        <v>39</v>
      </c>
      <c r="J8094">
        <v>149</v>
      </c>
      <c r="K8094">
        <v>256</v>
      </c>
      <c r="L8094">
        <v>1200</v>
      </c>
      <c r="M8094" t="str">
        <f t="shared" si="787"/>
        <v xml:space="preserve">N35DC   </v>
      </c>
      <c r="N8094">
        <v>1</v>
      </c>
      <c r="O8094">
        <v>1675</v>
      </c>
    </row>
    <row r="8095" spans="1:15" x14ac:dyDescent="0.25">
      <c r="A8095" t="str">
        <f>"10/21/2020 19:10:47.012"</f>
        <v>10/21/2020 19:10:47.012</v>
      </c>
      <c r="B8095" t="str">
        <f>"19:10:54.977"</f>
        <v>19:10:54.977</v>
      </c>
      <c r="C8095" t="str">
        <f>"19:10:54.877"</f>
        <v>19:10:54.877</v>
      </c>
      <c r="D8095" t="s">
        <v>3206</v>
      </c>
      <c r="E8095">
        <v>30.584928999999999</v>
      </c>
      <c r="F8095" t="s">
        <v>1837</v>
      </c>
      <c r="G8095">
        <v>-89.854324000000005</v>
      </c>
      <c r="H8095">
        <v>1600</v>
      </c>
      <c r="I8095">
        <v>46</v>
      </c>
      <c r="J8095">
        <v>146</v>
      </c>
      <c r="K8095">
        <v>384</v>
      </c>
      <c r="L8095">
        <v>1200</v>
      </c>
      <c r="M8095" t="str">
        <f t="shared" si="787"/>
        <v xml:space="preserve">N35DC   </v>
      </c>
      <c r="N8095">
        <v>1</v>
      </c>
      <c r="O8095">
        <v>1675</v>
      </c>
    </row>
    <row r="8096" spans="1:15" x14ac:dyDescent="0.25">
      <c r="A8096" t="str">
        <f>"10/21/2020 19:10:47.012"</f>
        <v>10/21/2020 19:10:47.012</v>
      </c>
      <c r="B8096" t="str">
        <f>"19:10:54.977"</f>
        <v>19:10:54.977</v>
      </c>
      <c r="C8096" t="str">
        <f>"19:10:54.977"</f>
        <v>19:10:54.977</v>
      </c>
      <c r="D8096" t="s">
        <v>3206</v>
      </c>
      <c r="E8096">
        <v>30.584928999999999</v>
      </c>
      <c r="F8096" t="s">
        <v>1837</v>
      </c>
      <c r="G8096">
        <v>-89.854324000000005</v>
      </c>
      <c r="H8096">
        <v>1600</v>
      </c>
      <c r="I8096">
        <v>46</v>
      </c>
      <c r="J8096">
        <v>146</v>
      </c>
      <c r="K8096">
        <v>384</v>
      </c>
      <c r="L8096">
        <v>1200</v>
      </c>
      <c r="M8096" t="str">
        <f t="shared" si="787"/>
        <v xml:space="preserve">N35DC   </v>
      </c>
      <c r="N8096">
        <v>1</v>
      </c>
      <c r="O8096">
        <v>1675</v>
      </c>
    </row>
    <row r="8097" spans="1:15" x14ac:dyDescent="0.25">
      <c r="A8097" t="str">
        <f>"10/21/2020 19:10:47.012"</f>
        <v>10/21/2020 19:10:47.012</v>
      </c>
      <c r="B8097" t="str">
        <f>"19:10:54.977"</f>
        <v>19:10:54.977</v>
      </c>
      <c r="C8097" t="str">
        <f>"19:10:54.977"</f>
        <v>19:10:54.977</v>
      </c>
      <c r="D8097" t="s">
        <v>3206</v>
      </c>
      <c r="E8097">
        <v>30.584928999999999</v>
      </c>
      <c r="F8097" t="s">
        <v>1837</v>
      </c>
      <c r="G8097">
        <v>-89.854324000000005</v>
      </c>
      <c r="H8097">
        <v>1600</v>
      </c>
      <c r="I8097">
        <v>46</v>
      </c>
      <c r="J8097">
        <v>146</v>
      </c>
      <c r="K8097">
        <v>384</v>
      </c>
      <c r="L8097">
        <v>1200</v>
      </c>
      <c r="M8097" t="str">
        <f t="shared" si="787"/>
        <v xml:space="preserve">N35DC   </v>
      </c>
      <c r="N8097">
        <v>1</v>
      </c>
      <c r="O8097">
        <v>1675</v>
      </c>
    </row>
    <row r="8098" spans="1:15" x14ac:dyDescent="0.25">
      <c r="A8098" t="str">
        <f>"10/21/2020 19:10:47.012"</f>
        <v>10/21/2020 19:10:47.012</v>
      </c>
      <c r="B8098" t="str">
        <f>"19:10:54.977"</f>
        <v>19:10:54.977</v>
      </c>
      <c r="C8098" t="str">
        <f>"19:10:54.877"</f>
        <v>19:10:54.877</v>
      </c>
      <c r="D8098" t="s">
        <v>3206</v>
      </c>
      <c r="E8098">
        <v>30.584928999999999</v>
      </c>
      <c r="F8098" t="s">
        <v>1837</v>
      </c>
      <c r="G8098">
        <v>-89.854324000000005</v>
      </c>
      <c r="H8098">
        <v>1600</v>
      </c>
      <c r="I8098">
        <v>46</v>
      </c>
      <c r="J8098">
        <v>146</v>
      </c>
      <c r="K8098">
        <v>384</v>
      </c>
      <c r="L8098">
        <v>1200</v>
      </c>
      <c r="M8098" t="str">
        <f t="shared" si="787"/>
        <v xml:space="preserve">N35DC   </v>
      </c>
      <c r="N8098">
        <v>1</v>
      </c>
      <c r="O8098">
        <v>1675</v>
      </c>
    </row>
    <row r="8099" spans="1:15" x14ac:dyDescent="0.25">
      <c r="A8099" t="str">
        <f>"10/21/2020 19:10:47.012"</f>
        <v>10/21/2020 19:10:47.012</v>
      </c>
      <c r="B8099" t="str">
        <f>"19:10:54.977"</f>
        <v>19:10:54.977</v>
      </c>
      <c r="C8099" t="str">
        <f>"19:10:54.877"</f>
        <v>19:10:54.877</v>
      </c>
      <c r="D8099" t="s">
        <v>3206</v>
      </c>
      <c r="E8099">
        <v>30.584928999999999</v>
      </c>
      <c r="F8099" t="s">
        <v>1837</v>
      </c>
      <c r="G8099">
        <v>-89.854324000000005</v>
      </c>
      <c r="H8099">
        <v>1600</v>
      </c>
      <c r="I8099">
        <v>46</v>
      </c>
      <c r="J8099">
        <v>146</v>
      </c>
      <c r="K8099">
        <v>384</v>
      </c>
      <c r="L8099">
        <v>1200</v>
      </c>
      <c r="M8099" t="str">
        <f t="shared" si="787"/>
        <v xml:space="preserve">N35DC   </v>
      </c>
      <c r="N8099">
        <v>1</v>
      </c>
      <c r="O8099">
        <v>1675</v>
      </c>
    </row>
    <row r="8100" spans="1:15" x14ac:dyDescent="0.25">
      <c r="A8100" t="str">
        <f>"10/21/2020 19:10:49.982"</f>
        <v>10/21/2020 19:10:49.982</v>
      </c>
      <c r="B8100" t="str">
        <f>"19:10:57.930"</f>
        <v>19:10:57.930</v>
      </c>
      <c r="C8100" t="str">
        <f>"19:10:57.730"</f>
        <v>19:10:57.730</v>
      </c>
      <c r="D8100" t="s">
        <v>3207</v>
      </c>
      <c r="E8100">
        <v>30.586925000000001</v>
      </c>
      <c r="F8100" t="s">
        <v>2237</v>
      </c>
      <c r="G8100">
        <v>-89.853443999999996</v>
      </c>
      <c r="H8100">
        <v>1600</v>
      </c>
      <c r="I8100">
        <v>60</v>
      </c>
      <c r="J8100">
        <v>140</v>
      </c>
      <c r="K8100">
        <v>0</v>
      </c>
      <c r="L8100">
        <v>1200</v>
      </c>
      <c r="M8100" t="str">
        <f t="shared" si="787"/>
        <v xml:space="preserve">N35DC   </v>
      </c>
      <c r="N8100">
        <v>1</v>
      </c>
      <c r="O8100">
        <v>1675</v>
      </c>
    </row>
    <row r="8101" spans="1:15" x14ac:dyDescent="0.25">
      <c r="A8101" t="str">
        <f>"10/21/2020 19:10:49.982"</f>
        <v>10/21/2020 19:10:49.982</v>
      </c>
      <c r="B8101" t="str">
        <f>"19:10:57.930"</f>
        <v>19:10:57.930</v>
      </c>
      <c r="C8101" t="str">
        <f>"19:10:57.730"</f>
        <v>19:10:57.730</v>
      </c>
      <c r="D8101" t="s">
        <v>3207</v>
      </c>
      <c r="E8101">
        <v>30.586925000000001</v>
      </c>
      <c r="F8101" t="s">
        <v>2237</v>
      </c>
      <c r="G8101">
        <v>-89.853443999999996</v>
      </c>
      <c r="H8101">
        <v>1600</v>
      </c>
      <c r="I8101">
        <v>60</v>
      </c>
      <c r="J8101">
        <v>140</v>
      </c>
      <c r="K8101">
        <v>0</v>
      </c>
      <c r="L8101">
        <v>1200</v>
      </c>
      <c r="M8101" t="str">
        <f t="shared" si="787"/>
        <v xml:space="preserve">N35DC   </v>
      </c>
      <c r="N8101">
        <v>1</v>
      </c>
      <c r="O8101">
        <v>1675</v>
      </c>
    </row>
    <row r="8102" spans="1:15" x14ac:dyDescent="0.25">
      <c r="A8102" t="str">
        <f>"10/21/2020 19:10:49.982"</f>
        <v>10/21/2020 19:10:49.982</v>
      </c>
      <c r="B8102" t="str">
        <f>"19:10:57.930"</f>
        <v>19:10:57.930</v>
      </c>
      <c r="C8102" t="str">
        <f>"19:10:57.730"</f>
        <v>19:10:57.730</v>
      </c>
      <c r="D8102" t="s">
        <v>3207</v>
      </c>
      <c r="E8102">
        <v>30.586925000000001</v>
      </c>
      <c r="F8102" t="s">
        <v>2237</v>
      </c>
      <c r="G8102">
        <v>-89.853443999999996</v>
      </c>
      <c r="H8102">
        <v>1600</v>
      </c>
      <c r="I8102">
        <v>60</v>
      </c>
      <c r="J8102">
        <v>140</v>
      </c>
      <c r="K8102">
        <v>0</v>
      </c>
      <c r="L8102">
        <v>1200</v>
      </c>
      <c r="M8102" t="str">
        <f t="shared" si="787"/>
        <v xml:space="preserve">N35DC   </v>
      </c>
      <c r="N8102">
        <v>1</v>
      </c>
      <c r="O8102">
        <v>1675</v>
      </c>
    </row>
    <row r="8103" spans="1:15" x14ac:dyDescent="0.25">
      <c r="A8103" t="str">
        <f>"10/21/2020 19:10:49.982"</f>
        <v>10/21/2020 19:10:49.982</v>
      </c>
      <c r="B8103" t="str">
        <f>"19:10:57.930"</f>
        <v>19:10:57.930</v>
      </c>
      <c r="C8103" t="str">
        <f>"19:10:57.730"</f>
        <v>19:10:57.730</v>
      </c>
      <c r="D8103" t="s">
        <v>3207</v>
      </c>
      <c r="E8103">
        <v>30.586925000000001</v>
      </c>
      <c r="F8103" t="s">
        <v>2237</v>
      </c>
      <c r="G8103">
        <v>-89.853443999999996</v>
      </c>
      <c r="H8103">
        <v>1600</v>
      </c>
      <c r="I8103">
        <v>60</v>
      </c>
      <c r="J8103">
        <v>140</v>
      </c>
      <c r="K8103">
        <v>0</v>
      </c>
      <c r="L8103">
        <v>1200</v>
      </c>
      <c r="M8103" t="str">
        <f t="shared" si="787"/>
        <v xml:space="preserve">N35DC   </v>
      </c>
      <c r="N8103">
        <v>1</v>
      </c>
      <c r="O8103">
        <v>1675</v>
      </c>
    </row>
    <row r="8104" spans="1:15" x14ac:dyDescent="0.25">
      <c r="A8104" t="str">
        <f>"10/21/2020 19:10:49.982"</f>
        <v>10/21/2020 19:10:49.982</v>
      </c>
      <c r="B8104" t="str">
        <f>"19:10:57.930"</f>
        <v>19:10:57.930</v>
      </c>
      <c r="C8104" t="str">
        <f>"19:10:57.730"</f>
        <v>19:10:57.730</v>
      </c>
      <c r="D8104" t="s">
        <v>3207</v>
      </c>
      <c r="E8104">
        <v>30.586925000000001</v>
      </c>
      <c r="F8104" t="s">
        <v>2237</v>
      </c>
      <c r="G8104">
        <v>-89.853443999999996</v>
      </c>
      <c r="H8104">
        <v>1600</v>
      </c>
      <c r="I8104">
        <v>60</v>
      </c>
      <c r="J8104">
        <v>140</v>
      </c>
      <c r="K8104">
        <v>0</v>
      </c>
      <c r="L8104">
        <v>1200</v>
      </c>
      <c r="M8104" t="str">
        <f t="shared" si="787"/>
        <v xml:space="preserve">N35DC   </v>
      </c>
      <c r="N8104">
        <v>1</v>
      </c>
      <c r="O8104">
        <v>1675</v>
      </c>
    </row>
    <row r="8105" spans="1:15" x14ac:dyDescent="0.25">
      <c r="A8105" t="str">
        <f>"10/21/2020 19:10:50.993"</f>
        <v>10/21/2020 19:10:50.993</v>
      </c>
      <c r="B8105" t="str">
        <f>"19:10:58.953"</f>
        <v>19:10:58.953</v>
      </c>
      <c r="C8105" t="str">
        <f>"19:10:58.653"</f>
        <v>19:10:58.653</v>
      </c>
      <c r="D8105" t="s">
        <v>3208</v>
      </c>
      <c r="E8105">
        <v>30.587547000000001</v>
      </c>
      <c r="F8105" t="s">
        <v>3209</v>
      </c>
      <c r="G8105">
        <v>-89.853078999999994</v>
      </c>
      <c r="H8105">
        <v>1600</v>
      </c>
      <c r="I8105">
        <v>65</v>
      </c>
      <c r="J8105">
        <v>138</v>
      </c>
      <c r="K8105">
        <v>128</v>
      </c>
      <c r="L8105">
        <v>1200</v>
      </c>
      <c r="M8105" t="str">
        <f t="shared" si="787"/>
        <v xml:space="preserve">N35DC   </v>
      </c>
      <c r="N8105">
        <v>1</v>
      </c>
      <c r="O8105">
        <v>1675</v>
      </c>
    </row>
    <row r="8106" spans="1:15" x14ac:dyDescent="0.25">
      <c r="A8106" t="str">
        <f>"10/21/2020 19:10:50.993"</f>
        <v>10/21/2020 19:10:50.993</v>
      </c>
      <c r="B8106" t="str">
        <f>"19:10:58.953"</f>
        <v>19:10:58.953</v>
      </c>
      <c r="C8106" t="str">
        <f>"19:10:58.653"</f>
        <v>19:10:58.653</v>
      </c>
      <c r="D8106" t="s">
        <v>3208</v>
      </c>
      <c r="E8106">
        <v>30.587547000000001</v>
      </c>
      <c r="F8106" t="s">
        <v>3209</v>
      </c>
      <c r="G8106">
        <v>-89.853078999999994</v>
      </c>
      <c r="H8106">
        <v>1600</v>
      </c>
      <c r="I8106">
        <v>65</v>
      </c>
      <c r="J8106">
        <v>138</v>
      </c>
      <c r="K8106">
        <v>128</v>
      </c>
      <c r="L8106">
        <v>1200</v>
      </c>
      <c r="M8106" t="str">
        <f t="shared" si="787"/>
        <v xml:space="preserve">N35DC   </v>
      </c>
      <c r="N8106">
        <v>1</v>
      </c>
      <c r="O8106">
        <v>1675</v>
      </c>
    </row>
    <row r="8107" spans="1:15" x14ac:dyDescent="0.25">
      <c r="A8107" t="str">
        <f>"10/21/2020 19:10:50.993"</f>
        <v>10/21/2020 19:10:50.993</v>
      </c>
      <c r="B8107" t="str">
        <f>"19:10:58.953"</f>
        <v>19:10:58.953</v>
      </c>
      <c r="C8107" t="str">
        <f>"19:10:58.653"</f>
        <v>19:10:58.653</v>
      </c>
      <c r="D8107" t="s">
        <v>3208</v>
      </c>
      <c r="E8107">
        <v>30.587547000000001</v>
      </c>
      <c r="F8107" t="s">
        <v>3209</v>
      </c>
      <c r="G8107">
        <v>-89.853078999999994</v>
      </c>
      <c r="H8107">
        <v>1600</v>
      </c>
      <c r="I8107">
        <v>65</v>
      </c>
      <c r="J8107">
        <v>138</v>
      </c>
      <c r="K8107">
        <v>128</v>
      </c>
      <c r="L8107">
        <v>1200</v>
      </c>
      <c r="M8107" t="str">
        <f t="shared" si="787"/>
        <v xml:space="preserve">N35DC   </v>
      </c>
      <c r="N8107">
        <v>1</v>
      </c>
      <c r="O8107">
        <v>1675</v>
      </c>
    </row>
    <row r="8108" spans="1:15" x14ac:dyDescent="0.25">
      <c r="A8108" t="str">
        <f>"10/21/2020 19:10:50.993"</f>
        <v>10/21/2020 19:10:50.993</v>
      </c>
      <c r="B8108" t="str">
        <f>"19:10:58.953"</f>
        <v>19:10:58.953</v>
      </c>
      <c r="C8108" t="str">
        <f>"19:10:58.653"</f>
        <v>19:10:58.653</v>
      </c>
      <c r="D8108" t="s">
        <v>3208</v>
      </c>
      <c r="E8108">
        <v>30.587547000000001</v>
      </c>
      <c r="F8108" t="s">
        <v>3209</v>
      </c>
      <c r="G8108">
        <v>-89.853078999999994</v>
      </c>
      <c r="H8108">
        <v>1600</v>
      </c>
      <c r="I8108">
        <v>65</v>
      </c>
      <c r="J8108">
        <v>138</v>
      </c>
      <c r="K8108">
        <v>128</v>
      </c>
      <c r="L8108">
        <v>1200</v>
      </c>
      <c r="M8108" t="str">
        <f t="shared" si="787"/>
        <v xml:space="preserve">N35DC   </v>
      </c>
      <c r="N8108">
        <v>1</v>
      </c>
      <c r="O8108">
        <v>1675</v>
      </c>
    </row>
    <row r="8109" spans="1:15" x14ac:dyDescent="0.25">
      <c r="A8109" t="str">
        <f>"10/21/2020 19:10:50.993"</f>
        <v>10/21/2020 19:10:50.993</v>
      </c>
      <c r="B8109" t="str">
        <f>"19:10:58.953"</f>
        <v>19:10:58.953</v>
      </c>
      <c r="C8109" t="str">
        <f>"19:10:58.653"</f>
        <v>19:10:58.653</v>
      </c>
      <c r="D8109" t="s">
        <v>3208</v>
      </c>
      <c r="E8109">
        <v>30.587547000000001</v>
      </c>
      <c r="F8109" t="s">
        <v>3209</v>
      </c>
      <c r="G8109">
        <v>-89.853078999999994</v>
      </c>
      <c r="H8109">
        <v>1600</v>
      </c>
      <c r="I8109">
        <v>65</v>
      </c>
      <c r="J8109">
        <v>138</v>
      </c>
      <c r="K8109">
        <v>128</v>
      </c>
      <c r="L8109">
        <v>1200</v>
      </c>
      <c r="M8109" t="str">
        <f t="shared" si="787"/>
        <v xml:space="preserve">N35DC   </v>
      </c>
      <c r="N8109">
        <v>1</v>
      </c>
      <c r="O8109">
        <v>1675</v>
      </c>
    </row>
    <row r="8110" spans="1:15" x14ac:dyDescent="0.25">
      <c r="A8110" t="str">
        <f>"10/21/2020 19:10:52.151"</f>
        <v>10/21/2020 19:10:52.151</v>
      </c>
      <c r="B8110" t="str">
        <f>"19:11:00.094"</f>
        <v>19:11:00.094</v>
      </c>
      <c r="C8110" t="str">
        <f>"19:10:59.694"</f>
        <v>19:10:59.694</v>
      </c>
      <c r="D8110" t="s">
        <v>3210</v>
      </c>
      <c r="E8110">
        <v>30.588276</v>
      </c>
      <c r="F8110" t="s">
        <v>3211</v>
      </c>
      <c r="G8110">
        <v>-89.852649999999997</v>
      </c>
      <c r="H8110">
        <v>1600</v>
      </c>
      <c r="I8110">
        <v>70</v>
      </c>
      <c r="J8110">
        <v>135</v>
      </c>
      <c r="K8110">
        <v>128</v>
      </c>
      <c r="L8110">
        <v>1200</v>
      </c>
      <c r="M8110" t="str">
        <f t="shared" si="787"/>
        <v xml:space="preserve">N35DC   </v>
      </c>
      <c r="N8110">
        <v>1</v>
      </c>
      <c r="O8110">
        <v>1675</v>
      </c>
    </row>
    <row r="8111" spans="1:15" x14ac:dyDescent="0.25">
      <c r="A8111" t="str">
        <f>"10/21/2020 19:10:52.151"</f>
        <v>10/21/2020 19:10:52.151</v>
      </c>
      <c r="B8111" t="str">
        <f>"19:11:00.094"</f>
        <v>19:11:00.094</v>
      </c>
      <c r="C8111" t="str">
        <f>"19:10:59.694"</f>
        <v>19:10:59.694</v>
      </c>
      <c r="D8111" t="s">
        <v>3210</v>
      </c>
      <c r="E8111">
        <v>30.588276</v>
      </c>
      <c r="F8111" t="s">
        <v>3211</v>
      </c>
      <c r="G8111">
        <v>-89.852649999999997</v>
      </c>
      <c r="H8111">
        <v>1600</v>
      </c>
      <c r="I8111">
        <v>70</v>
      </c>
      <c r="J8111">
        <v>135</v>
      </c>
      <c r="K8111">
        <v>128</v>
      </c>
      <c r="L8111">
        <v>1200</v>
      </c>
      <c r="M8111" t="str">
        <f t="shared" si="787"/>
        <v xml:space="preserve">N35DC   </v>
      </c>
      <c r="N8111">
        <v>1</v>
      </c>
      <c r="O8111">
        <v>1675</v>
      </c>
    </row>
    <row r="8112" spans="1:15" x14ac:dyDescent="0.25">
      <c r="A8112" t="str">
        <f>"10/21/2020 19:10:52.151"</f>
        <v>10/21/2020 19:10:52.151</v>
      </c>
      <c r="B8112" t="str">
        <f>"19:11:00.094"</f>
        <v>19:11:00.094</v>
      </c>
      <c r="C8112" t="str">
        <f>"19:10:59.694"</f>
        <v>19:10:59.694</v>
      </c>
      <c r="D8112" t="s">
        <v>3210</v>
      </c>
      <c r="E8112">
        <v>30.588276</v>
      </c>
      <c r="F8112" t="s">
        <v>3211</v>
      </c>
      <c r="G8112">
        <v>-89.852649999999997</v>
      </c>
      <c r="H8112">
        <v>1600</v>
      </c>
      <c r="I8112">
        <v>70</v>
      </c>
      <c r="J8112">
        <v>135</v>
      </c>
      <c r="K8112">
        <v>128</v>
      </c>
      <c r="L8112">
        <v>1200</v>
      </c>
      <c r="M8112" t="str">
        <f t="shared" si="787"/>
        <v xml:space="preserve">N35DC   </v>
      </c>
      <c r="N8112">
        <v>1</v>
      </c>
      <c r="O8112">
        <v>1675</v>
      </c>
    </row>
    <row r="8113" spans="1:15" x14ac:dyDescent="0.25">
      <c r="A8113" t="str">
        <f>"10/21/2020 19:10:52.151"</f>
        <v>10/21/2020 19:10:52.151</v>
      </c>
      <c r="B8113" t="str">
        <f>"19:11:00.094"</f>
        <v>19:11:00.094</v>
      </c>
      <c r="C8113" t="str">
        <f>"19:10:59.694"</f>
        <v>19:10:59.694</v>
      </c>
      <c r="D8113" t="s">
        <v>3210</v>
      </c>
      <c r="E8113">
        <v>30.588276</v>
      </c>
      <c r="F8113" t="s">
        <v>3211</v>
      </c>
      <c r="G8113">
        <v>-89.852649999999997</v>
      </c>
      <c r="H8113">
        <v>1600</v>
      </c>
      <c r="I8113">
        <v>70</v>
      </c>
      <c r="J8113">
        <v>135</v>
      </c>
      <c r="K8113">
        <v>128</v>
      </c>
      <c r="L8113">
        <v>1200</v>
      </c>
      <c r="M8113" t="str">
        <f t="shared" si="787"/>
        <v xml:space="preserve">N35DC   </v>
      </c>
      <c r="N8113">
        <v>1</v>
      </c>
      <c r="O8113">
        <v>1675</v>
      </c>
    </row>
    <row r="8114" spans="1:15" x14ac:dyDescent="0.25">
      <c r="A8114" t="str">
        <f>"10/21/2020 19:10:52.151"</f>
        <v>10/21/2020 19:10:52.151</v>
      </c>
      <c r="B8114" t="str">
        <f>"19:11:00.094"</f>
        <v>19:11:00.094</v>
      </c>
      <c r="C8114" t="str">
        <f>"19:10:59.694"</f>
        <v>19:10:59.694</v>
      </c>
      <c r="D8114" t="s">
        <v>3210</v>
      </c>
      <c r="E8114">
        <v>30.588276</v>
      </c>
      <c r="F8114" t="s">
        <v>3211</v>
      </c>
      <c r="G8114">
        <v>-89.852649999999997</v>
      </c>
      <c r="H8114">
        <v>1600</v>
      </c>
      <c r="I8114">
        <v>70</v>
      </c>
      <c r="J8114">
        <v>135</v>
      </c>
      <c r="K8114">
        <v>128</v>
      </c>
      <c r="L8114">
        <v>1200</v>
      </c>
      <c r="M8114" t="str">
        <f t="shared" si="787"/>
        <v xml:space="preserve">N35DC   </v>
      </c>
      <c r="N8114">
        <v>1</v>
      </c>
      <c r="O8114">
        <v>1675</v>
      </c>
    </row>
    <row r="8115" spans="1:15" x14ac:dyDescent="0.25">
      <c r="A8115" t="str">
        <f>"10/21/2020 19:10:55.124"</f>
        <v>10/21/2020 19:10:55.124</v>
      </c>
      <c r="B8115" t="str">
        <f>"19:11:03.047"</f>
        <v>19:11:03.047</v>
      </c>
      <c r="C8115" t="str">
        <f>"19:11:02.747"</f>
        <v>19:11:02.747</v>
      </c>
      <c r="D8115" t="s">
        <v>3212</v>
      </c>
      <c r="E8115">
        <v>30.589993</v>
      </c>
      <c r="F8115" t="s">
        <v>436</v>
      </c>
      <c r="G8115">
        <v>-89.851363000000006</v>
      </c>
      <c r="H8115">
        <v>1600</v>
      </c>
      <c r="I8115">
        <v>86</v>
      </c>
      <c r="J8115">
        <v>124</v>
      </c>
      <c r="K8115">
        <v>64</v>
      </c>
      <c r="L8115">
        <v>1200</v>
      </c>
      <c r="M8115" t="str">
        <f t="shared" si="787"/>
        <v xml:space="preserve">N35DC   </v>
      </c>
      <c r="N8115">
        <v>1</v>
      </c>
      <c r="O8115">
        <v>1700</v>
      </c>
    </row>
    <row r="8116" spans="1:15" x14ac:dyDescent="0.25">
      <c r="A8116" t="str">
        <f>"10/21/2020 19:10:55.124"</f>
        <v>10/21/2020 19:10:55.124</v>
      </c>
      <c r="B8116" t="str">
        <f>"19:11:03.047"</f>
        <v>19:11:03.047</v>
      </c>
      <c r="C8116" t="str">
        <f>"19:11:02.747"</f>
        <v>19:11:02.747</v>
      </c>
      <c r="D8116" t="s">
        <v>3212</v>
      </c>
      <c r="E8116">
        <v>30.589993</v>
      </c>
      <c r="F8116" t="s">
        <v>436</v>
      </c>
      <c r="G8116">
        <v>-89.851363000000006</v>
      </c>
      <c r="H8116">
        <v>1600</v>
      </c>
      <c r="I8116">
        <v>86</v>
      </c>
      <c r="J8116">
        <v>124</v>
      </c>
      <c r="K8116">
        <v>64</v>
      </c>
      <c r="L8116">
        <v>1200</v>
      </c>
      <c r="M8116" t="str">
        <f t="shared" si="787"/>
        <v xml:space="preserve">N35DC   </v>
      </c>
      <c r="N8116">
        <v>1</v>
      </c>
      <c r="O8116">
        <v>1700</v>
      </c>
    </row>
    <row r="8117" spans="1:15" x14ac:dyDescent="0.25">
      <c r="A8117" t="str">
        <f>"10/21/2020 19:10:55.124"</f>
        <v>10/21/2020 19:10:55.124</v>
      </c>
      <c r="B8117" t="str">
        <f>"19:11:03.047"</f>
        <v>19:11:03.047</v>
      </c>
      <c r="C8117" t="str">
        <f>"19:11:02.747"</f>
        <v>19:11:02.747</v>
      </c>
      <c r="D8117" t="s">
        <v>3212</v>
      </c>
      <c r="E8117">
        <v>30.589993</v>
      </c>
      <c r="F8117" t="s">
        <v>436</v>
      </c>
      <c r="G8117">
        <v>-89.851363000000006</v>
      </c>
      <c r="H8117">
        <v>1600</v>
      </c>
      <c r="I8117">
        <v>86</v>
      </c>
      <c r="J8117">
        <v>124</v>
      </c>
      <c r="K8117">
        <v>64</v>
      </c>
      <c r="L8117">
        <v>1200</v>
      </c>
      <c r="M8117" t="str">
        <f t="shared" si="787"/>
        <v xml:space="preserve">N35DC   </v>
      </c>
      <c r="N8117">
        <v>1</v>
      </c>
      <c r="O8117">
        <v>1700</v>
      </c>
    </row>
    <row r="8118" spans="1:15" x14ac:dyDescent="0.25">
      <c r="A8118" t="str">
        <f>"10/21/2020 19:10:55.124"</f>
        <v>10/21/2020 19:10:55.124</v>
      </c>
      <c r="B8118" t="str">
        <f>"19:11:03.047"</f>
        <v>19:11:03.047</v>
      </c>
      <c r="C8118" t="str">
        <f>"19:11:02.747"</f>
        <v>19:11:02.747</v>
      </c>
      <c r="D8118" t="s">
        <v>3212</v>
      </c>
      <c r="E8118">
        <v>30.589993</v>
      </c>
      <c r="F8118" t="s">
        <v>436</v>
      </c>
      <c r="G8118">
        <v>-89.851363000000006</v>
      </c>
      <c r="H8118">
        <v>1600</v>
      </c>
      <c r="I8118">
        <v>86</v>
      </c>
      <c r="J8118">
        <v>124</v>
      </c>
      <c r="K8118">
        <v>64</v>
      </c>
      <c r="L8118">
        <v>1200</v>
      </c>
      <c r="M8118" t="str">
        <f t="shared" si="787"/>
        <v xml:space="preserve">N35DC   </v>
      </c>
      <c r="N8118">
        <v>1</v>
      </c>
      <c r="O8118">
        <v>1700</v>
      </c>
    </row>
    <row r="8119" spans="1:15" x14ac:dyDescent="0.25">
      <c r="A8119" t="str">
        <f>"10/21/2020 19:10:55.124"</f>
        <v>10/21/2020 19:10:55.124</v>
      </c>
      <c r="B8119" t="str">
        <f>"19:11:03.047"</f>
        <v>19:11:03.047</v>
      </c>
      <c r="C8119" t="str">
        <f>"19:11:02.747"</f>
        <v>19:11:02.747</v>
      </c>
      <c r="D8119" t="s">
        <v>3212</v>
      </c>
      <c r="E8119">
        <v>30.589993</v>
      </c>
      <c r="F8119" t="s">
        <v>436</v>
      </c>
      <c r="G8119">
        <v>-89.851363000000006</v>
      </c>
      <c r="H8119">
        <v>1600</v>
      </c>
      <c r="I8119">
        <v>86</v>
      </c>
      <c r="J8119">
        <v>124</v>
      </c>
      <c r="K8119">
        <v>64</v>
      </c>
      <c r="L8119">
        <v>1200</v>
      </c>
      <c r="M8119" t="str">
        <f t="shared" si="787"/>
        <v xml:space="preserve">N35DC   </v>
      </c>
      <c r="N8119">
        <v>1</v>
      </c>
      <c r="O8119">
        <v>1700</v>
      </c>
    </row>
    <row r="8120" spans="1:15" x14ac:dyDescent="0.25">
      <c r="A8120" t="str">
        <f>"10/21/2020 19:10:56.051"</f>
        <v>10/21/2020 19:10:56.051</v>
      </c>
      <c r="B8120" t="str">
        <f>"19:11:04.008"</f>
        <v>19:11:04.008</v>
      </c>
      <c r="C8120" t="str">
        <f>"19:11:03.708"</f>
        <v>19:11:03.708</v>
      </c>
      <c r="D8120" t="s">
        <v>3213</v>
      </c>
      <c r="E8120">
        <v>30.590508</v>
      </c>
      <c r="F8120" t="s">
        <v>1675</v>
      </c>
      <c r="G8120">
        <v>-89.850869000000003</v>
      </c>
      <c r="H8120">
        <v>1600</v>
      </c>
      <c r="I8120">
        <v>91</v>
      </c>
      <c r="J8120">
        <v>119</v>
      </c>
      <c r="K8120">
        <v>64</v>
      </c>
      <c r="L8120">
        <v>1200</v>
      </c>
      <c r="M8120" t="str">
        <f t="shared" si="787"/>
        <v xml:space="preserve">N35DC   </v>
      </c>
      <c r="N8120">
        <v>1</v>
      </c>
      <c r="O8120">
        <v>1700</v>
      </c>
    </row>
    <row r="8121" spans="1:15" x14ac:dyDescent="0.25">
      <c r="A8121" t="str">
        <f>"10/21/2020 19:10:56.051"</f>
        <v>10/21/2020 19:10:56.051</v>
      </c>
      <c r="B8121" t="str">
        <f>"19:11:04.008"</f>
        <v>19:11:04.008</v>
      </c>
      <c r="C8121" t="str">
        <f>"19:11:03.708"</f>
        <v>19:11:03.708</v>
      </c>
      <c r="D8121" t="s">
        <v>3213</v>
      </c>
      <c r="E8121">
        <v>30.590508</v>
      </c>
      <c r="F8121" t="s">
        <v>1675</v>
      </c>
      <c r="G8121">
        <v>-89.850869000000003</v>
      </c>
      <c r="H8121">
        <v>1600</v>
      </c>
      <c r="I8121">
        <v>91</v>
      </c>
      <c r="J8121">
        <v>119</v>
      </c>
      <c r="K8121">
        <v>64</v>
      </c>
      <c r="L8121">
        <v>1200</v>
      </c>
      <c r="M8121" t="str">
        <f t="shared" si="787"/>
        <v xml:space="preserve">N35DC   </v>
      </c>
      <c r="N8121">
        <v>1</v>
      </c>
      <c r="O8121">
        <v>1700</v>
      </c>
    </row>
    <row r="8122" spans="1:15" x14ac:dyDescent="0.25">
      <c r="A8122" t="str">
        <f>"10/21/2020 19:10:56.051"</f>
        <v>10/21/2020 19:10:56.051</v>
      </c>
      <c r="B8122" t="str">
        <f>"19:11:04.008"</f>
        <v>19:11:04.008</v>
      </c>
      <c r="C8122" t="str">
        <f>"19:11:03.708"</f>
        <v>19:11:03.708</v>
      </c>
      <c r="D8122" t="s">
        <v>3213</v>
      </c>
      <c r="E8122">
        <v>30.590508</v>
      </c>
      <c r="F8122" t="s">
        <v>1675</v>
      </c>
      <c r="G8122">
        <v>-89.850869000000003</v>
      </c>
      <c r="H8122">
        <v>1600</v>
      </c>
      <c r="I8122">
        <v>91</v>
      </c>
      <c r="J8122">
        <v>119</v>
      </c>
      <c r="K8122">
        <v>64</v>
      </c>
      <c r="L8122">
        <v>1200</v>
      </c>
      <c r="M8122" t="str">
        <f t="shared" si="787"/>
        <v xml:space="preserve">N35DC   </v>
      </c>
      <c r="N8122">
        <v>1</v>
      </c>
      <c r="O8122">
        <v>1700</v>
      </c>
    </row>
    <row r="8123" spans="1:15" x14ac:dyDescent="0.25">
      <c r="A8123" t="str">
        <f>"10/21/2020 19:10:56.051"</f>
        <v>10/21/2020 19:10:56.051</v>
      </c>
      <c r="B8123" t="str">
        <f>"19:11:04.008"</f>
        <v>19:11:04.008</v>
      </c>
      <c r="C8123" t="str">
        <f>"19:11:03.708"</f>
        <v>19:11:03.708</v>
      </c>
      <c r="D8123" t="s">
        <v>3213</v>
      </c>
      <c r="E8123">
        <v>30.590508</v>
      </c>
      <c r="F8123" t="s">
        <v>1675</v>
      </c>
      <c r="G8123">
        <v>-89.850869000000003</v>
      </c>
      <c r="H8123">
        <v>1600</v>
      </c>
      <c r="I8123">
        <v>91</v>
      </c>
      <c r="J8123">
        <v>119</v>
      </c>
      <c r="K8123">
        <v>64</v>
      </c>
      <c r="L8123">
        <v>1200</v>
      </c>
      <c r="M8123" t="str">
        <f t="shared" si="787"/>
        <v xml:space="preserve">N35DC   </v>
      </c>
      <c r="N8123">
        <v>1</v>
      </c>
      <c r="O8123">
        <v>1700</v>
      </c>
    </row>
    <row r="8124" spans="1:15" x14ac:dyDescent="0.25">
      <c r="A8124" t="str">
        <f>"10/21/2020 19:10:56.051"</f>
        <v>10/21/2020 19:10:56.051</v>
      </c>
      <c r="B8124" t="str">
        <f>"19:11:04.008"</f>
        <v>19:11:04.008</v>
      </c>
      <c r="C8124" t="str">
        <f>"19:11:03.708"</f>
        <v>19:11:03.708</v>
      </c>
      <c r="D8124" t="s">
        <v>3213</v>
      </c>
      <c r="E8124">
        <v>30.590508</v>
      </c>
      <c r="F8124" t="s">
        <v>1675</v>
      </c>
      <c r="G8124">
        <v>-89.850869000000003</v>
      </c>
      <c r="H8124">
        <v>1600</v>
      </c>
      <c r="I8124">
        <v>91</v>
      </c>
      <c r="J8124">
        <v>119</v>
      </c>
      <c r="K8124">
        <v>64</v>
      </c>
      <c r="L8124">
        <v>1200</v>
      </c>
      <c r="M8124" t="str">
        <f t="shared" si="787"/>
        <v xml:space="preserve">N35DC   </v>
      </c>
      <c r="N8124">
        <v>1</v>
      </c>
      <c r="O8124">
        <v>1700</v>
      </c>
    </row>
    <row r="8125" spans="1:15" x14ac:dyDescent="0.25">
      <c r="A8125" t="str">
        <f>"10/21/2020 19:10:59.084"</f>
        <v>10/21/2020 19:10:59.084</v>
      </c>
      <c r="B8125" t="str">
        <f>"19:11:07.023"</f>
        <v>19:11:07.023</v>
      </c>
      <c r="C8125" t="str">
        <f>"19:11:06.723"</f>
        <v>19:11:06.723</v>
      </c>
      <c r="D8125" t="s">
        <v>3214</v>
      </c>
      <c r="E8125">
        <v>30.592030999999999</v>
      </c>
      <c r="F8125" t="s">
        <v>3215</v>
      </c>
      <c r="G8125">
        <v>-89.849216999999996</v>
      </c>
      <c r="H8125">
        <v>1600</v>
      </c>
      <c r="I8125">
        <v>106</v>
      </c>
      <c r="J8125">
        <v>105</v>
      </c>
      <c r="K8125">
        <v>-64</v>
      </c>
      <c r="L8125">
        <v>1200</v>
      </c>
      <c r="M8125" t="str">
        <f t="shared" si="787"/>
        <v xml:space="preserve">N35DC   </v>
      </c>
      <c r="N8125">
        <v>1</v>
      </c>
      <c r="O8125">
        <v>1700</v>
      </c>
    </row>
    <row r="8126" spans="1:15" x14ac:dyDescent="0.25">
      <c r="A8126" t="str">
        <f>"10/21/2020 19:10:59.084"</f>
        <v>10/21/2020 19:10:59.084</v>
      </c>
      <c r="B8126" t="str">
        <f>"19:11:07.023"</f>
        <v>19:11:07.023</v>
      </c>
      <c r="C8126" t="str">
        <f>"19:11:06.723"</f>
        <v>19:11:06.723</v>
      </c>
      <c r="D8126" t="s">
        <v>3214</v>
      </c>
      <c r="E8126">
        <v>30.592030999999999</v>
      </c>
      <c r="F8126" t="s">
        <v>3215</v>
      </c>
      <c r="G8126">
        <v>-89.849216999999996</v>
      </c>
      <c r="H8126">
        <v>1600</v>
      </c>
      <c r="I8126">
        <v>106</v>
      </c>
      <c r="J8126">
        <v>105</v>
      </c>
      <c r="K8126">
        <v>-64</v>
      </c>
      <c r="L8126">
        <v>1200</v>
      </c>
      <c r="M8126" t="str">
        <f t="shared" si="787"/>
        <v xml:space="preserve">N35DC   </v>
      </c>
      <c r="N8126">
        <v>1</v>
      </c>
      <c r="O8126">
        <v>1700</v>
      </c>
    </row>
    <row r="8127" spans="1:15" x14ac:dyDescent="0.25">
      <c r="A8127" t="str">
        <f>"10/21/2020 19:10:59.084"</f>
        <v>10/21/2020 19:10:59.084</v>
      </c>
      <c r="B8127" t="str">
        <f>"19:11:07.023"</f>
        <v>19:11:07.023</v>
      </c>
      <c r="C8127" t="str">
        <f>"19:11:06.723"</f>
        <v>19:11:06.723</v>
      </c>
      <c r="D8127" t="s">
        <v>3214</v>
      </c>
      <c r="E8127">
        <v>30.592030999999999</v>
      </c>
      <c r="F8127" t="s">
        <v>3215</v>
      </c>
      <c r="G8127">
        <v>-89.849216999999996</v>
      </c>
      <c r="H8127">
        <v>1600</v>
      </c>
      <c r="I8127">
        <v>106</v>
      </c>
      <c r="J8127">
        <v>105</v>
      </c>
      <c r="K8127">
        <v>-64</v>
      </c>
      <c r="L8127">
        <v>1200</v>
      </c>
      <c r="M8127" t="str">
        <f t="shared" si="787"/>
        <v xml:space="preserve">N35DC   </v>
      </c>
      <c r="N8127">
        <v>1</v>
      </c>
      <c r="O8127">
        <v>1700</v>
      </c>
    </row>
    <row r="8128" spans="1:15" x14ac:dyDescent="0.25">
      <c r="A8128" t="str">
        <f>"10/21/2020 19:10:59.084"</f>
        <v>10/21/2020 19:10:59.084</v>
      </c>
      <c r="B8128" t="str">
        <f>"19:11:07.023"</f>
        <v>19:11:07.023</v>
      </c>
      <c r="C8128" t="str">
        <f>"19:11:06.723"</f>
        <v>19:11:06.723</v>
      </c>
      <c r="D8128" t="s">
        <v>3214</v>
      </c>
      <c r="E8128">
        <v>30.592030999999999</v>
      </c>
      <c r="F8128" t="s">
        <v>3215</v>
      </c>
      <c r="G8128">
        <v>-89.849216999999996</v>
      </c>
      <c r="H8128">
        <v>1600</v>
      </c>
      <c r="I8128">
        <v>106</v>
      </c>
      <c r="J8128">
        <v>105</v>
      </c>
      <c r="K8128">
        <v>-64</v>
      </c>
      <c r="L8128">
        <v>1200</v>
      </c>
      <c r="M8128" t="str">
        <f t="shared" si="787"/>
        <v xml:space="preserve">N35DC   </v>
      </c>
      <c r="N8128">
        <v>1</v>
      </c>
      <c r="O8128">
        <v>1700</v>
      </c>
    </row>
    <row r="8129" spans="1:15" x14ac:dyDescent="0.25">
      <c r="A8129" t="str">
        <f>"10/21/2020 19:10:59.084"</f>
        <v>10/21/2020 19:10:59.084</v>
      </c>
      <c r="B8129" t="str">
        <f>"19:11:07.023"</f>
        <v>19:11:07.023</v>
      </c>
      <c r="C8129" t="str">
        <f>"19:11:06.723"</f>
        <v>19:11:06.723</v>
      </c>
      <c r="D8129" t="s">
        <v>3214</v>
      </c>
      <c r="E8129">
        <v>30.592030999999999</v>
      </c>
      <c r="F8129" t="s">
        <v>3215</v>
      </c>
      <c r="G8129">
        <v>-89.849216999999996</v>
      </c>
      <c r="H8129">
        <v>1600</v>
      </c>
      <c r="I8129">
        <v>106</v>
      </c>
      <c r="J8129">
        <v>105</v>
      </c>
      <c r="K8129">
        <v>-64</v>
      </c>
      <c r="L8129">
        <v>1200</v>
      </c>
      <c r="M8129" t="str">
        <f t="shared" si="787"/>
        <v xml:space="preserve">N35DC   </v>
      </c>
      <c r="N8129">
        <v>1</v>
      </c>
      <c r="O8129">
        <v>1700</v>
      </c>
    </row>
    <row r="8130" spans="1:15" x14ac:dyDescent="0.25">
      <c r="A8130" t="str">
        <f>"10/21/2020 19:10:59.988"</f>
        <v>10/21/2020 19:10:59.988</v>
      </c>
      <c r="B8130" t="str">
        <f>"19:11:07.953"</f>
        <v>19:11:07.953</v>
      </c>
      <c r="C8130" t="str">
        <f>"19:11:07.753"</f>
        <v>19:11:07.753</v>
      </c>
      <c r="D8130" t="s">
        <v>3216</v>
      </c>
      <c r="E8130">
        <v>30.592461</v>
      </c>
      <c r="F8130" t="s">
        <v>543</v>
      </c>
      <c r="G8130">
        <v>-89.848658999999998</v>
      </c>
      <c r="H8130">
        <v>1600</v>
      </c>
      <c r="I8130">
        <v>111</v>
      </c>
      <c r="J8130">
        <v>100</v>
      </c>
      <c r="K8130">
        <v>-64</v>
      </c>
      <c r="L8130">
        <v>1200</v>
      </c>
      <c r="M8130" t="str">
        <f t="shared" si="787"/>
        <v xml:space="preserve">N35DC   </v>
      </c>
      <c r="N8130">
        <v>1</v>
      </c>
      <c r="O8130">
        <v>1700</v>
      </c>
    </row>
    <row r="8131" spans="1:15" x14ac:dyDescent="0.25">
      <c r="A8131" t="str">
        <f>"10/21/2020 19:10:59.988"</f>
        <v>10/21/2020 19:10:59.988</v>
      </c>
      <c r="B8131" t="str">
        <f>"19:11:07.953"</f>
        <v>19:11:07.953</v>
      </c>
      <c r="C8131" t="str">
        <f>"19:11:07.753"</f>
        <v>19:11:07.753</v>
      </c>
      <c r="D8131" t="s">
        <v>3216</v>
      </c>
      <c r="E8131">
        <v>30.592461</v>
      </c>
      <c r="F8131" t="s">
        <v>543</v>
      </c>
      <c r="G8131">
        <v>-89.848658999999998</v>
      </c>
      <c r="H8131">
        <v>1600</v>
      </c>
      <c r="I8131">
        <v>111</v>
      </c>
      <c r="J8131">
        <v>100</v>
      </c>
      <c r="K8131">
        <v>-64</v>
      </c>
      <c r="L8131">
        <v>1200</v>
      </c>
      <c r="M8131" t="str">
        <f t="shared" si="787"/>
        <v xml:space="preserve">N35DC   </v>
      </c>
      <c r="N8131">
        <v>1</v>
      </c>
      <c r="O8131">
        <v>1700</v>
      </c>
    </row>
    <row r="8132" spans="1:15" x14ac:dyDescent="0.25">
      <c r="A8132" t="str">
        <f>"10/21/2020 19:10:59.988"</f>
        <v>10/21/2020 19:10:59.988</v>
      </c>
      <c r="B8132" t="str">
        <f>"19:11:07.953"</f>
        <v>19:11:07.953</v>
      </c>
      <c r="C8132" t="str">
        <f>"19:11:07.753"</f>
        <v>19:11:07.753</v>
      </c>
      <c r="D8132" t="s">
        <v>3216</v>
      </c>
      <c r="E8132">
        <v>30.592461</v>
      </c>
      <c r="F8132" t="s">
        <v>543</v>
      </c>
      <c r="G8132">
        <v>-89.848658999999998</v>
      </c>
      <c r="H8132">
        <v>1600</v>
      </c>
      <c r="I8132">
        <v>111</v>
      </c>
      <c r="J8132">
        <v>100</v>
      </c>
      <c r="K8132">
        <v>-64</v>
      </c>
      <c r="L8132">
        <v>1200</v>
      </c>
      <c r="M8132" t="str">
        <f t="shared" si="787"/>
        <v xml:space="preserve">N35DC   </v>
      </c>
      <c r="N8132">
        <v>1</v>
      </c>
      <c r="O8132">
        <v>1700</v>
      </c>
    </row>
    <row r="8133" spans="1:15" x14ac:dyDescent="0.25">
      <c r="A8133" t="str">
        <f>"10/21/2020 19:10:59.988"</f>
        <v>10/21/2020 19:10:59.988</v>
      </c>
      <c r="B8133" t="str">
        <f>"19:11:07.953"</f>
        <v>19:11:07.953</v>
      </c>
      <c r="C8133" t="str">
        <f>"19:11:07.753"</f>
        <v>19:11:07.753</v>
      </c>
      <c r="D8133" t="s">
        <v>3216</v>
      </c>
      <c r="E8133">
        <v>30.592461</v>
      </c>
      <c r="F8133" t="s">
        <v>543</v>
      </c>
      <c r="G8133">
        <v>-89.848658999999998</v>
      </c>
      <c r="H8133">
        <v>1600</v>
      </c>
      <c r="I8133">
        <v>111</v>
      </c>
      <c r="J8133">
        <v>100</v>
      </c>
      <c r="K8133">
        <v>-64</v>
      </c>
      <c r="L8133">
        <v>1200</v>
      </c>
      <c r="M8133" t="str">
        <f t="shared" si="787"/>
        <v xml:space="preserve">N35DC   </v>
      </c>
      <c r="N8133">
        <v>1</v>
      </c>
      <c r="O8133">
        <v>1700</v>
      </c>
    </row>
    <row r="8134" spans="1:15" x14ac:dyDescent="0.25">
      <c r="A8134" t="str">
        <f>"10/21/2020 19:10:59.988"</f>
        <v>10/21/2020 19:10:59.988</v>
      </c>
      <c r="B8134" t="str">
        <f>"19:11:07.953"</f>
        <v>19:11:07.953</v>
      </c>
      <c r="C8134" t="str">
        <f>"19:11:07.753"</f>
        <v>19:11:07.753</v>
      </c>
      <c r="D8134" t="s">
        <v>3216</v>
      </c>
      <c r="E8134">
        <v>30.592461</v>
      </c>
      <c r="F8134" t="s">
        <v>543</v>
      </c>
      <c r="G8134">
        <v>-89.848658999999998</v>
      </c>
      <c r="H8134">
        <v>1600</v>
      </c>
      <c r="I8134">
        <v>111</v>
      </c>
      <c r="J8134">
        <v>100</v>
      </c>
      <c r="K8134">
        <v>-64</v>
      </c>
      <c r="L8134">
        <v>1200</v>
      </c>
      <c r="M8134" t="str">
        <f t="shared" si="787"/>
        <v xml:space="preserve">N35DC   </v>
      </c>
      <c r="N8134">
        <v>1</v>
      </c>
      <c r="O8134">
        <v>1700</v>
      </c>
    </row>
    <row r="8135" spans="1:15" x14ac:dyDescent="0.25">
      <c r="A8135" t="str">
        <f>"10/21/2020 19:11:03.120"</f>
        <v>10/21/2020 19:11:03.120</v>
      </c>
      <c r="B8135" t="str">
        <f>"19:11:11.055"</f>
        <v>19:11:11.055</v>
      </c>
      <c r="C8135" t="str">
        <f>"19:11:10.755"</f>
        <v>19:11:10.755</v>
      </c>
      <c r="D8135" t="s">
        <v>3217</v>
      </c>
      <c r="E8135">
        <v>30.593748000000001</v>
      </c>
      <c r="F8135" t="s">
        <v>547</v>
      </c>
      <c r="G8135">
        <v>-89.846684999999994</v>
      </c>
      <c r="H8135">
        <v>1600</v>
      </c>
      <c r="I8135">
        <v>124</v>
      </c>
      <c r="J8135">
        <v>83</v>
      </c>
      <c r="K8135">
        <v>-128</v>
      </c>
      <c r="L8135">
        <v>1200</v>
      </c>
      <c r="M8135" t="str">
        <f t="shared" ref="M8135:M8198" si="788">"N35DC   "</f>
        <v xml:space="preserve">N35DC   </v>
      </c>
      <c r="N8135">
        <v>1</v>
      </c>
      <c r="O8135">
        <v>1700</v>
      </c>
    </row>
    <row r="8136" spans="1:15" x14ac:dyDescent="0.25">
      <c r="A8136" t="str">
        <f>"10/21/2020 19:11:03.120"</f>
        <v>10/21/2020 19:11:03.120</v>
      </c>
      <c r="B8136" t="str">
        <f>"19:11:11.055"</f>
        <v>19:11:11.055</v>
      </c>
      <c r="C8136" t="str">
        <f>"19:11:10.155"</f>
        <v>19:11:10.155</v>
      </c>
      <c r="D8136" t="s">
        <v>3217</v>
      </c>
      <c r="E8136">
        <v>30.593748000000001</v>
      </c>
      <c r="F8136" t="s">
        <v>547</v>
      </c>
      <c r="G8136">
        <v>-89.846684999999994</v>
      </c>
      <c r="H8136">
        <v>1600</v>
      </c>
      <c r="I8136">
        <v>121</v>
      </c>
      <c r="J8136">
        <v>87</v>
      </c>
      <c r="K8136">
        <v>-128</v>
      </c>
      <c r="L8136">
        <v>1200</v>
      </c>
      <c r="M8136" t="str">
        <f t="shared" si="788"/>
        <v xml:space="preserve">N35DC   </v>
      </c>
      <c r="N8136">
        <v>1</v>
      </c>
      <c r="O8136">
        <v>1700</v>
      </c>
    </row>
    <row r="8137" spans="1:15" x14ac:dyDescent="0.25">
      <c r="A8137" t="str">
        <f>"10/21/2020 19:11:03.120"</f>
        <v>10/21/2020 19:11:03.120</v>
      </c>
      <c r="B8137" t="str">
        <f>"19:11:11.055"</f>
        <v>19:11:11.055</v>
      </c>
      <c r="C8137" t="str">
        <f>"19:11:10.755"</f>
        <v>19:11:10.755</v>
      </c>
      <c r="D8137" t="s">
        <v>3217</v>
      </c>
      <c r="E8137">
        <v>30.593748000000001</v>
      </c>
      <c r="F8137" t="s">
        <v>547</v>
      </c>
      <c r="G8137">
        <v>-89.846684999999994</v>
      </c>
      <c r="H8137">
        <v>1600</v>
      </c>
      <c r="I8137">
        <v>124</v>
      </c>
      <c r="J8137">
        <v>83</v>
      </c>
      <c r="K8137">
        <v>-128</v>
      </c>
      <c r="L8137">
        <v>1200</v>
      </c>
      <c r="M8137" t="str">
        <f t="shared" si="788"/>
        <v xml:space="preserve">N35DC   </v>
      </c>
      <c r="N8137">
        <v>1</v>
      </c>
      <c r="O8137">
        <v>1700</v>
      </c>
    </row>
    <row r="8138" spans="1:15" x14ac:dyDescent="0.25">
      <c r="A8138" t="str">
        <f>"10/21/2020 19:11:03.120"</f>
        <v>10/21/2020 19:11:03.120</v>
      </c>
      <c r="B8138" t="str">
        <f>"19:11:11.055"</f>
        <v>19:11:11.055</v>
      </c>
      <c r="C8138" t="str">
        <f>"19:11:10.755"</f>
        <v>19:11:10.755</v>
      </c>
      <c r="D8138" t="s">
        <v>3217</v>
      </c>
      <c r="E8138">
        <v>30.593748000000001</v>
      </c>
      <c r="F8138" t="s">
        <v>547</v>
      </c>
      <c r="G8138">
        <v>-89.846684999999994</v>
      </c>
      <c r="H8138">
        <v>1600</v>
      </c>
      <c r="I8138">
        <v>124</v>
      </c>
      <c r="J8138">
        <v>83</v>
      </c>
      <c r="K8138">
        <v>-128</v>
      </c>
      <c r="L8138">
        <v>1200</v>
      </c>
      <c r="M8138" t="str">
        <f t="shared" si="788"/>
        <v xml:space="preserve">N35DC   </v>
      </c>
      <c r="N8138">
        <v>1</v>
      </c>
      <c r="O8138">
        <v>1700</v>
      </c>
    </row>
    <row r="8139" spans="1:15" x14ac:dyDescent="0.25">
      <c r="A8139" t="str">
        <f>"10/21/2020 19:11:03.120"</f>
        <v>10/21/2020 19:11:03.120</v>
      </c>
      <c r="B8139" t="str">
        <f>"19:11:11.055"</f>
        <v>19:11:11.055</v>
      </c>
      <c r="C8139" t="str">
        <f>"19:11:10.755"</f>
        <v>19:11:10.755</v>
      </c>
      <c r="D8139" t="s">
        <v>3217</v>
      </c>
      <c r="E8139">
        <v>30.593748000000001</v>
      </c>
      <c r="F8139" t="s">
        <v>547</v>
      </c>
      <c r="G8139">
        <v>-89.846684999999994</v>
      </c>
      <c r="H8139">
        <v>1600</v>
      </c>
      <c r="I8139">
        <v>124</v>
      </c>
      <c r="J8139">
        <v>83</v>
      </c>
      <c r="K8139">
        <v>-128</v>
      </c>
      <c r="L8139">
        <v>1200</v>
      </c>
      <c r="M8139" t="str">
        <f t="shared" si="788"/>
        <v xml:space="preserve">N35DC   </v>
      </c>
      <c r="N8139">
        <v>1</v>
      </c>
      <c r="O8139">
        <v>1700</v>
      </c>
    </row>
    <row r="8140" spans="1:15" x14ac:dyDescent="0.25">
      <c r="A8140" t="str">
        <f>"10/21/2020 19:11:03.979"</f>
        <v>10/21/2020 19:11:03.979</v>
      </c>
      <c r="B8140" t="str">
        <f>"19:11:11.930"</f>
        <v>19:11:11.930</v>
      </c>
      <c r="C8140" t="str">
        <f>"19:11:11.730"</f>
        <v>19:11:11.730</v>
      </c>
      <c r="D8140" t="s">
        <v>3218</v>
      </c>
      <c r="E8140">
        <v>30.594027000000001</v>
      </c>
      <c r="F8140" t="s">
        <v>428</v>
      </c>
      <c r="G8140">
        <v>-89.846126999999996</v>
      </c>
      <c r="H8140">
        <v>1600</v>
      </c>
      <c r="I8140">
        <v>127</v>
      </c>
      <c r="J8140">
        <v>77</v>
      </c>
      <c r="K8140">
        <v>-128</v>
      </c>
      <c r="L8140">
        <v>1200</v>
      </c>
      <c r="M8140" t="str">
        <f t="shared" si="788"/>
        <v xml:space="preserve">N35DC   </v>
      </c>
      <c r="N8140">
        <v>1</v>
      </c>
      <c r="O8140">
        <v>1675</v>
      </c>
    </row>
    <row r="8141" spans="1:15" x14ac:dyDescent="0.25">
      <c r="A8141" t="str">
        <f>"10/21/2020 19:11:03.979"</f>
        <v>10/21/2020 19:11:03.979</v>
      </c>
      <c r="B8141" t="str">
        <f>"19:11:11.930"</f>
        <v>19:11:11.930</v>
      </c>
      <c r="C8141" t="str">
        <f>"19:11:11.730"</f>
        <v>19:11:11.730</v>
      </c>
      <c r="D8141" t="s">
        <v>3218</v>
      </c>
      <c r="E8141">
        <v>30.594027000000001</v>
      </c>
      <c r="F8141" t="s">
        <v>428</v>
      </c>
      <c r="G8141">
        <v>-89.846126999999996</v>
      </c>
      <c r="H8141">
        <v>1600</v>
      </c>
      <c r="I8141">
        <v>127</v>
      </c>
      <c r="J8141">
        <v>77</v>
      </c>
      <c r="K8141">
        <v>-128</v>
      </c>
      <c r="L8141">
        <v>1200</v>
      </c>
      <c r="M8141" t="str">
        <f t="shared" si="788"/>
        <v xml:space="preserve">N35DC   </v>
      </c>
      <c r="N8141">
        <v>1</v>
      </c>
      <c r="O8141">
        <v>1675</v>
      </c>
    </row>
    <row r="8142" spans="1:15" x14ac:dyDescent="0.25">
      <c r="A8142" t="str">
        <f>"10/21/2020 19:11:03.979"</f>
        <v>10/21/2020 19:11:03.979</v>
      </c>
      <c r="B8142" t="str">
        <f>"19:11:11.930"</f>
        <v>19:11:11.930</v>
      </c>
      <c r="C8142" t="str">
        <f>"19:11:11.730"</f>
        <v>19:11:11.730</v>
      </c>
      <c r="D8142" t="s">
        <v>3218</v>
      </c>
      <c r="E8142">
        <v>30.594027000000001</v>
      </c>
      <c r="F8142" t="s">
        <v>428</v>
      </c>
      <c r="G8142">
        <v>-89.846126999999996</v>
      </c>
      <c r="H8142">
        <v>1600</v>
      </c>
      <c r="I8142">
        <v>127</v>
      </c>
      <c r="J8142">
        <v>77</v>
      </c>
      <c r="K8142">
        <v>-128</v>
      </c>
      <c r="L8142">
        <v>1200</v>
      </c>
      <c r="M8142" t="str">
        <f t="shared" si="788"/>
        <v xml:space="preserve">N35DC   </v>
      </c>
      <c r="N8142">
        <v>1</v>
      </c>
      <c r="O8142">
        <v>1675</v>
      </c>
    </row>
    <row r="8143" spans="1:15" x14ac:dyDescent="0.25">
      <c r="A8143" t="str">
        <f>"10/21/2020 19:11:03.979"</f>
        <v>10/21/2020 19:11:03.979</v>
      </c>
      <c r="B8143" t="str">
        <f>"19:11:11.930"</f>
        <v>19:11:11.930</v>
      </c>
      <c r="C8143" t="str">
        <f>"19:11:11.730"</f>
        <v>19:11:11.730</v>
      </c>
      <c r="D8143" t="s">
        <v>3218</v>
      </c>
      <c r="E8143">
        <v>30.594027000000001</v>
      </c>
      <c r="F8143" t="s">
        <v>428</v>
      </c>
      <c r="G8143">
        <v>-89.846126999999996</v>
      </c>
      <c r="H8143">
        <v>1600</v>
      </c>
      <c r="I8143">
        <v>127</v>
      </c>
      <c r="J8143">
        <v>77</v>
      </c>
      <c r="K8143">
        <v>-128</v>
      </c>
      <c r="L8143">
        <v>1200</v>
      </c>
      <c r="M8143" t="str">
        <f t="shared" si="788"/>
        <v xml:space="preserve">N35DC   </v>
      </c>
      <c r="N8143">
        <v>1</v>
      </c>
      <c r="O8143">
        <v>1675</v>
      </c>
    </row>
    <row r="8144" spans="1:15" x14ac:dyDescent="0.25">
      <c r="A8144" t="str">
        <f>"10/21/2020 19:11:03.979"</f>
        <v>10/21/2020 19:11:03.979</v>
      </c>
      <c r="B8144" t="str">
        <f>"19:11:11.930"</f>
        <v>19:11:11.930</v>
      </c>
      <c r="C8144" t="str">
        <f>"19:11:11.730"</f>
        <v>19:11:11.730</v>
      </c>
      <c r="D8144" t="s">
        <v>3218</v>
      </c>
      <c r="E8144">
        <v>30.594027000000001</v>
      </c>
      <c r="F8144" t="s">
        <v>428</v>
      </c>
      <c r="G8144">
        <v>-89.846126999999996</v>
      </c>
      <c r="H8144">
        <v>1600</v>
      </c>
      <c r="I8144">
        <v>127</v>
      </c>
      <c r="J8144">
        <v>77</v>
      </c>
      <c r="K8144">
        <v>-128</v>
      </c>
      <c r="L8144">
        <v>1200</v>
      </c>
      <c r="M8144" t="str">
        <f t="shared" si="788"/>
        <v xml:space="preserve">N35DC   </v>
      </c>
      <c r="N8144">
        <v>1</v>
      </c>
      <c r="O8144">
        <v>1675</v>
      </c>
    </row>
    <row r="8145" spans="1:15" x14ac:dyDescent="0.25">
      <c r="A8145" t="str">
        <f>"10/21/2020 19:11:07.125"</f>
        <v>10/21/2020 19:11:07.125</v>
      </c>
      <c r="B8145" t="str">
        <f>"19:11:15.094"</f>
        <v>19:11:15.094</v>
      </c>
      <c r="C8145" t="str">
        <f>"19:11:14.594"</f>
        <v>19:11:14.594</v>
      </c>
      <c r="D8145" t="s">
        <v>3219</v>
      </c>
      <c r="E8145">
        <v>30.595013999999999</v>
      </c>
      <c r="F8145" t="s">
        <v>555</v>
      </c>
      <c r="G8145">
        <v>-89.843830999999994</v>
      </c>
      <c r="H8145">
        <v>1600</v>
      </c>
      <c r="I8145">
        <v>136</v>
      </c>
      <c r="J8145">
        <v>60</v>
      </c>
      <c r="K8145">
        <v>-64</v>
      </c>
      <c r="L8145">
        <v>1200</v>
      </c>
      <c r="M8145" t="str">
        <f t="shared" si="788"/>
        <v xml:space="preserve">N35DC   </v>
      </c>
      <c r="N8145">
        <v>1</v>
      </c>
      <c r="O8145">
        <v>1675</v>
      </c>
    </row>
    <row r="8146" spans="1:15" x14ac:dyDescent="0.25">
      <c r="A8146" t="str">
        <f>"10/21/2020 19:11:07.125"</f>
        <v>10/21/2020 19:11:07.125</v>
      </c>
      <c r="B8146" t="str">
        <f>"19:11:15.094"</f>
        <v>19:11:15.094</v>
      </c>
      <c r="C8146" t="str">
        <f>"19:11:14.594"</f>
        <v>19:11:14.594</v>
      </c>
      <c r="D8146" t="s">
        <v>3219</v>
      </c>
      <c r="E8146">
        <v>30.595013999999999</v>
      </c>
      <c r="F8146" t="s">
        <v>555</v>
      </c>
      <c r="G8146">
        <v>-89.843830999999994</v>
      </c>
      <c r="H8146">
        <v>1600</v>
      </c>
      <c r="I8146">
        <v>136</v>
      </c>
      <c r="J8146">
        <v>60</v>
      </c>
      <c r="K8146">
        <v>-64</v>
      </c>
      <c r="L8146">
        <v>1200</v>
      </c>
      <c r="M8146" t="str">
        <f t="shared" si="788"/>
        <v xml:space="preserve">N35DC   </v>
      </c>
      <c r="N8146">
        <v>1</v>
      </c>
      <c r="O8146">
        <v>1675</v>
      </c>
    </row>
    <row r="8147" spans="1:15" x14ac:dyDescent="0.25">
      <c r="A8147" t="str">
        <f>"10/21/2020 19:11:07.125"</f>
        <v>10/21/2020 19:11:07.125</v>
      </c>
      <c r="B8147" t="str">
        <f>"19:11:15.094"</f>
        <v>19:11:15.094</v>
      </c>
      <c r="C8147" t="str">
        <f>"19:11:14.594"</f>
        <v>19:11:14.594</v>
      </c>
      <c r="D8147" t="s">
        <v>3219</v>
      </c>
      <c r="E8147">
        <v>30.595013999999999</v>
      </c>
      <c r="F8147" t="s">
        <v>555</v>
      </c>
      <c r="G8147">
        <v>-89.843830999999994</v>
      </c>
      <c r="H8147">
        <v>1600</v>
      </c>
      <c r="I8147">
        <v>136</v>
      </c>
      <c r="J8147">
        <v>60</v>
      </c>
      <c r="K8147">
        <v>-64</v>
      </c>
      <c r="L8147">
        <v>1200</v>
      </c>
      <c r="M8147" t="str">
        <f t="shared" si="788"/>
        <v xml:space="preserve">N35DC   </v>
      </c>
      <c r="N8147">
        <v>1</v>
      </c>
      <c r="O8147">
        <v>1675</v>
      </c>
    </row>
    <row r="8148" spans="1:15" x14ac:dyDescent="0.25">
      <c r="A8148" t="str">
        <f>"10/21/2020 19:11:07.125"</f>
        <v>10/21/2020 19:11:07.125</v>
      </c>
      <c r="B8148" t="str">
        <f>"19:11:15.094"</f>
        <v>19:11:15.094</v>
      </c>
      <c r="C8148" t="str">
        <f>"19:11:14.594"</f>
        <v>19:11:14.594</v>
      </c>
      <c r="D8148" t="s">
        <v>3219</v>
      </c>
      <c r="E8148">
        <v>30.595013999999999</v>
      </c>
      <c r="F8148" t="s">
        <v>555</v>
      </c>
      <c r="G8148">
        <v>-89.843830999999994</v>
      </c>
      <c r="H8148">
        <v>1600</v>
      </c>
      <c r="I8148">
        <v>136</v>
      </c>
      <c r="J8148">
        <v>60</v>
      </c>
      <c r="K8148">
        <v>-64</v>
      </c>
      <c r="L8148">
        <v>1200</v>
      </c>
      <c r="M8148" t="str">
        <f t="shared" si="788"/>
        <v xml:space="preserve">N35DC   </v>
      </c>
      <c r="N8148">
        <v>1</v>
      </c>
      <c r="O8148">
        <v>1675</v>
      </c>
    </row>
    <row r="8149" spans="1:15" x14ac:dyDescent="0.25">
      <c r="A8149" t="str">
        <f>"10/21/2020 19:11:07.125"</f>
        <v>10/21/2020 19:11:07.125</v>
      </c>
      <c r="B8149" t="str">
        <f>"19:11:15.094"</f>
        <v>19:11:15.094</v>
      </c>
      <c r="C8149" t="str">
        <f>"19:11:14.594"</f>
        <v>19:11:14.594</v>
      </c>
      <c r="D8149" t="s">
        <v>3219</v>
      </c>
      <c r="E8149">
        <v>30.595013999999999</v>
      </c>
      <c r="F8149" t="s">
        <v>555</v>
      </c>
      <c r="G8149">
        <v>-89.843830999999994</v>
      </c>
      <c r="H8149">
        <v>1600</v>
      </c>
      <c r="I8149">
        <v>136</v>
      </c>
      <c r="J8149">
        <v>60</v>
      </c>
      <c r="K8149">
        <v>-64</v>
      </c>
      <c r="L8149">
        <v>1200</v>
      </c>
      <c r="M8149" t="str">
        <f t="shared" si="788"/>
        <v xml:space="preserve">N35DC   </v>
      </c>
      <c r="N8149">
        <v>1</v>
      </c>
      <c r="O8149">
        <v>1675</v>
      </c>
    </row>
    <row r="8150" spans="1:15" x14ac:dyDescent="0.25">
      <c r="A8150" t="str">
        <f>"10/21/2020 19:11:08.227"</f>
        <v>10/21/2020 19:11:08.227</v>
      </c>
      <c r="B8150" t="str">
        <f>"19:11:16.188"</f>
        <v>19:11:16.188</v>
      </c>
      <c r="C8150" t="str">
        <f>"19:11:16.087"</f>
        <v>19:11:16.087</v>
      </c>
      <c r="D8150" t="s">
        <v>3220</v>
      </c>
      <c r="E8150">
        <v>30.59525</v>
      </c>
      <c r="F8150" t="s">
        <v>561</v>
      </c>
      <c r="G8150">
        <v>-89.843016000000006</v>
      </c>
      <c r="H8150">
        <v>1600</v>
      </c>
      <c r="I8150">
        <v>140</v>
      </c>
      <c r="J8150">
        <v>48</v>
      </c>
      <c r="K8150">
        <v>64</v>
      </c>
      <c r="L8150">
        <v>1200</v>
      </c>
      <c r="M8150" t="str">
        <f t="shared" si="788"/>
        <v xml:space="preserve">N35DC   </v>
      </c>
      <c r="N8150">
        <v>1</v>
      </c>
      <c r="O8150">
        <v>1675</v>
      </c>
    </row>
    <row r="8151" spans="1:15" x14ac:dyDescent="0.25">
      <c r="A8151" t="str">
        <f>"10/21/2020 19:11:08.227"</f>
        <v>10/21/2020 19:11:08.227</v>
      </c>
      <c r="B8151" t="str">
        <f>"19:11:16.188"</f>
        <v>19:11:16.188</v>
      </c>
      <c r="C8151" t="str">
        <f>"19:11:16.087"</f>
        <v>19:11:16.087</v>
      </c>
      <c r="D8151" t="s">
        <v>3220</v>
      </c>
      <c r="E8151">
        <v>30.59525</v>
      </c>
      <c r="F8151" t="s">
        <v>561</v>
      </c>
      <c r="G8151">
        <v>-89.843016000000006</v>
      </c>
      <c r="H8151">
        <v>1600</v>
      </c>
      <c r="I8151">
        <v>140</v>
      </c>
      <c r="J8151">
        <v>48</v>
      </c>
      <c r="K8151">
        <v>64</v>
      </c>
      <c r="L8151">
        <v>1200</v>
      </c>
      <c r="M8151" t="str">
        <f t="shared" si="788"/>
        <v xml:space="preserve">N35DC   </v>
      </c>
      <c r="N8151">
        <v>1</v>
      </c>
      <c r="O8151">
        <v>1675</v>
      </c>
    </row>
    <row r="8152" spans="1:15" x14ac:dyDescent="0.25">
      <c r="A8152" t="str">
        <f>"10/21/2020 19:11:08.227"</f>
        <v>10/21/2020 19:11:08.227</v>
      </c>
      <c r="B8152" t="str">
        <f>"19:11:16.188"</f>
        <v>19:11:16.188</v>
      </c>
      <c r="C8152" t="str">
        <f>"19:11:16.087"</f>
        <v>19:11:16.087</v>
      </c>
      <c r="D8152" t="s">
        <v>3220</v>
      </c>
      <c r="E8152">
        <v>30.59525</v>
      </c>
      <c r="F8152" t="s">
        <v>561</v>
      </c>
      <c r="G8152">
        <v>-89.843016000000006</v>
      </c>
      <c r="H8152">
        <v>1600</v>
      </c>
      <c r="I8152">
        <v>140</v>
      </c>
      <c r="J8152">
        <v>48</v>
      </c>
      <c r="K8152">
        <v>64</v>
      </c>
      <c r="L8152">
        <v>1200</v>
      </c>
      <c r="M8152" t="str">
        <f t="shared" si="788"/>
        <v xml:space="preserve">N35DC   </v>
      </c>
      <c r="N8152">
        <v>1</v>
      </c>
      <c r="O8152">
        <v>1675</v>
      </c>
    </row>
    <row r="8153" spans="1:15" x14ac:dyDescent="0.25">
      <c r="A8153" t="str">
        <f>"10/21/2020 19:11:08.227"</f>
        <v>10/21/2020 19:11:08.227</v>
      </c>
      <c r="B8153" t="str">
        <f>"19:11:16.188"</f>
        <v>19:11:16.188</v>
      </c>
      <c r="C8153" t="str">
        <f>"19:11:16.087"</f>
        <v>19:11:16.087</v>
      </c>
      <c r="D8153" t="s">
        <v>3220</v>
      </c>
      <c r="E8153">
        <v>30.59525</v>
      </c>
      <c r="F8153" t="s">
        <v>561</v>
      </c>
      <c r="G8153">
        <v>-89.843016000000006</v>
      </c>
      <c r="H8153">
        <v>1600</v>
      </c>
      <c r="I8153">
        <v>140</v>
      </c>
      <c r="J8153">
        <v>48</v>
      </c>
      <c r="K8153">
        <v>64</v>
      </c>
      <c r="L8153">
        <v>1200</v>
      </c>
      <c r="M8153" t="str">
        <f t="shared" si="788"/>
        <v xml:space="preserve">N35DC   </v>
      </c>
      <c r="N8153">
        <v>1</v>
      </c>
      <c r="O8153">
        <v>1675</v>
      </c>
    </row>
    <row r="8154" spans="1:15" x14ac:dyDescent="0.25">
      <c r="A8154" t="str">
        <f>"10/21/2020 19:11:08.227"</f>
        <v>10/21/2020 19:11:08.227</v>
      </c>
      <c r="B8154" t="str">
        <f>"19:11:16.188"</f>
        <v>19:11:16.188</v>
      </c>
      <c r="C8154" t="str">
        <f>"19:11:16.087"</f>
        <v>19:11:16.087</v>
      </c>
      <c r="D8154" t="s">
        <v>3220</v>
      </c>
      <c r="E8154">
        <v>30.59525</v>
      </c>
      <c r="F8154" t="s">
        <v>561</v>
      </c>
      <c r="G8154">
        <v>-89.843016000000006</v>
      </c>
      <c r="H8154">
        <v>1600</v>
      </c>
      <c r="I8154">
        <v>140</v>
      </c>
      <c r="J8154">
        <v>48</v>
      </c>
      <c r="K8154">
        <v>64</v>
      </c>
      <c r="L8154">
        <v>1200</v>
      </c>
      <c r="M8154" t="str">
        <f t="shared" si="788"/>
        <v xml:space="preserve">N35DC   </v>
      </c>
      <c r="N8154">
        <v>1</v>
      </c>
      <c r="O8154">
        <v>1675</v>
      </c>
    </row>
    <row r="8155" spans="1:15" x14ac:dyDescent="0.25">
      <c r="A8155" t="str">
        <f>"10/21/2020 19:11:11.068"</f>
        <v>10/21/2020 19:11:11.068</v>
      </c>
      <c r="B8155" t="str">
        <f>"19:11:19.023"</f>
        <v>19:11:19.023</v>
      </c>
      <c r="C8155" t="str">
        <f>"19:11:18.923"</f>
        <v>19:11:18.923</v>
      </c>
      <c r="D8155" t="s">
        <v>3221</v>
      </c>
      <c r="E8155">
        <v>30.595721999999999</v>
      </c>
      <c r="F8155" t="s">
        <v>3222</v>
      </c>
      <c r="G8155">
        <v>-89.840806000000001</v>
      </c>
      <c r="H8155">
        <v>1600</v>
      </c>
      <c r="I8155">
        <v>145</v>
      </c>
      <c r="J8155">
        <v>30</v>
      </c>
      <c r="K8155">
        <v>128</v>
      </c>
      <c r="L8155">
        <v>1200</v>
      </c>
      <c r="M8155" t="str">
        <f t="shared" si="788"/>
        <v xml:space="preserve">N35DC   </v>
      </c>
      <c r="N8155">
        <v>1</v>
      </c>
      <c r="O8155">
        <v>1675</v>
      </c>
    </row>
    <row r="8156" spans="1:15" x14ac:dyDescent="0.25">
      <c r="A8156" t="str">
        <f>"10/21/2020 19:11:11.068"</f>
        <v>10/21/2020 19:11:11.068</v>
      </c>
      <c r="B8156" t="str">
        <f>"19:11:19.023"</f>
        <v>19:11:19.023</v>
      </c>
      <c r="C8156" t="str">
        <f>"19:11:18.923"</f>
        <v>19:11:18.923</v>
      </c>
      <c r="D8156" t="s">
        <v>3221</v>
      </c>
      <c r="E8156">
        <v>30.595721999999999</v>
      </c>
      <c r="F8156" t="s">
        <v>3222</v>
      </c>
      <c r="G8156">
        <v>-89.840806000000001</v>
      </c>
      <c r="H8156">
        <v>1600</v>
      </c>
      <c r="I8156">
        <v>145</v>
      </c>
      <c r="J8156">
        <v>30</v>
      </c>
      <c r="K8156">
        <v>128</v>
      </c>
      <c r="L8156">
        <v>1200</v>
      </c>
      <c r="M8156" t="str">
        <f t="shared" si="788"/>
        <v xml:space="preserve">N35DC   </v>
      </c>
      <c r="N8156">
        <v>1</v>
      </c>
      <c r="O8156">
        <v>1675</v>
      </c>
    </row>
    <row r="8157" spans="1:15" x14ac:dyDescent="0.25">
      <c r="A8157" t="str">
        <f>"10/21/2020 19:11:11.068"</f>
        <v>10/21/2020 19:11:11.068</v>
      </c>
      <c r="B8157" t="str">
        <f>"19:11:19.023"</f>
        <v>19:11:19.023</v>
      </c>
      <c r="C8157" t="str">
        <f>"19:11:18.923"</f>
        <v>19:11:18.923</v>
      </c>
      <c r="D8157" t="s">
        <v>3221</v>
      </c>
      <c r="E8157">
        <v>30.595721999999999</v>
      </c>
      <c r="F8157" t="s">
        <v>3222</v>
      </c>
      <c r="G8157">
        <v>-89.840806000000001</v>
      </c>
      <c r="H8157">
        <v>1600</v>
      </c>
      <c r="I8157">
        <v>145</v>
      </c>
      <c r="J8157">
        <v>30</v>
      </c>
      <c r="K8157">
        <v>128</v>
      </c>
      <c r="L8157">
        <v>1200</v>
      </c>
      <c r="M8157" t="str">
        <f t="shared" si="788"/>
        <v xml:space="preserve">N35DC   </v>
      </c>
      <c r="N8157">
        <v>1</v>
      </c>
      <c r="O8157">
        <v>1675</v>
      </c>
    </row>
    <row r="8158" spans="1:15" x14ac:dyDescent="0.25">
      <c r="A8158" t="str">
        <f>"10/21/2020 19:11:11.068"</f>
        <v>10/21/2020 19:11:11.068</v>
      </c>
      <c r="B8158" t="str">
        <f>"19:11:19.023"</f>
        <v>19:11:19.023</v>
      </c>
      <c r="C8158" t="str">
        <f>"19:11:18.923"</f>
        <v>19:11:18.923</v>
      </c>
      <c r="D8158" t="s">
        <v>3221</v>
      </c>
      <c r="E8158">
        <v>30.595721999999999</v>
      </c>
      <c r="F8158" t="s">
        <v>3222</v>
      </c>
      <c r="G8158">
        <v>-89.840806000000001</v>
      </c>
      <c r="H8158">
        <v>1600</v>
      </c>
      <c r="I8158">
        <v>145</v>
      </c>
      <c r="J8158">
        <v>30</v>
      </c>
      <c r="K8158">
        <v>128</v>
      </c>
      <c r="L8158">
        <v>1200</v>
      </c>
      <c r="M8158" t="str">
        <f t="shared" si="788"/>
        <v xml:space="preserve">N35DC   </v>
      </c>
      <c r="N8158">
        <v>1</v>
      </c>
      <c r="O8158">
        <v>1675</v>
      </c>
    </row>
    <row r="8159" spans="1:15" x14ac:dyDescent="0.25">
      <c r="A8159" t="str">
        <f>"10/21/2020 19:11:11.068"</f>
        <v>10/21/2020 19:11:11.068</v>
      </c>
      <c r="B8159" t="str">
        <f>"19:11:19.023"</f>
        <v>19:11:19.023</v>
      </c>
      <c r="C8159" t="str">
        <f>"19:11:18.923"</f>
        <v>19:11:18.923</v>
      </c>
      <c r="D8159" t="s">
        <v>3221</v>
      </c>
      <c r="E8159">
        <v>30.595721999999999</v>
      </c>
      <c r="F8159" t="s">
        <v>3222</v>
      </c>
      <c r="G8159">
        <v>-89.840806000000001</v>
      </c>
      <c r="H8159">
        <v>1600</v>
      </c>
      <c r="I8159">
        <v>145</v>
      </c>
      <c r="J8159">
        <v>30</v>
      </c>
      <c r="K8159">
        <v>128</v>
      </c>
      <c r="L8159">
        <v>1200</v>
      </c>
      <c r="M8159" t="str">
        <f t="shared" si="788"/>
        <v xml:space="preserve">N35DC   </v>
      </c>
      <c r="N8159">
        <v>1</v>
      </c>
      <c r="O8159">
        <v>1675</v>
      </c>
    </row>
    <row r="8160" spans="1:15" x14ac:dyDescent="0.25">
      <c r="A8160" t="str">
        <f>"10/21/2020 19:11:12.060"</f>
        <v>10/21/2020 19:11:12.060</v>
      </c>
      <c r="B8160" t="str">
        <f t="shared" ref="B8160:C8164" si="789">"19:11:19.984"</f>
        <v>19:11:19.984</v>
      </c>
      <c r="C8160" t="str">
        <f t="shared" si="789"/>
        <v>19:11:19.984</v>
      </c>
      <c r="D8160" t="s">
        <v>3223</v>
      </c>
      <c r="E8160">
        <v>30.595828999999998</v>
      </c>
      <c r="F8160" t="s">
        <v>3224</v>
      </c>
      <c r="G8160">
        <v>-89.840097</v>
      </c>
      <c r="H8160">
        <v>1600</v>
      </c>
      <c r="I8160">
        <v>146</v>
      </c>
      <c r="J8160">
        <v>23</v>
      </c>
      <c r="K8160">
        <v>64</v>
      </c>
      <c r="L8160">
        <v>1200</v>
      </c>
      <c r="M8160" t="str">
        <f t="shared" si="788"/>
        <v xml:space="preserve">N35DC   </v>
      </c>
      <c r="N8160">
        <v>1</v>
      </c>
      <c r="O8160">
        <v>1700</v>
      </c>
    </row>
    <row r="8161" spans="1:15" x14ac:dyDescent="0.25">
      <c r="A8161" t="str">
        <f>"10/21/2020 19:11:12.060"</f>
        <v>10/21/2020 19:11:12.060</v>
      </c>
      <c r="B8161" t="str">
        <f t="shared" si="789"/>
        <v>19:11:19.984</v>
      </c>
      <c r="C8161" t="str">
        <f t="shared" si="789"/>
        <v>19:11:19.984</v>
      </c>
      <c r="D8161" t="s">
        <v>3223</v>
      </c>
      <c r="E8161">
        <v>30.595828999999998</v>
      </c>
      <c r="F8161" t="s">
        <v>3224</v>
      </c>
      <c r="G8161">
        <v>-89.840097</v>
      </c>
      <c r="H8161">
        <v>1600</v>
      </c>
      <c r="I8161">
        <v>146</v>
      </c>
      <c r="J8161">
        <v>23</v>
      </c>
      <c r="K8161">
        <v>64</v>
      </c>
      <c r="L8161">
        <v>1200</v>
      </c>
      <c r="M8161" t="str">
        <f t="shared" si="788"/>
        <v xml:space="preserve">N35DC   </v>
      </c>
      <c r="N8161">
        <v>1</v>
      </c>
      <c r="O8161">
        <v>1700</v>
      </c>
    </row>
    <row r="8162" spans="1:15" x14ac:dyDescent="0.25">
      <c r="A8162" t="str">
        <f>"10/21/2020 19:11:12.060"</f>
        <v>10/21/2020 19:11:12.060</v>
      </c>
      <c r="B8162" t="str">
        <f t="shared" si="789"/>
        <v>19:11:19.984</v>
      </c>
      <c r="C8162" t="str">
        <f t="shared" si="789"/>
        <v>19:11:19.984</v>
      </c>
      <c r="D8162" t="s">
        <v>3223</v>
      </c>
      <c r="E8162">
        <v>30.595828999999998</v>
      </c>
      <c r="F8162" t="s">
        <v>3224</v>
      </c>
      <c r="G8162">
        <v>-89.840097</v>
      </c>
      <c r="H8162">
        <v>1600</v>
      </c>
      <c r="I8162">
        <v>146</v>
      </c>
      <c r="J8162">
        <v>23</v>
      </c>
      <c r="K8162">
        <v>64</v>
      </c>
      <c r="L8162">
        <v>1200</v>
      </c>
      <c r="M8162" t="str">
        <f t="shared" si="788"/>
        <v xml:space="preserve">N35DC   </v>
      </c>
      <c r="N8162">
        <v>1</v>
      </c>
      <c r="O8162">
        <v>1700</v>
      </c>
    </row>
    <row r="8163" spans="1:15" x14ac:dyDescent="0.25">
      <c r="A8163" t="str">
        <f>"10/21/2020 19:11:12.060"</f>
        <v>10/21/2020 19:11:12.060</v>
      </c>
      <c r="B8163" t="str">
        <f t="shared" si="789"/>
        <v>19:11:19.984</v>
      </c>
      <c r="C8163" t="str">
        <f t="shared" si="789"/>
        <v>19:11:19.984</v>
      </c>
      <c r="D8163" t="s">
        <v>3223</v>
      </c>
      <c r="E8163">
        <v>30.595828999999998</v>
      </c>
      <c r="F8163" t="s">
        <v>3224</v>
      </c>
      <c r="G8163">
        <v>-89.840097</v>
      </c>
      <c r="H8163">
        <v>1600</v>
      </c>
      <c r="I8163">
        <v>146</v>
      </c>
      <c r="J8163">
        <v>23</v>
      </c>
      <c r="K8163">
        <v>64</v>
      </c>
      <c r="L8163">
        <v>1200</v>
      </c>
      <c r="M8163" t="str">
        <f t="shared" si="788"/>
        <v xml:space="preserve">N35DC   </v>
      </c>
      <c r="N8163">
        <v>1</v>
      </c>
      <c r="O8163">
        <v>1700</v>
      </c>
    </row>
    <row r="8164" spans="1:15" x14ac:dyDescent="0.25">
      <c r="A8164" t="str">
        <f>"10/21/2020 19:11:12.060"</f>
        <v>10/21/2020 19:11:12.060</v>
      </c>
      <c r="B8164" t="str">
        <f t="shared" si="789"/>
        <v>19:11:19.984</v>
      </c>
      <c r="C8164" t="str">
        <f t="shared" si="789"/>
        <v>19:11:19.984</v>
      </c>
      <c r="D8164" t="s">
        <v>3223</v>
      </c>
      <c r="E8164">
        <v>30.595828999999998</v>
      </c>
      <c r="F8164" t="s">
        <v>3224</v>
      </c>
      <c r="G8164">
        <v>-89.840097</v>
      </c>
      <c r="H8164">
        <v>1600</v>
      </c>
      <c r="I8164">
        <v>146</v>
      </c>
      <c r="J8164">
        <v>23</v>
      </c>
      <c r="K8164">
        <v>64</v>
      </c>
      <c r="L8164">
        <v>1200</v>
      </c>
      <c r="M8164" t="str">
        <f t="shared" si="788"/>
        <v xml:space="preserve">N35DC   </v>
      </c>
      <c r="N8164">
        <v>1</v>
      </c>
      <c r="O8164">
        <v>1700</v>
      </c>
    </row>
    <row r="8165" spans="1:15" x14ac:dyDescent="0.25">
      <c r="A8165" t="str">
        <f>"10/21/2020 19:11:15.255"</f>
        <v>10/21/2020 19:11:15.255</v>
      </c>
      <c r="B8165" t="str">
        <f>"19:11:23.164"</f>
        <v>19:11:23.164</v>
      </c>
      <c r="C8165" t="str">
        <f>"19:11:22.764"</f>
        <v>19:11:22.764</v>
      </c>
      <c r="D8165" t="s">
        <v>3225</v>
      </c>
      <c r="E8165">
        <v>30.596001000000001</v>
      </c>
      <c r="F8165" t="s">
        <v>3226</v>
      </c>
      <c r="G8165">
        <v>-89.837564999999998</v>
      </c>
      <c r="H8165">
        <v>1600</v>
      </c>
      <c r="I8165">
        <v>148</v>
      </c>
      <c r="J8165">
        <v>3</v>
      </c>
      <c r="K8165">
        <v>128</v>
      </c>
      <c r="L8165">
        <v>1200</v>
      </c>
      <c r="M8165" t="str">
        <f t="shared" si="788"/>
        <v xml:space="preserve">N35DC   </v>
      </c>
      <c r="N8165">
        <v>1</v>
      </c>
      <c r="O8165">
        <v>1700</v>
      </c>
    </row>
    <row r="8166" spans="1:15" x14ac:dyDescent="0.25">
      <c r="A8166" t="str">
        <f>"10/21/2020 19:11:15.255"</f>
        <v>10/21/2020 19:11:15.255</v>
      </c>
      <c r="B8166" t="str">
        <f>"19:11:23.164"</f>
        <v>19:11:23.164</v>
      </c>
      <c r="C8166" t="str">
        <f>"19:11:22.764"</f>
        <v>19:11:22.764</v>
      </c>
      <c r="D8166" t="s">
        <v>3225</v>
      </c>
      <c r="E8166">
        <v>30.596001000000001</v>
      </c>
      <c r="F8166" t="s">
        <v>3226</v>
      </c>
      <c r="G8166">
        <v>-89.837564999999998</v>
      </c>
      <c r="H8166">
        <v>1600</v>
      </c>
      <c r="I8166">
        <v>148</v>
      </c>
      <c r="J8166">
        <v>3</v>
      </c>
      <c r="K8166">
        <v>128</v>
      </c>
      <c r="L8166">
        <v>1200</v>
      </c>
      <c r="M8166" t="str">
        <f t="shared" si="788"/>
        <v xml:space="preserve">N35DC   </v>
      </c>
      <c r="N8166">
        <v>1</v>
      </c>
      <c r="O8166">
        <v>1700</v>
      </c>
    </row>
    <row r="8167" spans="1:15" x14ac:dyDescent="0.25">
      <c r="A8167" t="str">
        <f>"10/21/2020 19:11:15.255"</f>
        <v>10/21/2020 19:11:15.255</v>
      </c>
      <c r="B8167" t="str">
        <f>"19:11:23.164"</f>
        <v>19:11:23.164</v>
      </c>
      <c r="C8167" t="str">
        <f>"19:11:22.764"</f>
        <v>19:11:22.764</v>
      </c>
      <c r="D8167" t="s">
        <v>3225</v>
      </c>
      <c r="E8167">
        <v>30.596001000000001</v>
      </c>
      <c r="F8167" t="s">
        <v>3226</v>
      </c>
      <c r="G8167">
        <v>-89.837564999999998</v>
      </c>
      <c r="H8167">
        <v>1600</v>
      </c>
      <c r="I8167">
        <v>148</v>
      </c>
      <c r="J8167">
        <v>3</v>
      </c>
      <c r="K8167">
        <v>128</v>
      </c>
      <c r="L8167">
        <v>1200</v>
      </c>
      <c r="M8167" t="str">
        <f t="shared" si="788"/>
        <v xml:space="preserve">N35DC   </v>
      </c>
      <c r="N8167">
        <v>1</v>
      </c>
      <c r="O8167">
        <v>1700</v>
      </c>
    </row>
    <row r="8168" spans="1:15" x14ac:dyDescent="0.25">
      <c r="A8168" t="str">
        <f>"10/21/2020 19:11:15.255"</f>
        <v>10/21/2020 19:11:15.255</v>
      </c>
      <c r="B8168" t="str">
        <f>"19:11:23.164"</f>
        <v>19:11:23.164</v>
      </c>
      <c r="C8168" t="str">
        <f>"19:11:22.764"</f>
        <v>19:11:22.764</v>
      </c>
      <c r="D8168" t="s">
        <v>3225</v>
      </c>
      <c r="E8168">
        <v>30.596001000000001</v>
      </c>
      <c r="F8168" t="s">
        <v>3226</v>
      </c>
      <c r="G8168">
        <v>-89.837564999999998</v>
      </c>
      <c r="H8168">
        <v>1600</v>
      </c>
      <c r="I8168">
        <v>148</v>
      </c>
      <c r="J8168">
        <v>3</v>
      </c>
      <c r="K8168">
        <v>128</v>
      </c>
      <c r="L8168">
        <v>1200</v>
      </c>
      <c r="M8168" t="str">
        <f t="shared" si="788"/>
        <v xml:space="preserve">N35DC   </v>
      </c>
      <c r="N8168">
        <v>1</v>
      </c>
      <c r="O8168">
        <v>1700</v>
      </c>
    </row>
    <row r="8169" spans="1:15" x14ac:dyDescent="0.25">
      <c r="A8169" t="str">
        <f>"10/21/2020 19:11:15.255"</f>
        <v>10/21/2020 19:11:15.255</v>
      </c>
      <c r="B8169" t="str">
        <f>"19:11:23.164"</f>
        <v>19:11:23.164</v>
      </c>
      <c r="C8169" t="str">
        <f>"19:11:22.764"</f>
        <v>19:11:22.764</v>
      </c>
      <c r="D8169" t="s">
        <v>3225</v>
      </c>
      <c r="E8169">
        <v>30.596001000000001</v>
      </c>
      <c r="F8169" t="s">
        <v>3226</v>
      </c>
      <c r="G8169">
        <v>-89.837564999999998</v>
      </c>
      <c r="H8169">
        <v>1600</v>
      </c>
      <c r="I8169">
        <v>148</v>
      </c>
      <c r="J8169">
        <v>3</v>
      </c>
      <c r="K8169">
        <v>128</v>
      </c>
      <c r="L8169">
        <v>1200</v>
      </c>
      <c r="M8169" t="str">
        <f t="shared" si="788"/>
        <v xml:space="preserve">N35DC   </v>
      </c>
      <c r="N8169">
        <v>1</v>
      </c>
      <c r="O8169">
        <v>1700</v>
      </c>
    </row>
    <row r="8170" spans="1:15" x14ac:dyDescent="0.25">
      <c r="A8170" t="str">
        <f>"10/21/2020 19:11:18.298"</f>
        <v>10/21/2020 19:11:18.298</v>
      </c>
      <c r="B8170" t="str">
        <f>"19:11:26.234"</f>
        <v>19:11:26.234</v>
      </c>
      <c r="C8170" t="str">
        <f>"19:11:26.134"</f>
        <v>19:11:26.134</v>
      </c>
      <c r="D8170" t="s">
        <v>3227</v>
      </c>
      <c r="E8170">
        <v>30.595808000000002</v>
      </c>
      <c r="F8170" t="s">
        <v>3228</v>
      </c>
      <c r="G8170">
        <v>-89.835140999999993</v>
      </c>
      <c r="H8170">
        <v>1600</v>
      </c>
      <c r="I8170">
        <v>148</v>
      </c>
      <c r="J8170">
        <v>-21</v>
      </c>
      <c r="K8170">
        <v>-64</v>
      </c>
      <c r="L8170">
        <v>1200</v>
      </c>
      <c r="M8170" t="str">
        <f t="shared" si="788"/>
        <v xml:space="preserve">N35DC   </v>
      </c>
      <c r="N8170">
        <v>1</v>
      </c>
      <c r="O8170">
        <v>1700</v>
      </c>
    </row>
    <row r="8171" spans="1:15" x14ac:dyDescent="0.25">
      <c r="A8171" t="str">
        <f>"10/21/2020 19:11:18.298"</f>
        <v>10/21/2020 19:11:18.298</v>
      </c>
      <c r="B8171" t="str">
        <f>"19:11:26.234"</f>
        <v>19:11:26.234</v>
      </c>
      <c r="C8171" t="str">
        <f>"19:11:26.134"</f>
        <v>19:11:26.134</v>
      </c>
      <c r="D8171" t="s">
        <v>3227</v>
      </c>
      <c r="E8171">
        <v>30.595808000000002</v>
      </c>
      <c r="F8171" t="s">
        <v>3228</v>
      </c>
      <c r="G8171">
        <v>-89.835140999999993</v>
      </c>
      <c r="H8171">
        <v>1600</v>
      </c>
      <c r="I8171">
        <v>148</v>
      </c>
      <c r="J8171">
        <v>-21</v>
      </c>
      <c r="K8171">
        <v>-64</v>
      </c>
      <c r="L8171">
        <v>1200</v>
      </c>
      <c r="M8171" t="str">
        <f t="shared" si="788"/>
        <v xml:space="preserve">N35DC   </v>
      </c>
      <c r="N8171">
        <v>1</v>
      </c>
      <c r="O8171">
        <v>1700</v>
      </c>
    </row>
    <row r="8172" spans="1:15" x14ac:dyDescent="0.25">
      <c r="A8172" t="str">
        <f>"10/21/2020 19:11:18.298"</f>
        <v>10/21/2020 19:11:18.298</v>
      </c>
      <c r="B8172" t="str">
        <f>"19:11:26.234"</f>
        <v>19:11:26.234</v>
      </c>
      <c r="C8172" t="str">
        <f>"19:11:26.134"</f>
        <v>19:11:26.134</v>
      </c>
      <c r="D8172" t="s">
        <v>3227</v>
      </c>
      <c r="E8172">
        <v>30.595808000000002</v>
      </c>
      <c r="F8172" t="s">
        <v>3228</v>
      </c>
      <c r="G8172">
        <v>-89.835140999999993</v>
      </c>
      <c r="H8172">
        <v>1600</v>
      </c>
      <c r="I8172">
        <v>148</v>
      </c>
      <c r="J8172">
        <v>-21</v>
      </c>
      <c r="K8172">
        <v>-64</v>
      </c>
      <c r="L8172">
        <v>1200</v>
      </c>
      <c r="M8172" t="str">
        <f t="shared" si="788"/>
        <v xml:space="preserve">N35DC   </v>
      </c>
      <c r="N8172">
        <v>1</v>
      </c>
      <c r="O8172">
        <v>1700</v>
      </c>
    </row>
    <row r="8173" spans="1:15" x14ac:dyDescent="0.25">
      <c r="A8173" t="str">
        <f>"10/21/2020 19:11:18.298"</f>
        <v>10/21/2020 19:11:18.298</v>
      </c>
      <c r="B8173" t="str">
        <f>"19:11:26.234"</f>
        <v>19:11:26.234</v>
      </c>
      <c r="C8173" t="str">
        <f>"19:11:26.134"</f>
        <v>19:11:26.134</v>
      </c>
      <c r="D8173" t="s">
        <v>3227</v>
      </c>
      <c r="E8173">
        <v>30.595808000000002</v>
      </c>
      <c r="F8173" t="s">
        <v>3228</v>
      </c>
      <c r="G8173">
        <v>-89.835140999999993</v>
      </c>
      <c r="H8173">
        <v>1600</v>
      </c>
      <c r="I8173">
        <v>148</v>
      </c>
      <c r="J8173">
        <v>-21</v>
      </c>
      <c r="K8173">
        <v>-64</v>
      </c>
      <c r="L8173">
        <v>1200</v>
      </c>
      <c r="M8173" t="str">
        <f t="shared" si="788"/>
        <v xml:space="preserve">N35DC   </v>
      </c>
      <c r="N8173">
        <v>1</v>
      </c>
      <c r="O8173">
        <v>1700</v>
      </c>
    </row>
    <row r="8174" spans="1:15" x14ac:dyDescent="0.25">
      <c r="A8174" t="str">
        <f>"10/21/2020 19:11:18.298"</f>
        <v>10/21/2020 19:11:18.298</v>
      </c>
      <c r="B8174" t="str">
        <f>"19:11:26.234"</f>
        <v>19:11:26.234</v>
      </c>
      <c r="C8174" t="str">
        <f>"19:11:26.134"</f>
        <v>19:11:26.134</v>
      </c>
      <c r="D8174" t="s">
        <v>3227</v>
      </c>
      <c r="E8174">
        <v>30.595808000000002</v>
      </c>
      <c r="F8174" t="s">
        <v>3228</v>
      </c>
      <c r="G8174">
        <v>-89.835140999999993</v>
      </c>
      <c r="H8174">
        <v>1600</v>
      </c>
      <c r="I8174">
        <v>148</v>
      </c>
      <c r="J8174">
        <v>-21</v>
      </c>
      <c r="K8174">
        <v>-64</v>
      </c>
      <c r="L8174">
        <v>1200</v>
      </c>
      <c r="M8174" t="str">
        <f t="shared" si="788"/>
        <v xml:space="preserve">N35DC   </v>
      </c>
      <c r="N8174">
        <v>1</v>
      </c>
      <c r="O8174">
        <v>1700</v>
      </c>
    </row>
    <row r="8175" spans="1:15" x14ac:dyDescent="0.25">
      <c r="A8175" t="str">
        <f>"10/21/2020 19:11:19.210"</f>
        <v>10/21/2020 19:11:19.210</v>
      </c>
      <c r="B8175" t="str">
        <f>"19:11:27.164"</f>
        <v>19:11:27.164</v>
      </c>
      <c r="C8175" t="str">
        <f>"19:11:26.664"</f>
        <v>19:11:26.664</v>
      </c>
      <c r="D8175" t="s">
        <v>3229</v>
      </c>
      <c r="E8175">
        <v>30.595658</v>
      </c>
      <c r="F8175" t="s">
        <v>3230</v>
      </c>
      <c r="G8175">
        <v>-89.834389999999999</v>
      </c>
      <c r="H8175">
        <v>1600</v>
      </c>
      <c r="I8175">
        <v>147</v>
      </c>
      <c r="J8175">
        <v>-25</v>
      </c>
      <c r="K8175">
        <v>-64</v>
      </c>
      <c r="L8175">
        <v>1200</v>
      </c>
      <c r="M8175" t="str">
        <f t="shared" si="788"/>
        <v xml:space="preserve">N35DC   </v>
      </c>
      <c r="N8175">
        <v>1</v>
      </c>
      <c r="O8175">
        <v>1700</v>
      </c>
    </row>
    <row r="8176" spans="1:15" x14ac:dyDescent="0.25">
      <c r="A8176" t="str">
        <f>"10/21/2020 19:11:19.210"</f>
        <v>10/21/2020 19:11:19.210</v>
      </c>
      <c r="B8176" t="str">
        <f>"19:11:27.164"</f>
        <v>19:11:27.164</v>
      </c>
      <c r="C8176" t="str">
        <f>"19:11:26.664"</f>
        <v>19:11:26.664</v>
      </c>
      <c r="D8176" t="s">
        <v>3229</v>
      </c>
      <c r="E8176">
        <v>30.595658</v>
      </c>
      <c r="F8176" t="s">
        <v>3230</v>
      </c>
      <c r="G8176">
        <v>-89.834389999999999</v>
      </c>
      <c r="H8176">
        <v>1600</v>
      </c>
      <c r="I8176">
        <v>147</v>
      </c>
      <c r="J8176">
        <v>-25</v>
      </c>
      <c r="K8176">
        <v>-64</v>
      </c>
      <c r="L8176">
        <v>1200</v>
      </c>
      <c r="M8176" t="str">
        <f t="shared" si="788"/>
        <v xml:space="preserve">N35DC   </v>
      </c>
      <c r="N8176">
        <v>1</v>
      </c>
      <c r="O8176">
        <v>1700</v>
      </c>
    </row>
    <row r="8177" spans="1:15" x14ac:dyDescent="0.25">
      <c r="A8177" t="str">
        <f>"10/21/2020 19:11:19.210"</f>
        <v>10/21/2020 19:11:19.210</v>
      </c>
      <c r="B8177" t="str">
        <f>"19:11:27.164"</f>
        <v>19:11:27.164</v>
      </c>
      <c r="C8177" t="str">
        <f>"19:11:26.664"</f>
        <v>19:11:26.664</v>
      </c>
      <c r="D8177" t="s">
        <v>3229</v>
      </c>
      <c r="E8177">
        <v>30.595658</v>
      </c>
      <c r="F8177" t="s">
        <v>3230</v>
      </c>
      <c r="G8177">
        <v>-89.834389999999999</v>
      </c>
      <c r="H8177">
        <v>1600</v>
      </c>
      <c r="I8177">
        <v>147</v>
      </c>
      <c r="J8177">
        <v>-25</v>
      </c>
      <c r="K8177">
        <v>-64</v>
      </c>
      <c r="L8177">
        <v>1200</v>
      </c>
      <c r="M8177" t="str">
        <f t="shared" si="788"/>
        <v xml:space="preserve">N35DC   </v>
      </c>
      <c r="N8177">
        <v>1</v>
      </c>
      <c r="O8177">
        <v>1700</v>
      </c>
    </row>
    <row r="8178" spans="1:15" x14ac:dyDescent="0.25">
      <c r="A8178" t="str">
        <f>"10/21/2020 19:11:19.210"</f>
        <v>10/21/2020 19:11:19.210</v>
      </c>
      <c r="B8178" t="str">
        <f>"19:11:27.164"</f>
        <v>19:11:27.164</v>
      </c>
      <c r="C8178" t="str">
        <f>"19:11:26.664"</f>
        <v>19:11:26.664</v>
      </c>
      <c r="D8178" t="s">
        <v>3229</v>
      </c>
      <c r="E8178">
        <v>30.595658</v>
      </c>
      <c r="F8178" t="s">
        <v>3230</v>
      </c>
      <c r="G8178">
        <v>-89.834389999999999</v>
      </c>
      <c r="H8178">
        <v>1600</v>
      </c>
      <c r="I8178">
        <v>147</v>
      </c>
      <c r="J8178">
        <v>-25</v>
      </c>
      <c r="K8178">
        <v>-64</v>
      </c>
      <c r="L8178">
        <v>1200</v>
      </c>
      <c r="M8178" t="str">
        <f t="shared" si="788"/>
        <v xml:space="preserve">N35DC   </v>
      </c>
      <c r="N8178">
        <v>1</v>
      </c>
      <c r="O8178">
        <v>1700</v>
      </c>
    </row>
    <row r="8179" spans="1:15" x14ac:dyDescent="0.25">
      <c r="A8179" t="str">
        <f>"10/21/2020 19:11:19.210"</f>
        <v>10/21/2020 19:11:19.210</v>
      </c>
      <c r="B8179" t="str">
        <f>"19:11:27.164"</f>
        <v>19:11:27.164</v>
      </c>
      <c r="C8179" t="str">
        <f>"19:11:26.664"</f>
        <v>19:11:26.664</v>
      </c>
      <c r="D8179" t="s">
        <v>3229</v>
      </c>
      <c r="E8179">
        <v>30.595658</v>
      </c>
      <c r="F8179" t="s">
        <v>3230</v>
      </c>
      <c r="G8179">
        <v>-89.834389999999999</v>
      </c>
      <c r="H8179">
        <v>1600</v>
      </c>
      <c r="I8179">
        <v>147</v>
      </c>
      <c r="J8179">
        <v>-25</v>
      </c>
      <c r="K8179">
        <v>-64</v>
      </c>
      <c r="L8179">
        <v>1200</v>
      </c>
      <c r="M8179" t="str">
        <f t="shared" si="788"/>
        <v xml:space="preserve">N35DC   </v>
      </c>
      <c r="N8179">
        <v>1</v>
      </c>
      <c r="O8179">
        <v>1700</v>
      </c>
    </row>
    <row r="8180" spans="1:15" x14ac:dyDescent="0.25">
      <c r="A8180" t="str">
        <f>"10/21/2020 19:11:22.215"</f>
        <v>10/21/2020 19:11:22.215</v>
      </c>
      <c r="B8180" t="str">
        <f>"19:11:30.164"</f>
        <v>19:11:30.164</v>
      </c>
      <c r="C8180" t="str">
        <f>"19:11:29.864"</f>
        <v>19:11:29.864</v>
      </c>
      <c r="D8180" t="s">
        <v>3231</v>
      </c>
      <c r="E8180">
        <v>30.595057000000001</v>
      </c>
      <c r="F8180" t="s">
        <v>3232</v>
      </c>
      <c r="G8180">
        <v>-89.832071999999997</v>
      </c>
      <c r="H8180">
        <v>1600</v>
      </c>
      <c r="I8180">
        <v>142</v>
      </c>
      <c r="J8180">
        <v>-50</v>
      </c>
      <c r="K8180">
        <v>-64</v>
      </c>
      <c r="L8180">
        <v>1200</v>
      </c>
      <c r="M8180" t="str">
        <f t="shared" si="788"/>
        <v xml:space="preserve">N35DC   </v>
      </c>
      <c r="N8180">
        <v>1</v>
      </c>
      <c r="O8180">
        <v>1700</v>
      </c>
    </row>
    <row r="8181" spans="1:15" x14ac:dyDescent="0.25">
      <c r="A8181" t="str">
        <f>"10/21/2020 19:11:22.215"</f>
        <v>10/21/2020 19:11:22.215</v>
      </c>
      <c r="B8181" t="str">
        <f>"19:11:30.164"</f>
        <v>19:11:30.164</v>
      </c>
      <c r="C8181" t="str">
        <f>"19:11:29.864"</f>
        <v>19:11:29.864</v>
      </c>
      <c r="D8181" t="s">
        <v>3231</v>
      </c>
      <c r="E8181">
        <v>30.595057000000001</v>
      </c>
      <c r="F8181" t="s">
        <v>3232</v>
      </c>
      <c r="G8181">
        <v>-89.832071999999997</v>
      </c>
      <c r="H8181">
        <v>1600</v>
      </c>
      <c r="I8181">
        <v>142</v>
      </c>
      <c r="J8181">
        <v>-50</v>
      </c>
      <c r="K8181">
        <v>-64</v>
      </c>
      <c r="L8181">
        <v>1200</v>
      </c>
      <c r="M8181" t="str">
        <f t="shared" si="788"/>
        <v xml:space="preserve">N35DC   </v>
      </c>
      <c r="N8181">
        <v>1</v>
      </c>
      <c r="O8181">
        <v>1700</v>
      </c>
    </row>
    <row r="8182" spans="1:15" x14ac:dyDescent="0.25">
      <c r="A8182" t="str">
        <f>"10/21/2020 19:11:22.215"</f>
        <v>10/21/2020 19:11:22.215</v>
      </c>
      <c r="B8182" t="str">
        <f>"19:11:30.164"</f>
        <v>19:11:30.164</v>
      </c>
      <c r="C8182" t="str">
        <f>"19:11:29.864"</f>
        <v>19:11:29.864</v>
      </c>
      <c r="D8182" t="s">
        <v>3231</v>
      </c>
      <c r="E8182">
        <v>30.595057000000001</v>
      </c>
      <c r="F8182" t="s">
        <v>3232</v>
      </c>
      <c r="G8182">
        <v>-89.832071999999997</v>
      </c>
      <c r="H8182">
        <v>1600</v>
      </c>
      <c r="I8182">
        <v>142</v>
      </c>
      <c r="J8182">
        <v>-50</v>
      </c>
      <c r="K8182">
        <v>-64</v>
      </c>
      <c r="L8182">
        <v>1200</v>
      </c>
      <c r="M8182" t="str">
        <f t="shared" si="788"/>
        <v xml:space="preserve">N35DC   </v>
      </c>
      <c r="N8182">
        <v>1</v>
      </c>
      <c r="O8182">
        <v>1700</v>
      </c>
    </row>
    <row r="8183" spans="1:15" x14ac:dyDescent="0.25">
      <c r="A8183" t="str">
        <f>"10/21/2020 19:11:22.215"</f>
        <v>10/21/2020 19:11:22.215</v>
      </c>
      <c r="B8183" t="str">
        <f>"19:11:30.164"</f>
        <v>19:11:30.164</v>
      </c>
      <c r="C8183" t="str">
        <f>"19:11:29.864"</f>
        <v>19:11:29.864</v>
      </c>
      <c r="D8183" t="s">
        <v>3231</v>
      </c>
      <c r="E8183">
        <v>30.595057000000001</v>
      </c>
      <c r="F8183" t="s">
        <v>3232</v>
      </c>
      <c r="G8183">
        <v>-89.832071999999997</v>
      </c>
      <c r="H8183">
        <v>1600</v>
      </c>
      <c r="I8183">
        <v>142</v>
      </c>
      <c r="J8183">
        <v>-50</v>
      </c>
      <c r="K8183">
        <v>-64</v>
      </c>
      <c r="L8183">
        <v>1200</v>
      </c>
      <c r="M8183" t="str">
        <f t="shared" si="788"/>
        <v xml:space="preserve">N35DC   </v>
      </c>
      <c r="N8183">
        <v>1</v>
      </c>
      <c r="O8183">
        <v>1700</v>
      </c>
    </row>
    <row r="8184" spans="1:15" x14ac:dyDescent="0.25">
      <c r="A8184" t="str">
        <f>"10/21/2020 19:11:22.215"</f>
        <v>10/21/2020 19:11:22.215</v>
      </c>
      <c r="B8184" t="str">
        <f>"19:11:30.164"</f>
        <v>19:11:30.164</v>
      </c>
      <c r="C8184" t="str">
        <f>"19:11:29.864"</f>
        <v>19:11:29.864</v>
      </c>
      <c r="D8184" t="s">
        <v>3231</v>
      </c>
      <c r="E8184">
        <v>30.595057000000001</v>
      </c>
      <c r="F8184" t="s">
        <v>3232</v>
      </c>
      <c r="G8184">
        <v>-89.832071999999997</v>
      </c>
      <c r="H8184">
        <v>1600</v>
      </c>
      <c r="I8184">
        <v>142</v>
      </c>
      <c r="J8184">
        <v>-50</v>
      </c>
      <c r="K8184">
        <v>-64</v>
      </c>
      <c r="L8184">
        <v>1200</v>
      </c>
      <c r="M8184" t="str">
        <f t="shared" si="788"/>
        <v xml:space="preserve">N35DC   </v>
      </c>
      <c r="N8184">
        <v>1</v>
      </c>
      <c r="O8184">
        <v>1700</v>
      </c>
    </row>
    <row r="8185" spans="1:15" x14ac:dyDescent="0.25">
      <c r="A8185" t="str">
        <f>"10/21/2020 19:11:23.247"</f>
        <v>10/21/2020 19:11:23.247</v>
      </c>
      <c r="B8185" t="str">
        <f>"19:11:31.172"</f>
        <v>19:11:31.172</v>
      </c>
      <c r="C8185" t="str">
        <f>"19:11:30.872"</f>
        <v>19:11:30.872</v>
      </c>
      <c r="D8185" t="s">
        <v>3233</v>
      </c>
      <c r="E8185">
        <v>30.594778000000002</v>
      </c>
      <c r="F8185" t="s">
        <v>3234</v>
      </c>
      <c r="G8185">
        <v>-89.831299999999999</v>
      </c>
      <c r="H8185">
        <v>1600</v>
      </c>
      <c r="I8185">
        <v>140</v>
      </c>
      <c r="J8185">
        <v>-58</v>
      </c>
      <c r="K8185">
        <v>0</v>
      </c>
      <c r="L8185">
        <v>1200</v>
      </c>
      <c r="M8185" t="str">
        <f t="shared" si="788"/>
        <v xml:space="preserve">N35DC   </v>
      </c>
      <c r="N8185">
        <v>1</v>
      </c>
      <c r="O8185">
        <v>1675</v>
      </c>
    </row>
    <row r="8186" spans="1:15" x14ac:dyDescent="0.25">
      <c r="A8186" t="str">
        <f>"10/21/2020 19:11:23.247"</f>
        <v>10/21/2020 19:11:23.247</v>
      </c>
      <c r="B8186" t="str">
        <f>"19:11:31.172"</f>
        <v>19:11:31.172</v>
      </c>
      <c r="C8186" t="str">
        <f>"19:11:30.872"</f>
        <v>19:11:30.872</v>
      </c>
      <c r="D8186" t="s">
        <v>3233</v>
      </c>
      <c r="E8186">
        <v>30.594778000000002</v>
      </c>
      <c r="F8186" t="s">
        <v>3234</v>
      </c>
      <c r="G8186">
        <v>-89.831299999999999</v>
      </c>
      <c r="H8186">
        <v>1600</v>
      </c>
      <c r="I8186">
        <v>140</v>
      </c>
      <c r="J8186">
        <v>-58</v>
      </c>
      <c r="K8186">
        <v>0</v>
      </c>
      <c r="L8186">
        <v>1200</v>
      </c>
      <c r="M8186" t="str">
        <f t="shared" si="788"/>
        <v xml:space="preserve">N35DC   </v>
      </c>
      <c r="N8186">
        <v>1</v>
      </c>
      <c r="O8186">
        <v>1675</v>
      </c>
    </row>
    <row r="8187" spans="1:15" x14ac:dyDescent="0.25">
      <c r="A8187" t="str">
        <f>"10/21/2020 19:11:23.247"</f>
        <v>10/21/2020 19:11:23.247</v>
      </c>
      <c r="B8187" t="str">
        <f>"19:11:31.172"</f>
        <v>19:11:31.172</v>
      </c>
      <c r="C8187" t="str">
        <f>"19:11:30.872"</f>
        <v>19:11:30.872</v>
      </c>
      <c r="D8187" t="s">
        <v>3233</v>
      </c>
      <c r="E8187">
        <v>30.594778000000002</v>
      </c>
      <c r="F8187" t="s">
        <v>3234</v>
      </c>
      <c r="G8187">
        <v>-89.831299999999999</v>
      </c>
      <c r="H8187">
        <v>1600</v>
      </c>
      <c r="I8187">
        <v>140</v>
      </c>
      <c r="J8187">
        <v>-58</v>
      </c>
      <c r="K8187">
        <v>0</v>
      </c>
      <c r="L8187">
        <v>1200</v>
      </c>
      <c r="M8187" t="str">
        <f t="shared" si="788"/>
        <v xml:space="preserve">N35DC   </v>
      </c>
      <c r="N8187">
        <v>1</v>
      </c>
      <c r="O8187">
        <v>1675</v>
      </c>
    </row>
    <row r="8188" spans="1:15" x14ac:dyDescent="0.25">
      <c r="A8188" t="str">
        <f>"10/21/2020 19:11:23.247"</f>
        <v>10/21/2020 19:11:23.247</v>
      </c>
      <c r="B8188" t="str">
        <f>"19:11:31.172"</f>
        <v>19:11:31.172</v>
      </c>
      <c r="C8188" t="str">
        <f>"19:11:30.872"</f>
        <v>19:11:30.872</v>
      </c>
      <c r="D8188" t="s">
        <v>3233</v>
      </c>
      <c r="E8188">
        <v>30.594778000000002</v>
      </c>
      <c r="F8188" t="s">
        <v>3234</v>
      </c>
      <c r="G8188">
        <v>-89.831299999999999</v>
      </c>
      <c r="H8188">
        <v>1600</v>
      </c>
      <c r="I8188">
        <v>140</v>
      </c>
      <c r="J8188">
        <v>-58</v>
      </c>
      <c r="K8188">
        <v>0</v>
      </c>
      <c r="L8188">
        <v>1200</v>
      </c>
      <c r="M8188" t="str">
        <f t="shared" si="788"/>
        <v xml:space="preserve">N35DC   </v>
      </c>
      <c r="N8188">
        <v>1</v>
      </c>
      <c r="O8188">
        <v>1675</v>
      </c>
    </row>
    <row r="8189" spans="1:15" x14ac:dyDescent="0.25">
      <c r="A8189" t="str">
        <f>"10/21/2020 19:11:23.247"</f>
        <v>10/21/2020 19:11:23.247</v>
      </c>
      <c r="B8189" t="str">
        <f>"19:11:31.172"</f>
        <v>19:11:31.172</v>
      </c>
      <c r="C8189" t="str">
        <f>"19:11:30.872"</f>
        <v>19:11:30.872</v>
      </c>
      <c r="D8189" t="s">
        <v>3233</v>
      </c>
      <c r="E8189">
        <v>30.594778000000002</v>
      </c>
      <c r="F8189" t="s">
        <v>3234</v>
      </c>
      <c r="G8189">
        <v>-89.831299999999999</v>
      </c>
      <c r="H8189">
        <v>1600</v>
      </c>
      <c r="I8189">
        <v>140</v>
      </c>
      <c r="J8189">
        <v>-58</v>
      </c>
      <c r="K8189">
        <v>0</v>
      </c>
      <c r="L8189">
        <v>1200</v>
      </c>
      <c r="M8189" t="str">
        <f t="shared" si="788"/>
        <v xml:space="preserve">N35DC   </v>
      </c>
      <c r="N8189">
        <v>1</v>
      </c>
      <c r="O8189">
        <v>1675</v>
      </c>
    </row>
    <row r="8190" spans="1:15" x14ac:dyDescent="0.25">
      <c r="A8190" t="str">
        <f>"10/21/2020 19:11:24.331"</f>
        <v>10/21/2020 19:11:24.331</v>
      </c>
      <c r="B8190" t="str">
        <f>"19:11:32.266"</f>
        <v>19:11:32.266</v>
      </c>
      <c r="C8190" t="str">
        <f>"19:11:31.866"</f>
        <v>19:11:31.866</v>
      </c>
      <c r="D8190" t="s">
        <v>3235</v>
      </c>
      <c r="E8190">
        <v>30.594456000000001</v>
      </c>
      <c r="F8190" t="s">
        <v>3236</v>
      </c>
      <c r="G8190">
        <v>-89.830483999999998</v>
      </c>
      <c r="H8190">
        <v>1600</v>
      </c>
      <c r="I8190">
        <v>137</v>
      </c>
      <c r="J8190">
        <v>-64</v>
      </c>
      <c r="K8190">
        <v>128</v>
      </c>
      <c r="L8190">
        <v>1200</v>
      </c>
      <c r="M8190" t="str">
        <f t="shared" si="788"/>
        <v xml:space="preserve">N35DC   </v>
      </c>
      <c r="N8190">
        <v>1</v>
      </c>
      <c r="O8190">
        <v>1700</v>
      </c>
    </row>
    <row r="8191" spans="1:15" x14ac:dyDescent="0.25">
      <c r="A8191" t="str">
        <f>"10/21/2020 19:11:24.331"</f>
        <v>10/21/2020 19:11:24.331</v>
      </c>
      <c r="B8191" t="str">
        <f>"19:11:32.266"</f>
        <v>19:11:32.266</v>
      </c>
      <c r="C8191" t="str">
        <f>"19:11:31.866"</f>
        <v>19:11:31.866</v>
      </c>
      <c r="D8191" t="s">
        <v>3235</v>
      </c>
      <c r="E8191">
        <v>30.594456000000001</v>
      </c>
      <c r="F8191" t="s">
        <v>3236</v>
      </c>
      <c r="G8191">
        <v>-89.830483999999998</v>
      </c>
      <c r="H8191">
        <v>1600</v>
      </c>
      <c r="I8191">
        <v>137</v>
      </c>
      <c r="J8191">
        <v>-64</v>
      </c>
      <c r="K8191">
        <v>128</v>
      </c>
      <c r="L8191">
        <v>1200</v>
      </c>
      <c r="M8191" t="str">
        <f t="shared" si="788"/>
        <v xml:space="preserve">N35DC   </v>
      </c>
      <c r="N8191">
        <v>1</v>
      </c>
      <c r="O8191">
        <v>1700</v>
      </c>
    </row>
    <row r="8192" spans="1:15" x14ac:dyDescent="0.25">
      <c r="A8192" t="str">
        <f>"10/21/2020 19:11:24.331"</f>
        <v>10/21/2020 19:11:24.331</v>
      </c>
      <c r="B8192" t="str">
        <f>"19:11:32.266"</f>
        <v>19:11:32.266</v>
      </c>
      <c r="C8192" t="str">
        <f>"19:11:31.866"</f>
        <v>19:11:31.866</v>
      </c>
      <c r="D8192" t="s">
        <v>3235</v>
      </c>
      <c r="E8192">
        <v>30.594456000000001</v>
      </c>
      <c r="F8192" t="s">
        <v>3236</v>
      </c>
      <c r="G8192">
        <v>-89.830483999999998</v>
      </c>
      <c r="H8192">
        <v>1600</v>
      </c>
      <c r="I8192">
        <v>137</v>
      </c>
      <c r="J8192">
        <v>-64</v>
      </c>
      <c r="K8192">
        <v>128</v>
      </c>
      <c r="L8192">
        <v>1200</v>
      </c>
      <c r="M8192" t="str">
        <f t="shared" si="788"/>
        <v xml:space="preserve">N35DC   </v>
      </c>
      <c r="N8192">
        <v>1</v>
      </c>
      <c r="O8192">
        <v>1700</v>
      </c>
    </row>
    <row r="8193" spans="1:15" x14ac:dyDescent="0.25">
      <c r="A8193" t="str">
        <f>"10/21/2020 19:11:24.331"</f>
        <v>10/21/2020 19:11:24.331</v>
      </c>
      <c r="B8193" t="str">
        <f>"19:11:32.266"</f>
        <v>19:11:32.266</v>
      </c>
      <c r="C8193" t="str">
        <f>"19:11:31.866"</f>
        <v>19:11:31.866</v>
      </c>
      <c r="D8193" t="s">
        <v>3235</v>
      </c>
      <c r="E8193">
        <v>30.594456000000001</v>
      </c>
      <c r="F8193" t="s">
        <v>3236</v>
      </c>
      <c r="G8193">
        <v>-89.830483999999998</v>
      </c>
      <c r="H8193">
        <v>1600</v>
      </c>
      <c r="I8193">
        <v>137</v>
      </c>
      <c r="J8193">
        <v>-64</v>
      </c>
      <c r="K8193">
        <v>128</v>
      </c>
      <c r="L8193">
        <v>1200</v>
      </c>
      <c r="M8193" t="str">
        <f t="shared" si="788"/>
        <v xml:space="preserve">N35DC   </v>
      </c>
      <c r="N8193">
        <v>1</v>
      </c>
      <c r="O8193">
        <v>1700</v>
      </c>
    </row>
    <row r="8194" spans="1:15" x14ac:dyDescent="0.25">
      <c r="A8194" t="str">
        <f>"10/21/2020 19:11:24.331"</f>
        <v>10/21/2020 19:11:24.331</v>
      </c>
      <c r="B8194" t="str">
        <f>"19:11:32.266"</f>
        <v>19:11:32.266</v>
      </c>
      <c r="C8194" t="str">
        <f>"19:11:31.866"</f>
        <v>19:11:31.866</v>
      </c>
      <c r="D8194" t="s">
        <v>3235</v>
      </c>
      <c r="E8194">
        <v>30.594456000000001</v>
      </c>
      <c r="F8194" t="s">
        <v>3236</v>
      </c>
      <c r="G8194">
        <v>-89.830483999999998</v>
      </c>
      <c r="H8194">
        <v>1600</v>
      </c>
      <c r="I8194">
        <v>137</v>
      </c>
      <c r="J8194">
        <v>-64</v>
      </c>
      <c r="K8194">
        <v>128</v>
      </c>
      <c r="L8194">
        <v>1200</v>
      </c>
      <c r="M8194" t="str">
        <f t="shared" si="788"/>
        <v xml:space="preserve">N35DC   </v>
      </c>
      <c r="N8194">
        <v>1</v>
      </c>
      <c r="O8194">
        <v>1700</v>
      </c>
    </row>
    <row r="8195" spans="1:15" x14ac:dyDescent="0.25">
      <c r="A8195" t="str">
        <f>"10/21/2020 19:11:27.244"</f>
        <v>10/21/2020 19:11:27.244</v>
      </c>
      <c r="B8195" t="str">
        <f>"19:11:35.172"</f>
        <v>19:11:35.172</v>
      </c>
      <c r="C8195" t="str">
        <f>"19:11:34.972"</f>
        <v>19:11:34.972</v>
      </c>
      <c r="D8195" t="s">
        <v>3237</v>
      </c>
      <c r="E8195">
        <v>30.593405000000001</v>
      </c>
      <c r="F8195" t="s">
        <v>3238</v>
      </c>
      <c r="G8195">
        <v>-89.828467000000003</v>
      </c>
      <c r="H8195">
        <v>1600</v>
      </c>
      <c r="I8195">
        <v>128</v>
      </c>
      <c r="J8195">
        <v>-83</v>
      </c>
      <c r="K8195">
        <v>64</v>
      </c>
      <c r="L8195">
        <v>1200</v>
      </c>
      <c r="M8195" t="str">
        <f t="shared" si="788"/>
        <v xml:space="preserve">N35DC   </v>
      </c>
      <c r="N8195">
        <v>1</v>
      </c>
      <c r="O8195">
        <v>1700</v>
      </c>
    </row>
    <row r="8196" spans="1:15" x14ac:dyDescent="0.25">
      <c r="A8196" t="str">
        <f>"10/21/2020 19:11:27.244"</f>
        <v>10/21/2020 19:11:27.244</v>
      </c>
      <c r="B8196" t="str">
        <f>"19:11:35.172"</f>
        <v>19:11:35.172</v>
      </c>
      <c r="C8196" t="str">
        <f>"19:11:34.972"</f>
        <v>19:11:34.972</v>
      </c>
      <c r="D8196" t="s">
        <v>3237</v>
      </c>
      <c r="E8196">
        <v>30.593405000000001</v>
      </c>
      <c r="F8196" t="s">
        <v>3238</v>
      </c>
      <c r="G8196">
        <v>-89.828467000000003</v>
      </c>
      <c r="H8196">
        <v>1600</v>
      </c>
      <c r="I8196">
        <v>128</v>
      </c>
      <c r="J8196">
        <v>-83</v>
      </c>
      <c r="K8196">
        <v>64</v>
      </c>
      <c r="L8196">
        <v>1200</v>
      </c>
      <c r="M8196" t="str">
        <f t="shared" si="788"/>
        <v xml:space="preserve">N35DC   </v>
      </c>
      <c r="N8196">
        <v>1</v>
      </c>
      <c r="O8196">
        <v>1700</v>
      </c>
    </row>
    <row r="8197" spans="1:15" x14ac:dyDescent="0.25">
      <c r="A8197" t="str">
        <f>"10/21/2020 19:11:27.244"</f>
        <v>10/21/2020 19:11:27.244</v>
      </c>
      <c r="B8197" t="str">
        <f>"19:11:35.172"</f>
        <v>19:11:35.172</v>
      </c>
      <c r="C8197" t="str">
        <f>"19:11:34.972"</f>
        <v>19:11:34.972</v>
      </c>
      <c r="D8197" t="s">
        <v>3237</v>
      </c>
      <c r="E8197">
        <v>30.593405000000001</v>
      </c>
      <c r="F8197" t="s">
        <v>3238</v>
      </c>
      <c r="G8197">
        <v>-89.828467000000003</v>
      </c>
      <c r="H8197">
        <v>1600</v>
      </c>
      <c r="I8197">
        <v>128</v>
      </c>
      <c r="J8197">
        <v>-83</v>
      </c>
      <c r="K8197">
        <v>64</v>
      </c>
      <c r="L8197">
        <v>1200</v>
      </c>
      <c r="M8197" t="str">
        <f t="shared" si="788"/>
        <v xml:space="preserve">N35DC   </v>
      </c>
      <c r="N8197">
        <v>1</v>
      </c>
      <c r="O8197">
        <v>1700</v>
      </c>
    </row>
    <row r="8198" spans="1:15" x14ac:dyDescent="0.25">
      <c r="A8198" t="str">
        <f>"10/21/2020 19:11:27.244"</f>
        <v>10/21/2020 19:11:27.244</v>
      </c>
      <c r="B8198" t="str">
        <f>"19:11:35.172"</f>
        <v>19:11:35.172</v>
      </c>
      <c r="C8198" t="str">
        <f>"19:11:34.972"</f>
        <v>19:11:34.972</v>
      </c>
      <c r="D8198" t="s">
        <v>3237</v>
      </c>
      <c r="E8198">
        <v>30.593405000000001</v>
      </c>
      <c r="F8198" t="s">
        <v>3238</v>
      </c>
      <c r="G8198">
        <v>-89.828467000000003</v>
      </c>
      <c r="H8198">
        <v>1600</v>
      </c>
      <c r="I8198">
        <v>128</v>
      </c>
      <c r="J8198">
        <v>-83</v>
      </c>
      <c r="K8198">
        <v>64</v>
      </c>
      <c r="L8198">
        <v>1200</v>
      </c>
      <c r="M8198" t="str">
        <f t="shared" si="788"/>
        <v xml:space="preserve">N35DC   </v>
      </c>
      <c r="N8198">
        <v>1</v>
      </c>
      <c r="O8198">
        <v>1700</v>
      </c>
    </row>
    <row r="8199" spans="1:15" x14ac:dyDescent="0.25">
      <c r="A8199" t="str">
        <f>"10/21/2020 19:11:27.244"</f>
        <v>10/21/2020 19:11:27.244</v>
      </c>
      <c r="B8199" t="str">
        <f>"19:11:35.172"</f>
        <v>19:11:35.172</v>
      </c>
      <c r="C8199" t="str">
        <f>"19:11:34.972"</f>
        <v>19:11:34.972</v>
      </c>
      <c r="D8199" t="s">
        <v>3237</v>
      </c>
      <c r="E8199">
        <v>30.593405000000001</v>
      </c>
      <c r="F8199" t="s">
        <v>3238</v>
      </c>
      <c r="G8199">
        <v>-89.828467000000003</v>
      </c>
      <c r="H8199">
        <v>1600</v>
      </c>
      <c r="I8199">
        <v>128</v>
      </c>
      <c r="J8199">
        <v>-83</v>
      </c>
      <c r="K8199">
        <v>64</v>
      </c>
      <c r="L8199">
        <v>1200</v>
      </c>
      <c r="M8199" t="str">
        <f t="shared" ref="M8199:M8262" si="790">"N35DC   "</f>
        <v xml:space="preserve">N35DC   </v>
      </c>
      <c r="N8199">
        <v>1</v>
      </c>
      <c r="O8199">
        <v>1700</v>
      </c>
    </row>
    <row r="8200" spans="1:15" x14ac:dyDescent="0.25">
      <c r="A8200" t="str">
        <f>"10/21/2020 19:11:28.224"</f>
        <v>10/21/2020 19:11:28.224</v>
      </c>
      <c r="B8200" t="str">
        <f>"19:11:36.164"</f>
        <v>19:11:36.164</v>
      </c>
      <c r="C8200" t="str">
        <f>"19:11:35.464"</f>
        <v>19:11:35.464</v>
      </c>
      <c r="D8200" t="s">
        <v>3239</v>
      </c>
      <c r="E8200">
        <v>30.592997</v>
      </c>
      <c r="F8200" t="s">
        <v>3240</v>
      </c>
      <c r="G8200">
        <v>-89.827824000000007</v>
      </c>
      <c r="H8200">
        <v>1600</v>
      </c>
      <c r="I8200">
        <v>125</v>
      </c>
      <c r="J8200">
        <v>-87</v>
      </c>
      <c r="K8200">
        <v>0</v>
      </c>
      <c r="L8200">
        <v>1200</v>
      </c>
      <c r="M8200" t="str">
        <f t="shared" si="790"/>
        <v xml:space="preserve">N35DC   </v>
      </c>
      <c r="N8200">
        <v>1</v>
      </c>
      <c r="O8200">
        <v>1700</v>
      </c>
    </row>
    <row r="8201" spans="1:15" x14ac:dyDescent="0.25">
      <c r="A8201" t="str">
        <f>"10/21/2020 19:11:28.224"</f>
        <v>10/21/2020 19:11:28.224</v>
      </c>
      <c r="B8201" t="str">
        <f>"19:11:36.164"</f>
        <v>19:11:36.164</v>
      </c>
      <c r="C8201" t="str">
        <f>"19:11:35.964"</f>
        <v>19:11:35.964</v>
      </c>
      <c r="D8201" t="s">
        <v>3239</v>
      </c>
      <c r="E8201">
        <v>30.592997</v>
      </c>
      <c r="F8201" t="s">
        <v>3240</v>
      </c>
      <c r="G8201">
        <v>-89.827824000000007</v>
      </c>
      <c r="H8201">
        <v>1600</v>
      </c>
      <c r="I8201">
        <v>124</v>
      </c>
      <c r="J8201">
        <v>-90</v>
      </c>
      <c r="K8201">
        <v>0</v>
      </c>
      <c r="L8201">
        <v>1200</v>
      </c>
      <c r="M8201" t="str">
        <f t="shared" si="790"/>
        <v xml:space="preserve">N35DC   </v>
      </c>
      <c r="N8201">
        <v>1</v>
      </c>
      <c r="O8201">
        <v>1700</v>
      </c>
    </row>
    <row r="8202" spans="1:15" x14ac:dyDescent="0.25">
      <c r="A8202" t="str">
        <f>"10/21/2020 19:11:28.224"</f>
        <v>10/21/2020 19:11:28.224</v>
      </c>
      <c r="B8202" t="str">
        <f>"19:11:36.164"</f>
        <v>19:11:36.164</v>
      </c>
      <c r="C8202" t="str">
        <f>"19:11:35.964"</f>
        <v>19:11:35.964</v>
      </c>
      <c r="D8202" t="s">
        <v>3239</v>
      </c>
      <c r="E8202">
        <v>30.592997</v>
      </c>
      <c r="F8202" t="s">
        <v>3240</v>
      </c>
      <c r="G8202">
        <v>-89.827824000000007</v>
      </c>
      <c r="H8202">
        <v>1600</v>
      </c>
      <c r="I8202">
        <v>124</v>
      </c>
      <c r="J8202">
        <v>-90</v>
      </c>
      <c r="K8202">
        <v>0</v>
      </c>
      <c r="L8202">
        <v>1200</v>
      </c>
      <c r="M8202" t="str">
        <f t="shared" si="790"/>
        <v xml:space="preserve">N35DC   </v>
      </c>
      <c r="N8202">
        <v>1</v>
      </c>
      <c r="O8202">
        <v>1700</v>
      </c>
    </row>
    <row r="8203" spans="1:15" x14ac:dyDescent="0.25">
      <c r="A8203" t="str">
        <f>"10/21/2020 19:11:28.224"</f>
        <v>10/21/2020 19:11:28.224</v>
      </c>
      <c r="B8203" t="str">
        <f>"19:11:36.164"</f>
        <v>19:11:36.164</v>
      </c>
      <c r="C8203" t="str">
        <f>"19:11:35.964"</f>
        <v>19:11:35.964</v>
      </c>
      <c r="D8203" t="s">
        <v>3239</v>
      </c>
      <c r="E8203">
        <v>30.592997</v>
      </c>
      <c r="F8203" t="s">
        <v>3240</v>
      </c>
      <c r="G8203">
        <v>-89.827824000000007</v>
      </c>
      <c r="H8203">
        <v>1600</v>
      </c>
      <c r="I8203">
        <v>124</v>
      </c>
      <c r="J8203">
        <v>-90</v>
      </c>
      <c r="K8203">
        <v>0</v>
      </c>
      <c r="L8203">
        <v>1200</v>
      </c>
      <c r="M8203" t="str">
        <f t="shared" si="790"/>
        <v xml:space="preserve">N35DC   </v>
      </c>
      <c r="N8203">
        <v>1</v>
      </c>
      <c r="O8203">
        <v>1700</v>
      </c>
    </row>
    <row r="8204" spans="1:15" x14ac:dyDescent="0.25">
      <c r="A8204" t="str">
        <f>"10/21/2020 19:11:28.224"</f>
        <v>10/21/2020 19:11:28.224</v>
      </c>
      <c r="B8204" t="str">
        <f>"19:11:36.164"</f>
        <v>19:11:36.164</v>
      </c>
      <c r="C8204" t="str">
        <f>"19:11:35.964"</f>
        <v>19:11:35.964</v>
      </c>
      <c r="D8204" t="s">
        <v>3239</v>
      </c>
      <c r="E8204">
        <v>30.592997</v>
      </c>
      <c r="F8204" t="s">
        <v>3240</v>
      </c>
      <c r="G8204">
        <v>-89.827824000000007</v>
      </c>
      <c r="H8204">
        <v>1600</v>
      </c>
      <c r="I8204">
        <v>124</v>
      </c>
      <c r="J8204">
        <v>-90</v>
      </c>
      <c r="K8204">
        <v>0</v>
      </c>
      <c r="L8204">
        <v>1200</v>
      </c>
      <c r="M8204" t="str">
        <f t="shared" si="790"/>
        <v xml:space="preserve">N35DC   </v>
      </c>
      <c r="N8204">
        <v>1</v>
      </c>
      <c r="O8204">
        <v>1700</v>
      </c>
    </row>
    <row r="8205" spans="1:15" x14ac:dyDescent="0.25">
      <c r="A8205" t="str">
        <f>"10/21/2020 19:11:29.285"</f>
        <v>10/21/2020 19:11:29.285</v>
      </c>
      <c r="B8205" t="str">
        <f>"19:11:37.242"</f>
        <v>19:11:37.242</v>
      </c>
      <c r="C8205" t="str">
        <f>"19:11:36.942"</f>
        <v>19:11:36.942</v>
      </c>
      <c r="D8205" t="s">
        <v>3241</v>
      </c>
      <c r="E8205">
        <v>30.592524999999998</v>
      </c>
      <c r="F8205" t="s">
        <v>3242</v>
      </c>
      <c r="G8205">
        <v>-89.827136999999993</v>
      </c>
      <c r="H8205">
        <v>1600</v>
      </c>
      <c r="I8205">
        <v>120</v>
      </c>
      <c r="J8205">
        <v>-96</v>
      </c>
      <c r="K8205">
        <v>64</v>
      </c>
      <c r="L8205">
        <v>1200</v>
      </c>
      <c r="M8205" t="str">
        <f t="shared" si="790"/>
        <v xml:space="preserve">N35DC   </v>
      </c>
      <c r="N8205">
        <v>1</v>
      </c>
      <c r="O8205">
        <v>1700</v>
      </c>
    </row>
    <row r="8206" spans="1:15" x14ac:dyDescent="0.25">
      <c r="A8206" t="str">
        <f>"10/21/2020 19:11:29.285"</f>
        <v>10/21/2020 19:11:29.285</v>
      </c>
      <c r="B8206" t="str">
        <f>"19:11:37.242"</f>
        <v>19:11:37.242</v>
      </c>
      <c r="C8206" t="str">
        <f>"19:11:36.942"</f>
        <v>19:11:36.942</v>
      </c>
      <c r="D8206" t="s">
        <v>3241</v>
      </c>
      <c r="E8206">
        <v>30.592524999999998</v>
      </c>
      <c r="F8206" t="s">
        <v>3242</v>
      </c>
      <c r="G8206">
        <v>-89.827136999999993</v>
      </c>
      <c r="H8206">
        <v>1600</v>
      </c>
      <c r="I8206">
        <v>120</v>
      </c>
      <c r="J8206">
        <v>-96</v>
      </c>
      <c r="K8206">
        <v>64</v>
      </c>
      <c r="L8206">
        <v>1200</v>
      </c>
      <c r="M8206" t="str">
        <f t="shared" si="790"/>
        <v xml:space="preserve">N35DC   </v>
      </c>
      <c r="N8206">
        <v>1</v>
      </c>
      <c r="O8206">
        <v>1700</v>
      </c>
    </row>
    <row r="8207" spans="1:15" x14ac:dyDescent="0.25">
      <c r="A8207" t="str">
        <f>"10/21/2020 19:11:29.285"</f>
        <v>10/21/2020 19:11:29.285</v>
      </c>
      <c r="B8207" t="str">
        <f>"19:11:37.242"</f>
        <v>19:11:37.242</v>
      </c>
      <c r="C8207" t="str">
        <f>"19:11:36.942"</f>
        <v>19:11:36.942</v>
      </c>
      <c r="D8207" t="s">
        <v>3241</v>
      </c>
      <c r="E8207">
        <v>30.592524999999998</v>
      </c>
      <c r="F8207" t="s">
        <v>3242</v>
      </c>
      <c r="G8207">
        <v>-89.827136999999993</v>
      </c>
      <c r="H8207">
        <v>1600</v>
      </c>
      <c r="I8207">
        <v>120</v>
      </c>
      <c r="J8207">
        <v>-96</v>
      </c>
      <c r="K8207">
        <v>64</v>
      </c>
      <c r="L8207">
        <v>1200</v>
      </c>
      <c r="M8207" t="str">
        <f t="shared" si="790"/>
        <v xml:space="preserve">N35DC   </v>
      </c>
      <c r="N8207">
        <v>1</v>
      </c>
      <c r="O8207">
        <v>1700</v>
      </c>
    </row>
    <row r="8208" spans="1:15" x14ac:dyDescent="0.25">
      <c r="A8208" t="str">
        <f>"10/21/2020 19:11:29.285"</f>
        <v>10/21/2020 19:11:29.285</v>
      </c>
      <c r="B8208" t="str">
        <f>"19:11:37.242"</f>
        <v>19:11:37.242</v>
      </c>
      <c r="C8208" t="str">
        <f>"19:11:36.942"</f>
        <v>19:11:36.942</v>
      </c>
      <c r="D8208" t="s">
        <v>3241</v>
      </c>
      <c r="E8208">
        <v>30.592524999999998</v>
      </c>
      <c r="F8208" t="s">
        <v>3242</v>
      </c>
      <c r="G8208">
        <v>-89.827136999999993</v>
      </c>
      <c r="H8208">
        <v>1600</v>
      </c>
      <c r="I8208">
        <v>120</v>
      </c>
      <c r="J8208">
        <v>-96</v>
      </c>
      <c r="K8208">
        <v>64</v>
      </c>
      <c r="L8208">
        <v>1200</v>
      </c>
      <c r="M8208" t="str">
        <f t="shared" si="790"/>
        <v xml:space="preserve">N35DC   </v>
      </c>
      <c r="N8208">
        <v>1</v>
      </c>
      <c r="O8208">
        <v>1700</v>
      </c>
    </row>
    <row r="8209" spans="1:15" x14ac:dyDescent="0.25">
      <c r="A8209" t="str">
        <f>"10/21/2020 19:11:29.285"</f>
        <v>10/21/2020 19:11:29.285</v>
      </c>
      <c r="B8209" t="str">
        <f>"19:11:37.242"</f>
        <v>19:11:37.242</v>
      </c>
      <c r="C8209" t="str">
        <f>"19:11:36.942"</f>
        <v>19:11:36.942</v>
      </c>
      <c r="D8209" t="s">
        <v>3241</v>
      </c>
      <c r="E8209">
        <v>30.592524999999998</v>
      </c>
      <c r="F8209" t="s">
        <v>3242</v>
      </c>
      <c r="G8209">
        <v>-89.827136999999993</v>
      </c>
      <c r="H8209">
        <v>1600</v>
      </c>
      <c r="I8209">
        <v>120</v>
      </c>
      <c r="J8209">
        <v>-96</v>
      </c>
      <c r="K8209">
        <v>64</v>
      </c>
      <c r="L8209">
        <v>1200</v>
      </c>
      <c r="M8209" t="str">
        <f t="shared" si="790"/>
        <v xml:space="preserve">N35DC   </v>
      </c>
      <c r="N8209">
        <v>1</v>
      </c>
      <c r="O8209">
        <v>1700</v>
      </c>
    </row>
    <row r="8210" spans="1:15" x14ac:dyDescent="0.25">
      <c r="A8210" t="str">
        <f>"10/21/2020 19:11:32.194"</f>
        <v>10/21/2020 19:11:32.194</v>
      </c>
      <c r="B8210" t="str">
        <f>"19:11:40.141"</f>
        <v>19:11:40.141</v>
      </c>
      <c r="C8210" t="str">
        <f>"19:11:39.841"</f>
        <v>19:11:39.841</v>
      </c>
      <c r="D8210" t="s">
        <v>3243</v>
      </c>
      <c r="E8210">
        <v>30.591066000000001</v>
      </c>
      <c r="F8210" t="s">
        <v>3244</v>
      </c>
      <c r="G8210">
        <v>-89.825462999999999</v>
      </c>
      <c r="H8210">
        <v>1600</v>
      </c>
      <c r="I8210">
        <v>105</v>
      </c>
      <c r="J8210">
        <v>-113</v>
      </c>
      <c r="K8210">
        <v>128</v>
      </c>
      <c r="L8210">
        <v>1200</v>
      </c>
      <c r="M8210" t="str">
        <f t="shared" si="790"/>
        <v xml:space="preserve">N35DC   </v>
      </c>
      <c r="N8210">
        <v>1</v>
      </c>
      <c r="O8210">
        <v>1700</v>
      </c>
    </row>
    <row r="8211" spans="1:15" x14ac:dyDescent="0.25">
      <c r="A8211" t="str">
        <f>"10/21/2020 19:11:32.194"</f>
        <v>10/21/2020 19:11:32.194</v>
      </c>
      <c r="B8211" t="str">
        <f>"19:11:40.141"</f>
        <v>19:11:40.141</v>
      </c>
      <c r="C8211" t="str">
        <f>"19:11:39.841"</f>
        <v>19:11:39.841</v>
      </c>
      <c r="D8211" t="s">
        <v>3243</v>
      </c>
      <c r="E8211">
        <v>30.591066000000001</v>
      </c>
      <c r="F8211" t="s">
        <v>3244</v>
      </c>
      <c r="G8211">
        <v>-89.825462999999999</v>
      </c>
      <c r="H8211">
        <v>1600</v>
      </c>
      <c r="I8211">
        <v>105</v>
      </c>
      <c r="J8211">
        <v>-113</v>
      </c>
      <c r="K8211">
        <v>128</v>
      </c>
      <c r="L8211">
        <v>1200</v>
      </c>
      <c r="M8211" t="str">
        <f t="shared" si="790"/>
        <v xml:space="preserve">N35DC   </v>
      </c>
      <c r="N8211">
        <v>1</v>
      </c>
      <c r="O8211">
        <v>1700</v>
      </c>
    </row>
    <row r="8212" spans="1:15" x14ac:dyDescent="0.25">
      <c r="A8212" t="str">
        <f>"10/21/2020 19:11:32.194"</f>
        <v>10/21/2020 19:11:32.194</v>
      </c>
      <c r="B8212" t="str">
        <f>"19:11:40.141"</f>
        <v>19:11:40.141</v>
      </c>
      <c r="C8212" t="str">
        <f>"19:11:39.841"</f>
        <v>19:11:39.841</v>
      </c>
      <c r="D8212" t="s">
        <v>3243</v>
      </c>
      <c r="E8212">
        <v>30.591066000000001</v>
      </c>
      <c r="F8212" t="s">
        <v>3244</v>
      </c>
      <c r="G8212">
        <v>-89.825462999999999</v>
      </c>
      <c r="H8212">
        <v>1600</v>
      </c>
      <c r="I8212">
        <v>105</v>
      </c>
      <c r="J8212">
        <v>-113</v>
      </c>
      <c r="K8212">
        <v>128</v>
      </c>
      <c r="L8212">
        <v>1200</v>
      </c>
      <c r="M8212" t="str">
        <f t="shared" si="790"/>
        <v xml:space="preserve">N35DC   </v>
      </c>
      <c r="N8212">
        <v>1</v>
      </c>
      <c r="O8212">
        <v>1700</v>
      </c>
    </row>
    <row r="8213" spans="1:15" x14ac:dyDescent="0.25">
      <c r="A8213" t="str">
        <f>"10/21/2020 19:11:32.194"</f>
        <v>10/21/2020 19:11:32.194</v>
      </c>
      <c r="B8213" t="str">
        <f>"19:11:40.141"</f>
        <v>19:11:40.141</v>
      </c>
      <c r="C8213" t="str">
        <f>"19:11:39.841"</f>
        <v>19:11:39.841</v>
      </c>
      <c r="D8213" t="s">
        <v>3243</v>
      </c>
      <c r="E8213">
        <v>30.591066000000001</v>
      </c>
      <c r="F8213" t="s">
        <v>3244</v>
      </c>
      <c r="G8213">
        <v>-89.825462999999999</v>
      </c>
      <c r="H8213">
        <v>1600</v>
      </c>
      <c r="I8213">
        <v>105</v>
      </c>
      <c r="J8213">
        <v>-113</v>
      </c>
      <c r="K8213">
        <v>128</v>
      </c>
      <c r="L8213">
        <v>1200</v>
      </c>
      <c r="M8213" t="str">
        <f t="shared" si="790"/>
        <v xml:space="preserve">N35DC   </v>
      </c>
      <c r="N8213">
        <v>1</v>
      </c>
      <c r="O8213">
        <v>1700</v>
      </c>
    </row>
    <row r="8214" spans="1:15" x14ac:dyDescent="0.25">
      <c r="A8214" t="str">
        <f>"10/21/2020 19:11:32.194"</f>
        <v>10/21/2020 19:11:32.194</v>
      </c>
      <c r="B8214" t="str">
        <f>"19:11:40.141"</f>
        <v>19:11:40.141</v>
      </c>
      <c r="C8214" t="str">
        <f>"19:11:39.841"</f>
        <v>19:11:39.841</v>
      </c>
      <c r="D8214" t="s">
        <v>3243</v>
      </c>
      <c r="E8214">
        <v>30.591066000000001</v>
      </c>
      <c r="F8214" t="s">
        <v>3244</v>
      </c>
      <c r="G8214">
        <v>-89.825462999999999</v>
      </c>
      <c r="H8214">
        <v>1600</v>
      </c>
      <c r="I8214">
        <v>105</v>
      </c>
      <c r="J8214">
        <v>-113</v>
      </c>
      <c r="K8214">
        <v>128</v>
      </c>
      <c r="L8214">
        <v>1200</v>
      </c>
      <c r="M8214" t="str">
        <f t="shared" si="790"/>
        <v xml:space="preserve">N35DC   </v>
      </c>
      <c r="N8214">
        <v>1</v>
      </c>
      <c r="O8214">
        <v>1700</v>
      </c>
    </row>
    <row r="8215" spans="1:15" x14ac:dyDescent="0.25">
      <c r="A8215" t="str">
        <f>"10/21/2020 19:11:35.205"</f>
        <v>10/21/2020 19:11:35.205</v>
      </c>
      <c r="B8215" t="str">
        <f>"19:11:43.156"</f>
        <v>19:11:43.156</v>
      </c>
      <c r="C8215" t="str">
        <f>"19:11:42.756"</f>
        <v>19:11:42.756</v>
      </c>
      <c r="D8215" t="s">
        <v>811</v>
      </c>
      <c r="E8215">
        <v>30.589327999999998</v>
      </c>
      <c r="F8215" t="s">
        <v>3245</v>
      </c>
      <c r="G8215">
        <v>-89.823897000000002</v>
      </c>
      <c r="H8215">
        <v>1600</v>
      </c>
      <c r="I8215">
        <v>90</v>
      </c>
      <c r="J8215">
        <v>-127</v>
      </c>
      <c r="K8215">
        <v>0</v>
      </c>
      <c r="L8215">
        <v>1200</v>
      </c>
      <c r="M8215" t="str">
        <f t="shared" si="790"/>
        <v xml:space="preserve">N35DC   </v>
      </c>
      <c r="N8215">
        <v>1</v>
      </c>
      <c r="O8215">
        <v>1700</v>
      </c>
    </row>
    <row r="8216" spans="1:15" x14ac:dyDescent="0.25">
      <c r="A8216" t="str">
        <f>"10/21/2020 19:11:35.205"</f>
        <v>10/21/2020 19:11:35.205</v>
      </c>
      <c r="B8216" t="str">
        <f>"19:11:43.156"</f>
        <v>19:11:43.156</v>
      </c>
      <c r="C8216" t="str">
        <f>"19:11:42.756"</f>
        <v>19:11:42.756</v>
      </c>
      <c r="D8216" t="s">
        <v>811</v>
      </c>
      <c r="E8216">
        <v>30.589327999999998</v>
      </c>
      <c r="F8216" t="s">
        <v>3245</v>
      </c>
      <c r="G8216">
        <v>-89.823897000000002</v>
      </c>
      <c r="H8216">
        <v>1600</v>
      </c>
      <c r="I8216">
        <v>90</v>
      </c>
      <c r="J8216">
        <v>-127</v>
      </c>
      <c r="K8216">
        <v>0</v>
      </c>
      <c r="L8216">
        <v>1200</v>
      </c>
      <c r="M8216" t="str">
        <f t="shared" si="790"/>
        <v xml:space="preserve">N35DC   </v>
      </c>
      <c r="N8216">
        <v>1</v>
      </c>
      <c r="O8216">
        <v>1700</v>
      </c>
    </row>
    <row r="8217" spans="1:15" x14ac:dyDescent="0.25">
      <c r="A8217" t="str">
        <f>"10/21/2020 19:11:35.205"</f>
        <v>10/21/2020 19:11:35.205</v>
      </c>
      <c r="B8217" t="str">
        <f>"19:11:43.156"</f>
        <v>19:11:43.156</v>
      </c>
      <c r="C8217" t="str">
        <f>"19:11:42.756"</f>
        <v>19:11:42.756</v>
      </c>
      <c r="D8217" t="s">
        <v>811</v>
      </c>
      <c r="E8217">
        <v>30.589327999999998</v>
      </c>
      <c r="F8217" t="s">
        <v>3245</v>
      </c>
      <c r="G8217">
        <v>-89.823897000000002</v>
      </c>
      <c r="H8217">
        <v>1600</v>
      </c>
      <c r="I8217">
        <v>90</v>
      </c>
      <c r="J8217">
        <v>-127</v>
      </c>
      <c r="K8217">
        <v>0</v>
      </c>
      <c r="L8217">
        <v>1200</v>
      </c>
      <c r="M8217" t="str">
        <f t="shared" si="790"/>
        <v xml:space="preserve">N35DC   </v>
      </c>
      <c r="N8217">
        <v>1</v>
      </c>
      <c r="O8217">
        <v>1700</v>
      </c>
    </row>
    <row r="8218" spans="1:15" x14ac:dyDescent="0.25">
      <c r="A8218" t="str">
        <f>"10/21/2020 19:11:35.205"</f>
        <v>10/21/2020 19:11:35.205</v>
      </c>
      <c r="B8218" t="str">
        <f>"19:11:43.156"</f>
        <v>19:11:43.156</v>
      </c>
      <c r="C8218" t="str">
        <f>"19:11:42.756"</f>
        <v>19:11:42.756</v>
      </c>
      <c r="D8218" t="s">
        <v>811</v>
      </c>
      <c r="E8218">
        <v>30.589327999999998</v>
      </c>
      <c r="F8218" t="s">
        <v>3245</v>
      </c>
      <c r="G8218">
        <v>-89.823897000000002</v>
      </c>
      <c r="H8218">
        <v>1600</v>
      </c>
      <c r="I8218">
        <v>90</v>
      </c>
      <c r="J8218">
        <v>-127</v>
      </c>
      <c r="K8218">
        <v>0</v>
      </c>
      <c r="L8218">
        <v>1200</v>
      </c>
      <c r="M8218" t="str">
        <f t="shared" si="790"/>
        <v xml:space="preserve">N35DC   </v>
      </c>
      <c r="N8218">
        <v>1</v>
      </c>
      <c r="O8218">
        <v>1700</v>
      </c>
    </row>
    <row r="8219" spans="1:15" x14ac:dyDescent="0.25">
      <c r="A8219" t="str">
        <f>"10/21/2020 19:11:35.205"</f>
        <v>10/21/2020 19:11:35.205</v>
      </c>
      <c r="B8219" t="str">
        <f>"19:11:43.156"</f>
        <v>19:11:43.156</v>
      </c>
      <c r="C8219" t="str">
        <f>"19:11:42.756"</f>
        <v>19:11:42.756</v>
      </c>
      <c r="D8219" t="s">
        <v>811</v>
      </c>
      <c r="E8219">
        <v>30.589327999999998</v>
      </c>
      <c r="F8219" t="s">
        <v>3245</v>
      </c>
      <c r="G8219">
        <v>-89.823897000000002</v>
      </c>
      <c r="H8219">
        <v>1600</v>
      </c>
      <c r="I8219">
        <v>90</v>
      </c>
      <c r="J8219">
        <v>-127</v>
      </c>
      <c r="K8219">
        <v>0</v>
      </c>
      <c r="L8219">
        <v>1200</v>
      </c>
      <c r="M8219" t="str">
        <f t="shared" si="790"/>
        <v xml:space="preserve">N35DC   </v>
      </c>
      <c r="N8219">
        <v>1</v>
      </c>
      <c r="O8219">
        <v>1700</v>
      </c>
    </row>
    <row r="8220" spans="1:15" x14ac:dyDescent="0.25">
      <c r="A8220" t="str">
        <f>"10/21/2020 19:11:36.289"</f>
        <v>10/21/2020 19:11:36.289</v>
      </c>
      <c r="B8220" t="str">
        <f>"19:11:44.250"</f>
        <v>19:11:44.250</v>
      </c>
      <c r="C8220" t="str">
        <f>"19:11:43.950"</f>
        <v>19:11:43.950</v>
      </c>
      <c r="D8220" t="s">
        <v>809</v>
      </c>
      <c r="E8220">
        <v>30.588684000000001</v>
      </c>
      <c r="F8220" t="s">
        <v>3246</v>
      </c>
      <c r="G8220">
        <v>-89.823402999999999</v>
      </c>
      <c r="H8220">
        <v>1600</v>
      </c>
      <c r="I8220">
        <v>83</v>
      </c>
      <c r="J8220">
        <v>-132</v>
      </c>
      <c r="K8220">
        <v>-128</v>
      </c>
      <c r="L8220">
        <v>1200</v>
      </c>
      <c r="M8220" t="str">
        <f t="shared" si="790"/>
        <v xml:space="preserve">N35DC   </v>
      </c>
      <c r="N8220">
        <v>1</v>
      </c>
      <c r="O8220">
        <v>1700</v>
      </c>
    </row>
    <row r="8221" spans="1:15" x14ac:dyDescent="0.25">
      <c r="A8221" t="str">
        <f>"10/21/2020 19:11:36.289"</f>
        <v>10/21/2020 19:11:36.289</v>
      </c>
      <c r="B8221" t="str">
        <f>"19:11:44.250"</f>
        <v>19:11:44.250</v>
      </c>
      <c r="C8221" t="str">
        <f>"19:11:43.950"</f>
        <v>19:11:43.950</v>
      </c>
      <c r="D8221" t="s">
        <v>809</v>
      </c>
      <c r="E8221">
        <v>30.588684000000001</v>
      </c>
      <c r="F8221" t="s">
        <v>3246</v>
      </c>
      <c r="G8221">
        <v>-89.823402999999999</v>
      </c>
      <c r="H8221">
        <v>1600</v>
      </c>
      <c r="I8221">
        <v>83</v>
      </c>
      <c r="J8221">
        <v>-132</v>
      </c>
      <c r="K8221">
        <v>-128</v>
      </c>
      <c r="L8221">
        <v>1200</v>
      </c>
      <c r="M8221" t="str">
        <f t="shared" si="790"/>
        <v xml:space="preserve">N35DC   </v>
      </c>
      <c r="N8221">
        <v>1</v>
      </c>
      <c r="O8221">
        <v>1700</v>
      </c>
    </row>
    <row r="8222" spans="1:15" x14ac:dyDescent="0.25">
      <c r="A8222" t="str">
        <f>"10/21/2020 19:11:36.289"</f>
        <v>10/21/2020 19:11:36.289</v>
      </c>
      <c r="B8222" t="str">
        <f>"19:11:44.250"</f>
        <v>19:11:44.250</v>
      </c>
      <c r="C8222" t="str">
        <f>"19:11:43.950"</f>
        <v>19:11:43.950</v>
      </c>
      <c r="D8222" t="s">
        <v>809</v>
      </c>
      <c r="E8222">
        <v>30.588684000000001</v>
      </c>
      <c r="F8222" t="s">
        <v>3246</v>
      </c>
      <c r="G8222">
        <v>-89.823402999999999</v>
      </c>
      <c r="H8222">
        <v>1600</v>
      </c>
      <c r="I8222">
        <v>83</v>
      </c>
      <c r="J8222">
        <v>-132</v>
      </c>
      <c r="K8222">
        <v>-128</v>
      </c>
      <c r="L8222">
        <v>1200</v>
      </c>
      <c r="M8222" t="str">
        <f t="shared" si="790"/>
        <v xml:space="preserve">N35DC   </v>
      </c>
      <c r="N8222">
        <v>1</v>
      </c>
      <c r="O8222">
        <v>1700</v>
      </c>
    </row>
    <row r="8223" spans="1:15" x14ac:dyDescent="0.25">
      <c r="A8223" t="str">
        <f>"10/21/2020 19:11:36.289"</f>
        <v>10/21/2020 19:11:36.289</v>
      </c>
      <c r="B8223" t="str">
        <f>"19:11:44.250"</f>
        <v>19:11:44.250</v>
      </c>
      <c r="C8223" t="str">
        <f>"19:11:43.950"</f>
        <v>19:11:43.950</v>
      </c>
      <c r="D8223" t="s">
        <v>809</v>
      </c>
      <c r="E8223">
        <v>30.588684000000001</v>
      </c>
      <c r="F8223" t="s">
        <v>3246</v>
      </c>
      <c r="G8223">
        <v>-89.823402999999999</v>
      </c>
      <c r="H8223">
        <v>1600</v>
      </c>
      <c r="I8223">
        <v>83</v>
      </c>
      <c r="J8223">
        <v>-132</v>
      </c>
      <c r="K8223">
        <v>-128</v>
      </c>
      <c r="L8223">
        <v>1200</v>
      </c>
      <c r="M8223" t="str">
        <f t="shared" si="790"/>
        <v xml:space="preserve">N35DC   </v>
      </c>
      <c r="N8223">
        <v>1</v>
      </c>
      <c r="O8223">
        <v>1700</v>
      </c>
    </row>
    <row r="8224" spans="1:15" x14ac:dyDescent="0.25">
      <c r="A8224" t="str">
        <f>"10/21/2020 19:11:36.289"</f>
        <v>10/21/2020 19:11:36.289</v>
      </c>
      <c r="B8224" t="str">
        <f>"19:11:44.250"</f>
        <v>19:11:44.250</v>
      </c>
      <c r="C8224" t="str">
        <f>"19:11:43.950"</f>
        <v>19:11:43.950</v>
      </c>
      <c r="D8224" t="s">
        <v>809</v>
      </c>
      <c r="E8224">
        <v>30.588684000000001</v>
      </c>
      <c r="F8224" t="s">
        <v>3246</v>
      </c>
      <c r="G8224">
        <v>-89.823402999999999</v>
      </c>
      <c r="H8224">
        <v>1600</v>
      </c>
      <c r="I8224">
        <v>83</v>
      </c>
      <c r="J8224">
        <v>-132</v>
      </c>
      <c r="K8224">
        <v>-128</v>
      </c>
      <c r="L8224">
        <v>1200</v>
      </c>
      <c r="M8224" t="str">
        <f t="shared" si="790"/>
        <v xml:space="preserve">N35DC   </v>
      </c>
      <c r="N8224">
        <v>1</v>
      </c>
      <c r="O8224">
        <v>1700</v>
      </c>
    </row>
    <row r="8225" spans="1:15" x14ac:dyDescent="0.25">
      <c r="A8225" t="str">
        <f>"10/21/2020 19:11:37.251"</f>
        <v>10/21/2020 19:11:37.251</v>
      </c>
      <c r="B8225" t="str">
        <f>"19:11:45.211"</f>
        <v>19:11:45.211</v>
      </c>
      <c r="C8225" t="str">
        <f>"19:11:45.011"</f>
        <v>19:11:45.011</v>
      </c>
      <c r="D8225" t="s">
        <v>3247</v>
      </c>
      <c r="E8225">
        <v>30.588083000000001</v>
      </c>
      <c r="F8225" t="s">
        <v>3248</v>
      </c>
      <c r="G8225">
        <v>-89.823038999999994</v>
      </c>
      <c r="H8225">
        <v>1600</v>
      </c>
      <c r="I8225">
        <v>78</v>
      </c>
      <c r="J8225">
        <v>-136</v>
      </c>
      <c r="K8225">
        <v>-128</v>
      </c>
      <c r="L8225">
        <v>1200</v>
      </c>
      <c r="M8225" t="str">
        <f t="shared" si="790"/>
        <v xml:space="preserve">N35DC   </v>
      </c>
      <c r="N8225">
        <v>1</v>
      </c>
      <c r="O8225">
        <v>1700</v>
      </c>
    </row>
    <row r="8226" spans="1:15" x14ac:dyDescent="0.25">
      <c r="A8226" t="str">
        <f>"10/21/2020 19:11:37.251"</f>
        <v>10/21/2020 19:11:37.251</v>
      </c>
      <c r="B8226" t="str">
        <f>"19:11:45.211"</f>
        <v>19:11:45.211</v>
      </c>
      <c r="C8226" t="str">
        <f>"19:11:45.011"</f>
        <v>19:11:45.011</v>
      </c>
      <c r="D8226" t="s">
        <v>3247</v>
      </c>
      <c r="E8226">
        <v>30.588083000000001</v>
      </c>
      <c r="F8226" t="s">
        <v>3248</v>
      </c>
      <c r="G8226">
        <v>-89.823038999999994</v>
      </c>
      <c r="H8226">
        <v>1600</v>
      </c>
      <c r="I8226">
        <v>78</v>
      </c>
      <c r="J8226">
        <v>-136</v>
      </c>
      <c r="K8226">
        <v>-128</v>
      </c>
      <c r="L8226">
        <v>1200</v>
      </c>
      <c r="M8226" t="str">
        <f t="shared" si="790"/>
        <v xml:space="preserve">N35DC   </v>
      </c>
      <c r="N8226">
        <v>1</v>
      </c>
      <c r="O8226">
        <v>1700</v>
      </c>
    </row>
    <row r="8227" spans="1:15" x14ac:dyDescent="0.25">
      <c r="A8227" t="str">
        <f>"10/21/2020 19:11:37.251"</f>
        <v>10/21/2020 19:11:37.251</v>
      </c>
      <c r="B8227" t="str">
        <f>"19:11:45.211"</f>
        <v>19:11:45.211</v>
      </c>
      <c r="C8227" t="str">
        <f>"19:11:45.011"</f>
        <v>19:11:45.011</v>
      </c>
      <c r="D8227" t="s">
        <v>3247</v>
      </c>
      <c r="E8227">
        <v>30.588083000000001</v>
      </c>
      <c r="F8227" t="s">
        <v>3248</v>
      </c>
      <c r="G8227">
        <v>-89.823038999999994</v>
      </c>
      <c r="H8227">
        <v>1600</v>
      </c>
      <c r="I8227">
        <v>78</v>
      </c>
      <c r="J8227">
        <v>-136</v>
      </c>
      <c r="K8227">
        <v>-128</v>
      </c>
      <c r="L8227">
        <v>1200</v>
      </c>
      <c r="M8227" t="str">
        <f t="shared" si="790"/>
        <v xml:space="preserve">N35DC   </v>
      </c>
      <c r="N8227">
        <v>1</v>
      </c>
      <c r="O8227">
        <v>1700</v>
      </c>
    </row>
    <row r="8228" spans="1:15" x14ac:dyDescent="0.25">
      <c r="A8228" t="str">
        <f>"10/21/2020 19:11:37.251"</f>
        <v>10/21/2020 19:11:37.251</v>
      </c>
      <c r="B8228" t="str">
        <f>"19:11:45.211"</f>
        <v>19:11:45.211</v>
      </c>
      <c r="C8228" t="str">
        <f>"19:11:45.011"</f>
        <v>19:11:45.011</v>
      </c>
      <c r="D8228" t="s">
        <v>3247</v>
      </c>
      <c r="E8228">
        <v>30.588083000000001</v>
      </c>
      <c r="F8228" t="s">
        <v>3248</v>
      </c>
      <c r="G8228">
        <v>-89.823038999999994</v>
      </c>
      <c r="H8228">
        <v>1600</v>
      </c>
      <c r="I8228">
        <v>78</v>
      </c>
      <c r="J8228">
        <v>-136</v>
      </c>
      <c r="K8228">
        <v>-128</v>
      </c>
      <c r="L8228">
        <v>1200</v>
      </c>
      <c r="M8228" t="str">
        <f t="shared" si="790"/>
        <v xml:space="preserve">N35DC   </v>
      </c>
      <c r="N8228">
        <v>1</v>
      </c>
      <c r="O8228">
        <v>1700</v>
      </c>
    </row>
    <row r="8229" spans="1:15" x14ac:dyDescent="0.25">
      <c r="A8229" t="str">
        <f>"10/21/2020 19:11:37.251"</f>
        <v>10/21/2020 19:11:37.251</v>
      </c>
      <c r="B8229" t="str">
        <f>"19:11:45.211"</f>
        <v>19:11:45.211</v>
      </c>
      <c r="C8229" t="str">
        <f>"19:11:45.011"</f>
        <v>19:11:45.011</v>
      </c>
      <c r="D8229" t="s">
        <v>3247</v>
      </c>
      <c r="E8229">
        <v>30.588083000000001</v>
      </c>
      <c r="F8229" t="s">
        <v>3248</v>
      </c>
      <c r="G8229">
        <v>-89.823038999999994</v>
      </c>
      <c r="H8229">
        <v>1600</v>
      </c>
      <c r="I8229">
        <v>78</v>
      </c>
      <c r="J8229">
        <v>-136</v>
      </c>
      <c r="K8229">
        <v>-128</v>
      </c>
      <c r="L8229">
        <v>1200</v>
      </c>
      <c r="M8229" t="str">
        <f t="shared" si="790"/>
        <v xml:space="preserve">N35DC   </v>
      </c>
      <c r="N8229">
        <v>1</v>
      </c>
      <c r="O8229">
        <v>1700</v>
      </c>
    </row>
    <row r="8230" spans="1:15" x14ac:dyDescent="0.25">
      <c r="A8230" t="str">
        <f>"10/21/2020 19:11:40.235"</f>
        <v>10/21/2020 19:11:40.235</v>
      </c>
      <c r="B8230" t="str">
        <f>"19:11:48.164"</f>
        <v>19:11:48.164</v>
      </c>
      <c r="C8230" t="str">
        <f>"19:11:47.864"</f>
        <v>19:11:47.864</v>
      </c>
      <c r="D8230" t="s">
        <v>2675</v>
      </c>
      <c r="E8230">
        <v>30.586131000000002</v>
      </c>
      <c r="F8230" t="s">
        <v>3249</v>
      </c>
      <c r="G8230">
        <v>-89.822008999999994</v>
      </c>
      <c r="H8230">
        <v>1600</v>
      </c>
      <c r="I8230">
        <v>60</v>
      </c>
      <c r="J8230">
        <v>-145</v>
      </c>
      <c r="K8230">
        <v>128</v>
      </c>
      <c r="L8230">
        <v>1200</v>
      </c>
      <c r="M8230" t="str">
        <f t="shared" si="790"/>
        <v xml:space="preserve">N35DC   </v>
      </c>
      <c r="N8230">
        <v>1</v>
      </c>
      <c r="O8230">
        <v>1700</v>
      </c>
    </row>
    <row r="8231" spans="1:15" x14ac:dyDescent="0.25">
      <c r="A8231" t="str">
        <f>"10/21/2020 19:11:40.235"</f>
        <v>10/21/2020 19:11:40.235</v>
      </c>
      <c r="B8231" t="str">
        <f>"19:11:48.164"</f>
        <v>19:11:48.164</v>
      </c>
      <c r="C8231" t="str">
        <f>"19:11:47.864"</f>
        <v>19:11:47.864</v>
      </c>
      <c r="D8231" t="s">
        <v>2675</v>
      </c>
      <c r="E8231">
        <v>30.586131000000002</v>
      </c>
      <c r="F8231" t="s">
        <v>3249</v>
      </c>
      <c r="G8231">
        <v>-89.822008999999994</v>
      </c>
      <c r="H8231">
        <v>1600</v>
      </c>
      <c r="I8231">
        <v>60</v>
      </c>
      <c r="J8231">
        <v>-145</v>
      </c>
      <c r="K8231">
        <v>128</v>
      </c>
      <c r="L8231">
        <v>1200</v>
      </c>
      <c r="M8231" t="str">
        <f t="shared" si="790"/>
        <v xml:space="preserve">N35DC   </v>
      </c>
      <c r="N8231">
        <v>1</v>
      </c>
      <c r="O8231">
        <v>1700</v>
      </c>
    </row>
    <row r="8232" spans="1:15" x14ac:dyDescent="0.25">
      <c r="A8232" t="str">
        <f>"10/21/2020 19:11:40.235"</f>
        <v>10/21/2020 19:11:40.235</v>
      </c>
      <c r="B8232" t="str">
        <f>"19:11:48.164"</f>
        <v>19:11:48.164</v>
      </c>
      <c r="C8232" t="str">
        <f>"19:11:47.864"</f>
        <v>19:11:47.864</v>
      </c>
      <c r="D8232" t="s">
        <v>2675</v>
      </c>
      <c r="E8232">
        <v>30.586131000000002</v>
      </c>
      <c r="F8232" t="s">
        <v>3249</v>
      </c>
      <c r="G8232">
        <v>-89.822008999999994</v>
      </c>
      <c r="H8232">
        <v>1600</v>
      </c>
      <c r="I8232">
        <v>60</v>
      </c>
      <c r="J8232">
        <v>-145</v>
      </c>
      <c r="K8232">
        <v>128</v>
      </c>
      <c r="L8232">
        <v>1200</v>
      </c>
      <c r="M8232" t="str">
        <f t="shared" si="790"/>
        <v xml:space="preserve">N35DC   </v>
      </c>
      <c r="N8232">
        <v>1</v>
      </c>
      <c r="O8232">
        <v>1700</v>
      </c>
    </row>
    <row r="8233" spans="1:15" x14ac:dyDescent="0.25">
      <c r="A8233" t="str">
        <f>"10/21/2020 19:11:40.235"</f>
        <v>10/21/2020 19:11:40.235</v>
      </c>
      <c r="B8233" t="str">
        <f>"19:11:48.164"</f>
        <v>19:11:48.164</v>
      </c>
      <c r="C8233" t="str">
        <f>"19:11:47.864"</f>
        <v>19:11:47.864</v>
      </c>
      <c r="D8233" t="s">
        <v>2675</v>
      </c>
      <c r="E8233">
        <v>30.586131000000002</v>
      </c>
      <c r="F8233" t="s">
        <v>3249</v>
      </c>
      <c r="G8233">
        <v>-89.822008999999994</v>
      </c>
      <c r="H8233">
        <v>1600</v>
      </c>
      <c r="I8233">
        <v>60</v>
      </c>
      <c r="J8233">
        <v>-145</v>
      </c>
      <c r="K8233">
        <v>128</v>
      </c>
      <c r="L8233">
        <v>1200</v>
      </c>
      <c r="M8233" t="str">
        <f t="shared" si="790"/>
        <v xml:space="preserve">N35DC   </v>
      </c>
      <c r="N8233">
        <v>1</v>
      </c>
      <c r="O8233">
        <v>1700</v>
      </c>
    </row>
    <row r="8234" spans="1:15" x14ac:dyDescent="0.25">
      <c r="A8234" t="str">
        <f>"10/21/2020 19:11:40.235"</f>
        <v>10/21/2020 19:11:40.235</v>
      </c>
      <c r="B8234" t="str">
        <f>"19:11:48.164"</f>
        <v>19:11:48.164</v>
      </c>
      <c r="C8234" t="str">
        <f>"19:11:47.864"</f>
        <v>19:11:47.864</v>
      </c>
      <c r="D8234" t="s">
        <v>2675</v>
      </c>
      <c r="E8234">
        <v>30.586131000000002</v>
      </c>
      <c r="F8234" t="s">
        <v>3249</v>
      </c>
      <c r="G8234">
        <v>-89.822008999999994</v>
      </c>
      <c r="H8234">
        <v>1600</v>
      </c>
      <c r="I8234">
        <v>60</v>
      </c>
      <c r="J8234">
        <v>-145</v>
      </c>
      <c r="K8234">
        <v>128</v>
      </c>
      <c r="L8234">
        <v>1200</v>
      </c>
      <c r="M8234" t="str">
        <f t="shared" si="790"/>
        <v xml:space="preserve">N35DC   </v>
      </c>
      <c r="N8234">
        <v>1</v>
      </c>
      <c r="O8234">
        <v>1700</v>
      </c>
    </row>
    <row r="8235" spans="1:15" x14ac:dyDescent="0.25">
      <c r="A8235" t="str">
        <f>"10/21/2020 19:11:41.195"</f>
        <v>10/21/2020 19:11:41.195</v>
      </c>
      <c r="B8235" t="str">
        <f>"19:11:49.141"</f>
        <v>19:11:49.141</v>
      </c>
      <c r="C8235" t="str">
        <f>"19:11:48.741"</f>
        <v>19:11:48.741</v>
      </c>
      <c r="D8235" t="s">
        <v>3250</v>
      </c>
      <c r="E8235">
        <v>30.585422999999999</v>
      </c>
      <c r="F8235" t="s">
        <v>2761</v>
      </c>
      <c r="G8235">
        <v>-89.821686999999997</v>
      </c>
      <c r="H8235">
        <v>1600</v>
      </c>
      <c r="I8235">
        <v>55</v>
      </c>
      <c r="J8235">
        <v>-147</v>
      </c>
      <c r="K8235">
        <v>64</v>
      </c>
      <c r="L8235">
        <v>1200</v>
      </c>
      <c r="M8235" t="str">
        <f t="shared" si="790"/>
        <v xml:space="preserve">N35DC   </v>
      </c>
      <c r="N8235">
        <v>1</v>
      </c>
      <c r="O8235">
        <v>1700</v>
      </c>
    </row>
    <row r="8236" spans="1:15" x14ac:dyDescent="0.25">
      <c r="A8236" t="str">
        <f>"10/21/2020 19:11:41.195"</f>
        <v>10/21/2020 19:11:41.195</v>
      </c>
      <c r="B8236" t="str">
        <f>"19:11:49.141"</f>
        <v>19:11:49.141</v>
      </c>
      <c r="C8236" t="str">
        <f>"19:11:48.741"</f>
        <v>19:11:48.741</v>
      </c>
      <c r="D8236" t="s">
        <v>3250</v>
      </c>
      <c r="E8236">
        <v>30.585422999999999</v>
      </c>
      <c r="F8236" t="s">
        <v>2761</v>
      </c>
      <c r="G8236">
        <v>-89.821686999999997</v>
      </c>
      <c r="H8236">
        <v>1600</v>
      </c>
      <c r="I8236">
        <v>55</v>
      </c>
      <c r="J8236">
        <v>-147</v>
      </c>
      <c r="K8236">
        <v>64</v>
      </c>
      <c r="L8236">
        <v>1200</v>
      </c>
      <c r="M8236" t="str">
        <f t="shared" si="790"/>
        <v xml:space="preserve">N35DC   </v>
      </c>
      <c r="N8236">
        <v>1</v>
      </c>
      <c r="O8236">
        <v>1700</v>
      </c>
    </row>
    <row r="8237" spans="1:15" x14ac:dyDescent="0.25">
      <c r="A8237" t="str">
        <f>"10/21/2020 19:11:41.195"</f>
        <v>10/21/2020 19:11:41.195</v>
      </c>
      <c r="B8237" t="str">
        <f>"19:11:49.141"</f>
        <v>19:11:49.141</v>
      </c>
      <c r="C8237" t="str">
        <f>"19:11:48.741"</f>
        <v>19:11:48.741</v>
      </c>
      <c r="D8237" t="s">
        <v>3250</v>
      </c>
      <c r="E8237">
        <v>30.585422999999999</v>
      </c>
      <c r="F8237" t="s">
        <v>2761</v>
      </c>
      <c r="G8237">
        <v>-89.821686999999997</v>
      </c>
      <c r="H8237">
        <v>1600</v>
      </c>
      <c r="I8237">
        <v>55</v>
      </c>
      <c r="J8237">
        <v>-147</v>
      </c>
      <c r="K8237">
        <v>64</v>
      </c>
      <c r="L8237">
        <v>1200</v>
      </c>
      <c r="M8237" t="str">
        <f t="shared" si="790"/>
        <v xml:space="preserve">N35DC   </v>
      </c>
      <c r="N8237">
        <v>1</v>
      </c>
      <c r="O8237">
        <v>1700</v>
      </c>
    </row>
    <row r="8238" spans="1:15" x14ac:dyDescent="0.25">
      <c r="A8238" t="str">
        <f>"10/21/2020 19:11:41.195"</f>
        <v>10/21/2020 19:11:41.195</v>
      </c>
      <c r="B8238" t="str">
        <f>"19:11:49.141"</f>
        <v>19:11:49.141</v>
      </c>
      <c r="C8238" t="str">
        <f>"19:11:48.741"</f>
        <v>19:11:48.741</v>
      </c>
      <c r="D8238" t="s">
        <v>3250</v>
      </c>
      <c r="E8238">
        <v>30.585422999999999</v>
      </c>
      <c r="F8238" t="s">
        <v>2761</v>
      </c>
      <c r="G8238">
        <v>-89.821686999999997</v>
      </c>
      <c r="H8238">
        <v>1600</v>
      </c>
      <c r="I8238">
        <v>55</v>
      </c>
      <c r="J8238">
        <v>-147</v>
      </c>
      <c r="K8238">
        <v>64</v>
      </c>
      <c r="L8238">
        <v>1200</v>
      </c>
      <c r="M8238" t="str">
        <f t="shared" si="790"/>
        <v xml:space="preserve">N35DC   </v>
      </c>
      <c r="N8238">
        <v>1</v>
      </c>
      <c r="O8238">
        <v>1700</v>
      </c>
    </row>
    <row r="8239" spans="1:15" x14ac:dyDescent="0.25">
      <c r="A8239" t="str">
        <f>"10/21/2020 19:11:41.195"</f>
        <v>10/21/2020 19:11:41.195</v>
      </c>
      <c r="B8239" t="str">
        <f>"19:11:49.141"</f>
        <v>19:11:49.141</v>
      </c>
      <c r="C8239" t="str">
        <f>"19:11:48.741"</f>
        <v>19:11:48.741</v>
      </c>
      <c r="D8239" t="s">
        <v>3250</v>
      </c>
      <c r="E8239">
        <v>30.585422999999999</v>
      </c>
      <c r="F8239" t="s">
        <v>2761</v>
      </c>
      <c r="G8239">
        <v>-89.821686999999997</v>
      </c>
      <c r="H8239">
        <v>1600</v>
      </c>
      <c r="I8239">
        <v>55</v>
      </c>
      <c r="J8239">
        <v>-147</v>
      </c>
      <c r="K8239">
        <v>64</v>
      </c>
      <c r="L8239">
        <v>1200</v>
      </c>
      <c r="M8239" t="str">
        <f t="shared" si="790"/>
        <v xml:space="preserve">N35DC   </v>
      </c>
      <c r="N8239">
        <v>1</v>
      </c>
      <c r="O8239">
        <v>1700</v>
      </c>
    </row>
    <row r="8240" spans="1:15" x14ac:dyDescent="0.25">
      <c r="A8240" t="str">
        <f>"10/21/2020 19:11:42.204"</f>
        <v>10/21/2020 19:11:42.204</v>
      </c>
      <c r="B8240" t="str">
        <f>"19:11:50.141"</f>
        <v>19:11:50.141</v>
      </c>
      <c r="C8240" t="str">
        <f>"19:11:49.941"</f>
        <v>19:11:49.941</v>
      </c>
      <c r="D8240" t="s">
        <v>3251</v>
      </c>
      <c r="E8240">
        <v>30.584757</v>
      </c>
      <c r="F8240" t="s">
        <v>2759</v>
      </c>
      <c r="G8240">
        <v>-89.821472</v>
      </c>
      <c r="H8240">
        <v>1600</v>
      </c>
      <c r="I8240">
        <v>47</v>
      </c>
      <c r="J8240">
        <v>-151</v>
      </c>
      <c r="K8240">
        <v>0</v>
      </c>
      <c r="L8240">
        <v>1200</v>
      </c>
      <c r="M8240" t="str">
        <f t="shared" si="790"/>
        <v xml:space="preserve">N35DC   </v>
      </c>
      <c r="N8240">
        <v>1</v>
      </c>
      <c r="O8240">
        <v>1700</v>
      </c>
    </row>
    <row r="8241" spans="1:15" x14ac:dyDescent="0.25">
      <c r="A8241" t="str">
        <f>"10/21/2020 19:11:42.204"</f>
        <v>10/21/2020 19:11:42.204</v>
      </c>
      <c r="B8241" t="str">
        <f>"19:11:50.141"</f>
        <v>19:11:50.141</v>
      </c>
      <c r="C8241" t="str">
        <f>"19:11:49.941"</f>
        <v>19:11:49.941</v>
      </c>
      <c r="D8241" t="s">
        <v>3251</v>
      </c>
      <c r="E8241">
        <v>30.584757</v>
      </c>
      <c r="F8241" t="s">
        <v>2759</v>
      </c>
      <c r="G8241">
        <v>-89.821472</v>
      </c>
      <c r="H8241">
        <v>1600</v>
      </c>
      <c r="I8241">
        <v>47</v>
      </c>
      <c r="J8241">
        <v>-151</v>
      </c>
      <c r="K8241">
        <v>0</v>
      </c>
      <c r="L8241">
        <v>1200</v>
      </c>
      <c r="M8241" t="str">
        <f t="shared" si="790"/>
        <v xml:space="preserve">N35DC   </v>
      </c>
      <c r="N8241">
        <v>1</v>
      </c>
      <c r="O8241">
        <v>1700</v>
      </c>
    </row>
    <row r="8242" spans="1:15" x14ac:dyDescent="0.25">
      <c r="A8242" t="str">
        <f>"10/21/2020 19:11:42.204"</f>
        <v>10/21/2020 19:11:42.204</v>
      </c>
      <c r="B8242" t="str">
        <f>"19:11:50.141"</f>
        <v>19:11:50.141</v>
      </c>
      <c r="C8242" t="str">
        <f>"19:11:49.941"</f>
        <v>19:11:49.941</v>
      </c>
      <c r="D8242" t="s">
        <v>3251</v>
      </c>
      <c r="E8242">
        <v>30.584757</v>
      </c>
      <c r="F8242" t="s">
        <v>2759</v>
      </c>
      <c r="G8242">
        <v>-89.821472</v>
      </c>
      <c r="H8242">
        <v>1600</v>
      </c>
      <c r="I8242">
        <v>47</v>
      </c>
      <c r="J8242">
        <v>-151</v>
      </c>
      <c r="K8242">
        <v>0</v>
      </c>
      <c r="L8242">
        <v>1200</v>
      </c>
      <c r="M8242" t="str">
        <f t="shared" si="790"/>
        <v xml:space="preserve">N35DC   </v>
      </c>
      <c r="N8242">
        <v>1</v>
      </c>
      <c r="O8242">
        <v>1700</v>
      </c>
    </row>
    <row r="8243" spans="1:15" x14ac:dyDescent="0.25">
      <c r="A8243" t="str">
        <f>"10/21/2020 19:11:42.204"</f>
        <v>10/21/2020 19:11:42.204</v>
      </c>
      <c r="B8243" t="str">
        <f>"19:11:50.141"</f>
        <v>19:11:50.141</v>
      </c>
      <c r="C8243" t="str">
        <f>"19:11:49.941"</f>
        <v>19:11:49.941</v>
      </c>
      <c r="D8243" t="s">
        <v>3251</v>
      </c>
      <c r="E8243">
        <v>30.584757</v>
      </c>
      <c r="F8243" t="s">
        <v>2759</v>
      </c>
      <c r="G8243">
        <v>-89.821472</v>
      </c>
      <c r="H8243">
        <v>1600</v>
      </c>
      <c r="I8243">
        <v>47</v>
      </c>
      <c r="J8243">
        <v>-151</v>
      </c>
      <c r="K8243">
        <v>0</v>
      </c>
      <c r="L8243">
        <v>1200</v>
      </c>
      <c r="M8243" t="str">
        <f t="shared" si="790"/>
        <v xml:space="preserve">N35DC   </v>
      </c>
      <c r="N8243">
        <v>1</v>
      </c>
      <c r="O8243">
        <v>1700</v>
      </c>
    </row>
    <row r="8244" spans="1:15" x14ac:dyDescent="0.25">
      <c r="A8244" t="str">
        <f>"10/21/2020 19:11:42.204"</f>
        <v>10/21/2020 19:11:42.204</v>
      </c>
      <c r="B8244" t="str">
        <f>"19:11:50.141"</f>
        <v>19:11:50.141</v>
      </c>
      <c r="C8244" t="str">
        <f>"19:11:49.941"</f>
        <v>19:11:49.941</v>
      </c>
      <c r="D8244" t="s">
        <v>3251</v>
      </c>
      <c r="E8244">
        <v>30.584757</v>
      </c>
      <c r="F8244" t="s">
        <v>2759</v>
      </c>
      <c r="G8244">
        <v>-89.821472</v>
      </c>
      <c r="H8244">
        <v>1600</v>
      </c>
      <c r="I8244">
        <v>47</v>
      </c>
      <c r="J8244">
        <v>-151</v>
      </c>
      <c r="K8244">
        <v>0</v>
      </c>
      <c r="L8244">
        <v>1200</v>
      </c>
      <c r="M8244" t="str">
        <f t="shared" si="790"/>
        <v xml:space="preserve">N35DC   </v>
      </c>
      <c r="N8244">
        <v>1</v>
      </c>
      <c r="O8244">
        <v>1700</v>
      </c>
    </row>
    <row r="8245" spans="1:15" x14ac:dyDescent="0.25">
      <c r="A8245" t="str">
        <f>"10/21/2020 19:11:45.430"</f>
        <v>10/21/2020 19:11:45.430</v>
      </c>
      <c r="B8245" t="str">
        <f>"19:11:53.367"</f>
        <v>19:11:53.367</v>
      </c>
      <c r="C8245" t="str">
        <f>"19:11:52.967"</f>
        <v>19:11:52.967</v>
      </c>
      <c r="D8245" t="s">
        <v>3252</v>
      </c>
      <c r="E8245">
        <v>30.582418000000001</v>
      </c>
      <c r="F8245" t="s">
        <v>2887</v>
      </c>
      <c r="G8245">
        <v>-89.820870999999997</v>
      </c>
      <c r="H8245">
        <v>1600</v>
      </c>
      <c r="I8245">
        <v>28</v>
      </c>
      <c r="J8245">
        <v>-157</v>
      </c>
      <c r="K8245">
        <v>0</v>
      </c>
      <c r="L8245">
        <v>1200</v>
      </c>
      <c r="M8245" t="str">
        <f t="shared" si="790"/>
        <v xml:space="preserve">N35DC   </v>
      </c>
      <c r="N8245">
        <v>1</v>
      </c>
      <c r="O8245">
        <v>1700</v>
      </c>
    </row>
    <row r="8246" spans="1:15" x14ac:dyDescent="0.25">
      <c r="A8246" t="str">
        <f>"10/21/2020 19:11:45.430"</f>
        <v>10/21/2020 19:11:45.430</v>
      </c>
      <c r="B8246" t="str">
        <f>"19:11:53.367"</f>
        <v>19:11:53.367</v>
      </c>
      <c r="C8246" t="str">
        <f>"19:11:52.967"</f>
        <v>19:11:52.967</v>
      </c>
      <c r="D8246" t="s">
        <v>3252</v>
      </c>
      <c r="E8246">
        <v>30.582418000000001</v>
      </c>
      <c r="F8246" t="s">
        <v>2887</v>
      </c>
      <c r="G8246">
        <v>-89.820870999999997</v>
      </c>
      <c r="H8246">
        <v>1600</v>
      </c>
      <c r="I8246">
        <v>28</v>
      </c>
      <c r="J8246">
        <v>-157</v>
      </c>
      <c r="K8246">
        <v>0</v>
      </c>
      <c r="L8246">
        <v>1200</v>
      </c>
      <c r="M8246" t="str">
        <f t="shared" si="790"/>
        <v xml:space="preserve">N35DC   </v>
      </c>
      <c r="N8246">
        <v>1</v>
      </c>
      <c r="O8246">
        <v>1700</v>
      </c>
    </row>
    <row r="8247" spans="1:15" x14ac:dyDescent="0.25">
      <c r="A8247" t="str">
        <f>"10/21/2020 19:11:45.430"</f>
        <v>10/21/2020 19:11:45.430</v>
      </c>
      <c r="B8247" t="str">
        <f>"19:11:53.367"</f>
        <v>19:11:53.367</v>
      </c>
      <c r="C8247" t="str">
        <f>"19:11:52.967"</f>
        <v>19:11:52.967</v>
      </c>
      <c r="D8247" t="s">
        <v>3252</v>
      </c>
      <c r="E8247">
        <v>30.582418000000001</v>
      </c>
      <c r="F8247" t="s">
        <v>2887</v>
      </c>
      <c r="G8247">
        <v>-89.820870999999997</v>
      </c>
      <c r="H8247">
        <v>1600</v>
      </c>
      <c r="I8247">
        <v>28</v>
      </c>
      <c r="J8247">
        <v>-157</v>
      </c>
      <c r="K8247">
        <v>0</v>
      </c>
      <c r="L8247">
        <v>1200</v>
      </c>
      <c r="M8247" t="str">
        <f t="shared" si="790"/>
        <v xml:space="preserve">N35DC   </v>
      </c>
      <c r="N8247">
        <v>1</v>
      </c>
      <c r="O8247">
        <v>1700</v>
      </c>
    </row>
    <row r="8248" spans="1:15" x14ac:dyDescent="0.25">
      <c r="A8248" t="str">
        <f>"10/21/2020 19:11:45.430"</f>
        <v>10/21/2020 19:11:45.430</v>
      </c>
      <c r="B8248" t="str">
        <f>"19:11:53.367"</f>
        <v>19:11:53.367</v>
      </c>
      <c r="C8248" t="str">
        <f>"19:11:52.967"</f>
        <v>19:11:52.967</v>
      </c>
      <c r="D8248" t="s">
        <v>3252</v>
      </c>
      <c r="E8248">
        <v>30.582418000000001</v>
      </c>
      <c r="F8248" t="s">
        <v>2887</v>
      </c>
      <c r="G8248">
        <v>-89.820870999999997</v>
      </c>
      <c r="H8248">
        <v>1600</v>
      </c>
      <c r="I8248">
        <v>28</v>
      </c>
      <c r="J8248">
        <v>-157</v>
      </c>
      <c r="K8248">
        <v>0</v>
      </c>
      <c r="L8248">
        <v>1200</v>
      </c>
      <c r="M8248" t="str">
        <f t="shared" si="790"/>
        <v xml:space="preserve">N35DC   </v>
      </c>
      <c r="N8248">
        <v>1</v>
      </c>
      <c r="O8248">
        <v>1700</v>
      </c>
    </row>
    <row r="8249" spans="1:15" x14ac:dyDescent="0.25">
      <c r="A8249" t="str">
        <f>"10/21/2020 19:11:45.430"</f>
        <v>10/21/2020 19:11:45.430</v>
      </c>
      <c r="B8249" t="str">
        <f>"19:11:53.367"</f>
        <v>19:11:53.367</v>
      </c>
      <c r="C8249" t="str">
        <f>"19:11:52.967"</f>
        <v>19:11:52.967</v>
      </c>
      <c r="D8249" t="s">
        <v>3252</v>
      </c>
      <c r="E8249">
        <v>30.582418000000001</v>
      </c>
      <c r="F8249" t="s">
        <v>2887</v>
      </c>
      <c r="G8249">
        <v>-89.820870999999997</v>
      </c>
      <c r="H8249">
        <v>1600</v>
      </c>
      <c r="I8249">
        <v>28</v>
      </c>
      <c r="J8249">
        <v>-157</v>
      </c>
      <c r="K8249">
        <v>0</v>
      </c>
      <c r="L8249">
        <v>1200</v>
      </c>
      <c r="M8249" t="str">
        <f t="shared" si="790"/>
        <v xml:space="preserve">N35DC   </v>
      </c>
      <c r="N8249">
        <v>1</v>
      </c>
      <c r="O8249">
        <v>1700</v>
      </c>
    </row>
    <row r="8250" spans="1:15" x14ac:dyDescent="0.25">
      <c r="A8250" t="str">
        <f>"10/21/2020 19:11:46.234"</f>
        <v>10/21/2020 19:11:46.234</v>
      </c>
      <c r="B8250" t="str">
        <f>"19:11:54.195"</f>
        <v>19:11:54.195</v>
      </c>
      <c r="C8250" t="str">
        <f>"19:11:54.095"</f>
        <v>19:11:54.095</v>
      </c>
      <c r="D8250" t="s">
        <v>3253</v>
      </c>
      <c r="E8250">
        <v>30.581796000000001</v>
      </c>
      <c r="F8250" t="s">
        <v>3254</v>
      </c>
      <c r="G8250">
        <v>-89.820807000000002</v>
      </c>
      <c r="H8250">
        <v>1600</v>
      </c>
      <c r="I8250">
        <v>21</v>
      </c>
      <c r="J8250">
        <v>-158</v>
      </c>
      <c r="K8250">
        <v>-128</v>
      </c>
      <c r="L8250">
        <v>1200</v>
      </c>
      <c r="M8250" t="str">
        <f t="shared" si="790"/>
        <v xml:space="preserve">N35DC   </v>
      </c>
      <c r="N8250">
        <v>1</v>
      </c>
      <c r="O8250">
        <v>1700</v>
      </c>
    </row>
    <row r="8251" spans="1:15" x14ac:dyDescent="0.25">
      <c r="A8251" t="str">
        <f>"10/21/2020 19:11:46.234"</f>
        <v>10/21/2020 19:11:46.234</v>
      </c>
      <c r="B8251" t="str">
        <f>"19:11:54.195"</f>
        <v>19:11:54.195</v>
      </c>
      <c r="C8251" t="str">
        <f>"19:11:54.095"</f>
        <v>19:11:54.095</v>
      </c>
      <c r="D8251" t="s">
        <v>3253</v>
      </c>
      <c r="E8251">
        <v>30.581796000000001</v>
      </c>
      <c r="F8251" t="s">
        <v>3254</v>
      </c>
      <c r="G8251">
        <v>-89.820807000000002</v>
      </c>
      <c r="H8251">
        <v>1600</v>
      </c>
      <c r="I8251">
        <v>21</v>
      </c>
      <c r="J8251">
        <v>-158</v>
      </c>
      <c r="K8251">
        <v>-128</v>
      </c>
      <c r="L8251">
        <v>1200</v>
      </c>
      <c r="M8251" t="str">
        <f t="shared" si="790"/>
        <v xml:space="preserve">N35DC   </v>
      </c>
      <c r="N8251">
        <v>1</v>
      </c>
      <c r="O8251">
        <v>1700</v>
      </c>
    </row>
    <row r="8252" spans="1:15" x14ac:dyDescent="0.25">
      <c r="A8252" t="str">
        <f>"10/21/2020 19:11:46.234"</f>
        <v>10/21/2020 19:11:46.234</v>
      </c>
      <c r="B8252" t="str">
        <f>"19:11:54.195"</f>
        <v>19:11:54.195</v>
      </c>
      <c r="C8252" t="str">
        <f>"19:11:54.095"</f>
        <v>19:11:54.095</v>
      </c>
      <c r="D8252" t="s">
        <v>3253</v>
      </c>
      <c r="E8252">
        <v>30.581796000000001</v>
      </c>
      <c r="F8252" t="s">
        <v>3254</v>
      </c>
      <c r="G8252">
        <v>-89.820807000000002</v>
      </c>
      <c r="H8252">
        <v>1600</v>
      </c>
      <c r="I8252">
        <v>21</v>
      </c>
      <c r="J8252">
        <v>-158</v>
      </c>
      <c r="K8252">
        <v>-128</v>
      </c>
      <c r="L8252">
        <v>1200</v>
      </c>
      <c r="M8252" t="str">
        <f t="shared" si="790"/>
        <v xml:space="preserve">N35DC   </v>
      </c>
      <c r="N8252">
        <v>1</v>
      </c>
      <c r="O8252">
        <v>1700</v>
      </c>
    </row>
    <row r="8253" spans="1:15" x14ac:dyDescent="0.25">
      <c r="A8253" t="str">
        <f>"10/21/2020 19:11:46.234"</f>
        <v>10/21/2020 19:11:46.234</v>
      </c>
      <c r="B8253" t="str">
        <f>"19:11:54.195"</f>
        <v>19:11:54.195</v>
      </c>
      <c r="C8253" t="str">
        <f>"19:11:54.095"</f>
        <v>19:11:54.095</v>
      </c>
      <c r="D8253" t="s">
        <v>3253</v>
      </c>
      <c r="E8253">
        <v>30.581796000000001</v>
      </c>
      <c r="F8253" t="s">
        <v>3254</v>
      </c>
      <c r="G8253">
        <v>-89.820807000000002</v>
      </c>
      <c r="H8253">
        <v>1600</v>
      </c>
      <c r="I8253">
        <v>21</v>
      </c>
      <c r="J8253">
        <v>-158</v>
      </c>
      <c r="K8253">
        <v>-128</v>
      </c>
      <c r="L8253">
        <v>1200</v>
      </c>
      <c r="M8253" t="str">
        <f t="shared" si="790"/>
        <v xml:space="preserve">N35DC   </v>
      </c>
      <c r="N8253">
        <v>1</v>
      </c>
      <c r="O8253">
        <v>1700</v>
      </c>
    </row>
    <row r="8254" spans="1:15" x14ac:dyDescent="0.25">
      <c r="A8254" t="str">
        <f>"10/21/2020 19:11:46.234"</f>
        <v>10/21/2020 19:11:46.234</v>
      </c>
      <c r="B8254" t="str">
        <f>"19:11:54.195"</f>
        <v>19:11:54.195</v>
      </c>
      <c r="C8254" t="str">
        <f>"19:11:54.095"</f>
        <v>19:11:54.095</v>
      </c>
      <c r="D8254" t="s">
        <v>3253</v>
      </c>
      <c r="E8254">
        <v>30.581796000000001</v>
      </c>
      <c r="F8254" t="s">
        <v>3254</v>
      </c>
      <c r="G8254">
        <v>-89.820807000000002</v>
      </c>
      <c r="H8254">
        <v>1600</v>
      </c>
      <c r="I8254">
        <v>21</v>
      </c>
      <c r="J8254">
        <v>-158</v>
      </c>
      <c r="K8254">
        <v>-128</v>
      </c>
      <c r="L8254">
        <v>1200</v>
      </c>
      <c r="M8254" t="str">
        <f t="shared" si="790"/>
        <v xml:space="preserve">N35DC   </v>
      </c>
      <c r="N8254">
        <v>1</v>
      </c>
      <c r="O8254">
        <v>1700</v>
      </c>
    </row>
    <row r="8255" spans="1:15" x14ac:dyDescent="0.25">
      <c r="A8255" t="str">
        <f>"10/21/2020 19:11:49.383"</f>
        <v>10/21/2020 19:11:49.383</v>
      </c>
      <c r="B8255" t="str">
        <f>"19:11:57.328"</f>
        <v>19:11:57.328</v>
      </c>
      <c r="C8255" t="str">
        <f>"19:11:57.028"</f>
        <v>19:11:57.028</v>
      </c>
      <c r="D8255" t="s">
        <v>3255</v>
      </c>
      <c r="E8255">
        <v>30.579478999999999</v>
      </c>
      <c r="F8255" t="s">
        <v>2753</v>
      </c>
      <c r="G8255">
        <v>-89.820614000000006</v>
      </c>
      <c r="H8255">
        <v>1600</v>
      </c>
      <c r="I8255">
        <v>5</v>
      </c>
      <c r="J8255">
        <v>-160</v>
      </c>
      <c r="K8255">
        <v>-64</v>
      </c>
      <c r="L8255">
        <v>1200</v>
      </c>
      <c r="M8255" t="str">
        <f t="shared" si="790"/>
        <v xml:space="preserve">N35DC   </v>
      </c>
      <c r="N8255">
        <v>1</v>
      </c>
      <c r="O8255">
        <v>1700</v>
      </c>
    </row>
    <row r="8256" spans="1:15" x14ac:dyDescent="0.25">
      <c r="A8256" t="str">
        <f>"10/21/2020 19:11:49.383"</f>
        <v>10/21/2020 19:11:49.383</v>
      </c>
      <c r="B8256" t="str">
        <f>"19:11:57.328"</f>
        <v>19:11:57.328</v>
      </c>
      <c r="C8256" t="str">
        <f>"19:11:57.028"</f>
        <v>19:11:57.028</v>
      </c>
      <c r="D8256" t="s">
        <v>3255</v>
      </c>
      <c r="E8256">
        <v>30.579478999999999</v>
      </c>
      <c r="F8256" t="s">
        <v>2753</v>
      </c>
      <c r="G8256">
        <v>-89.820614000000006</v>
      </c>
      <c r="H8256">
        <v>1600</v>
      </c>
      <c r="I8256">
        <v>5</v>
      </c>
      <c r="J8256">
        <v>-160</v>
      </c>
      <c r="K8256">
        <v>-64</v>
      </c>
      <c r="L8256">
        <v>1200</v>
      </c>
      <c r="M8256" t="str">
        <f t="shared" si="790"/>
        <v xml:space="preserve">N35DC   </v>
      </c>
      <c r="N8256">
        <v>1</v>
      </c>
      <c r="O8256">
        <v>1700</v>
      </c>
    </row>
    <row r="8257" spans="1:15" x14ac:dyDescent="0.25">
      <c r="A8257" t="str">
        <f>"10/21/2020 19:11:49.383"</f>
        <v>10/21/2020 19:11:49.383</v>
      </c>
      <c r="B8257" t="str">
        <f>"19:11:57.328"</f>
        <v>19:11:57.328</v>
      </c>
      <c r="C8257" t="str">
        <f>"19:11:57.028"</f>
        <v>19:11:57.028</v>
      </c>
      <c r="D8257" t="s">
        <v>3255</v>
      </c>
      <c r="E8257">
        <v>30.579478999999999</v>
      </c>
      <c r="F8257" t="s">
        <v>2753</v>
      </c>
      <c r="G8257">
        <v>-89.820614000000006</v>
      </c>
      <c r="H8257">
        <v>1600</v>
      </c>
      <c r="I8257">
        <v>5</v>
      </c>
      <c r="J8257">
        <v>-160</v>
      </c>
      <c r="K8257">
        <v>-64</v>
      </c>
      <c r="L8257">
        <v>1200</v>
      </c>
      <c r="M8257" t="str">
        <f t="shared" si="790"/>
        <v xml:space="preserve">N35DC   </v>
      </c>
      <c r="N8257">
        <v>1</v>
      </c>
      <c r="O8257">
        <v>1700</v>
      </c>
    </row>
    <row r="8258" spans="1:15" x14ac:dyDescent="0.25">
      <c r="A8258" t="str">
        <f>"10/21/2020 19:11:49.383"</f>
        <v>10/21/2020 19:11:49.383</v>
      </c>
      <c r="B8258" t="str">
        <f>"19:11:57.328"</f>
        <v>19:11:57.328</v>
      </c>
      <c r="C8258" t="str">
        <f>"19:11:57.028"</f>
        <v>19:11:57.028</v>
      </c>
      <c r="D8258" t="s">
        <v>3255</v>
      </c>
      <c r="E8258">
        <v>30.579478999999999</v>
      </c>
      <c r="F8258" t="s">
        <v>2753</v>
      </c>
      <c r="G8258">
        <v>-89.820614000000006</v>
      </c>
      <c r="H8258">
        <v>1600</v>
      </c>
      <c r="I8258">
        <v>5</v>
      </c>
      <c r="J8258">
        <v>-160</v>
      </c>
      <c r="K8258">
        <v>-64</v>
      </c>
      <c r="L8258">
        <v>1200</v>
      </c>
      <c r="M8258" t="str">
        <f t="shared" si="790"/>
        <v xml:space="preserve">N35DC   </v>
      </c>
      <c r="N8258">
        <v>1</v>
      </c>
      <c r="O8258">
        <v>1700</v>
      </c>
    </row>
    <row r="8259" spans="1:15" x14ac:dyDescent="0.25">
      <c r="A8259" t="str">
        <f>"10/21/2020 19:11:49.383"</f>
        <v>10/21/2020 19:11:49.383</v>
      </c>
      <c r="B8259" t="str">
        <f>"19:11:57.328"</f>
        <v>19:11:57.328</v>
      </c>
      <c r="C8259" t="str">
        <f>"19:11:57.028"</f>
        <v>19:11:57.028</v>
      </c>
      <c r="D8259" t="s">
        <v>3255</v>
      </c>
      <c r="E8259">
        <v>30.579478999999999</v>
      </c>
      <c r="F8259" t="s">
        <v>2753</v>
      </c>
      <c r="G8259">
        <v>-89.820614000000006</v>
      </c>
      <c r="H8259">
        <v>1600</v>
      </c>
      <c r="I8259">
        <v>5</v>
      </c>
      <c r="J8259">
        <v>-160</v>
      </c>
      <c r="K8259">
        <v>-64</v>
      </c>
      <c r="L8259">
        <v>1200</v>
      </c>
      <c r="M8259" t="str">
        <f t="shared" si="790"/>
        <v xml:space="preserve">N35DC   </v>
      </c>
      <c r="N8259">
        <v>1</v>
      </c>
      <c r="O8259">
        <v>1700</v>
      </c>
    </row>
    <row r="8260" spans="1:15" x14ac:dyDescent="0.25">
      <c r="A8260" t="str">
        <f>"10/21/2020 19:11:50.395"</f>
        <v>10/21/2020 19:11:50.395</v>
      </c>
      <c r="B8260" t="str">
        <f>"19:11:58.359"</f>
        <v>19:11:58.359</v>
      </c>
      <c r="C8260" t="str">
        <f>"19:11:58.059"</f>
        <v>19:11:58.059</v>
      </c>
      <c r="D8260" t="s">
        <v>3256</v>
      </c>
      <c r="E8260">
        <v>30.578728000000002</v>
      </c>
      <c r="F8260" t="s">
        <v>2905</v>
      </c>
      <c r="G8260">
        <v>-89.820656999999997</v>
      </c>
      <c r="H8260">
        <v>1600</v>
      </c>
      <c r="I8260">
        <v>-2</v>
      </c>
      <c r="J8260">
        <v>-161</v>
      </c>
      <c r="K8260">
        <v>0</v>
      </c>
      <c r="L8260">
        <v>1200</v>
      </c>
      <c r="M8260" t="str">
        <f t="shared" si="790"/>
        <v xml:space="preserve">N35DC   </v>
      </c>
      <c r="N8260">
        <v>1</v>
      </c>
      <c r="O8260">
        <v>1700</v>
      </c>
    </row>
    <row r="8261" spans="1:15" x14ac:dyDescent="0.25">
      <c r="A8261" t="str">
        <f>"10/21/2020 19:11:50.395"</f>
        <v>10/21/2020 19:11:50.395</v>
      </c>
      <c r="B8261" t="str">
        <f>"19:11:58.359"</f>
        <v>19:11:58.359</v>
      </c>
      <c r="C8261" t="str">
        <f>"19:11:58.059"</f>
        <v>19:11:58.059</v>
      </c>
      <c r="D8261" t="s">
        <v>3256</v>
      </c>
      <c r="E8261">
        <v>30.578728000000002</v>
      </c>
      <c r="F8261" t="s">
        <v>2905</v>
      </c>
      <c r="G8261">
        <v>-89.820656999999997</v>
      </c>
      <c r="H8261">
        <v>1600</v>
      </c>
      <c r="I8261">
        <v>-2</v>
      </c>
      <c r="J8261">
        <v>-161</v>
      </c>
      <c r="K8261">
        <v>0</v>
      </c>
      <c r="L8261">
        <v>1200</v>
      </c>
      <c r="M8261" t="str">
        <f t="shared" si="790"/>
        <v xml:space="preserve">N35DC   </v>
      </c>
      <c r="N8261">
        <v>1</v>
      </c>
      <c r="O8261">
        <v>1700</v>
      </c>
    </row>
    <row r="8262" spans="1:15" x14ac:dyDescent="0.25">
      <c r="A8262" t="str">
        <f>"10/21/2020 19:11:50.395"</f>
        <v>10/21/2020 19:11:50.395</v>
      </c>
      <c r="B8262" t="str">
        <f>"19:11:58.359"</f>
        <v>19:11:58.359</v>
      </c>
      <c r="C8262" t="str">
        <f>"19:11:58.059"</f>
        <v>19:11:58.059</v>
      </c>
      <c r="D8262" t="s">
        <v>3256</v>
      </c>
      <c r="E8262">
        <v>30.578728000000002</v>
      </c>
      <c r="F8262" t="s">
        <v>2905</v>
      </c>
      <c r="G8262">
        <v>-89.820656999999997</v>
      </c>
      <c r="H8262">
        <v>1600</v>
      </c>
      <c r="I8262">
        <v>-2</v>
      </c>
      <c r="J8262">
        <v>-161</v>
      </c>
      <c r="K8262">
        <v>0</v>
      </c>
      <c r="L8262">
        <v>1200</v>
      </c>
      <c r="M8262" t="str">
        <f t="shared" si="790"/>
        <v xml:space="preserve">N35DC   </v>
      </c>
      <c r="N8262">
        <v>1</v>
      </c>
      <c r="O8262">
        <v>1700</v>
      </c>
    </row>
    <row r="8263" spans="1:15" x14ac:dyDescent="0.25">
      <c r="A8263" t="str">
        <f>"10/21/2020 19:11:50.395"</f>
        <v>10/21/2020 19:11:50.395</v>
      </c>
      <c r="B8263" t="str">
        <f>"19:11:58.359"</f>
        <v>19:11:58.359</v>
      </c>
      <c r="C8263" t="str">
        <f>"19:11:58.059"</f>
        <v>19:11:58.059</v>
      </c>
      <c r="D8263" t="s">
        <v>3256</v>
      </c>
      <c r="E8263">
        <v>30.578728000000002</v>
      </c>
      <c r="F8263" t="s">
        <v>2905</v>
      </c>
      <c r="G8263">
        <v>-89.820656999999997</v>
      </c>
      <c r="H8263">
        <v>1600</v>
      </c>
      <c r="I8263">
        <v>-2</v>
      </c>
      <c r="J8263">
        <v>-161</v>
      </c>
      <c r="K8263">
        <v>0</v>
      </c>
      <c r="L8263">
        <v>1200</v>
      </c>
      <c r="M8263" t="str">
        <f t="shared" ref="M8263:M8326" si="791">"N35DC   "</f>
        <v xml:space="preserve">N35DC   </v>
      </c>
      <c r="N8263">
        <v>1</v>
      </c>
      <c r="O8263">
        <v>1700</v>
      </c>
    </row>
    <row r="8264" spans="1:15" x14ac:dyDescent="0.25">
      <c r="A8264" t="str">
        <f>"10/21/2020 19:11:50.395"</f>
        <v>10/21/2020 19:11:50.395</v>
      </c>
      <c r="B8264" t="str">
        <f>"19:11:58.359"</f>
        <v>19:11:58.359</v>
      </c>
      <c r="C8264" t="str">
        <f>"19:11:58.059"</f>
        <v>19:11:58.059</v>
      </c>
      <c r="D8264" t="s">
        <v>3256</v>
      </c>
      <c r="E8264">
        <v>30.578728000000002</v>
      </c>
      <c r="F8264" t="s">
        <v>2905</v>
      </c>
      <c r="G8264">
        <v>-89.820656999999997</v>
      </c>
      <c r="H8264">
        <v>1600</v>
      </c>
      <c r="I8264">
        <v>-2</v>
      </c>
      <c r="J8264">
        <v>-161</v>
      </c>
      <c r="K8264">
        <v>0</v>
      </c>
      <c r="L8264">
        <v>1200</v>
      </c>
      <c r="M8264" t="str">
        <f t="shared" si="791"/>
        <v xml:space="preserve">N35DC   </v>
      </c>
      <c r="N8264">
        <v>1</v>
      </c>
      <c r="O8264">
        <v>1700</v>
      </c>
    </row>
    <row r="8265" spans="1:15" x14ac:dyDescent="0.25">
      <c r="A8265" t="str">
        <f>"10/21/2020 19:11:54.335"</f>
        <v>10/21/2020 19:11:54.335</v>
      </c>
      <c r="B8265" t="str">
        <f>"19:12:02.266"</f>
        <v>19:12:02.266</v>
      </c>
      <c r="C8265" t="str">
        <f>"19:12:02.066"</f>
        <v>19:12:02.066</v>
      </c>
      <c r="D8265" t="s">
        <v>3257</v>
      </c>
      <c r="E8265">
        <v>30.575787999999999</v>
      </c>
      <c r="F8265" t="s">
        <v>2317</v>
      </c>
      <c r="G8265">
        <v>-89.820978999999994</v>
      </c>
      <c r="H8265">
        <v>1600</v>
      </c>
      <c r="I8265">
        <v>-24</v>
      </c>
      <c r="J8265">
        <v>-160</v>
      </c>
      <c r="K8265">
        <v>64</v>
      </c>
      <c r="L8265">
        <v>1200</v>
      </c>
      <c r="M8265" t="str">
        <f t="shared" si="791"/>
        <v xml:space="preserve">N35DC   </v>
      </c>
      <c r="N8265">
        <v>1</v>
      </c>
      <c r="O8265">
        <v>1700</v>
      </c>
    </row>
    <row r="8266" spans="1:15" x14ac:dyDescent="0.25">
      <c r="A8266" t="str">
        <f>"10/21/2020 19:11:54.335"</f>
        <v>10/21/2020 19:11:54.335</v>
      </c>
      <c r="B8266" t="str">
        <f>"19:12:02.266"</f>
        <v>19:12:02.266</v>
      </c>
      <c r="C8266" t="str">
        <f>"19:12:02.066"</f>
        <v>19:12:02.066</v>
      </c>
      <c r="D8266" t="s">
        <v>3257</v>
      </c>
      <c r="E8266">
        <v>30.575787999999999</v>
      </c>
      <c r="F8266" t="s">
        <v>2317</v>
      </c>
      <c r="G8266">
        <v>-89.820978999999994</v>
      </c>
      <c r="H8266">
        <v>1600</v>
      </c>
      <c r="I8266">
        <v>-24</v>
      </c>
      <c r="J8266">
        <v>-160</v>
      </c>
      <c r="K8266">
        <v>64</v>
      </c>
      <c r="L8266">
        <v>1200</v>
      </c>
      <c r="M8266" t="str">
        <f t="shared" si="791"/>
        <v xml:space="preserve">N35DC   </v>
      </c>
      <c r="N8266">
        <v>1</v>
      </c>
      <c r="O8266">
        <v>1700</v>
      </c>
    </row>
    <row r="8267" spans="1:15" x14ac:dyDescent="0.25">
      <c r="A8267" t="str">
        <f>"10/21/2020 19:11:54.335"</f>
        <v>10/21/2020 19:11:54.335</v>
      </c>
      <c r="B8267" t="str">
        <f>"19:12:02.266"</f>
        <v>19:12:02.266</v>
      </c>
      <c r="C8267" t="str">
        <f>"19:12:02.066"</f>
        <v>19:12:02.066</v>
      </c>
      <c r="D8267" t="s">
        <v>3257</v>
      </c>
      <c r="E8267">
        <v>30.575787999999999</v>
      </c>
      <c r="F8267" t="s">
        <v>2317</v>
      </c>
      <c r="G8267">
        <v>-89.820978999999994</v>
      </c>
      <c r="H8267">
        <v>1600</v>
      </c>
      <c r="I8267">
        <v>-24</v>
      </c>
      <c r="J8267">
        <v>-160</v>
      </c>
      <c r="K8267">
        <v>64</v>
      </c>
      <c r="L8267">
        <v>1200</v>
      </c>
      <c r="M8267" t="str">
        <f t="shared" si="791"/>
        <v xml:space="preserve">N35DC   </v>
      </c>
      <c r="N8267">
        <v>1</v>
      </c>
      <c r="O8267">
        <v>1700</v>
      </c>
    </row>
    <row r="8268" spans="1:15" x14ac:dyDescent="0.25">
      <c r="A8268" t="str">
        <f>"10/21/2020 19:11:54.335"</f>
        <v>10/21/2020 19:11:54.335</v>
      </c>
      <c r="B8268" t="str">
        <f>"19:12:02.266"</f>
        <v>19:12:02.266</v>
      </c>
      <c r="C8268" t="str">
        <f>"19:12:02.066"</f>
        <v>19:12:02.066</v>
      </c>
      <c r="D8268" t="s">
        <v>3257</v>
      </c>
      <c r="E8268">
        <v>30.575787999999999</v>
      </c>
      <c r="F8268" t="s">
        <v>2317</v>
      </c>
      <c r="G8268">
        <v>-89.820978999999994</v>
      </c>
      <c r="H8268">
        <v>1600</v>
      </c>
      <c r="I8268">
        <v>-24</v>
      </c>
      <c r="J8268">
        <v>-160</v>
      </c>
      <c r="K8268">
        <v>64</v>
      </c>
      <c r="L8268">
        <v>1200</v>
      </c>
      <c r="M8268" t="str">
        <f t="shared" si="791"/>
        <v xml:space="preserve">N35DC   </v>
      </c>
      <c r="N8268">
        <v>1</v>
      </c>
      <c r="O8268">
        <v>1700</v>
      </c>
    </row>
    <row r="8269" spans="1:15" x14ac:dyDescent="0.25">
      <c r="A8269" t="str">
        <f>"10/21/2020 19:11:54.335"</f>
        <v>10/21/2020 19:11:54.335</v>
      </c>
      <c r="B8269" t="str">
        <f>"19:12:02.266"</f>
        <v>19:12:02.266</v>
      </c>
      <c r="C8269" t="str">
        <f>"19:12:02.066"</f>
        <v>19:12:02.066</v>
      </c>
      <c r="D8269" t="s">
        <v>3257</v>
      </c>
      <c r="E8269">
        <v>30.575787999999999</v>
      </c>
      <c r="F8269" t="s">
        <v>2317</v>
      </c>
      <c r="G8269">
        <v>-89.820978999999994</v>
      </c>
      <c r="H8269">
        <v>1600</v>
      </c>
      <c r="I8269">
        <v>-24</v>
      </c>
      <c r="J8269">
        <v>-160</v>
      </c>
      <c r="K8269">
        <v>64</v>
      </c>
      <c r="L8269">
        <v>1200</v>
      </c>
      <c r="M8269" t="str">
        <f t="shared" si="791"/>
        <v xml:space="preserve">N35DC   </v>
      </c>
      <c r="N8269">
        <v>1</v>
      </c>
      <c r="O8269">
        <v>1700</v>
      </c>
    </row>
    <row r="8270" spans="1:15" x14ac:dyDescent="0.25">
      <c r="A8270" t="str">
        <f>"10/21/2020 19:11:55.242"</f>
        <v>10/21/2020 19:11:55.242</v>
      </c>
      <c r="B8270" t="str">
        <f>"19:12:03.180"</f>
        <v>19:12:03.180</v>
      </c>
      <c r="C8270" t="str">
        <f>"19:12:02.980"</f>
        <v>19:12:02.980</v>
      </c>
      <c r="D8270" t="s">
        <v>3258</v>
      </c>
      <c r="E8270">
        <v>30.575144000000002</v>
      </c>
      <c r="F8270" t="s">
        <v>2757</v>
      </c>
      <c r="G8270">
        <v>-89.821085999999994</v>
      </c>
      <c r="H8270">
        <v>1600</v>
      </c>
      <c r="I8270">
        <v>-26</v>
      </c>
      <c r="J8270">
        <v>-159</v>
      </c>
      <c r="K8270">
        <v>64</v>
      </c>
      <c r="L8270">
        <v>1200</v>
      </c>
      <c r="M8270" t="str">
        <f t="shared" si="791"/>
        <v xml:space="preserve">N35DC   </v>
      </c>
      <c r="N8270">
        <v>1</v>
      </c>
      <c r="O8270">
        <v>1700</v>
      </c>
    </row>
    <row r="8271" spans="1:15" x14ac:dyDescent="0.25">
      <c r="A8271" t="str">
        <f>"10/21/2020 19:11:55.242"</f>
        <v>10/21/2020 19:11:55.242</v>
      </c>
      <c r="B8271" t="str">
        <f>"19:12:03.180"</f>
        <v>19:12:03.180</v>
      </c>
      <c r="C8271" t="str">
        <f>"19:12:02.980"</f>
        <v>19:12:02.980</v>
      </c>
      <c r="D8271" t="s">
        <v>3258</v>
      </c>
      <c r="E8271">
        <v>30.575144000000002</v>
      </c>
      <c r="F8271" t="s">
        <v>2757</v>
      </c>
      <c r="G8271">
        <v>-89.821085999999994</v>
      </c>
      <c r="H8271">
        <v>1600</v>
      </c>
      <c r="I8271">
        <v>-26</v>
      </c>
      <c r="J8271">
        <v>-159</v>
      </c>
      <c r="K8271">
        <v>64</v>
      </c>
      <c r="L8271">
        <v>1200</v>
      </c>
      <c r="M8271" t="str">
        <f t="shared" si="791"/>
        <v xml:space="preserve">N35DC   </v>
      </c>
      <c r="N8271">
        <v>1</v>
      </c>
      <c r="O8271">
        <v>1700</v>
      </c>
    </row>
    <row r="8272" spans="1:15" x14ac:dyDescent="0.25">
      <c r="A8272" t="str">
        <f>"10/21/2020 19:11:55.242"</f>
        <v>10/21/2020 19:11:55.242</v>
      </c>
      <c r="B8272" t="str">
        <f>"19:12:03.180"</f>
        <v>19:12:03.180</v>
      </c>
      <c r="C8272" t="str">
        <f>"19:12:02.980"</f>
        <v>19:12:02.980</v>
      </c>
      <c r="D8272" t="s">
        <v>3258</v>
      </c>
      <c r="E8272">
        <v>30.575144000000002</v>
      </c>
      <c r="F8272" t="s">
        <v>2757</v>
      </c>
      <c r="G8272">
        <v>-89.821085999999994</v>
      </c>
      <c r="H8272">
        <v>1600</v>
      </c>
      <c r="I8272">
        <v>-26</v>
      </c>
      <c r="J8272">
        <v>-159</v>
      </c>
      <c r="K8272">
        <v>64</v>
      </c>
      <c r="L8272">
        <v>1200</v>
      </c>
      <c r="M8272" t="str">
        <f t="shared" si="791"/>
        <v xml:space="preserve">N35DC   </v>
      </c>
      <c r="N8272">
        <v>1</v>
      </c>
      <c r="O8272">
        <v>1700</v>
      </c>
    </row>
    <row r="8273" spans="1:15" x14ac:dyDescent="0.25">
      <c r="A8273" t="str">
        <f>"10/21/2020 19:11:55.242"</f>
        <v>10/21/2020 19:11:55.242</v>
      </c>
      <c r="B8273" t="str">
        <f>"19:12:03.180"</f>
        <v>19:12:03.180</v>
      </c>
      <c r="C8273" t="str">
        <f>"19:12:02.980"</f>
        <v>19:12:02.980</v>
      </c>
      <c r="D8273" t="s">
        <v>3258</v>
      </c>
      <c r="E8273">
        <v>30.575144000000002</v>
      </c>
      <c r="F8273" t="s">
        <v>2757</v>
      </c>
      <c r="G8273">
        <v>-89.821085999999994</v>
      </c>
      <c r="H8273">
        <v>1600</v>
      </c>
      <c r="I8273">
        <v>-26</v>
      </c>
      <c r="J8273">
        <v>-159</v>
      </c>
      <c r="K8273">
        <v>64</v>
      </c>
      <c r="L8273">
        <v>1200</v>
      </c>
      <c r="M8273" t="str">
        <f t="shared" si="791"/>
        <v xml:space="preserve">N35DC   </v>
      </c>
      <c r="N8273">
        <v>1</v>
      </c>
      <c r="O8273">
        <v>1700</v>
      </c>
    </row>
    <row r="8274" spans="1:15" x14ac:dyDescent="0.25">
      <c r="A8274" t="str">
        <f>"10/21/2020 19:11:55.242"</f>
        <v>10/21/2020 19:11:55.242</v>
      </c>
      <c r="B8274" t="str">
        <f>"19:12:03.180"</f>
        <v>19:12:03.180</v>
      </c>
      <c r="C8274" t="str">
        <f>"19:12:02.980"</f>
        <v>19:12:02.980</v>
      </c>
      <c r="D8274" t="s">
        <v>3258</v>
      </c>
      <c r="E8274">
        <v>30.575144000000002</v>
      </c>
      <c r="F8274" t="s">
        <v>2757</v>
      </c>
      <c r="G8274">
        <v>-89.821085999999994</v>
      </c>
      <c r="H8274">
        <v>1600</v>
      </c>
      <c r="I8274">
        <v>-26</v>
      </c>
      <c r="J8274">
        <v>-159</v>
      </c>
      <c r="K8274">
        <v>64</v>
      </c>
      <c r="L8274">
        <v>1200</v>
      </c>
      <c r="M8274" t="str">
        <f t="shared" si="791"/>
        <v xml:space="preserve">N35DC   </v>
      </c>
      <c r="N8274">
        <v>1</v>
      </c>
      <c r="O8274">
        <v>1700</v>
      </c>
    </row>
    <row r="8275" spans="1:15" x14ac:dyDescent="0.25">
      <c r="A8275" t="str">
        <f>"10/21/2020 19:11:58.363"</f>
        <v>10/21/2020 19:11:58.363</v>
      </c>
      <c r="B8275" t="str">
        <f>"19:12:06.328"</f>
        <v>19:12:06.328</v>
      </c>
      <c r="C8275" t="str">
        <f>"19:12:06.128"</f>
        <v>19:12:06.128</v>
      </c>
      <c r="D8275" t="s">
        <v>618</v>
      </c>
      <c r="E8275">
        <v>30.572804999999999</v>
      </c>
      <c r="F8275" t="s">
        <v>3259</v>
      </c>
      <c r="G8275">
        <v>-89.821644000000006</v>
      </c>
      <c r="H8275">
        <v>1700</v>
      </c>
      <c r="I8275">
        <v>-34</v>
      </c>
      <c r="J8275">
        <v>-158</v>
      </c>
      <c r="K8275">
        <v>384</v>
      </c>
      <c r="L8275">
        <v>1200</v>
      </c>
      <c r="M8275" t="str">
        <f t="shared" si="791"/>
        <v xml:space="preserve">N35DC   </v>
      </c>
      <c r="N8275">
        <v>1</v>
      </c>
      <c r="O8275">
        <v>1725</v>
      </c>
    </row>
    <row r="8276" spans="1:15" x14ac:dyDescent="0.25">
      <c r="A8276" t="str">
        <f>"10/21/2020 19:11:58.363"</f>
        <v>10/21/2020 19:11:58.363</v>
      </c>
      <c r="B8276" t="str">
        <f>"19:12:06.328"</f>
        <v>19:12:06.328</v>
      </c>
      <c r="C8276" t="str">
        <f>"19:12:06.128"</f>
        <v>19:12:06.128</v>
      </c>
      <c r="D8276" t="s">
        <v>618</v>
      </c>
      <c r="E8276">
        <v>30.572804999999999</v>
      </c>
      <c r="F8276" t="s">
        <v>3259</v>
      </c>
      <c r="G8276">
        <v>-89.821644000000006</v>
      </c>
      <c r="H8276">
        <v>1700</v>
      </c>
      <c r="I8276">
        <v>-34</v>
      </c>
      <c r="J8276">
        <v>-158</v>
      </c>
      <c r="K8276">
        <v>384</v>
      </c>
      <c r="L8276">
        <v>1200</v>
      </c>
      <c r="M8276" t="str">
        <f t="shared" si="791"/>
        <v xml:space="preserve">N35DC   </v>
      </c>
      <c r="N8276">
        <v>1</v>
      </c>
      <c r="O8276">
        <v>1725</v>
      </c>
    </row>
    <row r="8277" spans="1:15" x14ac:dyDescent="0.25">
      <c r="A8277" t="str">
        <f>"10/21/2020 19:11:58.363"</f>
        <v>10/21/2020 19:11:58.363</v>
      </c>
      <c r="B8277" t="str">
        <f>"19:12:06.328"</f>
        <v>19:12:06.328</v>
      </c>
      <c r="C8277" t="str">
        <f>"19:12:06.128"</f>
        <v>19:12:06.128</v>
      </c>
      <c r="D8277" t="s">
        <v>618</v>
      </c>
      <c r="E8277">
        <v>30.572804999999999</v>
      </c>
      <c r="F8277" t="s">
        <v>3259</v>
      </c>
      <c r="G8277">
        <v>-89.821644000000006</v>
      </c>
      <c r="H8277">
        <v>1700</v>
      </c>
      <c r="I8277">
        <v>-34</v>
      </c>
      <c r="J8277">
        <v>-158</v>
      </c>
      <c r="K8277">
        <v>384</v>
      </c>
      <c r="L8277">
        <v>1200</v>
      </c>
      <c r="M8277" t="str">
        <f t="shared" si="791"/>
        <v xml:space="preserve">N35DC   </v>
      </c>
      <c r="N8277">
        <v>1</v>
      </c>
      <c r="O8277">
        <v>1725</v>
      </c>
    </row>
    <row r="8278" spans="1:15" x14ac:dyDescent="0.25">
      <c r="A8278" t="str">
        <f>"10/21/2020 19:11:58.363"</f>
        <v>10/21/2020 19:11:58.363</v>
      </c>
      <c r="B8278" t="str">
        <f>"19:12:06.328"</f>
        <v>19:12:06.328</v>
      </c>
      <c r="C8278" t="str">
        <f>"19:12:06.128"</f>
        <v>19:12:06.128</v>
      </c>
      <c r="D8278" t="s">
        <v>618</v>
      </c>
      <c r="E8278">
        <v>30.572804999999999</v>
      </c>
      <c r="F8278" t="s">
        <v>3259</v>
      </c>
      <c r="G8278">
        <v>-89.821644000000006</v>
      </c>
      <c r="H8278">
        <v>1700</v>
      </c>
      <c r="I8278">
        <v>-34</v>
      </c>
      <c r="J8278">
        <v>-158</v>
      </c>
      <c r="K8278">
        <v>384</v>
      </c>
      <c r="L8278">
        <v>1200</v>
      </c>
      <c r="M8278" t="str">
        <f t="shared" si="791"/>
        <v xml:space="preserve">N35DC   </v>
      </c>
      <c r="N8278">
        <v>1</v>
      </c>
      <c r="O8278">
        <v>1725</v>
      </c>
    </row>
    <row r="8279" spans="1:15" x14ac:dyDescent="0.25">
      <c r="A8279" t="str">
        <f>"10/21/2020 19:11:58.363"</f>
        <v>10/21/2020 19:11:58.363</v>
      </c>
      <c r="B8279" t="str">
        <f>"19:12:06.328"</f>
        <v>19:12:06.328</v>
      </c>
      <c r="C8279" t="str">
        <f>"19:12:06.128"</f>
        <v>19:12:06.128</v>
      </c>
      <c r="D8279" t="s">
        <v>618</v>
      </c>
      <c r="E8279">
        <v>30.572804999999999</v>
      </c>
      <c r="F8279" t="s">
        <v>3259</v>
      </c>
      <c r="G8279">
        <v>-89.821644000000006</v>
      </c>
      <c r="H8279">
        <v>1700</v>
      </c>
      <c r="I8279">
        <v>-34</v>
      </c>
      <c r="J8279">
        <v>-158</v>
      </c>
      <c r="K8279">
        <v>384</v>
      </c>
      <c r="L8279">
        <v>1200</v>
      </c>
      <c r="M8279" t="str">
        <f t="shared" si="791"/>
        <v xml:space="preserve">N35DC   </v>
      </c>
      <c r="N8279">
        <v>1</v>
      </c>
      <c r="O8279">
        <v>1725</v>
      </c>
    </row>
    <row r="8280" spans="1:15" x14ac:dyDescent="0.25">
      <c r="A8280" t="str">
        <f>"10/21/2020 19:12:01.664"</f>
        <v>10/21/2020 19:12:01.664</v>
      </c>
      <c r="B8280" t="str">
        <f>"19:12:09.609"</f>
        <v>19:12:09.609</v>
      </c>
      <c r="C8280" t="str">
        <f>"19:12:09.509"</f>
        <v>19:12:09.509</v>
      </c>
      <c r="D8280" t="s">
        <v>3260</v>
      </c>
      <c r="E8280">
        <v>30.570423999999999</v>
      </c>
      <c r="F8280" t="s">
        <v>3261</v>
      </c>
      <c r="G8280">
        <v>-89.822288</v>
      </c>
      <c r="H8280">
        <v>1700</v>
      </c>
      <c r="I8280">
        <v>-33</v>
      </c>
      <c r="J8280">
        <v>-158</v>
      </c>
      <c r="K8280">
        <v>128</v>
      </c>
      <c r="L8280">
        <v>1200</v>
      </c>
      <c r="M8280" t="str">
        <f t="shared" si="791"/>
        <v xml:space="preserve">N35DC   </v>
      </c>
      <c r="N8280">
        <v>1</v>
      </c>
      <c r="O8280">
        <v>1750</v>
      </c>
    </row>
    <row r="8281" spans="1:15" x14ac:dyDescent="0.25">
      <c r="A8281" t="str">
        <f>"10/21/2020 19:12:01.664"</f>
        <v>10/21/2020 19:12:01.664</v>
      </c>
      <c r="B8281" t="str">
        <f>"19:12:09.609"</f>
        <v>19:12:09.609</v>
      </c>
      <c r="C8281" t="str">
        <f>"19:12:09.509"</f>
        <v>19:12:09.509</v>
      </c>
      <c r="D8281" t="s">
        <v>3260</v>
      </c>
      <c r="E8281">
        <v>30.570423999999999</v>
      </c>
      <c r="F8281" t="s">
        <v>3261</v>
      </c>
      <c r="G8281">
        <v>-89.822288</v>
      </c>
      <c r="H8281">
        <v>1700</v>
      </c>
      <c r="I8281">
        <v>-33</v>
      </c>
      <c r="J8281">
        <v>-158</v>
      </c>
      <c r="K8281">
        <v>128</v>
      </c>
      <c r="L8281">
        <v>1200</v>
      </c>
      <c r="M8281" t="str">
        <f t="shared" si="791"/>
        <v xml:space="preserve">N35DC   </v>
      </c>
      <c r="N8281">
        <v>1</v>
      </c>
      <c r="O8281">
        <v>1750</v>
      </c>
    </row>
    <row r="8282" spans="1:15" x14ac:dyDescent="0.25">
      <c r="A8282" t="str">
        <f>"10/21/2020 19:12:01.664"</f>
        <v>10/21/2020 19:12:01.664</v>
      </c>
      <c r="B8282" t="str">
        <f>"19:12:09.609"</f>
        <v>19:12:09.609</v>
      </c>
      <c r="C8282" t="str">
        <f>"19:12:09.509"</f>
        <v>19:12:09.509</v>
      </c>
      <c r="D8282" t="s">
        <v>3260</v>
      </c>
      <c r="E8282">
        <v>30.570423999999999</v>
      </c>
      <c r="F8282" t="s">
        <v>3261</v>
      </c>
      <c r="G8282">
        <v>-89.822288</v>
      </c>
      <c r="H8282">
        <v>1700</v>
      </c>
      <c r="I8282">
        <v>-33</v>
      </c>
      <c r="J8282">
        <v>-158</v>
      </c>
      <c r="K8282">
        <v>128</v>
      </c>
      <c r="L8282">
        <v>1200</v>
      </c>
      <c r="M8282" t="str">
        <f t="shared" si="791"/>
        <v xml:space="preserve">N35DC   </v>
      </c>
      <c r="N8282">
        <v>1</v>
      </c>
      <c r="O8282">
        <v>1750</v>
      </c>
    </row>
    <row r="8283" spans="1:15" x14ac:dyDescent="0.25">
      <c r="A8283" t="str">
        <f>"10/21/2020 19:12:01.664"</f>
        <v>10/21/2020 19:12:01.664</v>
      </c>
      <c r="B8283" t="str">
        <f>"19:12:09.609"</f>
        <v>19:12:09.609</v>
      </c>
      <c r="C8283" t="str">
        <f>"19:12:09.509"</f>
        <v>19:12:09.509</v>
      </c>
      <c r="D8283" t="s">
        <v>3260</v>
      </c>
      <c r="E8283">
        <v>30.570423999999999</v>
      </c>
      <c r="F8283" t="s">
        <v>3261</v>
      </c>
      <c r="G8283">
        <v>-89.822288</v>
      </c>
      <c r="H8283">
        <v>1700</v>
      </c>
      <c r="I8283">
        <v>-33</v>
      </c>
      <c r="J8283">
        <v>-158</v>
      </c>
      <c r="K8283">
        <v>128</v>
      </c>
      <c r="L8283">
        <v>1200</v>
      </c>
      <c r="M8283" t="str">
        <f t="shared" si="791"/>
        <v xml:space="preserve">N35DC   </v>
      </c>
      <c r="N8283">
        <v>1</v>
      </c>
      <c r="O8283">
        <v>1750</v>
      </c>
    </row>
    <row r="8284" spans="1:15" x14ac:dyDescent="0.25">
      <c r="A8284" t="str">
        <f>"10/21/2020 19:12:01.664"</f>
        <v>10/21/2020 19:12:01.664</v>
      </c>
      <c r="B8284" t="str">
        <f>"19:12:09.609"</f>
        <v>19:12:09.609</v>
      </c>
      <c r="C8284" t="str">
        <f>"19:12:09.509"</f>
        <v>19:12:09.509</v>
      </c>
      <c r="D8284" t="s">
        <v>3260</v>
      </c>
      <c r="E8284">
        <v>30.570423999999999</v>
      </c>
      <c r="F8284" t="s">
        <v>3261</v>
      </c>
      <c r="G8284">
        <v>-89.822288</v>
      </c>
      <c r="H8284">
        <v>1700</v>
      </c>
      <c r="I8284">
        <v>-33</v>
      </c>
      <c r="J8284">
        <v>-158</v>
      </c>
      <c r="K8284">
        <v>128</v>
      </c>
      <c r="L8284">
        <v>1200</v>
      </c>
      <c r="M8284" t="str">
        <f t="shared" si="791"/>
        <v xml:space="preserve">N35DC   </v>
      </c>
      <c r="N8284">
        <v>1</v>
      </c>
      <c r="O8284">
        <v>1750</v>
      </c>
    </row>
    <row r="8285" spans="1:15" x14ac:dyDescent="0.25">
      <c r="A8285" t="str">
        <f>"10/21/2020 19:12:02.572"</f>
        <v>10/21/2020 19:12:02.572</v>
      </c>
      <c r="B8285" t="str">
        <f>"19:12:10.500"</f>
        <v>19:12:10.500</v>
      </c>
      <c r="C8285" t="str">
        <f>"19:12:10.500"</f>
        <v>19:12:10.500</v>
      </c>
      <c r="D8285" t="s">
        <v>3262</v>
      </c>
      <c r="E8285">
        <v>30.569780000000002</v>
      </c>
      <c r="F8285" t="s">
        <v>3263</v>
      </c>
      <c r="G8285">
        <v>-89.822395</v>
      </c>
      <c r="H8285">
        <v>1700</v>
      </c>
      <c r="I8285">
        <v>-32</v>
      </c>
      <c r="J8285">
        <v>-158</v>
      </c>
      <c r="K8285">
        <v>64</v>
      </c>
      <c r="L8285">
        <v>1200</v>
      </c>
      <c r="M8285" t="str">
        <f t="shared" si="791"/>
        <v xml:space="preserve">N35DC   </v>
      </c>
      <c r="N8285">
        <v>1</v>
      </c>
      <c r="O8285">
        <v>1750</v>
      </c>
    </row>
    <row r="8286" spans="1:15" x14ac:dyDescent="0.25">
      <c r="A8286" t="str">
        <f>"10/21/2020 19:12:02.572"</f>
        <v>10/21/2020 19:12:02.572</v>
      </c>
      <c r="B8286" t="str">
        <f>"19:12:10.492"</f>
        <v>19:12:10.492</v>
      </c>
      <c r="C8286" t="str">
        <f>"19:12:10.492"</f>
        <v>19:12:10.492</v>
      </c>
      <c r="D8286" t="s">
        <v>3262</v>
      </c>
      <c r="E8286">
        <v>30.569780000000002</v>
      </c>
      <c r="F8286" t="s">
        <v>3263</v>
      </c>
      <c r="G8286">
        <v>-89.822395</v>
      </c>
      <c r="H8286">
        <v>1700</v>
      </c>
      <c r="I8286">
        <v>-32</v>
      </c>
      <c r="J8286">
        <v>-158</v>
      </c>
      <c r="K8286">
        <v>64</v>
      </c>
      <c r="L8286">
        <v>1200</v>
      </c>
      <c r="M8286" t="str">
        <f t="shared" si="791"/>
        <v xml:space="preserve">N35DC   </v>
      </c>
      <c r="N8286">
        <v>1</v>
      </c>
      <c r="O8286">
        <v>1750</v>
      </c>
    </row>
    <row r="8287" spans="1:15" x14ac:dyDescent="0.25">
      <c r="A8287" t="str">
        <f>"10/21/2020 19:12:02.572"</f>
        <v>10/21/2020 19:12:02.572</v>
      </c>
      <c r="B8287" t="str">
        <f t="shared" ref="B8287:C8289" si="792">"19:12:10.500"</f>
        <v>19:12:10.500</v>
      </c>
      <c r="C8287" t="str">
        <f t="shared" si="792"/>
        <v>19:12:10.500</v>
      </c>
      <c r="D8287" t="s">
        <v>3262</v>
      </c>
      <c r="E8287">
        <v>30.569780000000002</v>
      </c>
      <c r="F8287" t="s">
        <v>3263</v>
      </c>
      <c r="G8287">
        <v>-89.822395</v>
      </c>
      <c r="H8287">
        <v>1700</v>
      </c>
      <c r="I8287">
        <v>-32</v>
      </c>
      <c r="J8287">
        <v>-158</v>
      </c>
      <c r="K8287">
        <v>64</v>
      </c>
      <c r="L8287">
        <v>1200</v>
      </c>
      <c r="M8287" t="str">
        <f t="shared" si="791"/>
        <v xml:space="preserve">N35DC   </v>
      </c>
      <c r="N8287">
        <v>1</v>
      </c>
      <c r="O8287">
        <v>1750</v>
      </c>
    </row>
    <row r="8288" spans="1:15" x14ac:dyDescent="0.25">
      <c r="A8288" t="str">
        <f>"10/21/2020 19:12:02.572"</f>
        <v>10/21/2020 19:12:02.572</v>
      </c>
      <c r="B8288" t="str">
        <f t="shared" si="792"/>
        <v>19:12:10.500</v>
      </c>
      <c r="C8288" t="str">
        <f t="shared" si="792"/>
        <v>19:12:10.500</v>
      </c>
      <c r="D8288" t="s">
        <v>3262</v>
      </c>
      <c r="E8288">
        <v>30.569780000000002</v>
      </c>
      <c r="F8288" t="s">
        <v>3263</v>
      </c>
      <c r="G8288">
        <v>-89.822395</v>
      </c>
      <c r="H8288">
        <v>1700</v>
      </c>
      <c r="I8288">
        <v>-32</v>
      </c>
      <c r="J8288">
        <v>-158</v>
      </c>
      <c r="K8288">
        <v>64</v>
      </c>
      <c r="L8288">
        <v>1200</v>
      </c>
      <c r="M8288" t="str">
        <f t="shared" si="791"/>
        <v xml:space="preserve">N35DC   </v>
      </c>
      <c r="N8288">
        <v>1</v>
      </c>
      <c r="O8288">
        <v>1750</v>
      </c>
    </row>
    <row r="8289" spans="1:15" x14ac:dyDescent="0.25">
      <c r="A8289" t="str">
        <f>"10/21/2020 19:12:02.572"</f>
        <v>10/21/2020 19:12:02.572</v>
      </c>
      <c r="B8289" t="str">
        <f t="shared" si="792"/>
        <v>19:12:10.500</v>
      </c>
      <c r="C8289" t="str">
        <f t="shared" si="792"/>
        <v>19:12:10.500</v>
      </c>
      <c r="D8289" t="s">
        <v>3262</v>
      </c>
      <c r="E8289">
        <v>30.569780000000002</v>
      </c>
      <c r="F8289" t="s">
        <v>3263</v>
      </c>
      <c r="G8289">
        <v>-89.822395</v>
      </c>
      <c r="H8289">
        <v>1700</v>
      </c>
      <c r="I8289">
        <v>-32</v>
      </c>
      <c r="J8289">
        <v>-158</v>
      </c>
      <c r="K8289">
        <v>64</v>
      </c>
      <c r="L8289">
        <v>1200</v>
      </c>
      <c r="M8289" t="str">
        <f t="shared" si="791"/>
        <v xml:space="preserve">N35DC   </v>
      </c>
      <c r="N8289">
        <v>1</v>
      </c>
      <c r="O8289">
        <v>1750</v>
      </c>
    </row>
    <row r="8290" spans="1:15" x14ac:dyDescent="0.25">
      <c r="A8290" t="str">
        <f>"10/21/2020 19:12:03.551"</f>
        <v>10/21/2020 19:12:03.551</v>
      </c>
      <c r="B8290" t="str">
        <f>"19:12:11.500"</f>
        <v>19:12:11.500</v>
      </c>
      <c r="C8290" t="str">
        <f>"19:12:11.400"</f>
        <v>19:12:11.400</v>
      </c>
      <c r="D8290" t="s">
        <v>3264</v>
      </c>
      <c r="E8290">
        <v>30.569029</v>
      </c>
      <c r="F8290" t="s">
        <v>3265</v>
      </c>
      <c r="G8290">
        <v>-89.822567000000006</v>
      </c>
      <c r="H8290">
        <v>1700</v>
      </c>
      <c r="I8290">
        <v>-30</v>
      </c>
      <c r="J8290">
        <v>-159</v>
      </c>
      <c r="K8290">
        <v>0</v>
      </c>
      <c r="L8290">
        <v>1200</v>
      </c>
      <c r="M8290" t="str">
        <f t="shared" si="791"/>
        <v xml:space="preserve">N35DC   </v>
      </c>
      <c r="N8290">
        <v>1</v>
      </c>
      <c r="O8290">
        <v>1750</v>
      </c>
    </row>
    <row r="8291" spans="1:15" x14ac:dyDescent="0.25">
      <c r="A8291" t="str">
        <f>"10/21/2020 19:12:03.551"</f>
        <v>10/21/2020 19:12:03.551</v>
      </c>
      <c r="B8291" t="str">
        <f>"19:12:11.500"</f>
        <v>19:12:11.500</v>
      </c>
      <c r="C8291" t="str">
        <f>"19:12:11.400"</f>
        <v>19:12:11.400</v>
      </c>
      <c r="D8291" t="s">
        <v>3264</v>
      </c>
      <c r="E8291">
        <v>30.569029</v>
      </c>
      <c r="F8291" t="s">
        <v>3265</v>
      </c>
      <c r="G8291">
        <v>-89.822567000000006</v>
      </c>
      <c r="H8291">
        <v>1700</v>
      </c>
      <c r="I8291">
        <v>-30</v>
      </c>
      <c r="J8291">
        <v>-159</v>
      </c>
      <c r="K8291">
        <v>0</v>
      </c>
      <c r="L8291">
        <v>1200</v>
      </c>
      <c r="M8291" t="str">
        <f t="shared" si="791"/>
        <v xml:space="preserve">N35DC   </v>
      </c>
      <c r="N8291">
        <v>1</v>
      </c>
      <c r="O8291">
        <v>1750</v>
      </c>
    </row>
    <row r="8292" spans="1:15" x14ac:dyDescent="0.25">
      <c r="A8292" t="str">
        <f>"10/21/2020 19:12:03.551"</f>
        <v>10/21/2020 19:12:03.551</v>
      </c>
      <c r="B8292" t="str">
        <f>"19:12:11.500"</f>
        <v>19:12:11.500</v>
      </c>
      <c r="C8292" t="str">
        <f>"19:12:11.400"</f>
        <v>19:12:11.400</v>
      </c>
      <c r="D8292" t="s">
        <v>3264</v>
      </c>
      <c r="E8292">
        <v>30.569029</v>
      </c>
      <c r="F8292" t="s">
        <v>3265</v>
      </c>
      <c r="G8292">
        <v>-89.822567000000006</v>
      </c>
      <c r="H8292">
        <v>1700</v>
      </c>
      <c r="I8292">
        <v>-30</v>
      </c>
      <c r="J8292">
        <v>-159</v>
      </c>
      <c r="K8292">
        <v>0</v>
      </c>
      <c r="L8292">
        <v>1200</v>
      </c>
      <c r="M8292" t="str">
        <f t="shared" si="791"/>
        <v xml:space="preserve">N35DC   </v>
      </c>
      <c r="N8292">
        <v>1</v>
      </c>
      <c r="O8292">
        <v>1750</v>
      </c>
    </row>
    <row r="8293" spans="1:15" x14ac:dyDescent="0.25">
      <c r="A8293" t="str">
        <f>"10/21/2020 19:12:03.551"</f>
        <v>10/21/2020 19:12:03.551</v>
      </c>
      <c r="B8293" t="str">
        <f>"19:12:11.500"</f>
        <v>19:12:11.500</v>
      </c>
      <c r="C8293" t="str">
        <f>"19:12:11.400"</f>
        <v>19:12:11.400</v>
      </c>
      <c r="D8293" t="s">
        <v>3264</v>
      </c>
      <c r="E8293">
        <v>30.569029</v>
      </c>
      <c r="F8293" t="s">
        <v>3265</v>
      </c>
      <c r="G8293">
        <v>-89.822567000000006</v>
      </c>
      <c r="H8293">
        <v>1700</v>
      </c>
      <c r="I8293">
        <v>-30</v>
      </c>
      <c r="J8293">
        <v>-159</v>
      </c>
      <c r="K8293">
        <v>0</v>
      </c>
      <c r="L8293">
        <v>1200</v>
      </c>
      <c r="M8293" t="str">
        <f t="shared" si="791"/>
        <v xml:space="preserve">N35DC   </v>
      </c>
      <c r="N8293">
        <v>1</v>
      </c>
      <c r="O8293">
        <v>1750</v>
      </c>
    </row>
    <row r="8294" spans="1:15" x14ac:dyDescent="0.25">
      <c r="A8294" t="str">
        <f>"10/21/2020 19:12:03.551"</f>
        <v>10/21/2020 19:12:03.551</v>
      </c>
      <c r="B8294" t="str">
        <f>"19:12:11.500"</f>
        <v>19:12:11.500</v>
      </c>
      <c r="C8294" t="str">
        <f>"19:12:11.400"</f>
        <v>19:12:11.400</v>
      </c>
      <c r="D8294" t="s">
        <v>3264</v>
      </c>
      <c r="E8294">
        <v>30.569029</v>
      </c>
      <c r="F8294" t="s">
        <v>3265</v>
      </c>
      <c r="G8294">
        <v>-89.822567000000006</v>
      </c>
      <c r="H8294">
        <v>1700</v>
      </c>
      <c r="I8294">
        <v>-30</v>
      </c>
      <c r="J8294">
        <v>-159</v>
      </c>
      <c r="K8294">
        <v>0</v>
      </c>
      <c r="L8294">
        <v>1200</v>
      </c>
      <c r="M8294" t="str">
        <f t="shared" si="791"/>
        <v xml:space="preserve">N35DC   </v>
      </c>
      <c r="N8294">
        <v>1</v>
      </c>
      <c r="O8294">
        <v>1750</v>
      </c>
    </row>
    <row r="8295" spans="1:15" x14ac:dyDescent="0.25">
      <c r="A8295" t="str">
        <f>"10/21/2020 19:12:06.385"</f>
        <v>10/21/2020 19:12:06.385</v>
      </c>
      <c r="B8295" t="str">
        <f>"19:12:14.336"</f>
        <v>19:12:14.336</v>
      </c>
      <c r="C8295" t="str">
        <f>"19:12:14.136"</f>
        <v>19:12:14.136</v>
      </c>
      <c r="D8295" t="s">
        <v>3266</v>
      </c>
      <c r="E8295">
        <v>30.566946999999999</v>
      </c>
      <c r="F8295" t="s">
        <v>3267</v>
      </c>
      <c r="G8295">
        <v>-89.823016999999993</v>
      </c>
      <c r="H8295">
        <v>1700</v>
      </c>
      <c r="I8295">
        <v>-26</v>
      </c>
      <c r="J8295">
        <v>-160</v>
      </c>
      <c r="K8295">
        <v>-320</v>
      </c>
      <c r="L8295">
        <v>1200</v>
      </c>
      <c r="M8295" t="str">
        <f t="shared" si="791"/>
        <v xml:space="preserve">N35DC   </v>
      </c>
      <c r="N8295">
        <v>1</v>
      </c>
      <c r="O8295">
        <v>1750</v>
      </c>
    </row>
    <row r="8296" spans="1:15" x14ac:dyDescent="0.25">
      <c r="A8296" t="str">
        <f>"10/21/2020 19:12:06.385"</f>
        <v>10/21/2020 19:12:06.385</v>
      </c>
      <c r="B8296" t="str">
        <f>"19:12:14.336"</f>
        <v>19:12:14.336</v>
      </c>
      <c r="C8296" t="str">
        <f>"19:12:14.136"</f>
        <v>19:12:14.136</v>
      </c>
      <c r="D8296" t="s">
        <v>3266</v>
      </c>
      <c r="E8296">
        <v>30.566946999999999</v>
      </c>
      <c r="F8296" t="s">
        <v>3267</v>
      </c>
      <c r="G8296">
        <v>-89.823016999999993</v>
      </c>
      <c r="H8296">
        <v>1700</v>
      </c>
      <c r="I8296">
        <v>-26</v>
      </c>
      <c r="J8296">
        <v>-160</v>
      </c>
      <c r="K8296">
        <v>-320</v>
      </c>
      <c r="L8296">
        <v>1200</v>
      </c>
      <c r="M8296" t="str">
        <f t="shared" si="791"/>
        <v xml:space="preserve">N35DC   </v>
      </c>
      <c r="N8296">
        <v>1</v>
      </c>
      <c r="O8296">
        <v>1750</v>
      </c>
    </row>
    <row r="8297" spans="1:15" x14ac:dyDescent="0.25">
      <c r="A8297" t="str">
        <f>"10/21/2020 19:12:06.385"</f>
        <v>10/21/2020 19:12:06.385</v>
      </c>
      <c r="B8297" t="str">
        <f>"19:12:14.336"</f>
        <v>19:12:14.336</v>
      </c>
      <c r="C8297" t="str">
        <f>"19:12:14.136"</f>
        <v>19:12:14.136</v>
      </c>
      <c r="D8297" t="s">
        <v>3266</v>
      </c>
      <c r="E8297">
        <v>30.566946999999999</v>
      </c>
      <c r="F8297" t="s">
        <v>3267</v>
      </c>
      <c r="G8297">
        <v>-89.823016999999993</v>
      </c>
      <c r="H8297">
        <v>1700</v>
      </c>
      <c r="I8297">
        <v>-26</v>
      </c>
      <c r="J8297">
        <v>-160</v>
      </c>
      <c r="K8297">
        <v>-320</v>
      </c>
      <c r="L8297">
        <v>1200</v>
      </c>
      <c r="M8297" t="str">
        <f t="shared" si="791"/>
        <v xml:space="preserve">N35DC   </v>
      </c>
      <c r="N8297">
        <v>1</v>
      </c>
      <c r="O8297">
        <v>1750</v>
      </c>
    </row>
    <row r="8298" spans="1:15" x14ac:dyDescent="0.25">
      <c r="A8298" t="str">
        <f>"10/21/2020 19:12:06.385"</f>
        <v>10/21/2020 19:12:06.385</v>
      </c>
      <c r="B8298" t="str">
        <f>"19:12:14.336"</f>
        <v>19:12:14.336</v>
      </c>
      <c r="C8298" t="str">
        <f>"19:12:14.136"</f>
        <v>19:12:14.136</v>
      </c>
      <c r="D8298" t="s">
        <v>3266</v>
      </c>
      <c r="E8298">
        <v>30.566946999999999</v>
      </c>
      <c r="F8298" t="s">
        <v>3267</v>
      </c>
      <c r="G8298">
        <v>-89.823016999999993</v>
      </c>
      <c r="H8298">
        <v>1700</v>
      </c>
      <c r="I8298">
        <v>-26</v>
      </c>
      <c r="J8298">
        <v>-160</v>
      </c>
      <c r="K8298">
        <v>-320</v>
      </c>
      <c r="L8298">
        <v>1200</v>
      </c>
      <c r="M8298" t="str">
        <f t="shared" si="791"/>
        <v xml:space="preserve">N35DC   </v>
      </c>
      <c r="N8298">
        <v>1</v>
      </c>
      <c r="O8298">
        <v>1750</v>
      </c>
    </row>
    <row r="8299" spans="1:15" x14ac:dyDescent="0.25">
      <c r="A8299" t="str">
        <f>"10/21/2020 19:12:06.385"</f>
        <v>10/21/2020 19:12:06.385</v>
      </c>
      <c r="B8299" t="str">
        <f>"19:12:14.336"</f>
        <v>19:12:14.336</v>
      </c>
      <c r="C8299" t="str">
        <f>"19:12:14.136"</f>
        <v>19:12:14.136</v>
      </c>
      <c r="D8299" t="s">
        <v>3266</v>
      </c>
      <c r="E8299">
        <v>30.566946999999999</v>
      </c>
      <c r="F8299" t="s">
        <v>3267</v>
      </c>
      <c r="G8299">
        <v>-89.823016999999993</v>
      </c>
      <c r="H8299">
        <v>1700</v>
      </c>
      <c r="I8299">
        <v>-26</v>
      </c>
      <c r="J8299">
        <v>-160</v>
      </c>
      <c r="K8299">
        <v>-320</v>
      </c>
      <c r="L8299">
        <v>1200</v>
      </c>
      <c r="M8299" t="str">
        <f t="shared" si="791"/>
        <v xml:space="preserve">N35DC   </v>
      </c>
      <c r="N8299">
        <v>1</v>
      </c>
      <c r="O8299">
        <v>1750</v>
      </c>
    </row>
    <row r="8300" spans="1:15" x14ac:dyDescent="0.25">
      <c r="A8300" t="str">
        <f>"10/21/2020 19:12:07.272"</f>
        <v>10/21/2020 19:12:07.272</v>
      </c>
      <c r="B8300" t="str">
        <f>"19:12:15.219"</f>
        <v>19:12:15.219</v>
      </c>
      <c r="C8300" t="str">
        <f>"19:12:15.019"</f>
        <v>19:12:15.019</v>
      </c>
      <c r="D8300" t="s">
        <v>3268</v>
      </c>
      <c r="E8300">
        <v>30.566261000000001</v>
      </c>
      <c r="F8300" t="s">
        <v>3269</v>
      </c>
      <c r="G8300">
        <v>-89.823081000000002</v>
      </c>
      <c r="H8300">
        <v>1700</v>
      </c>
      <c r="I8300">
        <v>-24</v>
      </c>
      <c r="J8300">
        <v>-161</v>
      </c>
      <c r="K8300">
        <v>-320</v>
      </c>
      <c r="L8300">
        <v>1200</v>
      </c>
      <c r="M8300" t="str">
        <f t="shared" si="791"/>
        <v xml:space="preserve">N35DC   </v>
      </c>
      <c r="N8300">
        <v>1</v>
      </c>
      <c r="O8300">
        <v>1725</v>
      </c>
    </row>
    <row r="8301" spans="1:15" x14ac:dyDescent="0.25">
      <c r="A8301" t="str">
        <f>"10/21/2020 19:12:07.272"</f>
        <v>10/21/2020 19:12:07.272</v>
      </c>
      <c r="B8301" t="str">
        <f>"19:12:15.219"</f>
        <v>19:12:15.219</v>
      </c>
      <c r="C8301" t="str">
        <f>"19:12:15.019"</f>
        <v>19:12:15.019</v>
      </c>
      <c r="D8301" t="s">
        <v>3268</v>
      </c>
      <c r="E8301">
        <v>30.566261000000001</v>
      </c>
      <c r="F8301" t="s">
        <v>3269</v>
      </c>
      <c r="G8301">
        <v>-89.823081000000002</v>
      </c>
      <c r="H8301">
        <v>1700</v>
      </c>
      <c r="I8301">
        <v>-24</v>
      </c>
      <c r="J8301">
        <v>-161</v>
      </c>
      <c r="K8301">
        <v>-320</v>
      </c>
      <c r="L8301">
        <v>1200</v>
      </c>
      <c r="M8301" t="str">
        <f t="shared" si="791"/>
        <v xml:space="preserve">N35DC   </v>
      </c>
      <c r="N8301">
        <v>1</v>
      </c>
      <c r="O8301">
        <v>1725</v>
      </c>
    </row>
    <row r="8302" spans="1:15" x14ac:dyDescent="0.25">
      <c r="A8302" t="str">
        <f>"10/21/2020 19:12:07.272"</f>
        <v>10/21/2020 19:12:07.272</v>
      </c>
      <c r="B8302" t="str">
        <f>"19:12:15.219"</f>
        <v>19:12:15.219</v>
      </c>
      <c r="C8302" t="str">
        <f>"19:12:15.019"</f>
        <v>19:12:15.019</v>
      </c>
      <c r="D8302" t="s">
        <v>3268</v>
      </c>
      <c r="E8302">
        <v>30.566261000000001</v>
      </c>
      <c r="F8302" t="s">
        <v>3269</v>
      </c>
      <c r="G8302">
        <v>-89.823081000000002</v>
      </c>
      <c r="H8302">
        <v>1700</v>
      </c>
      <c r="I8302">
        <v>-24</v>
      </c>
      <c r="J8302">
        <v>-161</v>
      </c>
      <c r="K8302">
        <v>-320</v>
      </c>
      <c r="L8302">
        <v>1200</v>
      </c>
      <c r="M8302" t="str">
        <f t="shared" si="791"/>
        <v xml:space="preserve">N35DC   </v>
      </c>
      <c r="N8302">
        <v>1</v>
      </c>
      <c r="O8302">
        <v>1725</v>
      </c>
    </row>
    <row r="8303" spans="1:15" x14ac:dyDescent="0.25">
      <c r="A8303" t="str">
        <f>"10/21/2020 19:12:07.272"</f>
        <v>10/21/2020 19:12:07.272</v>
      </c>
      <c r="B8303" t="str">
        <f>"19:12:15.219"</f>
        <v>19:12:15.219</v>
      </c>
      <c r="C8303" t="str">
        <f>"19:12:15.019"</f>
        <v>19:12:15.019</v>
      </c>
      <c r="D8303" t="s">
        <v>3268</v>
      </c>
      <c r="E8303">
        <v>30.566261000000001</v>
      </c>
      <c r="F8303" t="s">
        <v>3269</v>
      </c>
      <c r="G8303">
        <v>-89.823081000000002</v>
      </c>
      <c r="H8303">
        <v>1700</v>
      </c>
      <c r="I8303">
        <v>-24</v>
      </c>
      <c r="J8303">
        <v>-161</v>
      </c>
      <c r="K8303">
        <v>-320</v>
      </c>
      <c r="L8303">
        <v>1200</v>
      </c>
      <c r="M8303" t="str">
        <f t="shared" si="791"/>
        <v xml:space="preserve">N35DC   </v>
      </c>
      <c r="N8303">
        <v>1</v>
      </c>
      <c r="O8303">
        <v>1725</v>
      </c>
    </row>
    <row r="8304" spans="1:15" x14ac:dyDescent="0.25">
      <c r="A8304" t="str">
        <f>"10/21/2020 19:12:07.272"</f>
        <v>10/21/2020 19:12:07.272</v>
      </c>
      <c r="B8304" t="str">
        <f>"19:12:15.219"</f>
        <v>19:12:15.219</v>
      </c>
      <c r="C8304" t="str">
        <f>"19:12:15.019"</f>
        <v>19:12:15.019</v>
      </c>
      <c r="D8304" t="s">
        <v>3268</v>
      </c>
      <c r="E8304">
        <v>30.566261000000001</v>
      </c>
      <c r="F8304" t="s">
        <v>3269</v>
      </c>
      <c r="G8304">
        <v>-89.823081000000002</v>
      </c>
      <c r="H8304">
        <v>1700</v>
      </c>
      <c r="I8304">
        <v>-24</v>
      </c>
      <c r="J8304">
        <v>-161</v>
      </c>
      <c r="K8304">
        <v>-320</v>
      </c>
      <c r="L8304">
        <v>1200</v>
      </c>
      <c r="M8304" t="str">
        <f t="shared" si="791"/>
        <v xml:space="preserve">N35DC   </v>
      </c>
      <c r="N8304">
        <v>1</v>
      </c>
      <c r="O8304">
        <v>1725</v>
      </c>
    </row>
    <row r="8305" spans="1:15" x14ac:dyDescent="0.25">
      <c r="A8305" t="str">
        <f>"10/21/2020 19:12:08.233"</f>
        <v>10/21/2020 19:12:08.233</v>
      </c>
      <c r="B8305" t="str">
        <f>"19:12:16.148"</f>
        <v>19:12:16.148</v>
      </c>
      <c r="C8305" t="str">
        <f>"19:12:15.948"</f>
        <v>19:12:15.948</v>
      </c>
      <c r="D8305" t="s">
        <v>3270</v>
      </c>
      <c r="E8305">
        <v>30.565574000000002</v>
      </c>
      <c r="F8305" t="s">
        <v>3271</v>
      </c>
      <c r="G8305">
        <v>-89.823188999999999</v>
      </c>
      <c r="H8305">
        <v>1700</v>
      </c>
      <c r="I8305">
        <v>-22</v>
      </c>
      <c r="J8305">
        <v>-162</v>
      </c>
      <c r="K8305">
        <v>-448</v>
      </c>
      <c r="L8305">
        <v>1200</v>
      </c>
      <c r="M8305" t="str">
        <f t="shared" si="791"/>
        <v xml:space="preserve">N35DC   </v>
      </c>
      <c r="N8305">
        <v>1</v>
      </c>
      <c r="O8305">
        <v>1725</v>
      </c>
    </row>
    <row r="8306" spans="1:15" x14ac:dyDescent="0.25">
      <c r="A8306" t="str">
        <f>"10/21/2020 19:12:08.233"</f>
        <v>10/21/2020 19:12:08.233</v>
      </c>
      <c r="B8306" t="str">
        <f>"19:12:16.148"</f>
        <v>19:12:16.148</v>
      </c>
      <c r="C8306" t="str">
        <f>"19:12:15.948"</f>
        <v>19:12:15.948</v>
      </c>
      <c r="D8306" t="s">
        <v>3270</v>
      </c>
      <c r="E8306">
        <v>30.565574000000002</v>
      </c>
      <c r="F8306" t="s">
        <v>3271</v>
      </c>
      <c r="G8306">
        <v>-89.823188999999999</v>
      </c>
      <c r="H8306">
        <v>1700</v>
      </c>
      <c r="I8306">
        <v>-22</v>
      </c>
      <c r="J8306">
        <v>-162</v>
      </c>
      <c r="K8306">
        <v>-448</v>
      </c>
      <c r="L8306">
        <v>1200</v>
      </c>
      <c r="M8306" t="str">
        <f t="shared" si="791"/>
        <v xml:space="preserve">N35DC   </v>
      </c>
      <c r="N8306">
        <v>1</v>
      </c>
      <c r="O8306">
        <v>1725</v>
      </c>
    </row>
    <row r="8307" spans="1:15" x14ac:dyDescent="0.25">
      <c r="A8307" t="str">
        <f>"10/21/2020 19:12:08.233"</f>
        <v>10/21/2020 19:12:08.233</v>
      </c>
      <c r="B8307" t="str">
        <f>"19:12:16.148"</f>
        <v>19:12:16.148</v>
      </c>
      <c r="C8307" t="str">
        <f>"19:12:15.948"</f>
        <v>19:12:15.948</v>
      </c>
      <c r="D8307" t="s">
        <v>3270</v>
      </c>
      <c r="E8307">
        <v>30.565574000000002</v>
      </c>
      <c r="F8307" t="s">
        <v>3271</v>
      </c>
      <c r="G8307">
        <v>-89.823188999999999</v>
      </c>
      <c r="H8307">
        <v>1700</v>
      </c>
      <c r="I8307">
        <v>-22</v>
      </c>
      <c r="J8307">
        <v>-162</v>
      </c>
      <c r="K8307">
        <v>-448</v>
      </c>
      <c r="L8307">
        <v>1200</v>
      </c>
      <c r="M8307" t="str">
        <f t="shared" si="791"/>
        <v xml:space="preserve">N35DC   </v>
      </c>
      <c r="N8307">
        <v>1</v>
      </c>
      <c r="O8307">
        <v>1725</v>
      </c>
    </row>
    <row r="8308" spans="1:15" x14ac:dyDescent="0.25">
      <c r="A8308" t="str">
        <f>"10/21/2020 19:12:08.233"</f>
        <v>10/21/2020 19:12:08.233</v>
      </c>
      <c r="B8308" t="str">
        <f>"19:12:16.148"</f>
        <v>19:12:16.148</v>
      </c>
      <c r="C8308" t="str">
        <f>"19:12:15.948"</f>
        <v>19:12:15.948</v>
      </c>
      <c r="D8308" t="s">
        <v>3270</v>
      </c>
      <c r="E8308">
        <v>30.565574000000002</v>
      </c>
      <c r="F8308" t="s">
        <v>3271</v>
      </c>
      <c r="G8308">
        <v>-89.823188999999999</v>
      </c>
      <c r="H8308">
        <v>1700</v>
      </c>
      <c r="I8308">
        <v>-22</v>
      </c>
      <c r="J8308">
        <v>-162</v>
      </c>
      <c r="K8308">
        <v>-448</v>
      </c>
      <c r="L8308">
        <v>1200</v>
      </c>
      <c r="M8308" t="str">
        <f t="shared" si="791"/>
        <v xml:space="preserve">N35DC   </v>
      </c>
      <c r="N8308">
        <v>1</v>
      </c>
      <c r="O8308">
        <v>1725</v>
      </c>
    </row>
    <row r="8309" spans="1:15" x14ac:dyDescent="0.25">
      <c r="A8309" t="str">
        <f>"10/21/2020 19:12:08.233"</f>
        <v>10/21/2020 19:12:08.233</v>
      </c>
      <c r="B8309" t="str">
        <f>"19:12:16.148"</f>
        <v>19:12:16.148</v>
      </c>
      <c r="C8309" t="str">
        <f>"19:12:15.948"</f>
        <v>19:12:15.948</v>
      </c>
      <c r="D8309" t="s">
        <v>3270</v>
      </c>
      <c r="E8309">
        <v>30.565574000000002</v>
      </c>
      <c r="F8309" t="s">
        <v>3271</v>
      </c>
      <c r="G8309">
        <v>-89.823188999999999</v>
      </c>
      <c r="H8309">
        <v>1700</v>
      </c>
      <c r="I8309">
        <v>-22</v>
      </c>
      <c r="J8309">
        <v>-162</v>
      </c>
      <c r="K8309">
        <v>-448</v>
      </c>
      <c r="L8309">
        <v>1200</v>
      </c>
      <c r="M8309" t="str">
        <f t="shared" si="791"/>
        <v xml:space="preserve">N35DC   </v>
      </c>
      <c r="N8309">
        <v>1</v>
      </c>
      <c r="O8309">
        <v>1725</v>
      </c>
    </row>
    <row r="8310" spans="1:15" x14ac:dyDescent="0.25">
      <c r="A8310" t="str">
        <f>"10/21/2020 19:12:11.288"</f>
        <v>10/21/2020 19:12:11.288</v>
      </c>
      <c r="B8310" t="str">
        <f>"19:12:19.258"</f>
        <v>19:12:19.258</v>
      </c>
      <c r="C8310" t="str">
        <f>"19:12:19.158"</f>
        <v>19:12:19.158</v>
      </c>
      <c r="D8310" t="s">
        <v>3272</v>
      </c>
      <c r="E8310">
        <v>30.563234999999999</v>
      </c>
      <c r="F8310" t="s">
        <v>3273</v>
      </c>
      <c r="G8310">
        <v>-89.823510999999996</v>
      </c>
      <c r="H8310">
        <v>1600</v>
      </c>
      <c r="I8310">
        <v>-17</v>
      </c>
      <c r="J8310">
        <v>-164</v>
      </c>
      <c r="K8310">
        <v>-256</v>
      </c>
      <c r="L8310">
        <v>1200</v>
      </c>
      <c r="M8310" t="str">
        <f t="shared" si="791"/>
        <v xml:space="preserve">N35DC   </v>
      </c>
      <c r="N8310">
        <v>1</v>
      </c>
      <c r="O8310">
        <v>1700</v>
      </c>
    </row>
    <row r="8311" spans="1:15" x14ac:dyDescent="0.25">
      <c r="A8311" t="str">
        <f>"10/21/2020 19:12:11.288"</f>
        <v>10/21/2020 19:12:11.288</v>
      </c>
      <c r="B8311" t="str">
        <f>"19:12:19.258"</f>
        <v>19:12:19.258</v>
      </c>
      <c r="C8311" t="str">
        <f>"19:12:19.158"</f>
        <v>19:12:19.158</v>
      </c>
      <c r="D8311" t="s">
        <v>3272</v>
      </c>
      <c r="E8311">
        <v>30.563234999999999</v>
      </c>
      <c r="F8311" t="s">
        <v>3273</v>
      </c>
      <c r="G8311">
        <v>-89.823510999999996</v>
      </c>
      <c r="H8311">
        <v>1600</v>
      </c>
      <c r="I8311">
        <v>-17</v>
      </c>
      <c r="J8311">
        <v>-164</v>
      </c>
      <c r="K8311">
        <v>-256</v>
      </c>
      <c r="L8311">
        <v>1200</v>
      </c>
      <c r="M8311" t="str">
        <f t="shared" si="791"/>
        <v xml:space="preserve">N35DC   </v>
      </c>
      <c r="N8311">
        <v>1</v>
      </c>
      <c r="O8311">
        <v>1700</v>
      </c>
    </row>
    <row r="8312" spans="1:15" x14ac:dyDescent="0.25">
      <c r="A8312" t="str">
        <f>"10/21/2020 19:12:11.288"</f>
        <v>10/21/2020 19:12:11.288</v>
      </c>
      <c r="B8312" t="str">
        <f>"19:12:19.258"</f>
        <v>19:12:19.258</v>
      </c>
      <c r="C8312" t="str">
        <f>"19:12:19.158"</f>
        <v>19:12:19.158</v>
      </c>
      <c r="D8312" t="s">
        <v>3272</v>
      </c>
      <c r="E8312">
        <v>30.563234999999999</v>
      </c>
      <c r="F8312" t="s">
        <v>3273</v>
      </c>
      <c r="G8312">
        <v>-89.823510999999996</v>
      </c>
      <c r="H8312">
        <v>1600</v>
      </c>
      <c r="I8312">
        <v>-17</v>
      </c>
      <c r="J8312">
        <v>-164</v>
      </c>
      <c r="K8312">
        <v>-256</v>
      </c>
      <c r="L8312">
        <v>1200</v>
      </c>
      <c r="M8312" t="str">
        <f t="shared" si="791"/>
        <v xml:space="preserve">N35DC   </v>
      </c>
      <c r="N8312">
        <v>1</v>
      </c>
      <c r="O8312">
        <v>1700</v>
      </c>
    </row>
    <row r="8313" spans="1:15" x14ac:dyDescent="0.25">
      <c r="A8313" t="str">
        <f>"10/21/2020 19:12:11.288"</f>
        <v>10/21/2020 19:12:11.288</v>
      </c>
      <c r="B8313" t="str">
        <f>"19:12:19.258"</f>
        <v>19:12:19.258</v>
      </c>
      <c r="C8313" t="str">
        <f>"19:12:19.158"</f>
        <v>19:12:19.158</v>
      </c>
      <c r="D8313" t="s">
        <v>3272</v>
      </c>
      <c r="E8313">
        <v>30.563234999999999</v>
      </c>
      <c r="F8313" t="s">
        <v>3273</v>
      </c>
      <c r="G8313">
        <v>-89.823510999999996</v>
      </c>
      <c r="H8313">
        <v>1600</v>
      </c>
      <c r="I8313">
        <v>-17</v>
      </c>
      <c r="J8313">
        <v>-164</v>
      </c>
      <c r="K8313">
        <v>-256</v>
      </c>
      <c r="L8313">
        <v>1200</v>
      </c>
      <c r="M8313" t="str">
        <f t="shared" si="791"/>
        <v xml:space="preserve">N35DC   </v>
      </c>
      <c r="N8313">
        <v>1</v>
      </c>
      <c r="O8313">
        <v>1700</v>
      </c>
    </row>
    <row r="8314" spans="1:15" x14ac:dyDescent="0.25">
      <c r="A8314" t="str">
        <f>"10/21/2020 19:12:11.288"</f>
        <v>10/21/2020 19:12:11.288</v>
      </c>
      <c r="B8314" t="str">
        <f>"19:12:19.258"</f>
        <v>19:12:19.258</v>
      </c>
      <c r="C8314" t="str">
        <f>"19:12:19.158"</f>
        <v>19:12:19.158</v>
      </c>
      <c r="D8314" t="s">
        <v>3272</v>
      </c>
      <c r="E8314">
        <v>30.563234999999999</v>
      </c>
      <c r="F8314" t="s">
        <v>3273</v>
      </c>
      <c r="G8314">
        <v>-89.823510999999996</v>
      </c>
      <c r="H8314">
        <v>1600</v>
      </c>
      <c r="I8314">
        <v>-17</v>
      </c>
      <c r="J8314">
        <v>-164</v>
      </c>
      <c r="K8314">
        <v>-256</v>
      </c>
      <c r="L8314">
        <v>1200</v>
      </c>
      <c r="M8314" t="str">
        <f t="shared" si="791"/>
        <v xml:space="preserve">N35DC   </v>
      </c>
      <c r="N8314">
        <v>1</v>
      </c>
      <c r="O8314">
        <v>1700</v>
      </c>
    </row>
    <row r="8315" spans="1:15" x14ac:dyDescent="0.25">
      <c r="A8315" t="str">
        <f>"10/21/2020 19:12:14.546"</f>
        <v>10/21/2020 19:12:14.546</v>
      </c>
      <c r="B8315" t="str">
        <f>"19:12:22.523"</f>
        <v>19:12:22.523</v>
      </c>
      <c r="C8315" t="str">
        <f>"19:12:22.023"</f>
        <v>19:12:22.023</v>
      </c>
      <c r="D8315" t="s">
        <v>3274</v>
      </c>
      <c r="E8315">
        <v>30.560725000000001</v>
      </c>
      <c r="F8315" t="s">
        <v>3275</v>
      </c>
      <c r="G8315">
        <v>-89.823724999999996</v>
      </c>
      <c r="H8315">
        <v>1600</v>
      </c>
      <c r="I8315">
        <v>-11</v>
      </c>
      <c r="J8315">
        <v>-165</v>
      </c>
      <c r="K8315">
        <v>-256</v>
      </c>
      <c r="L8315">
        <v>1200</v>
      </c>
      <c r="M8315" t="str">
        <f t="shared" si="791"/>
        <v xml:space="preserve">N35DC   </v>
      </c>
      <c r="N8315">
        <v>1</v>
      </c>
      <c r="O8315">
        <v>1700</v>
      </c>
    </row>
    <row r="8316" spans="1:15" x14ac:dyDescent="0.25">
      <c r="A8316" t="str">
        <f>"10/21/2020 19:12:14.546"</f>
        <v>10/21/2020 19:12:14.546</v>
      </c>
      <c r="B8316" t="str">
        <f>"19:12:22.523"</f>
        <v>19:12:22.523</v>
      </c>
      <c r="C8316" t="str">
        <f>"19:12:22.023"</f>
        <v>19:12:22.023</v>
      </c>
      <c r="D8316" t="s">
        <v>3274</v>
      </c>
      <c r="E8316">
        <v>30.560725000000001</v>
      </c>
      <c r="F8316" t="s">
        <v>3275</v>
      </c>
      <c r="G8316">
        <v>-89.823724999999996</v>
      </c>
      <c r="H8316">
        <v>1600</v>
      </c>
      <c r="I8316">
        <v>-11</v>
      </c>
      <c r="J8316">
        <v>-165</v>
      </c>
      <c r="K8316">
        <v>-256</v>
      </c>
      <c r="L8316">
        <v>1200</v>
      </c>
      <c r="M8316" t="str">
        <f t="shared" si="791"/>
        <v xml:space="preserve">N35DC   </v>
      </c>
      <c r="N8316">
        <v>1</v>
      </c>
      <c r="O8316">
        <v>1700</v>
      </c>
    </row>
    <row r="8317" spans="1:15" x14ac:dyDescent="0.25">
      <c r="A8317" t="str">
        <f>"10/21/2020 19:12:14.546"</f>
        <v>10/21/2020 19:12:14.546</v>
      </c>
      <c r="B8317" t="str">
        <f>"19:12:22.523"</f>
        <v>19:12:22.523</v>
      </c>
      <c r="C8317" t="str">
        <f>"19:12:22.023"</f>
        <v>19:12:22.023</v>
      </c>
      <c r="D8317" t="s">
        <v>3274</v>
      </c>
      <c r="E8317">
        <v>30.560725000000001</v>
      </c>
      <c r="F8317" t="s">
        <v>3275</v>
      </c>
      <c r="G8317">
        <v>-89.823724999999996</v>
      </c>
      <c r="H8317">
        <v>1600</v>
      </c>
      <c r="I8317">
        <v>-11</v>
      </c>
      <c r="J8317">
        <v>-165</v>
      </c>
      <c r="K8317">
        <v>-256</v>
      </c>
      <c r="L8317">
        <v>1200</v>
      </c>
      <c r="M8317" t="str">
        <f t="shared" si="791"/>
        <v xml:space="preserve">N35DC   </v>
      </c>
      <c r="N8317">
        <v>1</v>
      </c>
      <c r="O8317">
        <v>1700</v>
      </c>
    </row>
    <row r="8318" spans="1:15" x14ac:dyDescent="0.25">
      <c r="A8318" t="str">
        <f>"10/21/2020 19:12:14.546"</f>
        <v>10/21/2020 19:12:14.546</v>
      </c>
      <c r="B8318" t="str">
        <f>"19:12:22.523"</f>
        <v>19:12:22.523</v>
      </c>
      <c r="C8318" t="str">
        <f>"19:12:22.023"</f>
        <v>19:12:22.023</v>
      </c>
      <c r="D8318" t="s">
        <v>3274</v>
      </c>
      <c r="E8318">
        <v>30.560725000000001</v>
      </c>
      <c r="F8318" t="s">
        <v>3275</v>
      </c>
      <c r="G8318">
        <v>-89.823724999999996</v>
      </c>
      <c r="H8318">
        <v>1600</v>
      </c>
      <c r="I8318">
        <v>-11</v>
      </c>
      <c r="J8318">
        <v>-165</v>
      </c>
      <c r="K8318">
        <v>-256</v>
      </c>
      <c r="L8318">
        <v>1200</v>
      </c>
      <c r="M8318" t="str">
        <f t="shared" si="791"/>
        <v xml:space="preserve">N35DC   </v>
      </c>
      <c r="N8318">
        <v>1</v>
      </c>
      <c r="O8318">
        <v>1700</v>
      </c>
    </row>
    <row r="8319" spans="1:15" x14ac:dyDescent="0.25">
      <c r="A8319" t="str">
        <f>"10/21/2020 19:12:14.546"</f>
        <v>10/21/2020 19:12:14.546</v>
      </c>
      <c r="B8319" t="str">
        <f>"19:12:22.523"</f>
        <v>19:12:22.523</v>
      </c>
      <c r="C8319" t="str">
        <f>"19:12:22.023"</f>
        <v>19:12:22.023</v>
      </c>
      <c r="D8319" t="s">
        <v>3274</v>
      </c>
      <c r="E8319">
        <v>30.560725000000001</v>
      </c>
      <c r="F8319" t="s">
        <v>3275</v>
      </c>
      <c r="G8319">
        <v>-89.823724999999996</v>
      </c>
      <c r="H8319">
        <v>1600</v>
      </c>
      <c r="I8319">
        <v>-11</v>
      </c>
      <c r="J8319">
        <v>-165</v>
      </c>
      <c r="K8319">
        <v>-256</v>
      </c>
      <c r="L8319">
        <v>1200</v>
      </c>
      <c r="M8319" t="str">
        <f t="shared" si="791"/>
        <v xml:space="preserve">N35DC   </v>
      </c>
      <c r="N8319">
        <v>1</v>
      </c>
      <c r="O8319">
        <v>1700</v>
      </c>
    </row>
    <row r="8320" spans="1:15" x14ac:dyDescent="0.25">
      <c r="A8320" t="str">
        <f>"10/21/2020 19:12:15.505"</f>
        <v>10/21/2020 19:12:15.505</v>
      </c>
      <c r="B8320" t="str">
        <f>"19:12:23.453"</f>
        <v>19:12:23.453</v>
      </c>
      <c r="C8320" t="str">
        <f>"19:12:23.153"</f>
        <v>19:12:23.153</v>
      </c>
      <c r="D8320" t="s">
        <v>3276</v>
      </c>
      <c r="E8320">
        <v>30.560016999999998</v>
      </c>
      <c r="F8320" t="s">
        <v>2781</v>
      </c>
      <c r="G8320">
        <v>-89.823790000000002</v>
      </c>
      <c r="H8320">
        <v>1600</v>
      </c>
      <c r="I8320">
        <v>-9</v>
      </c>
      <c r="J8320">
        <v>-165</v>
      </c>
      <c r="K8320">
        <v>-128</v>
      </c>
      <c r="L8320">
        <v>1200</v>
      </c>
      <c r="M8320" t="str">
        <f t="shared" si="791"/>
        <v xml:space="preserve">N35DC   </v>
      </c>
      <c r="N8320">
        <v>1</v>
      </c>
      <c r="O8320">
        <v>1675</v>
      </c>
    </row>
    <row r="8321" spans="1:15" x14ac:dyDescent="0.25">
      <c r="A8321" t="str">
        <f>"10/21/2020 19:12:15.505"</f>
        <v>10/21/2020 19:12:15.505</v>
      </c>
      <c r="B8321" t="str">
        <f>"19:12:23.453"</f>
        <v>19:12:23.453</v>
      </c>
      <c r="C8321" t="str">
        <f>"19:12:23.153"</f>
        <v>19:12:23.153</v>
      </c>
      <c r="D8321" t="s">
        <v>3276</v>
      </c>
      <c r="E8321">
        <v>30.560016999999998</v>
      </c>
      <c r="F8321" t="s">
        <v>2781</v>
      </c>
      <c r="G8321">
        <v>-89.823790000000002</v>
      </c>
      <c r="H8321">
        <v>1600</v>
      </c>
      <c r="I8321">
        <v>-9</v>
      </c>
      <c r="J8321">
        <v>-165</v>
      </c>
      <c r="K8321">
        <v>-128</v>
      </c>
      <c r="L8321">
        <v>1200</v>
      </c>
      <c r="M8321" t="str">
        <f t="shared" si="791"/>
        <v xml:space="preserve">N35DC   </v>
      </c>
      <c r="N8321">
        <v>1</v>
      </c>
      <c r="O8321">
        <v>1675</v>
      </c>
    </row>
    <row r="8322" spans="1:15" x14ac:dyDescent="0.25">
      <c r="A8322" t="str">
        <f>"10/21/2020 19:12:15.505"</f>
        <v>10/21/2020 19:12:15.505</v>
      </c>
      <c r="B8322" t="str">
        <f>"19:12:23.453"</f>
        <v>19:12:23.453</v>
      </c>
      <c r="C8322" t="str">
        <f>"19:12:23.153"</f>
        <v>19:12:23.153</v>
      </c>
      <c r="D8322" t="s">
        <v>3276</v>
      </c>
      <c r="E8322">
        <v>30.560016999999998</v>
      </c>
      <c r="F8322" t="s">
        <v>2781</v>
      </c>
      <c r="G8322">
        <v>-89.823790000000002</v>
      </c>
      <c r="H8322">
        <v>1600</v>
      </c>
      <c r="I8322">
        <v>-9</v>
      </c>
      <c r="J8322">
        <v>-165</v>
      </c>
      <c r="K8322">
        <v>-128</v>
      </c>
      <c r="L8322">
        <v>1200</v>
      </c>
      <c r="M8322" t="str">
        <f t="shared" si="791"/>
        <v xml:space="preserve">N35DC   </v>
      </c>
      <c r="N8322">
        <v>1</v>
      </c>
      <c r="O8322">
        <v>1675</v>
      </c>
    </row>
    <row r="8323" spans="1:15" x14ac:dyDescent="0.25">
      <c r="A8323" t="str">
        <f>"10/21/2020 19:12:15.505"</f>
        <v>10/21/2020 19:12:15.505</v>
      </c>
      <c r="B8323" t="str">
        <f>"19:12:23.453"</f>
        <v>19:12:23.453</v>
      </c>
      <c r="C8323" t="str">
        <f>"19:12:23.153"</f>
        <v>19:12:23.153</v>
      </c>
      <c r="D8323" t="s">
        <v>3276</v>
      </c>
      <c r="E8323">
        <v>30.560016999999998</v>
      </c>
      <c r="F8323" t="s">
        <v>2781</v>
      </c>
      <c r="G8323">
        <v>-89.823790000000002</v>
      </c>
      <c r="H8323">
        <v>1600</v>
      </c>
      <c r="I8323">
        <v>-9</v>
      </c>
      <c r="J8323">
        <v>-165</v>
      </c>
      <c r="K8323">
        <v>-128</v>
      </c>
      <c r="L8323">
        <v>1200</v>
      </c>
      <c r="M8323" t="str">
        <f t="shared" si="791"/>
        <v xml:space="preserve">N35DC   </v>
      </c>
      <c r="N8323">
        <v>1</v>
      </c>
      <c r="O8323">
        <v>1675</v>
      </c>
    </row>
    <row r="8324" spans="1:15" x14ac:dyDescent="0.25">
      <c r="A8324" t="str">
        <f>"10/21/2020 19:12:15.505"</f>
        <v>10/21/2020 19:12:15.505</v>
      </c>
      <c r="B8324" t="str">
        <f>"19:12:23.453"</f>
        <v>19:12:23.453</v>
      </c>
      <c r="C8324" t="str">
        <f>"19:12:23.153"</f>
        <v>19:12:23.153</v>
      </c>
      <c r="D8324" t="s">
        <v>3276</v>
      </c>
      <c r="E8324">
        <v>30.560016999999998</v>
      </c>
      <c r="F8324" t="s">
        <v>2781</v>
      </c>
      <c r="G8324">
        <v>-89.823790000000002</v>
      </c>
      <c r="H8324">
        <v>1600</v>
      </c>
      <c r="I8324">
        <v>-9</v>
      </c>
      <c r="J8324">
        <v>-165</v>
      </c>
      <c r="K8324">
        <v>-128</v>
      </c>
      <c r="L8324">
        <v>1200</v>
      </c>
      <c r="M8324" t="str">
        <f t="shared" si="791"/>
        <v xml:space="preserve">N35DC   </v>
      </c>
      <c r="N8324">
        <v>1</v>
      </c>
      <c r="O8324">
        <v>1675</v>
      </c>
    </row>
    <row r="8325" spans="1:15" x14ac:dyDescent="0.25">
      <c r="A8325" t="str">
        <f>"10/21/2020 19:12:18.618"</f>
        <v>10/21/2020 19:12:18.618</v>
      </c>
      <c r="B8325" t="str">
        <f>"19:12:26.578"</f>
        <v>19:12:26.578</v>
      </c>
      <c r="C8325" t="str">
        <f>"19:12:26.478"</f>
        <v>19:12:26.478</v>
      </c>
      <c r="D8325" t="s">
        <v>3277</v>
      </c>
      <c r="E8325">
        <v>30.557592</v>
      </c>
      <c r="F8325" t="s">
        <v>2783</v>
      </c>
      <c r="G8325">
        <v>-89.823832999999993</v>
      </c>
      <c r="H8325">
        <v>1600</v>
      </c>
      <c r="I8325">
        <v>-2</v>
      </c>
      <c r="J8325">
        <v>-166</v>
      </c>
      <c r="K8325">
        <v>128</v>
      </c>
      <c r="L8325">
        <v>1200</v>
      </c>
      <c r="M8325" t="str">
        <f t="shared" si="791"/>
        <v xml:space="preserve">N35DC   </v>
      </c>
      <c r="N8325">
        <v>1</v>
      </c>
      <c r="O8325">
        <v>1675</v>
      </c>
    </row>
    <row r="8326" spans="1:15" x14ac:dyDescent="0.25">
      <c r="A8326" t="str">
        <f>"10/21/2020 19:12:18.618"</f>
        <v>10/21/2020 19:12:18.618</v>
      </c>
      <c r="B8326" t="str">
        <f>"19:12:26.578"</f>
        <v>19:12:26.578</v>
      </c>
      <c r="C8326" t="str">
        <f>"19:12:26.478"</f>
        <v>19:12:26.478</v>
      </c>
      <c r="D8326" t="s">
        <v>3277</v>
      </c>
      <c r="E8326">
        <v>30.557592</v>
      </c>
      <c r="F8326" t="s">
        <v>2783</v>
      </c>
      <c r="G8326">
        <v>-89.823832999999993</v>
      </c>
      <c r="H8326">
        <v>1600</v>
      </c>
      <c r="I8326">
        <v>-2</v>
      </c>
      <c r="J8326">
        <v>-166</v>
      </c>
      <c r="K8326">
        <v>128</v>
      </c>
      <c r="L8326">
        <v>1200</v>
      </c>
      <c r="M8326" t="str">
        <f t="shared" si="791"/>
        <v xml:space="preserve">N35DC   </v>
      </c>
      <c r="N8326">
        <v>1</v>
      </c>
      <c r="O8326">
        <v>1675</v>
      </c>
    </row>
    <row r="8327" spans="1:15" x14ac:dyDescent="0.25">
      <c r="A8327" t="str">
        <f>"10/21/2020 19:12:18.618"</f>
        <v>10/21/2020 19:12:18.618</v>
      </c>
      <c r="B8327" t="str">
        <f>"19:12:26.578"</f>
        <v>19:12:26.578</v>
      </c>
      <c r="C8327" t="str">
        <f>"19:12:26.478"</f>
        <v>19:12:26.478</v>
      </c>
      <c r="D8327" t="s">
        <v>3277</v>
      </c>
      <c r="E8327">
        <v>30.557592</v>
      </c>
      <c r="F8327" t="s">
        <v>2783</v>
      </c>
      <c r="G8327">
        <v>-89.823832999999993</v>
      </c>
      <c r="H8327">
        <v>1600</v>
      </c>
      <c r="I8327">
        <v>-2</v>
      </c>
      <c r="J8327">
        <v>-166</v>
      </c>
      <c r="K8327">
        <v>128</v>
      </c>
      <c r="L8327">
        <v>1200</v>
      </c>
      <c r="M8327" t="str">
        <f t="shared" ref="M8327:M8390" si="793">"N35DC   "</f>
        <v xml:space="preserve">N35DC   </v>
      </c>
      <c r="N8327">
        <v>1</v>
      </c>
      <c r="O8327">
        <v>1675</v>
      </c>
    </row>
    <row r="8328" spans="1:15" x14ac:dyDescent="0.25">
      <c r="A8328" t="str">
        <f>"10/21/2020 19:12:18.618"</f>
        <v>10/21/2020 19:12:18.618</v>
      </c>
      <c r="B8328" t="str">
        <f>"19:12:26.578"</f>
        <v>19:12:26.578</v>
      </c>
      <c r="C8328" t="str">
        <f>"19:12:26.478"</f>
        <v>19:12:26.478</v>
      </c>
      <c r="D8328" t="s">
        <v>3277</v>
      </c>
      <c r="E8328">
        <v>30.557592</v>
      </c>
      <c r="F8328" t="s">
        <v>2783</v>
      </c>
      <c r="G8328">
        <v>-89.823832999999993</v>
      </c>
      <c r="H8328">
        <v>1600</v>
      </c>
      <c r="I8328">
        <v>-2</v>
      </c>
      <c r="J8328">
        <v>-166</v>
      </c>
      <c r="K8328">
        <v>128</v>
      </c>
      <c r="L8328">
        <v>1200</v>
      </c>
      <c r="M8328" t="str">
        <f t="shared" si="793"/>
        <v xml:space="preserve">N35DC   </v>
      </c>
      <c r="N8328">
        <v>1</v>
      </c>
      <c r="O8328">
        <v>1675</v>
      </c>
    </row>
    <row r="8329" spans="1:15" x14ac:dyDescent="0.25">
      <c r="A8329" t="str">
        <f>"10/21/2020 19:12:18.618"</f>
        <v>10/21/2020 19:12:18.618</v>
      </c>
      <c r="B8329" t="str">
        <f>"19:12:26.578"</f>
        <v>19:12:26.578</v>
      </c>
      <c r="C8329" t="str">
        <f>"19:12:26.478"</f>
        <v>19:12:26.478</v>
      </c>
      <c r="D8329" t="s">
        <v>3277</v>
      </c>
      <c r="E8329">
        <v>30.557592</v>
      </c>
      <c r="F8329" t="s">
        <v>2783</v>
      </c>
      <c r="G8329">
        <v>-89.823832999999993</v>
      </c>
      <c r="H8329">
        <v>1600</v>
      </c>
      <c r="I8329">
        <v>-2</v>
      </c>
      <c r="J8329">
        <v>-166</v>
      </c>
      <c r="K8329">
        <v>128</v>
      </c>
      <c r="L8329">
        <v>1200</v>
      </c>
      <c r="M8329" t="str">
        <f t="shared" si="793"/>
        <v xml:space="preserve">N35DC   </v>
      </c>
      <c r="N8329">
        <v>1</v>
      </c>
      <c r="O8329">
        <v>1675</v>
      </c>
    </row>
    <row r="8330" spans="1:15" x14ac:dyDescent="0.25">
      <c r="A8330" t="str">
        <f>"10/21/2020 19:12:19.497"</f>
        <v>10/21/2020 19:12:19.497</v>
      </c>
      <c r="B8330" t="str">
        <f>"19:12:27.461"</f>
        <v>19:12:27.461</v>
      </c>
      <c r="C8330" t="str">
        <f>"19:12:27.061"</f>
        <v>19:12:27.061</v>
      </c>
      <c r="D8330" t="s">
        <v>3278</v>
      </c>
      <c r="E8330">
        <v>30.556927000000002</v>
      </c>
      <c r="F8330" t="s">
        <v>2783</v>
      </c>
      <c r="G8330">
        <v>-89.823832999999993</v>
      </c>
      <c r="H8330">
        <v>1600</v>
      </c>
      <c r="I8330">
        <v>-1</v>
      </c>
      <c r="J8330">
        <v>-166</v>
      </c>
      <c r="K8330">
        <v>64</v>
      </c>
      <c r="L8330">
        <v>1200</v>
      </c>
      <c r="M8330" t="str">
        <f t="shared" si="793"/>
        <v xml:space="preserve">N35DC   </v>
      </c>
      <c r="N8330">
        <v>1</v>
      </c>
      <c r="O8330">
        <v>1675</v>
      </c>
    </row>
    <row r="8331" spans="1:15" x14ac:dyDescent="0.25">
      <c r="A8331" t="str">
        <f>"10/21/2020 19:12:19.497"</f>
        <v>10/21/2020 19:12:19.497</v>
      </c>
      <c r="B8331" t="str">
        <f>"19:12:27.461"</f>
        <v>19:12:27.461</v>
      </c>
      <c r="C8331" t="str">
        <f>"19:12:27.061"</f>
        <v>19:12:27.061</v>
      </c>
      <c r="D8331" t="s">
        <v>3278</v>
      </c>
      <c r="E8331">
        <v>30.556927000000002</v>
      </c>
      <c r="F8331" t="s">
        <v>2783</v>
      </c>
      <c r="G8331">
        <v>-89.823832999999993</v>
      </c>
      <c r="H8331">
        <v>1600</v>
      </c>
      <c r="I8331">
        <v>-1</v>
      </c>
      <c r="J8331">
        <v>-166</v>
      </c>
      <c r="K8331">
        <v>64</v>
      </c>
      <c r="L8331">
        <v>1200</v>
      </c>
      <c r="M8331" t="str">
        <f t="shared" si="793"/>
        <v xml:space="preserve">N35DC   </v>
      </c>
      <c r="N8331">
        <v>1</v>
      </c>
      <c r="O8331">
        <v>1675</v>
      </c>
    </row>
    <row r="8332" spans="1:15" x14ac:dyDescent="0.25">
      <c r="A8332" t="str">
        <f>"10/21/2020 19:12:19.497"</f>
        <v>10/21/2020 19:12:19.497</v>
      </c>
      <c r="B8332" t="str">
        <f>"19:12:27.461"</f>
        <v>19:12:27.461</v>
      </c>
      <c r="C8332" t="str">
        <f>"19:12:27.061"</f>
        <v>19:12:27.061</v>
      </c>
      <c r="D8332" t="s">
        <v>3278</v>
      </c>
      <c r="E8332">
        <v>30.556927000000002</v>
      </c>
      <c r="F8332" t="s">
        <v>2783</v>
      </c>
      <c r="G8332">
        <v>-89.823832999999993</v>
      </c>
      <c r="H8332">
        <v>1600</v>
      </c>
      <c r="I8332">
        <v>-1</v>
      </c>
      <c r="J8332">
        <v>-166</v>
      </c>
      <c r="K8332">
        <v>64</v>
      </c>
      <c r="L8332">
        <v>1200</v>
      </c>
      <c r="M8332" t="str">
        <f t="shared" si="793"/>
        <v xml:space="preserve">N35DC   </v>
      </c>
      <c r="N8332">
        <v>1</v>
      </c>
      <c r="O8332">
        <v>1675</v>
      </c>
    </row>
    <row r="8333" spans="1:15" x14ac:dyDescent="0.25">
      <c r="A8333" t="str">
        <f>"10/21/2020 19:12:19.497"</f>
        <v>10/21/2020 19:12:19.497</v>
      </c>
      <c r="B8333" t="str">
        <f>"19:12:27.461"</f>
        <v>19:12:27.461</v>
      </c>
      <c r="C8333" t="str">
        <f>"19:12:27.061"</f>
        <v>19:12:27.061</v>
      </c>
      <c r="D8333" t="s">
        <v>3278</v>
      </c>
      <c r="E8333">
        <v>30.556927000000002</v>
      </c>
      <c r="F8333" t="s">
        <v>2783</v>
      </c>
      <c r="G8333">
        <v>-89.823832999999993</v>
      </c>
      <c r="H8333">
        <v>1600</v>
      </c>
      <c r="I8333">
        <v>-1</v>
      </c>
      <c r="J8333">
        <v>-166</v>
      </c>
      <c r="K8333">
        <v>64</v>
      </c>
      <c r="L8333">
        <v>1200</v>
      </c>
      <c r="M8333" t="str">
        <f t="shared" si="793"/>
        <v xml:space="preserve">N35DC   </v>
      </c>
      <c r="N8333">
        <v>1</v>
      </c>
      <c r="O8333">
        <v>1675</v>
      </c>
    </row>
    <row r="8334" spans="1:15" x14ac:dyDescent="0.25">
      <c r="A8334" t="str">
        <f>"10/21/2020 19:12:19.497"</f>
        <v>10/21/2020 19:12:19.497</v>
      </c>
      <c r="B8334" t="str">
        <f>"19:12:27.461"</f>
        <v>19:12:27.461</v>
      </c>
      <c r="C8334" t="str">
        <f>"19:12:27.061"</f>
        <v>19:12:27.061</v>
      </c>
      <c r="D8334" t="s">
        <v>3278</v>
      </c>
      <c r="E8334">
        <v>30.556927000000002</v>
      </c>
      <c r="F8334" t="s">
        <v>2783</v>
      </c>
      <c r="G8334">
        <v>-89.823832999999993</v>
      </c>
      <c r="H8334">
        <v>1600</v>
      </c>
      <c r="I8334">
        <v>-1</v>
      </c>
      <c r="J8334">
        <v>-166</v>
      </c>
      <c r="K8334">
        <v>64</v>
      </c>
      <c r="L8334">
        <v>1200</v>
      </c>
      <c r="M8334" t="str">
        <f t="shared" si="793"/>
        <v xml:space="preserve">N35DC   </v>
      </c>
      <c r="N8334">
        <v>1</v>
      </c>
      <c r="O8334">
        <v>1675</v>
      </c>
    </row>
    <row r="8335" spans="1:15" x14ac:dyDescent="0.25">
      <c r="A8335" t="str">
        <f>"10/21/2020 19:12:22.433"</f>
        <v>10/21/2020 19:12:22.433</v>
      </c>
      <c r="B8335" t="str">
        <f>"19:12:30.398"</f>
        <v>19:12:30.398</v>
      </c>
      <c r="C8335" t="str">
        <f>"19:12:29.998"</f>
        <v>19:12:29.998</v>
      </c>
      <c r="D8335" t="s">
        <v>3279</v>
      </c>
      <c r="E8335">
        <v>30.554673999999999</v>
      </c>
      <c r="F8335" t="s">
        <v>2783</v>
      </c>
      <c r="G8335">
        <v>-89.823832999999993</v>
      </c>
      <c r="H8335">
        <v>1600</v>
      </c>
      <c r="I8335">
        <v>2</v>
      </c>
      <c r="J8335">
        <v>-165</v>
      </c>
      <c r="K8335">
        <v>128</v>
      </c>
      <c r="L8335">
        <v>1200</v>
      </c>
      <c r="M8335" t="str">
        <f t="shared" si="793"/>
        <v xml:space="preserve">N35DC   </v>
      </c>
      <c r="N8335">
        <v>1</v>
      </c>
      <c r="O8335">
        <v>1700</v>
      </c>
    </row>
    <row r="8336" spans="1:15" x14ac:dyDescent="0.25">
      <c r="A8336" t="str">
        <f>"10/21/2020 19:12:22.433"</f>
        <v>10/21/2020 19:12:22.433</v>
      </c>
      <c r="B8336" t="str">
        <f>"19:12:30.398"</f>
        <v>19:12:30.398</v>
      </c>
      <c r="C8336" t="str">
        <f>"19:12:29.998"</f>
        <v>19:12:29.998</v>
      </c>
      <c r="D8336" t="s">
        <v>3279</v>
      </c>
      <c r="E8336">
        <v>30.554673999999999</v>
      </c>
      <c r="F8336" t="s">
        <v>2783</v>
      </c>
      <c r="G8336">
        <v>-89.823832999999993</v>
      </c>
      <c r="H8336">
        <v>1600</v>
      </c>
      <c r="I8336">
        <v>2</v>
      </c>
      <c r="J8336">
        <v>-165</v>
      </c>
      <c r="K8336">
        <v>128</v>
      </c>
      <c r="L8336">
        <v>1200</v>
      </c>
      <c r="M8336" t="str">
        <f t="shared" si="793"/>
        <v xml:space="preserve">N35DC   </v>
      </c>
      <c r="N8336">
        <v>1</v>
      </c>
      <c r="O8336">
        <v>1700</v>
      </c>
    </row>
    <row r="8337" spans="1:15" x14ac:dyDescent="0.25">
      <c r="A8337" t="str">
        <f>"10/21/2020 19:12:22.433"</f>
        <v>10/21/2020 19:12:22.433</v>
      </c>
      <c r="B8337" t="str">
        <f>"19:12:30.398"</f>
        <v>19:12:30.398</v>
      </c>
      <c r="C8337" t="str">
        <f>"19:12:30.098"</f>
        <v>19:12:30.098</v>
      </c>
      <c r="D8337" t="s">
        <v>3279</v>
      </c>
      <c r="E8337">
        <v>30.554673999999999</v>
      </c>
      <c r="F8337" t="s">
        <v>2783</v>
      </c>
      <c r="G8337">
        <v>-89.823832999999993</v>
      </c>
      <c r="H8337">
        <v>1600</v>
      </c>
      <c r="I8337">
        <v>2</v>
      </c>
      <c r="J8337">
        <v>-165</v>
      </c>
      <c r="K8337">
        <v>128</v>
      </c>
      <c r="L8337">
        <v>1200</v>
      </c>
      <c r="M8337" t="str">
        <f t="shared" si="793"/>
        <v xml:space="preserve">N35DC   </v>
      </c>
      <c r="N8337">
        <v>1</v>
      </c>
      <c r="O8337">
        <v>1700</v>
      </c>
    </row>
    <row r="8338" spans="1:15" x14ac:dyDescent="0.25">
      <c r="A8338" t="str">
        <f>"10/21/2020 19:12:22.433"</f>
        <v>10/21/2020 19:12:22.433</v>
      </c>
      <c r="B8338" t="str">
        <f>"19:12:30.398"</f>
        <v>19:12:30.398</v>
      </c>
      <c r="C8338" t="str">
        <f>"19:12:29.998"</f>
        <v>19:12:29.998</v>
      </c>
      <c r="D8338" t="s">
        <v>3279</v>
      </c>
      <c r="E8338">
        <v>30.554673999999999</v>
      </c>
      <c r="F8338" t="s">
        <v>2783</v>
      </c>
      <c r="G8338">
        <v>-89.823832999999993</v>
      </c>
      <c r="H8338">
        <v>1600</v>
      </c>
      <c r="I8338">
        <v>2</v>
      </c>
      <c r="J8338">
        <v>-165</v>
      </c>
      <c r="K8338">
        <v>128</v>
      </c>
      <c r="L8338">
        <v>1200</v>
      </c>
      <c r="M8338" t="str">
        <f t="shared" si="793"/>
        <v xml:space="preserve">N35DC   </v>
      </c>
      <c r="N8338">
        <v>1</v>
      </c>
      <c r="O8338">
        <v>1700</v>
      </c>
    </row>
    <row r="8339" spans="1:15" x14ac:dyDescent="0.25">
      <c r="A8339" t="str">
        <f>"10/21/2020 19:12:22.433"</f>
        <v>10/21/2020 19:12:22.433</v>
      </c>
      <c r="B8339" t="str">
        <f>"19:12:30.398"</f>
        <v>19:12:30.398</v>
      </c>
      <c r="C8339" t="str">
        <f>"19:12:30.098"</f>
        <v>19:12:30.098</v>
      </c>
      <c r="D8339" t="s">
        <v>3279</v>
      </c>
      <c r="E8339">
        <v>30.554673999999999</v>
      </c>
      <c r="F8339" t="s">
        <v>2783</v>
      </c>
      <c r="G8339">
        <v>-89.823832999999993</v>
      </c>
      <c r="H8339">
        <v>1600</v>
      </c>
      <c r="I8339">
        <v>2</v>
      </c>
      <c r="J8339">
        <v>-165</v>
      </c>
      <c r="K8339">
        <v>128</v>
      </c>
      <c r="L8339">
        <v>1200</v>
      </c>
      <c r="M8339" t="str">
        <f t="shared" si="793"/>
        <v xml:space="preserve">N35DC   </v>
      </c>
      <c r="N8339">
        <v>1</v>
      </c>
      <c r="O8339">
        <v>1700</v>
      </c>
    </row>
    <row r="8340" spans="1:15" x14ac:dyDescent="0.25">
      <c r="A8340" t="str">
        <f>"10/21/2020 19:12:25.692"</f>
        <v>10/21/2020 19:12:25.692</v>
      </c>
      <c r="B8340" t="str">
        <f>"19:12:33.656"</f>
        <v>19:12:33.656</v>
      </c>
      <c r="C8340" t="str">
        <f>"19:12:33.156"</f>
        <v>19:12:33.156</v>
      </c>
      <c r="D8340" t="s">
        <v>3280</v>
      </c>
      <c r="E8340">
        <v>30.552163</v>
      </c>
      <c r="F8340" t="s">
        <v>2781</v>
      </c>
      <c r="G8340">
        <v>-89.823790000000002</v>
      </c>
      <c r="H8340">
        <v>1600</v>
      </c>
      <c r="I8340">
        <v>2</v>
      </c>
      <c r="J8340">
        <v>-165</v>
      </c>
      <c r="K8340">
        <v>128</v>
      </c>
      <c r="L8340">
        <v>1200</v>
      </c>
      <c r="M8340" t="str">
        <f t="shared" si="793"/>
        <v xml:space="preserve">N35DC   </v>
      </c>
      <c r="N8340">
        <v>1</v>
      </c>
      <c r="O8340">
        <v>1700</v>
      </c>
    </row>
    <row r="8341" spans="1:15" x14ac:dyDescent="0.25">
      <c r="A8341" t="str">
        <f>"10/21/2020 19:12:25.692"</f>
        <v>10/21/2020 19:12:25.692</v>
      </c>
      <c r="B8341" t="str">
        <f>"19:12:33.656"</f>
        <v>19:12:33.656</v>
      </c>
      <c r="C8341" t="str">
        <f>"19:12:33.156"</f>
        <v>19:12:33.156</v>
      </c>
      <c r="D8341" t="s">
        <v>3280</v>
      </c>
      <c r="E8341">
        <v>30.552163</v>
      </c>
      <c r="F8341" t="s">
        <v>2781</v>
      </c>
      <c r="G8341">
        <v>-89.823790000000002</v>
      </c>
      <c r="H8341">
        <v>1600</v>
      </c>
      <c r="I8341">
        <v>2</v>
      </c>
      <c r="J8341">
        <v>-165</v>
      </c>
      <c r="K8341">
        <v>128</v>
      </c>
      <c r="L8341">
        <v>1200</v>
      </c>
      <c r="M8341" t="str">
        <f t="shared" si="793"/>
        <v xml:space="preserve">N35DC   </v>
      </c>
      <c r="N8341">
        <v>1</v>
      </c>
      <c r="O8341">
        <v>1700</v>
      </c>
    </row>
    <row r="8342" spans="1:15" x14ac:dyDescent="0.25">
      <c r="A8342" t="str">
        <f>"10/21/2020 19:12:25.692"</f>
        <v>10/21/2020 19:12:25.692</v>
      </c>
      <c r="B8342" t="str">
        <f>"19:12:33.656"</f>
        <v>19:12:33.656</v>
      </c>
      <c r="C8342" t="str">
        <f>"19:12:33.156"</f>
        <v>19:12:33.156</v>
      </c>
      <c r="D8342" t="s">
        <v>3280</v>
      </c>
      <c r="E8342">
        <v>30.552163</v>
      </c>
      <c r="F8342" t="s">
        <v>2781</v>
      </c>
      <c r="G8342">
        <v>-89.823790000000002</v>
      </c>
      <c r="H8342">
        <v>1600</v>
      </c>
      <c r="I8342">
        <v>2</v>
      </c>
      <c r="J8342">
        <v>-165</v>
      </c>
      <c r="K8342">
        <v>128</v>
      </c>
      <c r="L8342">
        <v>1200</v>
      </c>
      <c r="M8342" t="str">
        <f t="shared" si="793"/>
        <v xml:space="preserve">N35DC   </v>
      </c>
      <c r="N8342">
        <v>1</v>
      </c>
      <c r="O8342">
        <v>1700</v>
      </c>
    </row>
    <row r="8343" spans="1:15" x14ac:dyDescent="0.25">
      <c r="A8343" t="str">
        <f>"10/21/2020 19:12:25.692"</f>
        <v>10/21/2020 19:12:25.692</v>
      </c>
      <c r="B8343" t="str">
        <f>"19:12:33.656"</f>
        <v>19:12:33.656</v>
      </c>
      <c r="C8343" t="str">
        <f>"19:12:33.156"</f>
        <v>19:12:33.156</v>
      </c>
      <c r="D8343" t="s">
        <v>3280</v>
      </c>
      <c r="E8343">
        <v>30.552163</v>
      </c>
      <c r="F8343" t="s">
        <v>2781</v>
      </c>
      <c r="G8343">
        <v>-89.823790000000002</v>
      </c>
      <c r="H8343">
        <v>1600</v>
      </c>
      <c r="I8343">
        <v>2</v>
      </c>
      <c r="J8343">
        <v>-165</v>
      </c>
      <c r="K8343">
        <v>128</v>
      </c>
      <c r="L8343">
        <v>1200</v>
      </c>
      <c r="M8343" t="str">
        <f t="shared" si="793"/>
        <v xml:space="preserve">N35DC   </v>
      </c>
      <c r="N8343">
        <v>1</v>
      </c>
      <c r="O8343">
        <v>1700</v>
      </c>
    </row>
    <row r="8344" spans="1:15" x14ac:dyDescent="0.25">
      <c r="A8344" t="str">
        <f>"10/21/2020 19:12:25.692"</f>
        <v>10/21/2020 19:12:25.692</v>
      </c>
      <c r="B8344" t="str">
        <f>"19:12:33.656"</f>
        <v>19:12:33.656</v>
      </c>
      <c r="C8344" t="str">
        <f>"19:12:33.156"</f>
        <v>19:12:33.156</v>
      </c>
      <c r="D8344" t="s">
        <v>3280</v>
      </c>
      <c r="E8344">
        <v>30.552163</v>
      </c>
      <c r="F8344" t="s">
        <v>2781</v>
      </c>
      <c r="G8344">
        <v>-89.823790000000002</v>
      </c>
      <c r="H8344">
        <v>1600</v>
      </c>
      <c r="I8344">
        <v>2</v>
      </c>
      <c r="J8344">
        <v>-165</v>
      </c>
      <c r="K8344">
        <v>128</v>
      </c>
      <c r="L8344">
        <v>1200</v>
      </c>
      <c r="M8344" t="str">
        <f t="shared" si="793"/>
        <v xml:space="preserve">N35DC   </v>
      </c>
      <c r="N8344">
        <v>1</v>
      </c>
      <c r="O8344">
        <v>1700</v>
      </c>
    </row>
    <row r="8345" spans="1:15" x14ac:dyDescent="0.25">
      <c r="A8345" t="str">
        <f>"10/21/2020 19:12:26.632"</f>
        <v>10/21/2020 19:12:26.632</v>
      </c>
      <c r="B8345" t="str">
        <f>"19:12:34.570"</f>
        <v>19:12:34.570</v>
      </c>
      <c r="C8345" t="str">
        <f>"19:12:34.170"</f>
        <v>19:12:34.170</v>
      </c>
      <c r="D8345" t="s">
        <v>3281</v>
      </c>
      <c r="E8345">
        <v>30.551434</v>
      </c>
      <c r="F8345" t="s">
        <v>2781</v>
      </c>
      <c r="G8345">
        <v>-89.823790000000002</v>
      </c>
      <c r="H8345">
        <v>1600</v>
      </c>
      <c r="I8345">
        <v>2</v>
      </c>
      <c r="J8345">
        <v>-165</v>
      </c>
      <c r="K8345">
        <v>128</v>
      </c>
      <c r="L8345">
        <v>1200</v>
      </c>
      <c r="M8345" t="str">
        <f t="shared" si="793"/>
        <v xml:space="preserve">N35DC   </v>
      </c>
      <c r="N8345">
        <v>1</v>
      </c>
      <c r="O8345">
        <v>1700</v>
      </c>
    </row>
    <row r="8346" spans="1:15" x14ac:dyDescent="0.25">
      <c r="A8346" t="str">
        <f>"10/21/2020 19:12:26.632"</f>
        <v>10/21/2020 19:12:26.632</v>
      </c>
      <c r="B8346" t="str">
        <f>"19:12:34.570"</f>
        <v>19:12:34.570</v>
      </c>
      <c r="C8346" t="str">
        <f>"19:12:34.170"</f>
        <v>19:12:34.170</v>
      </c>
      <c r="D8346" t="s">
        <v>3281</v>
      </c>
      <c r="E8346">
        <v>30.551434</v>
      </c>
      <c r="F8346" t="s">
        <v>2781</v>
      </c>
      <c r="G8346">
        <v>-89.823790000000002</v>
      </c>
      <c r="H8346">
        <v>1600</v>
      </c>
      <c r="I8346">
        <v>2</v>
      </c>
      <c r="J8346">
        <v>-165</v>
      </c>
      <c r="K8346">
        <v>128</v>
      </c>
      <c r="L8346">
        <v>1200</v>
      </c>
      <c r="M8346" t="str">
        <f t="shared" si="793"/>
        <v xml:space="preserve">N35DC   </v>
      </c>
      <c r="N8346">
        <v>1</v>
      </c>
      <c r="O8346">
        <v>1700</v>
      </c>
    </row>
    <row r="8347" spans="1:15" x14ac:dyDescent="0.25">
      <c r="A8347" t="str">
        <f>"10/21/2020 19:12:26.632"</f>
        <v>10/21/2020 19:12:26.632</v>
      </c>
      <c r="B8347" t="str">
        <f>"19:12:34.570"</f>
        <v>19:12:34.570</v>
      </c>
      <c r="C8347" t="str">
        <f>"19:12:34.170"</f>
        <v>19:12:34.170</v>
      </c>
      <c r="D8347" t="s">
        <v>3281</v>
      </c>
      <c r="E8347">
        <v>30.551434</v>
      </c>
      <c r="F8347" t="s">
        <v>2781</v>
      </c>
      <c r="G8347">
        <v>-89.823790000000002</v>
      </c>
      <c r="H8347">
        <v>1600</v>
      </c>
      <c r="I8347">
        <v>2</v>
      </c>
      <c r="J8347">
        <v>-165</v>
      </c>
      <c r="K8347">
        <v>128</v>
      </c>
      <c r="L8347">
        <v>1200</v>
      </c>
      <c r="M8347" t="str">
        <f t="shared" si="793"/>
        <v xml:space="preserve">N35DC   </v>
      </c>
      <c r="N8347">
        <v>1</v>
      </c>
      <c r="O8347">
        <v>1700</v>
      </c>
    </row>
    <row r="8348" spans="1:15" x14ac:dyDescent="0.25">
      <c r="A8348" t="str">
        <f>"10/21/2020 19:12:26.632"</f>
        <v>10/21/2020 19:12:26.632</v>
      </c>
      <c r="B8348" t="str">
        <f>"19:12:34.570"</f>
        <v>19:12:34.570</v>
      </c>
      <c r="C8348" t="str">
        <f>"19:12:34.170"</f>
        <v>19:12:34.170</v>
      </c>
      <c r="D8348" t="s">
        <v>3281</v>
      </c>
      <c r="E8348">
        <v>30.551434</v>
      </c>
      <c r="F8348" t="s">
        <v>2781</v>
      </c>
      <c r="G8348">
        <v>-89.823790000000002</v>
      </c>
      <c r="H8348">
        <v>1600</v>
      </c>
      <c r="I8348">
        <v>2</v>
      </c>
      <c r="J8348">
        <v>-165</v>
      </c>
      <c r="K8348">
        <v>128</v>
      </c>
      <c r="L8348">
        <v>1200</v>
      </c>
      <c r="M8348" t="str">
        <f t="shared" si="793"/>
        <v xml:space="preserve">N35DC   </v>
      </c>
      <c r="N8348">
        <v>1</v>
      </c>
      <c r="O8348">
        <v>1700</v>
      </c>
    </row>
    <row r="8349" spans="1:15" x14ac:dyDescent="0.25">
      <c r="A8349" t="str">
        <f>"10/21/2020 19:12:26.632"</f>
        <v>10/21/2020 19:12:26.632</v>
      </c>
      <c r="B8349" t="str">
        <f>"19:12:34.570"</f>
        <v>19:12:34.570</v>
      </c>
      <c r="C8349" t="str">
        <f>"19:12:34.170"</f>
        <v>19:12:34.170</v>
      </c>
      <c r="D8349" t="s">
        <v>3281</v>
      </c>
      <c r="E8349">
        <v>30.551434</v>
      </c>
      <c r="F8349" t="s">
        <v>2781</v>
      </c>
      <c r="G8349">
        <v>-89.823790000000002</v>
      </c>
      <c r="H8349">
        <v>1600</v>
      </c>
      <c r="I8349">
        <v>2</v>
      </c>
      <c r="J8349">
        <v>-165</v>
      </c>
      <c r="K8349">
        <v>128</v>
      </c>
      <c r="L8349">
        <v>1200</v>
      </c>
      <c r="M8349" t="str">
        <f t="shared" si="793"/>
        <v xml:space="preserve">N35DC   </v>
      </c>
      <c r="N8349">
        <v>1</v>
      </c>
      <c r="O8349">
        <v>1700</v>
      </c>
    </row>
    <row r="8350" spans="1:15" x14ac:dyDescent="0.25">
      <c r="A8350" t="str">
        <f>"10/21/2020 19:12:29.559"</f>
        <v>10/21/2020 19:12:29.559</v>
      </c>
      <c r="B8350" t="str">
        <f>"19:12:37.508"</f>
        <v>19:12:37.508</v>
      </c>
      <c r="C8350" t="str">
        <f>"19:12:37.408"</f>
        <v>19:12:37.408</v>
      </c>
      <c r="D8350" t="s">
        <v>3282</v>
      </c>
      <c r="E8350">
        <v>30.549202000000001</v>
      </c>
      <c r="F8350" t="s">
        <v>3275</v>
      </c>
      <c r="G8350">
        <v>-89.823724999999996</v>
      </c>
      <c r="H8350">
        <v>1600</v>
      </c>
      <c r="I8350">
        <v>5</v>
      </c>
      <c r="J8350">
        <v>-164</v>
      </c>
      <c r="K8350">
        <v>128</v>
      </c>
      <c r="L8350">
        <v>1200</v>
      </c>
      <c r="M8350" t="str">
        <f t="shared" si="793"/>
        <v xml:space="preserve">N35DC   </v>
      </c>
      <c r="N8350">
        <v>1</v>
      </c>
      <c r="O8350">
        <v>1700</v>
      </c>
    </row>
    <row r="8351" spans="1:15" x14ac:dyDescent="0.25">
      <c r="A8351" t="str">
        <f>"10/21/2020 19:12:29.559"</f>
        <v>10/21/2020 19:12:29.559</v>
      </c>
      <c r="B8351" t="str">
        <f>"19:12:37.508"</f>
        <v>19:12:37.508</v>
      </c>
      <c r="C8351" t="str">
        <f>"19:12:37.508"</f>
        <v>19:12:37.508</v>
      </c>
      <c r="D8351" t="s">
        <v>3282</v>
      </c>
      <c r="E8351">
        <v>30.549202000000001</v>
      </c>
      <c r="F8351" t="s">
        <v>3275</v>
      </c>
      <c r="G8351">
        <v>-89.823724999999996</v>
      </c>
      <c r="H8351">
        <v>1600</v>
      </c>
      <c r="I8351">
        <v>5</v>
      </c>
      <c r="J8351">
        <v>-164</v>
      </c>
      <c r="K8351">
        <v>128</v>
      </c>
      <c r="L8351">
        <v>1200</v>
      </c>
      <c r="M8351" t="str">
        <f t="shared" si="793"/>
        <v xml:space="preserve">N35DC   </v>
      </c>
      <c r="N8351">
        <v>1</v>
      </c>
      <c r="O8351">
        <v>1700</v>
      </c>
    </row>
    <row r="8352" spans="1:15" x14ac:dyDescent="0.25">
      <c r="A8352" t="str">
        <f>"10/21/2020 19:12:29.559"</f>
        <v>10/21/2020 19:12:29.559</v>
      </c>
      <c r="B8352" t="str">
        <f>"19:12:37.508"</f>
        <v>19:12:37.508</v>
      </c>
      <c r="C8352" t="str">
        <f>"19:12:37.508"</f>
        <v>19:12:37.508</v>
      </c>
      <c r="D8352" t="s">
        <v>3282</v>
      </c>
      <c r="E8352">
        <v>30.549202000000001</v>
      </c>
      <c r="F8352" t="s">
        <v>3275</v>
      </c>
      <c r="G8352">
        <v>-89.823724999999996</v>
      </c>
      <c r="H8352">
        <v>1600</v>
      </c>
      <c r="I8352">
        <v>5</v>
      </c>
      <c r="J8352">
        <v>-164</v>
      </c>
      <c r="K8352">
        <v>128</v>
      </c>
      <c r="L8352">
        <v>1200</v>
      </c>
      <c r="M8352" t="str">
        <f t="shared" si="793"/>
        <v xml:space="preserve">N35DC   </v>
      </c>
      <c r="N8352">
        <v>1</v>
      </c>
      <c r="O8352">
        <v>1700</v>
      </c>
    </row>
    <row r="8353" spans="1:15" x14ac:dyDescent="0.25">
      <c r="A8353" t="str">
        <f>"10/21/2020 19:12:29.559"</f>
        <v>10/21/2020 19:12:29.559</v>
      </c>
      <c r="B8353" t="str">
        <f>"19:12:37.508"</f>
        <v>19:12:37.508</v>
      </c>
      <c r="C8353" t="str">
        <f>"19:12:37.408"</f>
        <v>19:12:37.408</v>
      </c>
      <c r="D8353" t="s">
        <v>3282</v>
      </c>
      <c r="E8353">
        <v>30.549202000000001</v>
      </c>
      <c r="F8353" t="s">
        <v>3275</v>
      </c>
      <c r="G8353">
        <v>-89.823724999999996</v>
      </c>
      <c r="H8353">
        <v>1600</v>
      </c>
      <c r="I8353">
        <v>5</v>
      </c>
      <c r="J8353">
        <v>-164</v>
      </c>
      <c r="K8353">
        <v>128</v>
      </c>
      <c r="L8353">
        <v>1200</v>
      </c>
      <c r="M8353" t="str">
        <f t="shared" si="793"/>
        <v xml:space="preserve">N35DC   </v>
      </c>
      <c r="N8353">
        <v>1</v>
      </c>
      <c r="O8353">
        <v>1700</v>
      </c>
    </row>
    <row r="8354" spans="1:15" x14ac:dyDescent="0.25">
      <c r="A8354" t="str">
        <f>"10/21/2020 19:12:29.559"</f>
        <v>10/21/2020 19:12:29.559</v>
      </c>
      <c r="B8354" t="str">
        <f>"19:12:37.508"</f>
        <v>19:12:37.508</v>
      </c>
      <c r="C8354" t="str">
        <f>"19:12:37.408"</f>
        <v>19:12:37.408</v>
      </c>
      <c r="D8354" t="s">
        <v>3282</v>
      </c>
      <c r="E8354">
        <v>30.549202000000001</v>
      </c>
      <c r="F8354" t="s">
        <v>3275</v>
      </c>
      <c r="G8354">
        <v>-89.823724999999996</v>
      </c>
      <c r="H8354">
        <v>1600</v>
      </c>
      <c r="I8354">
        <v>5</v>
      </c>
      <c r="J8354">
        <v>-164</v>
      </c>
      <c r="K8354">
        <v>128</v>
      </c>
      <c r="L8354">
        <v>1200</v>
      </c>
      <c r="M8354" t="str">
        <f t="shared" si="793"/>
        <v xml:space="preserve">N35DC   </v>
      </c>
      <c r="N8354">
        <v>1</v>
      </c>
      <c r="O8354">
        <v>1700</v>
      </c>
    </row>
    <row r="8355" spans="1:15" x14ac:dyDescent="0.25">
      <c r="A8355" t="str">
        <f>"10/21/2020 19:12:30.456"</f>
        <v>10/21/2020 19:12:30.456</v>
      </c>
      <c r="B8355" t="str">
        <f>"19:12:38.406"</f>
        <v>19:12:38.406</v>
      </c>
      <c r="C8355" t="str">
        <f>"19:12:38.006"</f>
        <v>19:12:38.006</v>
      </c>
      <c r="D8355" t="s">
        <v>3283</v>
      </c>
      <c r="E8355">
        <v>30.548537</v>
      </c>
      <c r="F8355" t="s">
        <v>2779</v>
      </c>
      <c r="G8355">
        <v>-89.823682000000005</v>
      </c>
      <c r="H8355">
        <v>1600</v>
      </c>
      <c r="I8355">
        <v>5</v>
      </c>
      <c r="J8355">
        <v>-164</v>
      </c>
      <c r="K8355">
        <v>64</v>
      </c>
      <c r="L8355">
        <v>1200</v>
      </c>
      <c r="M8355" t="str">
        <f t="shared" si="793"/>
        <v xml:space="preserve">N35DC   </v>
      </c>
      <c r="N8355">
        <v>1</v>
      </c>
      <c r="O8355">
        <v>1700</v>
      </c>
    </row>
    <row r="8356" spans="1:15" x14ac:dyDescent="0.25">
      <c r="A8356" t="str">
        <f>"10/21/2020 19:12:30.456"</f>
        <v>10/21/2020 19:12:30.456</v>
      </c>
      <c r="B8356" t="str">
        <f>"19:12:38.406"</f>
        <v>19:12:38.406</v>
      </c>
      <c r="C8356" t="str">
        <f>"19:12:38.006"</f>
        <v>19:12:38.006</v>
      </c>
      <c r="D8356" t="s">
        <v>3283</v>
      </c>
      <c r="E8356">
        <v>30.548537</v>
      </c>
      <c r="F8356" t="s">
        <v>2779</v>
      </c>
      <c r="G8356">
        <v>-89.823682000000005</v>
      </c>
      <c r="H8356">
        <v>1600</v>
      </c>
      <c r="I8356">
        <v>5</v>
      </c>
      <c r="J8356">
        <v>-164</v>
      </c>
      <c r="K8356">
        <v>64</v>
      </c>
      <c r="L8356">
        <v>1200</v>
      </c>
      <c r="M8356" t="str">
        <f t="shared" si="793"/>
        <v xml:space="preserve">N35DC   </v>
      </c>
      <c r="N8356">
        <v>1</v>
      </c>
      <c r="O8356">
        <v>1700</v>
      </c>
    </row>
    <row r="8357" spans="1:15" x14ac:dyDescent="0.25">
      <c r="A8357" t="str">
        <f>"10/21/2020 19:12:30.456"</f>
        <v>10/21/2020 19:12:30.456</v>
      </c>
      <c r="B8357" t="str">
        <f>"19:12:38.406"</f>
        <v>19:12:38.406</v>
      </c>
      <c r="C8357" t="str">
        <f>"19:12:38.006"</f>
        <v>19:12:38.006</v>
      </c>
      <c r="D8357" t="s">
        <v>3283</v>
      </c>
      <c r="E8357">
        <v>30.548537</v>
      </c>
      <c r="F8357" t="s">
        <v>2779</v>
      </c>
      <c r="G8357">
        <v>-89.823682000000005</v>
      </c>
      <c r="H8357">
        <v>1600</v>
      </c>
      <c r="I8357">
        <v>5</v>
      </c>
      <c r="J8357">
        <v>-164</v>
      </c>
      <c r="K8357">
        <v>64</v>
      </c>
      <c r="L8357">
        <v>1200</v>
      </c>
      <c r="M8357" t="str">
        <f t="shared" si="793"/>
        <v xml:space="preserve">N35DC   </v>
      </c>
      <c r="N8357">
        <v>1</v>
      </c>
      <c r="O8357">
        <v>1700</v>
      </c>
    </row>
    <row r="8358" spans="1:15" x14ac:dyDescent="0.25">
      <c r="A8358" t="str">
        <f>"10/21/2020 19:12:30.456"</f>
        <v>10/21/2020 19:12:30.456</v>
      </c>
      <c r="B8358" t="str">
        <f>"19:12:38.406"</f>
        <v>19:12:38.406</v>
      </c>
      <c r="C8358" t="str">
        <f>"19:12:38.006"</f>
        <v>19:12:38.006</v>
      </c>
      <c r="D8358" t="s">
        <v>3283</v>
      </c>
      <c r="E8358">
        <v>30.548537</v>
      </c>
      <c r="F8358" t="s">
        <v>2779</v>
      </c>
      <c r="G8358">
        <v>-89.823682000000005</v>
      </c>
      <c r="H8358">
        <v>1600</v>
      </c>
      <c r="I8358">
        <v>5</v>
      </c>
      <c r="J8358">
        <v>-164</v>
      </c>
      <c r="K8358">
        <v>64</v>
      </c>
      <c r="L8358">
        <v>1200</v>
      </c>
      <c r="M8358" t="str">
        <f t="shared" si="793"/>
        <v xml:space="preserve">N35DC   </v>
      </c>
      <c r="N8358">
        <v>1</v>
      </c>
      <c r="O8358">
        <v>1700</v>
      </c>
    </row>
    <row r="8359" spans="1:15" x14ac:dyDescent="0.25">
      <c r="A8359" t="str">
        <f>"10/21/2020 19:12:30.456"</f>
        <v>10/21/2020 19:12:30.456</v>
      </c>
      <c r="B8359" t="str">
        <f>"19:12:38.406"</f>
        <v>19:12:38.406</v>
      </c>
      <c r="C8359" t="str">
        <f>"19:12:38.006"</f>
        <v>19:12:38.006</v>
      </c>
      <c r="D8359" t="s">
        <v>3283</v>
      </c>
      <c r="E8359">
        <v>30.548537</v>
      </c>
      <c r="F8359" t="s">
        <v>2779</v>
      </c>
      <c r="G8359">
        <v>-89.823682000000005</v>
      </c>
      <c r="H8359">
        <v>1600</v>
      </c>
      <c r="I8359">
        <v>5</v>
      </c>
      <c r="J8359">
        <v>-164</v>
      </c>
      <c r="K8359">
        <v>64</v>
      </c>
      <c r="L8359">
        <v>1200</v>
      </c>
      <c r="M8359" t="str">
        <f t="shared" si="793"/>
        <v xml:space="preserve">N35DC   </v>
      </c>
      <c r="N8359">
        <v>1</v>
      </c>
      <c r="O8359">
        <v>1700</v>
      </c>
    </row>
    <row r="8360" spans="1:15" x14ac:dyDescent="0.25">
      <c r="A8360" t="str">
        <f>"10/21/2020 19:12:33.598"</f>
        <v>10/21/2020 19:12:33.598</v>
      </c>
      <c r="B8360" t="str">
        <f>"19:12:41.547"</f>
        <v>19:12:41.547</v>
      </c>
      <c r="C8360" t="str">
        <f>"19:12:41.247"</f>
        <v>19:12:41.247</v>
      </c>
      <c r="D8360" t="s">
        <v>3284</v>
      </c>
      <c r="E8360">
        <v>30.546175999999999</v>
      </c>
      <c r="F8360" t="s">
        <v>2777</v>
      </c>
      <c r="G8360">
        <v>-89.823617999999996</v>
      </c>
      <c r="H8360">
        <v>1600</v>
      </c>
      <c r="I8360">
        <v>4</v>
      </c>
      <c r="J8360">
        <v>-163</v>
      </c>
      <c r="K8360">
        <v>64</v>
      </c>
      <c r="L8360">
        <v>1200</v>
      </c>
      <c r="M8360" t="str">
        <f t="shared" si="793"/>
        <v xml:space="preserve">N35DC   </v>
      </c>
      <c r="N8360">
        <v>1</v>
      </c>
      <c r="O8360">
        <v>1725</v>
      </c>
    </row>
    <row r="8361" spans="1:15" x14ac:dyDescent="0.25">
      <c r="A8361" t="str">
        <f>"10/21/2020 19:12:33.598"</f>
        <v>10/21/2020 19:12:33.598</v>
      </c>
      <c r="B8361" t="str">
        <f>"19:12:41.547"</f>
        <v>19:12:41.547</v>
      </c>
      <c r="C8361" t="str">
        <f>"19:12:41.247"</f>
        <v>19:12:41.247</v>
      </c>
      <c r="D8361" t="s">
        <v>3284</v>
      </c>
      <c r="E8361">
        <v>30.546175999999999</v>
      </c>
      <c r="F8361" t="s">
        <v>2777</v>
      </c>
      <c r="G8361">
        <v>-89.823617999999996</v>
      </c>
      <c r="H8361">
        <v>1600</v>
      </c>
      <c r="I8361">
        <v>4</v>
      </c>
      <c r="J8361">
        <v>-163</v>
      </c>
      <c r="K8361">
        <v>64</v>
      </c>
      <c r="L8361">
        <v>1200</v>
      </c>
      <c r="M8361" t="str">
        <f t="shared" si="793"/>
        <v xml:space="preserve">N35DC   </v>
      </c>
      <c r="N8361">
        <v>1</v>
      </c>
      <c r="O8361">
        <v>1725</v>
      </c>
    </row>
    <row r="8362" spans="1:15" x14ac:dyDescent="0.25">
      <c r="A8362" t="str">
        <f>"10/21/2020 19:12:33.598"</f>
        <v>10/21/2020 19:12:33.598</v>
      </c>
      <c r="B8362" t="str">
        <f>"19:12:41.547"</f>
        <v>19:12:41.547</v>
      </c>
      <c r="C8362" t="str">
        <f>"19:12:41.247"</f>
        <v>19:12:41.247</v>
      </c>
      <c r="D8362" t="s">
        <v>3284</v>
      </c>
      <c r="E8362">
        <v>30.546175999999999</v>
      </c>
      <c r="F8362" t="s">
        <v>2777</v>
      </c>
      <c r="G8362">
        <v>-89.823617999999996</v>
      </c>
      <c r="H8362">
        <v>1600</v>
      </c>
      <c r="I8362">
        <v>4</v>
      </c>
      <c r="J8362">
        <v>-163</v>
      </c>
      <c r="K8362">
        <v>64</v>
      </c>
      <c r="L8362">
        <v>1200</v>
      </c>
      <c r="M8362" t="str">
        <f t="shared" si="793"/>
        <v xml:space="preserve">N35DC   </v>
      </c>
      <c r="N8362">
        <v>1</v>
      </c>
      <c r="O8362">
        <v>1725</v>
      </c>
    </row>
    <row r="8363" spans="1:15" x14ac:dyDescent="0.25">
      <c r="A8363" t="str">
        <f>"10/21/2020 19:12:33.598"</f>
        <v>10/21/2020 19:12:33.598</v>
      </c>
      <c r="B8363" t="str">
        <f>"19:12:41.547"</f>
        <v>19:12:41.547</v>
      </c>
      <c r="C8363" t="str">
        <f>"19:12:41.247"</f>
        <v>19:12:41.247</v>
      </c>
      <c r="D8363" t="s">
        <v>3284</v>
      </c>
      <c r="E8363">
        <v>30.546175999999999</v>
      </c>
      <c r="F8363" t="s">
        <v>2777</v>
      </c>
      <c r="G8363">
        <v>-89.823617999999996</v>
      </c>
      <c r="H8363">
        <v>1600</v>
      </c>
      <c r="I8363">
        <v>4</v>
      </c>
      <c r="J8363">
        <v>-163</v>
      </c>
      <c r="K8363">
        <v>64</v>
      </c>
      <c r="L8363">
        <v>1200</v>
      </c>
      <c r="M8363" t="str">
        <f t="shared" si="793"/>
        <v xml:space="preserve">N35DC   </v>
      </c>
      <c r="N8363">
        <v>1</v>
      </c>
      <c r="O8363">
        <v>1725</v>
      </c>
    </row>
    <row r="8364" spans="1:15" x14ac:dyDescent="0.25">
      <c r="A8364" t="str">
        <f>"10/21/2020 19:12:33.598"</f>
        <v>10/21/2020 19:12:33.598</v>
      </c>
      <c r="B8364" t="str">
        <f>"19:12:41.547"</f>
        <v>19:12:41.547</v>
      </c>
      <c r="C8364" t="str">
        <f>"19:12:41.247"</f>
        <v>19:12:41.247</v>
      </c>
      <c r="D8364" t="s">
        <v>3284</v>
      </c>
      <c r="E8364">
        <v>30.546175999999999</v>
      </c>
      <c r="F8364" t="s">
        <v>2777</v>
      </c>
      <c r="G8364">
        <v>-89.823617999999996</v>
      </c>
      <c r="H8364">
        <v>1600</v>
      </c>
      <c r="I8364">
        <v>4</v>
      </c>
      <c r="J8364">
        <v>-163</v>
      </c>
      <c r="K8364">
        <v>64</v>
      </c>
      <c r="L8364">
        <v>1200</v>
      </c>
      <c r="M8364" t="str">
        <f t="shared" si="793"/>
        <v xml:space="preserve">N35DC   </v>
      </c>
      <c r="N8364">
        <v>1</v>
      </c>
      <c r="O8364">
        <v>1725</v>
      </c>
    </row>
    <row r="8365" spans="1:15" x14ac:dyDescent="0.25">
      <c r="A8365" t="str">
        <f>"10/21/2020 19:12:34.637"</f>
        <v>10/21/2020 19:12:34.637</v>
      </c>
      <c r="B8365" t="str">
        <f>"19:12:42.578"</f>
        <v>19:12:42.578</v>
      </c>
      <c r="C8365" t="str">
        <f>"19:12:42.178"</f>
        <v>19:12:42.178</v>
      </c>
      <c r="D8365" t="s">
        <v>3285</v>
      </c>
      <c r="E8365">
        <v>30.545382</v>
      </c>
      <c r="F8365" t="s">
        <v>2777</v>
      </c>
      <c r="G8365">
        <v>-89.823617999999996</v>
      </c>
      <c r="H8365">
        <v>1700</v>
      </c>
      <c r="I8365">
        <v>3</v>
      </c>
      <c r="J8365">
        <v>-162</v>
      </c>
      <c r="K8365">
        <v>0</v>
      </c>
      <c r="L8365">
        <v>1200</v>
      </c>
      <c r="M8365" t="str">
        <f t="shared" si="793"/>
        <v xml:space="preserve">N35DC   </v>
      </c>
      <c r="N8365">
        <v>1</v>
      </c>
      <c r="O8365">
        <v>1725</v>
      </c>
    </row>
    <row r="8366" spans="1:15" x14ac:dyDescent="0.25">
      <c r="A8366" t="str">
        <f>"10/21/2020 19:12:34.637"</f>
        <v>10/21/2020 19:12:34.637</v>
      </c>
      <c r="B8366" t="str">
        <f>"19:12:42.578"</f>
        <v>19:12:42.578</v>
      </c>
      <c r="C8366" t="str">
        <f>"19:12:42.278"</f>
        <v>19:12:42.278</v>
      </c>
      <c r="D8366" t="s">
        <v>3285</v>
      </c>
      <c r="E8366">
        <v>30.545382</v>
      </c>
      <c r="F8366" t="s">
        <v>2777</v>
      </c>
      <c r="G8366">
        <v>-89.823617999999996</v>
      </c>
      <c r="H8366">
        <v>1700</v>
      </c>
      <c r="I8366">
        <v>3</v>
      </c>
      <c r="J8366">
        <v>-162</v>
      </c>
      <c r="K8366">
        <v>0</v>
      </c>
      <c r="L8366">
        <v>1200</v>
      </c>
      <c r="M8366" t="str">
        <f t="shared" si="793"/>
        <v xml:space="preserve">N35DC   </v>
      </c>
      <c r="N8366">
        <v>1</v>
      </c>
      <c r="O8366">
        <v>1825</v>
      </c>
    </row>
    <row r="8367" spans="1:15" x14ac:dyDescent="0.25">
      <c r="A8367" t="str">
        <f>"10/21/2020 19:12:34.637"</f>
        <v>10/21/2020 19:12:34.637</v>
      </c>
      <c r="B8367" t="str">
        <f>"19:12:42.578"</f>
        <v>19:12:42.578</v>
      </c>
      <c r="C8367" t="str">
        <f>"19:12:42.178"</f>
        <v>19:12:42.178</v>
      </c>
      <c r="D8367" t="s">
        <v>3285</v>
      </c>
      <c r="E8367">
        <v>30.545382</v>
      </c>
      <c r="F8367" t="s">
        <v>2777</v>
      </c>
      <c r="G8367">
        <v>-89.823617999999996</v>
      </c>
      <c r="H8367">
        <v>1700</v>
      </c>
      <c r="I8367">
        <v>3</v>
      </c>
      <c r="J8367">
        <v>-162</v>
      </c>
      <c r="K8367">
        <v>0</v>
      </c>
      <c r="L8367">
        <v>1200</v>
      </c>
      <c r="M8367" t="str">
        <f t="shared" si="793"/>
        <v xml:space="preserve">N35DC   </v>
      </c>
      <c r="N8367">
        <v>1</v>
      </c>
      <c r="O8367">
        <v>1725</v>
      </c>
    </row>
    <row r="8368" spans="1:15" x14ac:dyDescent="0.25">
      <c r="A8368" t="str">
        <f>"10/21/2020 19:12:34.637"</f>
        <v>10/21/2020 19:12:34.637</v>
      </c>
      <c r="B8368" t="str">
        <f>"19:12:42.578"</f>
        <v>19:12:42.578</v>
      </c>
      <c r="C8368" t="str">
        <f>"19:12:42.278"</f>
        <v>19:12:42.278</v>
      </c>
      <c r="D8368" t="s">
        <v>3285</v>
      </c>
      <c r="E8368">
        <v>30.545382</v>
      </c>
      <c r="F8368" t="s">
        <v>2777</v>
      </c>
      <c r="G8368">
        <v>-89.823617999999996</v>
      </c>
      <c r="H8368">
        <v>1700</v>
      </c>
      <c r="I8368">
        <v>3</v>
      </c>
      <c r="J8368">
        <v>-162</v>
      </c>
      <c r="K8368">
        <v>0</v>
      </c>
      <c r="L8368">
        <v>1200</v>
      </c>
      <c r="M8368" t="str">
        <f t="shared" si="793"/>
        <v xml:space="preserve">N35DC   </v>
      </c>
      <c r="N8368">
        <v>1</v>
      </c>
      <c r="O8368">
        <v>1825</v>
      </c>
    </row>
    <row r="8369" spans="1:15" x14ac:dyDescent="0.25">
      <c r="A8369" t="str">
        <f>"10/21/2020 19:12:34.637"</f>
        <v>10/21/2020 19:12:34.637</v>
      </c>
      <c r="B8369" t="str">
        <f>"19:12:42.578"</f>
        <v>19:12:42.578</v>
      </c>
      <c r="C8369" t="str">
        <f>"19:12:42.178"</f>
        <v>19:12:42.178</v>
      </c>
      <c r="D8369" t="s">
        <v>3285</v>
      </c>
      <c r="E8369">
        <v>30.545382</v>
      </c>
      <c r="F8369" t="s">
        <v>2777</v>
      </c>
      <c r="G8369">
        <v>-89.823617999999996</v>
      </c>
      <c r="H8369">
        <v>1700</v>
      </c>
      <c r="I8369">
        <v>3</v>
      </c>
      <c r="J8369">
        <v>-162</v>
      </c>
      <c r="K8369">
        <v>0</v>
      </c>
      <c r="L8369">
        <v>1200</v>
      </c>
      <c r="M8369" t="str">
        <f t="shared" si="793"/>
        <v xml:space="preserve">N35DC   </v>
      </c>
      <c r="N8369">
        <v>1</v>
      </c>
      <c r="O8369">
        <v>1725</v>
      </c>
    </row>
    <row r="8370" spans="1:15" x14ac:dyDescent="0.25">
      <c r="A8370" t="str">
        <f>"10/21/2020 19:12:35.630"</f>
        <v>10/21/2020 19:12:35.630</v>
      </c>
      <c r="B8370" t="str">
        <f t="shared" ref="B8370:C8374" si="794">"19:12:43.625"</f>
        <v>19:12:43.625</v>
      </c>
      <c r="C8370" t="str">
        <f t="shared" si="794"/>
        <v>19:12:43.625</v>
      </c>
      <c r="D8370" t="s">
        <v>3286</v>
      </c>
      <c r="E8370">
        <v>30.544609999999999</v>
      </c>
      <c r="F8370" t="s">
        <v>2777</v>
      </c>
      <c r="G8370">
        <v>-89.823617999999996</v>
      </c>
      <c r="H8370">
        <v>1600</v>
      </c>
      <c r="I8370">
        <v>3</v>
      </c>
      <c r="J8370">
        <v>-162</v>
      </c>
      <c r="K8370">
        <v>-64</v>
      </c>
      <c r="L8370">
        <v>1200</v>
      </c>
      <c r="M8370" t="str">
        <f t="shared" si="793"/>
        <v xml:space="preserve">N35DC   </v>
      </c>
      <c r="N8370">
        <v>1</v>
      </c>
      <c r="O8370">
        <v>1725</v>
      </c>
    </row>
    <row r="8371" spans="1:15" x14ac:dyDescent="0.25">
      <c r="A8371" t="str">
        <f>"10/21/2020 19:12:35.630"</f>
        <v>10/21/2020 19:12:35.630</v>
      </c>
      <c r="B8371" t="str">
        <f t="shared" si="794"/>
        <v>19:12:43.625</v>
      </c>
      <c r="C8371" t="str">
        <f t="shared" si="794"/>
        <v>19:12:43.625</v>
      </c>
      <c r="D8371" t="s">
        <v>3286</v>
      </c>
      <c r="E8371">
        <v>30.544609999999999</v>
      </c>
      <c r="F8371" t="s">
        <v>2777</v>
      </c>
      <c r="G8371">
        <v>-89.823617999999996</v>
      </c>
      <c r="H8371">
        <v>1600</v>
      </c>
      <c r="I8371">
        <v>3</v>
      </c>
      <c r="J8371">
        <v>-162</v>
      </c>
      <c r="K8371">
        <v>-64</v>
      </c>
      <c r="L8371">
        <v>1200</v>
      </c>
      <c r="M8371" t="str">
        <f t="shared" si="793"/>
        <v xml:space="preserve">N35DC   </v>
      </c>
      <c r="N8371">
        <v>1</v>
      </c>
      <c r="O8371">
        <v>1725</v>
      </c>
    </row>
    <row r="8372" spans="1:15" x14ac:dyDescent="0.25">
      <c r="A8372" t="str">
        <f>"10/21/2020 19:12:35.630"</f>
        <v>10/21/2020 19:12:35.630</v>
      </c>
      <c r="B8372" t="str">
        <f t="shared" si="794"/>
        <v>19:12:43.625</v>
      </c>
      <c r="C8372" t="str">
        <f t="shared" si="794"/>
        <v>19:12:43.625</v>
      </c>
      <c r="D8372" t="s">
        <v>3286</v>
      </c>
      <c r="E8372">
        <v>30.544609999999999</v>
      </c>
      <c r="F8372" t="s">
        <v>2777</v>
      </c>
      <c r="G8372">
        <v>-89.823617999999996</v>
      </c>
      <c r="H8372">
        <v>1600</v>
      </c>
      <c r="I8372">
        <v>3</v>
      </c>
      <c r="J8372">
        <v>-162</v>
      </c>
      <c r="K8372">
        <v>-64</v>
      </c>
      <c r="L8372">
        <v>1200</v>
      </c>
      <c r="M8372" t="str">
        <f t="shared" si="793"/>
        <v xml:space="preserve">N35DC   </v>
      </c>
      <c r="N8372">
        <v>1</v>
      </c>
      <c r="O8372">
        <v>1725</v>
      </c>
    </row>
    <row r="8373" spans="1:15" x14ac:dyDescent="0.25">
      <c r="A8373" t="str">
        <f>"10/21/2020 19:12:35.630"</f>
        <v>10/21/2020 19:12:35.630</v>
      </c>
      <c r="B8373" t="str">
        <f t="shared" si="794"/>
        <v>19:12:43.625</v>
      </c>
      <c r="C8373" t="str">
        <f t="shared" si="794"/>
        <v>19:12:43.625</v>
      </c>
      <c r="D8373" t="s">
        <v>3286</v>
      </c>
      <c r="E8373">
        <v>30.544609999999999</v>
      </c>
      <c r="F8373" t="s">
        <v>2777</v>
      </c>
      <c r="G8373">
        <v>-89.823617999999996</v>
      </c>
      <c r="H8373">
        <v>1600</v>
      </c>
      <c r="I8373">
        <v>3</v>
      </c>
      <c r="J8373">
        <v>-162</v>
      </c>
      <c r="K8373">
        <v>-64</v>
      </c>
      <c r="L8373">
        <v>1200</v>
      </c>
      <c r="M8373" t="str">
        <f t="shared" si="793"/>
        <v xml:space="preserve">N35DC   </v>
      </c>
      <c r="N8373">
        <v>1</v>
      </c>
      <c r="O8373">
        <v>1725</v>
      </c>
    </row>
    <row r="8374" spans="1:15" x14ac:dyDescent="0.25">
      <c r="A8374" t="str">
        <f>"10/21/2020 19:12:35.630"</f>
        <v>10/21/2020 19:12:35.630</v>
      </c>
      <c r="B8374" t="str">
        <f t="shared" si="794"/>
        <v>19:12:43.625</v>
      </c>
      <c r="C8374" t="str">
        <f t="shared" si="794"/>
        <v>19:12:43.625</v>
      </c>
      <c r="D8374" t="s">
        <v>3286</v>
      </c>
      <c r="E8374">
        <v>30.544609999999999</v>
      </c>
      <c r="F8374" t="s">
        <v>2777</v>
      </c>
      <c r="G8374">
        <v>-89.823617999999996</v>
      </c>
      <c r="H8374">
        <v>1600</v>
      </c>
      <c r="I8374">
        <v>3</v>
      </c>
      <c r="J8374">
        <v>-162</v>
      </c>
      <c r="K8374">
        <v>-64</v>
      </c>
      <c r="L8374">
        <v>1200</v>
      </c>
      <c r="M8374" t="str">
        <f t="shared" si="793"/>
        <v xml:space="preserve">N35DC   </v>
      </c>
      <c r="N8374">
        <v>1</v>
      </c>
      <c r="O8374">
        <v>1725</v>
      </c>
    </row>
    <row r="8375" spans="1:15" x14ac:dyDescent="0.25">
      <c r="A8375" t="str">
        <f>"10/21/2020 19:12:36.682"</f>
        <v>10/21/2020 19:12:36.682</v>
      </c>
      <c r="B8375" t="str">
        <f t="shared" ref="B8375:C8379" si="795">"19:12:44.617"</f>
        <v>19:12:44.617</v>
      </c>
      <c r="C8375" t="str">
        <f t="shared" si="795"/>
        <v>19:12:44.617</v>
      </c>
      <c r="D8375" t="s">
        <v>3287</v>
      </c>
      <c r="E8375">
        <v>30.543859000000001</v>
      </c>
      <c r="F8375" t="s">
        <v>3288</v>
      </c>
      <c r="G8375">
        <v>-89.823554000000001</v>
      </c>
      <c r="H8375">
        <v>1600</v>
      </c>
      <c r="I8375">
        <v>3</v>
      </c>
      <c r="J8375">
        <v>-162</v>
      </c>
      <c r="K8375">
        <v>-64</v>
      </c>
      <c r="L8375">
        <v>1200</v>
      </c>
      <c r="M8375" t="str">
        <f t="shared" si="793"/>
        <v xml:space="preserve">N35DC   </v>
      </c>
      <c r="N8375">
        <v>1</v>
      </c>
      <c r="O8375">
        <v>1700</v>
      </c>
    </row>
    <row r="8376" spans="1:15" x14ac:dyDescent="0.25">
      <c r="A8376" t="str">
        <f>"10/21/2020 19:12:36.682"</f>
        <v>10/21/2020 19:12:36.682</v>
      </c>
      <c r="B8376" t="str">
        <f t="shared" si="795"/>
        <v>19:12:44.617</v>
      </c>
      <c r="C8376" t="str">
        <f t="shared" si="795"/>
        <v>19:12:44.617</v>
      </c>
      <c r="D8376" t="s">
        <v>3287</v>
      </c>
      <c r="E8376">
        <v>30.543859000000001</v>
      </c>
      <c r="F8376" t="s">
        <v>3288</v>
      </c>
      <c r="G8376">
        <v>-89.823554000000001</v>
      </c>
      <c r="H8376">
        <v>1600</v>
      </c>
      <c r="I8376">
        <v>3</v>
      </c>
      <c r="J8376">
        <v>-162</v>
      </c>
      <c r="K8376">
        <v>-64</v>
      </c>
      <c r="L8376">
        <v>1200</v>
      </c>
      <c r="M8376" t="str">
        <f t="shared" si="793"/>
        <v xml:space="preserve">N35DC   </v>
      </c>
      <c r="N8376">
        <v>1</v>
      </c>
      <c r="O8376">
        <v>1700</v>
      </c>
    </row>
    <row r="8377" spans="1:15" x14ac:dyDescent="0.25">
      <c r="A8377" t="str">
        <f>"10/21/2020 19:12:36.682"</f>
        <v>10/21/2020 19:12:36.682</v>
      </c>
      <c r="B8377" t="str">
        <f t="shared" si="795"/>
        <v>19:12:44.617</v>
      </c>
      <c r="C8377" t="str">
        <f t="shared" si="795"/>
        <v>19:12:44.617</v>
      </c>
      <c r="D8377" t="s">
        <v>3287</v>
      </c>
      <c r="E8377">
        <v>30.543859000000001</v>
      </c>
      <c r="F8377" t="s">
        <v>3288</v>
      </c>
      <c r="G8377">
        <v>-89.823554000000001</v>
      </c>
      <c r="H8377">
        <v>1600</v>
      </c>
      <c r="I8377">
        <v>3</v>
      </c>
      <c r="J8377">
        <v>-162</v>
      </c>
      <c r="K8377">
        <v>-64</v>
      </c>
      <c r="L8377">
        <v>1200</v>
      </c>
      <c r="M8377" t="str">
        <f t="shared" si="793"/>
        <v xml:space="preserve">N35DC   </v>
      </c>
      <c r="N8377">
        <v>1</v>
      </c>
      <c r="O8377">
        <v>1700</v>
      </c>
    </row>
    <row r="8378" spans="1:15" x14ac:dyDescent="0.25">
      <c r="A8378" t="str">
        <f>"10/21/2020 19:12:36.682"</f>
        <v>10/21/2020 19:12:36.682</v>
      </c>
      <c r="B8378" t="str">
        <f t="shared" si="795"/>
        <v>19:12:44.617</v>
      </c>
      <c r="C8378" t="str">
        <f t="shared" si="795"/>
        <v>19:12:44.617</v>
      </c>
      <c r="D8378" t="s">
        <v>3287</v>
      </c>
      <c r="E8378">
        <v>30.543859000000001</v>
      </c>
      <c r="F8378" t="s">
        <v>3288</v>
      </c>
      <c r="G8378">
        <v>-89.823554000000001</v>
      </c>
      <c r="H8378">
        <v>1600</v>
      </c>
      <c r="I8378">
        <v>3</v>
      </c>
      <c r="J8378">
        <v>-162</v>
      </c>
      <c r="K8378">
        <v>-64</v>
      </c>
      <c r="L8378">
        <v>1200</v>
      </c>
      <c r="M8378" t="str">
        <f t="shared" si="793"/>
        <v xml:space="preserve">N35DC   </v>
      </c>
      <c r="N8378">
        <v>1</v>
      </c>
      <c r="O8378">
        <v>1700</v>
      </c>
    </row>
    <row r="8379" spans="1:15" x14ac:dyDescent="0.25">
      <c r="A8379" t="str">
        <f>"10/21/2020 19:12:36.682"</f>
        <v>10/21/2020 19:12:36.682</v>
      </c>
      <c r="B8379" t="str">
        <f t="shared" si="795"/>
        <v>19:12:44.617</v>
      </c>
      <c r="C8379" t="str">
        <f t="shared" si="795"/>
        <v>19:12:44.617</v>
      </c>
      <c r="D8379" t="s">
        <v>3287</v>
      </c>
      <c r="E8379">
        <v>30.543859000000001</v>
      </c>
      <c r="F8379" t="s">
        <v>3288</v>
      </c>
      <c r="G8379">
        <v>-89.823554000000001</v>
      </c>
      <c r="H8379">
        <v>1600</v>
      </c>
      <c r="I8379">
        <v>3</v>
      </c>
      <c r="J8379">
        <v>-162</v>
      </c>
      <c r="K8379">
        <v>-64</v>
      </c>
      <c r="L8379">
        <v>1200</v>
      </c>
      <c r="M8379" t="str">
        <f t="shared" si="793"/>
        <v xml:space="preserve">N35DC   </v>
      </c>
      <c r="N8379">
        <v>1</v>
      </c>
      <c r="O8379">
        <v>1700</v>
      </c>
    </row>
    <row r="8380" spans="1:15" x14ac:dyDescent="0.25">
      <c r="A8380" t="str">
        <f>"10/21/2020 19:12:39.691"</f>
        <v>10/21/2020 19:12:39.691</v>
      </c>
      <c r="B8380" t="str">
        <f t="shared" ref="B8380:C8384" si="796">"19:12:47.633"</f>
        <v>19:12:47.633</v>
      </c>
      <c r="C8380" t="str">
        <f t="shared" si="796"/>
        <v>19:12:47.633</v>
      </c>
      <c r="D8380" t="s">
        <v>3289</v>
      </c>
      <c r="E8380">
        <v>30.541584</v>
      </c>
      <c r="F8380" t="s">
        <v>3273</v>
      </c>
      <c r="G8380">
        <v>-89.823510999999996</v>
      </c>
      <c r="H8380">
        <v>1600</v>
      </c>
      <c r="I8380">
        <v>4</v>
      </c>
      <c r="J8380">
        <v>-161</v>
      </c>
      <c r="K8380">
        <v>-128</v>
      </c>
      <c r="L8380">
        <v>1200</v>
      </c>
      <c r="M8380" t="str">
        <f t="shared" si="793"/>
        <v xml:space="preserve">N35DC   </v>
      </c>
      <c r="N8380">
        <v>1</v>
      </c>
      <c r="O8380">
        <v>1700</v>
      </c>
    </row>
    <row r="8381" spans="1:15" x14ac:dyDescent="0.25">
      <c r="A8381" t="str">
        <f>"10/21/2020 19:12:39.691"</f>
        <v>10/21/2020 19:12:39.691</v>
      </c>
      <c r="B8381" t="str">
        <f t="shared" si="796"/>
        <v>19:12:47.633</v>
      </c>
      <c r="C8381" t="str">
        <f t="shared" si="796"/>
        <v>19:12:47.633</v>
      </c>
      <c r="D8381" t="s">
        <v>3289</v>
      </c>
      <c r="E8381">
        <v>30.541584</v>
      </c>
      <c r="F8381" t="s">
        <v>3273</v>
      </c>
      <c r="G8381">
        <v>-89.823510999999996</v>
      </c>
      <c r="H8381">
        <v>1600</v>
      </c>
      <c r="I8381">
        <v>4</v>
      </c>
      <c r="J8381">
        <v>-161</v>
      </c>
      <c r="K8381">
        <v>-128</v>
      </c>
      <c r="L8381">
        <v>1200</v>
      </c>
      <c r="M8381" t="str">
        <f t="shared" si="793"/>
        <v xml:space="preserve">N35DC   </v>
      </c>
      <c r="N8381">
        <v>1</v>
      </c>
      <c r="O8381">
        <v>1700</v>
      </c>
    </row>
    <row r="8382" spans="1:15" x14ac:dyDescent="0.25">
      <c r="A8382" t="str">
        <f>"10/21/2020 19:12:39.691"</f>
        <v>10/21/2020 19:12:39.691</v>
      </c>
      <c r="B8382" t="str">
        <f t="shared" si="796"/>
        <v>19:12:47.633</v>
      </c>
      <c r="C8382" t="str">
        <f t="shared" si="796"/>
        <v>19:12:47.633</v>
      </c>
      <c r="D8382" t="s">
        <v>3289</v>
      </c>
      <c r="E8382">
        <v>30.541584</v>
      </c>
      <c r="F8382" t="s">
        <v>3273</v>
      </c>
      <c r="G8382">
        <v>-89.823510999999996</v>
      </c>
      <c r="H8382">
        <v>1600</v>
      </c>
      <c r="I8382">
        <v>4</v>
      </c>
      <c r="J8382">
        <v>-161</v>
      </c>
      <c r="K8382">
        <v>-128</v>
      </c>
      <c r="L8382">
        <v>1200</v>
      </c>
      <c r="M8382" t="str">
        <f t="shared" si="793"/>
        <v xml:space="preserve">N35DC   </v>
      </c>
      <c r="N8382">
        <v>1</v>
      </c>
      <c r="O8382">
        <v>1700</v>
      </c>
    </row>
    <row r="8383" spans="1:15" x14ac:dyDescent="0.25">
      <c r="A8383" t="str">
        <f>"10/21/2020 19:12:39.691"</f>
        <v>10/21/2020 19:12:39.691</v>
      </c>
      <c r="B8383" t="str">
        <f t="shared" si="796"/>
        <v>19:12:47.633</v>
      </c>
      <c r="C8383" t="str">
        <f t="shared" si="796"/>
        <v>19:12:47.633</v>
      </c>
      <c r="D8383" t="s">
        <v>3289</v>
      </c>
      <c r="E8383">
        <v>30.541584</v>
      </c>
      <c r="F8383" t="s">
        <v>3273</v>
      </c>
      <c r="G8383">
        <v>-89.823510999999996</v>
      </c>
      <c r="H8383">
        <v>1600</v>
      </c>
      <c r="I8383">
        <v>4</v>
      </c>
      <c r="J8383">
        <v>-161</v>
      </c>
      <c r="K8383">
        <v>-128</v>
      </c>
      <c r="L8383">
        <v>1200</v>
      </c>
      <c r="M8383" t="str">
        <f t="shared" si="793"/>
        <v xml:space="preserve">N35DC   </v>
      </c>
      <c r="N8383">
        <v>1</v>
      </c>
      <c r="O8383">
        <v>1700</v>
      </c>
    </row>
    <row r="8384" spans="1:15" x14ac:dyDescent="0.25">
      <c r="A8384" t="str">
        <f>"10/21/2020 19:12:39.691"</f>
        <v>10/21/2020 19:12:39.691</v>
      </c>
      <c r="B8384" t="str">
        <f t="shared" si="796"/>
        <v>19:12:47.633</v>
      </c>
      <c r="C8384" t="str">
        <f t="shared" si="796"/>
        <v>19:12:47.633</v>
      </c>
      <c r="D8384" t="s">
        <v>3289</v>
      </c>
      <c r="E8384">
        <v>30.541584</v>
      </c>
      <c r="F8384" t="s">
        <v>3273</v>
      </c>
      <c r="G8384">
        <v>-89.823510999999996</v>
      </c>
      <c r="H8384">
        <v>1600</v>
      </c>
      <c r="I8384">
        <v>4</v>
      </c>
      <c r="J8384">
        <v>-161</v>
      </c>
      <c r="K8384">
        <v>-128</v>
      </c>
      <c r="L8384">
        <v>1200</v>
      </c>
      <c r="M8384" t="str">
        <f t="shared" si="793"/>
        <v xml:space="preserve">N35DC   </v>
      </c>
      <c r="N8384">
        <v>1</v>
      </c>
      <c r="O8384">
        <v>1700</v>
      </c>
    </row>
    <row r="8385" spans="1:15" x14ac:dyDescent="0.25">
      <c r="A8385" t="str">
        <f>"10/21/2020 19:12:40.571"</f>
        <v>10/21/2020 19:12:40.571</v>
      </c>
      <c r="B8385" t="str">
        <f>"19:12:48.516"</f>
        <v>19:12:48.516</v>
      </c>
      <c r="C8385" t="str">
        <f>"19:12:48.116"</f>
        <v>19:12:48.116</v>
      </c>
      <c r="D8385" t="s">
        <v>3290</v>
      </c>
      <c r="E8385">
        <v>30.540941</v>
      </c>
      <c r="F8385" t="s">
        <v>2786</v>
      </c>
      <c r="G8385">
        <v>-89.823468000000005</v>
      </c>
      <c r="H8385">
        <v>1600</v>
      </c>
      <c r="I8385">
        <v>4</v>
      </c>
      <c r="J8385">
        <v>-161</v>
      </c>
      <c r="K8385">
        <v>-128</v>
      </c>
      <c r="L8385">
        <v>1200</v>
      </c>
      <c r="M8385" t="str">
        <f t="shared" si="793"/>
        <v xml:space="preserve">N35DC   </v>
      </c>
      <c r="N8385">
        <v>1</v>
      </c>
      <c r="O8385">
        <v>1700</v>
      </c>
    </row>
    <row r="8386" spans="1:15" x14ac:dyDescent="0.25">
      <c r="A8386" t="str">
        <f>"10/21/2020 19:12:40.571"</f>
        <v>10/21/2020 19:12:40.571</v>
      </c>
      <c r="B8386" t="str">
        <f>"19:12:48.516"</f>
        <v>19:12:48.516</v>
      </c>
      <c r="C8386" t="str">
        <f>"19:12:48.116"</f>
        <v>19:12:48.116</v>
      </c>
      <c r="D8386" t="s">
        <v>3290</v>
      </c>
      <c r="E8386">
        <v>30.540941</v>
      </c>
      <c r="F8386" t="s">
        <v>2786</v>
      </c>
      <c r="G8386">
        <v>-89.823468000000005</v>
      </c>
      <c r="H8386">
        <v>1600</v>
      </c>
      <c r="I8386">
        <v>4</v>
      </c>
      <c r="J8386">
        <v>-161</v>
      </c>
      <c r="K8386">
        <v>-128</v>
      </c>
      <c r="L8386">
        <v>1200</v>
      </c>
      <c r="M8386" t="str">
        <f t="shared" si="793"/>
        <v xml:space="preserve">N35DC   </v>
      </c>
      <c r="N8386">
        <v>1</v>
      </c>
      <c r="O8386">
        <v>1700</v>
      </c>
    </row>
    <row r="8387" spans="1:15" x14ac:dyDescent="0.25">
      <c r="A8387" t="str">
        <f>"10/21/2020 19:12:40.571"</f>
        <v>10/21/2020 19:12:40.571</v>
      </c>
      <c r="B8387" t="str">
        <f>"19:12:48.516"</f>
        <v>19:12:48.516</v>
      </c>
      <c r="C8387" t="str">
        <f>"19:12:48.116"</f>
        <v>19:12:48.116</v>
      </c>
      <c r="D8387" t="s">
        <v>3290</v>
      </c>
      <c r="E8387">
        <v>30.540941</v>
      </c>
      <c r="F8387" t="s">
        <v>2786</v>
      </c>
      <c r="G8387">
        <v>-89.823468000000005</v>
      </c>
      <c r="H8387">
        <v>1600</v>
      </c>
      <c r="I8387">
        <v>4</v>
      </c>
      <c r="J8387">
        <v>-161</v>
      </c>
      <c r="K8387">
        <v>-128</v>
      </c>
      <c r="L8387">
        <v>1200</v>
      </c>
      <c r="M8387" t="str">
        <f t="shared" si="793"/>
        <v xml:space="preserve">N35DC   </v>
      </c>
      <c r="N8387">
        <v>1</v>
      </c>
      <c r="O8387">
        <v>1700</v>
      </c>
    </row>
    <row r="8388" spans="1:15" x14ac:dyDescent="0.25">
      <c r="A8388" t="str">
        <f>"10/21/2020 19:12:40.571"</f>
        <v>10/21/2020 19:12:40.571</v>
      </c>
      <c r="B8388" t="str">
        <f>"19:12:48.516"</f>
        <v>19:12:48.516</v>
      </c>
      <c r="C8388" t="str">
        <f>"19:12:48.116"</f>
        <v>19:12:48.116</v>
      </c>
      <c r="D8388" t="s">
        <v>3290</v>
      </c>
      <c r="E8388">
        <v>30.540941</v>
      </c>
      <c r="F8388" t="s">
        <v>2786</v>
      </c>
      <c r="G8388">
        <v>-89.823468000000005</v>
      </c>
      <c r="H8388">
        <v>1600</v>
      </c>
      <c r="I8388">
        <v>4</v>
      </c>
      <c r="J8388">
        <v>-161</v>
      </c>
      <c r="K8388">
        <v>-128</v>
      </c>
      <c r="L8388">
        <v>1200</v>
      </c>
      <c r="M8388" t="str">
        <f t="shared" si="793"/>
        <v xml:space="preserve">N35DC   </v>
      </c>
      <c r="N8388">
        <v>1</v>
      </c>
      <c r="O8388">
        <v>1700</v>
      </c>
    </row>
    <row r="8389" spans="1:15" x14ac:dyDescent="0.25">
      <c r="A8389" t="str">
        <f>"10/21/2020 19:12:40.571"</f>
        <v>10/21/2020 19:12:40.571</v>
      </c>
      <c r="B8389" t="str">
        <f>"19:12:48.516"</f>
        <v>19:12:48.516</v>
      </c>
      <c r="C8389" t="str">
        <f>"19:12:48.116"</f>
        <v>19:12:48.116</v>
      </c>
      <c r="D8389" t="s">
        <v>3290</v>
      </c>
      <c r="E8389">
        <v>30.540941</v>
      </c>
      <c r="F8389" t="s">
        <v>2786</v>
      </c>
      <c r="G8389">
        <v>-89.823468000000005</v>
      </c>
      <c r="H8389">
        <v>1600</v>
      </c>
      <c r="I8389">
        <v>4</v>
      </c>
      <c r="J8389">
        <v>-161</v>
      </c>
      <c r="K8389">
        <v>-128</v>
      </c>
      <c r="L8389">
        <v>1200</v>
      </c>
      <c r="M8389" t="str">
        <f t="shared" si="793"/>
        <v xml:space="preserve">N35DC   </v>
      </c>
      <c r="N8389">
        <v>1</v>
      </c>
      <c r="O8389">
        <v>1700</v>
      </c>
    </row>
    <row r="8390" spans="1:15" x14ac:dyDescent="0.25">
      <c r="A8390" t="str">
        <f>"10/21/2020 19:12:41.682"</f>
        <v>10/21/2020 19:12:41.682</v>
      </c>
      <c r="B8390" t="str">
        <f>"19:12:49.625"</f>
        <v>19:12:49.625</v>
      </c>
      <c r="C8390" t="str">
        <f>"19:12:49.225"</f>
        <v>19:12:49.225</v>
      </c>
      <c r="D8390" t="s">
        <v>3291</v>
      </c>
      <c r="E8390">
        <v>30.540125</v>
      </c>
      <c r="F8390" t="s">
        <v>2786</v>
      </c>
      <c r="G8390">
        <v>-89.823468000000005</v>
      </c>
      <c r="H8390">
        <v>1600</v>
      </c>
      <c r="I8390">
        <v>5</v>
      </c>
      <c r="J8390">
        <v>-161</v>
      </c>
      <c r="K8390">
        <v>-192</v>
      </c>
      <c r="L8390">
        <v>1200</v>
      </c>
      <c r="M8390" t="str">
        <f t="shared" si="793"/>
        <v xml:space="preserve">N35DC   </v>
      </c>
      <c r="N8390">
        <v>1</v>
      </c>
      <c r="O8390">
        <v>1700</v>
      </c>
    </row>
    <row r="8391" spans="1:15" x14ac:dyDescent="0.25">
      <c r="A8391" t="str">
        <f>"10/21/2020 19:12:41.682"</f>
        <v>10/21/2020 19:12:41.682</v>
      </c>
      <c r="B8391" t="str">
        <f>"19:12:49.625"</f>
        <v>19:12:49.625</v>
      </c>
      <c r="C8391" t="str">
        <f>"19:12:49.225"</f>
        <v>19:12:49.225</v>
      </c>
      <c r="D8391" t="s">
        <v>3291</v>
      </c>
      <c r="E8391">
        <v>30.540125</v>
      </c>
      <c r="F8391" t="s">
        <v>2786</v>
      </c>
      <c r="G8391">
        <v>-89.823468000000005</v>
      </c>
      <c r="H8391">
        <v>1600</v>
      </c>
      <c r="I8391">
        <v>5</v>
      </c>
      <c r="J8391">
        <v>-161</v>
      </c>
      <c r="K8391">
        <v>-192</v>
      </c>
      <c r="L8391">
        <v>1200</v>
      </c>
      <c r="M8391" t="str">
        <f t="shared" ref="M8391:M8454" si="797">"N35DC   "</f>
        <v xml:space="preserve">N35DC   </v>
      </c>
      <c r="N8391">
        <v>1</v>
      </c>
      <c r="O8391">
        <v>1700</v>
      </c>
    </row>
    <row r="8392" spans="1:15" x14ac:dyDescent="0.25">
      <c r="A8392" t="str">
        <f>"10/21/2020 19:12:41.682"</f>
        <v>10/21/2020 19:12:41.682</v>
      </c>
      <c r="B8392" t="str">
        <f>"19:12:49.625"</f>
        <v>19:12:49.625</v>
      </c>
      <c r="C8392" t="str">
        <f>"19:12:49.225"</f>
        <v>19:12:49.225</v>
      </c>
      <c r="D8392" t="s">
        <v>3291</v>
      </c>
      <c r="E8392">
        <v>30.540125</v>
      </c>
      <c r="F8392" t="s">
        <v>2786</v>
      </c>
      <c r="G8392">
        <v>-89.823468000000005</v>
      </c>
      <c r="H8392">
        <v>1600</v>
      </c>
      <c r="I8392">
        <v>5</v>
      </c>
      <c r="J8392">
        <v>-161</v>
      </c>
      <c r="K8392">
        <v>-192</v>
      </c>
      <c r="L8392">
        <v>1200</v>
      </c>
      <c r="M8392" t="str">
        <f t="shared" si="797"/>
        <v xml:space="preserve">N35DC   </v>
      </c>
      <c r="N8392">
        <v>1</v>
      </c>
      <c r="O8392">
        <v>1700</v>
      </c>
    </row>
    <row r="8393" spans="1:15" x14ac:dyDescent="0.25">
      <c r="A8393" t="str">
        <f>"10/21/2020 19:12:41.682"</f>
        <v>10/21/2020 19:12:41.682</v>
      </c>
      <c r="B8393" t="str">
        <f>"19:12:49.625"</f>
        <v>19:12:49.625</v>
      </c>
      <c r="C8393" t="str">
        <f>"19:12:49.225"</f>
        <v>19:12:49.225</v>
      </c>
      <c r="D8393" t="s">
        <v>3291</v>
      </c>
      <c r="E8393">
        <v>30.540125</v>
      </c>
      <c r="F8393" t="s">
        <v>2786</v>
      </c>
      <c r="G8393">
        <v>-89.823468000000005</v>
      </c>
      <c r="H8393">
        <v>1600</v>
      </c>
      <c r="I8393">
        <v>5</v>
      </c>
      <c r="J8393">
        <v>-161</v>
      </c>
      <c r="K8393">
        <v>-192</v>
      </c>
      <c r="L8393">
        <v>1200</v>
      </c>
      <c r="M8393" t="str">
        <f t="shared" si="797"/>
        <v xml:space="preserve">N35DC   </v>
      </c>
      <c r="N8393">
        <v>1</v>
      </c>
      <c r="O8393">
        <v>1700</v>
      </c>
    </row>
    <row r="8394" spans="1:15" x14ac:dyDescent="0.25">
      <c r="A8394" t="str">
        <f>"10/21/2020 19:12:41.682"</f>
        <v>10/21/2020 19:12:41.682</v>
      </c>
      <c r="B8394" t="str">
        <f>"19:12:49.625"</f>
        <v>19:12:49.625</v>
      </c>
      <c r="C8394" t="str">
        <f>"19:12:49.225"</f>
        <v>19:12:49.225</v>
      </c>
      <c r="D8394" t="s">
        <v>3291</v>
      </c>
      <c r="E8394">
        <v>30.540125</v>
      </c>
      <c r="F8394" t="s">
        <v>2786</v>
      </c>
      <c r="G8394">
        <v>-89.823468000000005</v>
      </c>
      <c r="H8394">
        <v>1600</v>
      </c>
      <c r="I8394">
        <v>5</v>
      </c>
      <c r="J8394">
        <v>-161</v>
      </c>
      <c r="K8394">
        <v>-192</v>
      </c>
      <c r="L8394">
        <v>1200</v>
      </c>
      <c r="M8394" t="str">
        <f t="shared" si="797"/>
        <v xml:space="preserve">N35DC   </v>
      </c>
      <c r="N8394">
        <v>1</v>
      </c>
      <c r="O8394">
        <v>1700</v>
      </c>
    </row>
    <row r="8395" spans="1:15" x14ac:dyDescent="0.25">
      <c r="A8395" t="str">
        <f>"10/21/2020 19:12:44.571"</f>
        <v>10/21/2020 19:12:44.571</v>
      </c>
      <c r="B8395" t="str">
        <f>"19:12:52.539"</f>
        <v>19:12:52.539</v>
      </c>
      <c r="C8395" t="str">
        <f>"19:12:52.239"</f>
        <v>19:12:52.239</v>
      </c>
      <c r="D8395" t="s">
        <v>3292</v>
      </c>
      <c r="E8395">
        <v>30.537958</v>
      </c>
      <c r="F8395" t="s">
        <v>3293</v>
      </c>
      <c r="G8395">
        <v>-89.823359999999994</v>
      </c>
      <c r="H8395">
        <v>1600</v>
      </c>
      <c r="I8395">
        <v>6</v>
      </c>
      <c r="J8395">
        <v>-160</v>
      </c>
      <c r="K8395">
        <v>-192</v>
      </c>
      <c r="L8395">
        <v>1200</v>
      </c>
      <c r="M8395" t="str">
        <f t="shared" si="797"/>
        <v xml:space="preserve">N35DC   </v>
      </c>
      <c r="N8395">
        <v>1</v>
      </c>
      <c r="O8395">
        <v>1700</v>
      </c>
    </row>
    <row r="8396" spans="1:15" x14ac:dyDescent="0.25">
      <c r="A8396" t="str">
        <f>"10/21/2020 19:12:44.571"</f>
        <v>10/21/2020 19:12:44.571</v>
      </c>
      <c r="B8396" t="str">
        <f>"19:12:52.539"</f>
        <v>19:12:52.539</v>
      </c>
      <c r="C8396" t="str">
        <f>"19:12:52.239"</f>
        <v>19:12:52.239</v>
      </c>
      <c r="D8396" t="s">
        <v>3292</v>
      </c>
      <c r="E8396">
        <v>30.537958</v>
      </c>
      <c r="F8396" t="s">
        <v>3293</v>
      </c>
      <c r="G8396">
        <v>-89.823359999999994</v>
      </c>
      <c r="H8396">
        <v>1600</v>
      </c>
      <c r="I8396">
        <v>6</v>
      </c>
      <c r="J8396">
        <v>-160</v>
      </c>
      <c r="K8396">
        <v>-192</v>
      </c>
      <c r="L8396">
        <v>1200</v>
      </c>
      <c r="M8396" t="str">
        <f t="shared" si="797"/>
        <v xml:space="preserve">N35DC   </v>
      </c>
      <c r="N8396">
        <v>1</v>
      </c>
      <c r="O8396">
        <v>1700</v>
      </c>
    </row>
    <row r="8397" spans="1:15" x14ac:dyDescent="0.25">
      <c r="A8397" t="str">
        <f>"10/21/2020 19:12:44.571"</f>
        <v>10/21/2020 19:12:44.571</v>
      </c>
      <c r="B8397" t="str">
        <f>"19:12:52.539"</f>
        <v>19:12:52.539</v>
      </c>
      <c r="C8397" t="str">
        <f>"19:12:52.239"</f>
        <v>19:12:52.239</v>
      </c>
      <c r="D8397" t="s">
        <v>3292</v>
      </c>
      <c r="E8397">
        <v>30.537958</v>
      </c>
      <c r="F8397" t="s">
        <v>3293</v>
      </c>
      <c r="G8397">
        <v>-89.823359999999994</v>
      </c>
      <c r="H8397">
        <v>1600</v>
      </c>
      <c r="I8397">
        <v>6</v>
      </c>
      <c r="J8397">
        <v>-160</v>
      </c>
      <c r="K8397">
        <v>-192</v>
      </c>
      <c r="L8397">
        <v>1200</v>
      </c>
      <c r="M8397" t="str">
        <f t="shared" si="797"/>
        <v xml:space="preserve">N35DC   </v>
      </c>
      <c r="N8397">
        <v>1</v>
      </c>
      <c r="O8397">
        <v>1700</v>
      </c>
    </row>
    <row r="8398" spans="1:15" x14ac:dyDescent="0.25">
      <c r="A8398" t="str">
        <f>"10/21/2020 19:12:44.571"</f>
        <v>10/21/2020 19:12:44.571</v>
      </c>
      <c r="B8398" t="str">
        <f>"19:12:52.539"</f>
        <v>19:12:52.539</v>
      </c>
      <c r="C8398" t="str">
        <f>"19:12:52.239"</f>
        <v>19:12:52.239</v>
      </c>
      <c r="D8398" t="s">
        <v>3292</v>
      </c>
      <c r="E8398">
        <v>30.537958</v>
      </c>
      <c r="F8398" t="s">
        <v>3293</v>
      </c>
      <c r="G8398">
        <v>-89.823359999999994</v>
      </c>
      <c r="H8398">
        <v>1600</v>
      </c>
      <c r="I8398">
        <v>6</v>
      </c>
      <c r="J8398">
        <v>-160</v>
      </c>
      <c r="K8398">
        <v>-192</v>
      </c>
      <c r="L8398">
        <v>1200</v>
      </c>
      <c r="M8398" t="str">
        <f t="shared" si="797"/>
        <v xml:space="preserve">N35DC   </v>
      </c>
      <c r="N8398">
        <v>1</v>
      </c>
      <c r="O8398">
        <v>1700</v>
      </c>
    </row>
    <row r="8399" spans="1:15" x14ac:dyDescent="0.25">
      <c r="A8399" t="str">
        <f>"10/21/2020 19:12:44.571"</f>
        <v>10/21/2020 19:12:44.571</v>
      </c>
      <c r="B8399" t="str">
        <f>"19:12:52.539"</f>
        <v>19:12:52.539</v>
      </c>
      <c r="C8399" t="str">
        <f>"19:12:52.239"</f>
        <v>19:12:52.239</v>
      </c>
      <c r="D8399" t="s">
        <v>3292</v>
      </c>
      <c r="E8399">
        <v>30.537958</v>
      </c>
      <c r="F8399" t="s">
        <v>3293</v>
      </c>
      <c r="G8399">
        <v>-89.823359999999994</v>
      </c>
      <c r="H8399">
        <v>1600</v>
      </c>
      <c r="I8399">
        <v>6</v>
      </c>
      <c r="J8399">
        <v>-160</v>
      </c>
      <c r="K8399">
        <v>-192</v>
      </c>
      <c r="L8399">
        <v>1200</v>
      </c>
      <c r="M8399" t="str">
        <f t="shared" si="797"/>
        <v xml:space="preserve">N35DC   </v>
      </c>
      <c r="N8399">
        <v>1</v>
      </c>
      <c r="O8399">
        <v>1700</v>
      </c>
    </row>
    <row r="8400" spans="1:15" x14ac:dyDescent="0.25">
      <c r="A8400" t="str">
        <f>"10/21/2020 19:12:45.708"</f>
        <v>10/21/2020 19:12:45.708</v>
      </c>
      <c r="B8400" t="str">
        <f>"19:12:53.680"</f>
        <v>19:12:53.680</v>
      </c>
      <c r="C8400" t="str">
        <f>"19:12:53.580"</f>
        <v>19:12:53.580</v>
      </c>
      <c r="D8400" t="s">
        <v>3294</v>
      </c>
      <c r="E8400">
        <v>30.537099999999999</v>
      </c>
      <c r="F8400" t="s">
        <v>3295</v>
      </c>
      <c r="G8400">
        <v>-89.823295999999999</v>
      </c>
      <c r="H8400">
        <v>1600</v>
      </c>
      <c r="I8400">
        <v>6</v>
      </c>
      <c r="J8400">
        <v>-160</v>
      </c>
      <c r="K8400">
        <v>-64</v>
      </c>
      <c r="L8400">
        <v>1200</v>
      </c>
      <c r="M8400" t="str">
        <f t="shared" si="797"/>
        <v xml:space="preserve">N35DC   </v>
      </c>
      <c r="N8400">
        <v>1</v>
      </c>
      <c r="O8400">
        <v>1700</v>
      </c>
    </row>
    <row r="8401" spans="1:15" x14ac:dyDescent="0.25">
      <c r="A8401" t="str">
        <f>"10/21/2020 19:12:45.708"</f>
        <v>10/21/2020 19:12:45.708</v>
      </c>
      <c r="B8401" t="str">
        <f>"19:12:53.680"</f>
        <v>19:12:53.680</v>
      </c>
      <c r="C8401" t="str">
        <f>"19:12:53.580"</f>
        <v>19:12:53.580</v>
      </c>
      <c r="D8401" t="s">
        <v>3294</v>
      </c>
      <c r="E8401">
        <v>30.537099999999999</v>
      </c>
      <c r="F8401" t="s">
        <v>3295</v>
      </c>
      <c r="G8401">
        <v>-89.823295999999999</v>
      </c>
      <c r="H8401">
        <v>1600</v>
      </c>
      <c r="I8401">
        <v>6</v>
      </c>
      <c r="J8401">
        <v>-160</v>
      </c>
      <c r="K8401">
        <v>-64</v>
      </c>
      <c r="L8401">
        <v>1200</v>
      </c>
      <c r="M8401" t="str">
        <f t="shared" si="797"/>
        <v xml:space="preserve">N35DC   </v>
      </c>
      <c r="N8401">
        <v>1</v>
      </c>
      <c r="O8401">
        <v>1700</v>
      </c>
    </row>
    <row r="8402" spans="1:15" x14ac:dyDescent="0.25">
      <c r="A8402" t="str">
        <f>"10/21/2020 19:12:45.708"</f>
        <v>10/21/2020 19:12:45.708</v>
      </c>
      <c r="B8402" t="str">
        <f>"19:12:53.680"</f>
        <v>19:12:53.680</v>
      </c>
      <c r="C8402" t="str">
        <f>"19:12:53.580"</f>
        <v>19:12:53.580</v>
      </c>
      <c r="D8402" t="s">
        <v>3294</v>
      </c>
      <c r="E8402">
        <v>30.537099999999999</v>
      </c>
      <c r="F8402" t="s">
        <v>3295</v>
      </c>
      <c r="G8402">
        <v>-89.823295999999999</v>
      </c>
      <c r="H8402">
        <v>1600</v>
      </c>
      <c r="I8402">
        <v>6</v>
      </c>
      <c r="J8402">
        <v>-160</v>
      </c>
      <c r="K8402">
        <v>-64</v>
      </c>
      <c r="L8402">
        <v>1200</v>
      </c>
      <c r="M8402" t="str">
        <f t="shared" si="797"/>
        <v xml:space="preserve">N35DC   </v>
      </c>
      <c r="N8402">
        <v>1</v>
      </c>
      <c r="O8402">
        <v>1700</v>
      </c>
    </row>
    <row r="8403" spans="1:15" x14ac:dyDescent="0.25">
      <c r="A8403" t="str">
        <f>"10/21/2020 19:12:45.708"</f>
        <v>10/21/2020 19:12:45.708</v>
      </c>
      <c r="B8403" t="str">
        <f>"19:12:53.680"</f>
        <v>19:12:53.680</v>
      </c>
      <c r="C8403" t="str">
        <f>"19:12:53.580"</f>
        <v>19:12:53.580</v>
      </c>
      <c r="D8403" t="s">
        <v>3294</v>
      </c>
      <c r="E8403">
        <v>30.537099999999999</v>
      </c>
      <c r="F8403" t="s">
        <v>3295</v>
      </c>
      <c r="G8403">
        <v>-89.823295999999999</v>
      </c>
      <c r="H8403">
        <v>1600</v>
      </c>
      <c r="I8403">
        <v>6</v>
      </c>
      <c r="J8403">
        <v>-160</v>
      </c>
      <c r="K8403">
        <v>-64</v>
      </c>
      <c r="L8403">
        <v>1200</v>
      </c>
      <c r="M8403" t="str">
        <f t="shared" si="797"/>
        <v xml:space="preserve">N35DC   </v>
      </c>
      <c r="N8403">
        <v>1</v>
      </c>
      <c r="O8403">
        <v>1700</v>
      </c>
    </row>
    <row r="8404" spans="1:15" x14ac:dyDescent="0.25">
      <c r="A8404" t="str">
        <f>"10/21/2020 19:12:45.708"</f>
        <v>10/21/2020 19:12:45.708</v>
      </c>
      <c r="B8404" t="str">
        <f>"19:12:53.680"</f>
        <v>19:12:53.680</v>
      </c>
      <c r="C8404" t="str">
        <f>"19:12:53.580"</f>
        <v>19:12:53.580</v>
      </c>
      <c r="D8404" t="s">
        <v>3294</v>
      </c>
      <c r="E8404">
        <v>30.537099999999999</v>
      </c>
      <c r="F8404" t="s">
        <v>3295</v>
      </c>
      <c r="G8404">
        <v>-89.823295999999999</v>
      </c>
      <c r="H8404">
        <v>1600</v>
      </c>
      <c r="I8404">
        <v>6</v>
      </c>
      <c r="J8404">
        <v>-160</v>
      </c>
      <c r="K8404">
        <v>-64</v>
      </c>
      <c r="L8404">
        <v>1200</v>
      </c>
      <c r="M8404" t="str">
        <f t="shared" si="797"/>
        <v xml:space="preserve">N35DC   </v>
      </c>
      <c r="N8404">
        <v>1</v>
      </c>
      <c r="O8404">
        <v>1700</v>
      </c>
    </row>
    <row r="8405" spans="1:15" x14ac:dyDescent="0.25">
      <c r="A8405" t="str">
        <f>"10/21/2020 19:12:47.683"</f>
        <v>10/21/2020 19:12:47.683</v>
      </c>
      <c r="B8405" t="str">
        <f>"19:12:55.641"</f>
        <v>19:12:55.641</v>
      </c>
      <c r="C8405" t="str">
        <f>"19:12:55.241"</f>
        <v>19:12:55.241</v>
      </c>
      <c r="D8405" t="s">
        <v>3296</v>
      </c>
      <c r="E8405">
        <v>30.535619000000001</v>
      </c>
      <c r="F8405" t="s">
        <v>3297</v>
      </c>
      <c r="G8405">
        <v>-89.823252999999994</v>
      </c>
      <c r="H8405">
        <v>1600</v>
      </c>
      <c r="I8405">
        <v>6</v>
      </c>
      <c r="J8405">
        <v>-159</v>
      </c>
      <c r="K8405">
        <v>0</v>
      </c>
      <c r="L8405">
        <v>1200</v>
      </c>
      <c r="M8405" t="str">
        <f t="shared" si="797"/>
        <v xml:space="preserve">N35DC   </v>
      </c>
      <c r="N8405">
        <v>1</v>
      </c>
      <c r="O8405">
        <v>1700</v>
      </c>
    </row>
    <row r="8406" spans="1:15" x14ac:dyDescent="0.25">
      <c r="A8406" t="str">
        <f>"10/21/2020 19:12:47.683"</f>
        <v>10/21/2020 19:12:47.683</v>
      </c>
      <c r="B8406" t="str">
        <f>"19:12:55.641"</f>
        <v>19:12:55.641</v>
      </c>
      <c r="C8406" t="str">
        <f>"19:12:55.241"</f>
        <v>19:12:55.241</v>
      </c>
      <c r="D8406" t="s">
        <v>3296</v>
      </c>
      <c r="E8406">
        <v>30.535619000000001</v>
      </c>
      <c r="F8406" t="s">
        <v>3297</v>
      </c>
      <c r="G8406">
        <v>-89.823252999999994</v>
      </c>
      <c r="H8406">
        <v>1600</v>
      </c>
      <c r="I8406">
        <v>6</v>
      </c>
      <c r="J8406">
        <v>-159</v>
      </c>
      <c r="K8406">
        <v>0</v>
      </c>
      <c r="L8406">
        <v>1200</v>
      </c>
      <c r="M8406" t="str">
        <f t="shared" si="797"/>
        <v xml:space="preserve">N35DC   </v>
      </c>
      <c r="N8406">
        <v>1</v>
      </c>
      <c r="O8406">
        <v>1700</v>
      </c>
    </row>
    <row r="8407" spans="1:15" x14ac:dyDescent="0.25">
      <c r="A8407" t="str">
        <f>"10/21/2020 19:12:47.683"</f>
        <v>10/21/2020 19:12:47.683</v>
      </c>
      <c r="B8407" t="str">
        <f>"19:12:55.641"</f>
        <v>19:12:55.641</v>
      </c>
      <c r="C8407" t="str">
        <f>"19:12:55.241"</f>
        <v>19:12:55.241</v>
      </c>
      <c r="D8407" t="s">
        <v>3296</v>
      </c>
      <c r="E8407">
        <v>30.535619000000001</v>
      </c>
      <c r="F8407" t="s">
        <v>3297</v>
      </c>
      <c r="G8407">
        <v>-89.823252999999994</v>
      </c>
      <c r="H8407">
        <v>1600</v>
      </c>
      <c r="I8407">
        <v>6</v>
      </c>
      <c r="J8407">
        <v>-159</v>
      </c>
      <c r="K8407">
        <v>0</v>
      </c>
      <c r="L8407">
        <v>1200</v>
      </c>
      <c r="M8407" t="str">
        <f t="shared" si="797"/>
        <v xml:space="preserve">N35DC   </v>
      </c>
      <c r="N8407">
        <v>1</v>
      </c>
      <c r="O8407">
        <v>1700</v>
      </c>
    </row>
    <row r="8408" spans="1:15" x14ac:dyDescent="0.25">
      <c r="A8408" t="str">
        <f>"10/21/2020 19:12:47.683"</f>
        <v>10/21/2020 19:12:47.683</v>
      </c>
      <c r="B8408" t="str">
        <f>"19:12:55.641"</f>
        <v>19:12:55.641</v>
      </c>
      <c r="C8408" t="str">
        <f>"19:12:55.241"</f>
        <v>19:12:55.241</v>
      </c>
      <c r="D8408" t="s">
        <v>3296</v>
      </c>
      <c r="E8408">
        <v>30.535619000000001</v>
      </c>
      <c r="F8408" t="s">
        <v>3297</v>
      </c>
      <c r="G8408">
        <v>-89.823252999999994</v>
      </c>
      <c r="H8408">
        <v>1600</v>
      </c>
      <c r="I8408">
        <v>6</v>
      </c>
      <c r="J8408">
        <v>-159</v>
      </c>
      <c r="K8408">
        <v>0</v>
      </c>
      <c r="L8408">
        <v>1200</v>
      </c>
      <c r="M8408" t="str">
        <f t="shared" si="797"/>
        <v xml:space="preserve">N35DC   </v>
      </c>
      <c r="N8408">
        <v>1</v>
      </c>
      <c r="O8408">
        <v>1700</v>
      </c>
    </row>
    <row r="8409" spans="1:15" x14ac:dyDescent="0.25">
      <c r="A8409" t="str">
        <f>"10/21/2020 19:12:47.683"</f>
        <v>10/21/2020 19:12:47.683</v>
      </c>
      <c r="B8409" t="str">
        <f>"19:12:55.641"</f>
        <v>19:12:55.641</v>
      </c>
      <c r="C8409" t="str">
        <f>"19:12:55.241"</f>
        <v>19:12:55.241</v>
      </c>
      <c r="D8409" t="s">
        <v>3296</v>
      </c>
      <c r="E8409">
        <v>30.535619000000001</v>
      </c>
      <c r="F8409" t="s">
        <v>3297</v>
      </c>
      <c r="G8409">
        <v>-89.823252999999994</v>
      </c>
      <c r="H8409">
        <v>1600</v>
      </c>
      <c r="I8409">
        <v>6</v>
      </c>
      <c r="J8409">
        <v>-159</v>
      </c>
      <c r="K8409">
        <v>0</v>
      </c>
      <c r="L8409">
        <v>1200</v>
      </c>
      <c r="M8409" t="str">
        <f t="shared" si="797"/>
        <v xml:space="preserve">N35DC   </v>
      </c>
      <c r="N8409">
        <v>1</v>
      </c>
      <c r="O8409">
        <v>1700</v>
      </c>
    </row>
    <row r="8410" spans="1:15" x14ac:dyDescent="0.25">
      <c r="A8410" t="str">
        <f>"10/21/2020 19:12:48.558"</f>
        <v>10/21/2020 19:12:48.558</v>
      </c>
      <c r="B8410" t="str">
        <f>"19:12:56.555"</f>
        <v>19:12:56.555</v>
      </c>
      <c r="C8410" t="str">
        <f>"19:12:56.255"</f>
        <v>19:12:56.255</v>
      </c>
      <c r="D8410" t="s">
        <v>3149</v>
      </c>
      <c r="E8410">
        <v>30.534997000000001</v>
      </c>
      <c r="F8410" t="s">
        <v>3297</v>
      </c>
      <c r="G8410">
        <v>-89.823252999999994</v>
      </c>
      <c r="H8410">
        <v>1600</v>
      </c>
      <c r="I8410">
        <v>5</v>
      </c>
      <c r="J8410">
        <v>-159</v>
      </c>
      <c r="K8410">
        <v>-128</v>
      </c>
      <c r="L8410">
        <v>1200</v>
      </c>
      <c r="M8410" t="str">
        <f t="shared" si="797"/>
        <v xml:space="preserve">N35DC   </v>
      </c>
      <c r="N8410">
        <v>1</v>
      </c>
      <c r="O8410">
        <v>1700</v>
      </c>
    </row>
    <row r="8411" spans="1:15" x14ac:dyDescent="0.25">
      <c r="A8411" t="str">
        <f>"10/21/2020 19:12:48.558"</f>
        <v>10/21/2020 19:12:48.558</v>
      </c>
      <c r="B8411" t="str">
        <f>"19:12:56.555"</f>
        <v>19:12:56.555</v>
      </c>
      <c r="C8411" t="str">
        <f>"19:12:56.255"</f>
        <v>19:12:56.255</v>
      </c>
      <c r="D8411" t="s">
        <v>3149</v>
      </c>
      <c r="E8411">
        <v>30.534997000000001</v>
      </c>
      <c r="F8411" t="s">
        <v>3297</v>
      </c>
      <c r="G8411">
        <v>-89.823252999999994</v>
      </c>
      <c r="H8411">
        <v>1600</v>
      </c>
      <c r="I8411">
        <v>5</v>
      </c>
      <c r="J8411">
        <v>-159</v>
      </c>
      <c r="K8411">
        <v>-128</v>
      </c>
      <c r="L8411">
        <v>1200</v>
      </c>
      <c r="M8411" t="str">
        <f t="shared" si="797"/>
        <v xml:space="preserve">N35DC   </v>
      </c>
      <c r="N8411">
        <v>1</v>
      </c>
      <c r="O8411">
        <v>1700</v>
      </c>
    </row>
    <row r="8412" spans="1:15" x14ac:dyDescent="0.25">
      <c r="A8412" t="str">
        <f>"10/21/2020 19:12:48.558"</f>
        <v>10/21/2020 19:12:48.558</v>
      </c>
      <c r="B8412" t="str">
        <f>"19:12:56.555"</f>
        <v>19:12:56.555</v>
      </c>
      <c r="C8412" t="str">
        <f>"19:12:56.255"</f>
        <v>19:12:56.255</v>
      </c>
      <c r="D8412" t="s">
        <v>3149</v>
      </c>
      <c r="E8412">
        <v>30.534997000000001</v>
      </c>
      <c r="F8412" t="s">
        <v>3297</v>
      </c>
      <c r="G8412">
        <v>-89.823252999999994</v>
      </c>
      <c r="H8412">
        <v>1600</v>
      </c>
      <c r="I8412">
        <v>5</v>
      </c>
      <c r="J8412">
        <v>-159</v>
      </c>
      <c r="K8412">
        <v>-128</v>
      </c>
      <c r="L8412">
        <v>1200</v>
      </c>
      <c r="M8412" t="str">
        <f t="shared" si="797"/>
        <v xml:space="preserve">N35DC   </v>
      </c>
      <c r="N8412">
        <v>1</v>
      </c>
      <c r="O8412">
        <v>1700</v>
      </c>
    </row>
    <row r="8413" spans="1:15" x14ac:dyDescent="0.25">
      <c r="A8413" t="str">
        <f>"10/21/2020 19:12:48.558"</f>
        <v>10/21/2020 19:12:48.558</v>
      </c>
      <c r="B8413" t="str">
        <f>"19:12:56.555"</f>
        <v>19:12:56.555</v>
      </c>
      <c r="C8413" t="str">
        <f>"19:12:56.255"</f>
        <v>19:12:56.255</v>
      </c>
      <c r="D8413" t="s">
        <v>3149</v>
      </c>
      <c r="E8413">
        <v>30.534997000000001</v>
      </c>
      <c r="F8413" t="s">
        <v>3297</v>
      </c>
      <c r="G8413">
        <v>-89.823252999999994</v>
      </c>
      <c r="H8413">
        <v>1600</v>
      </c>
      <c r="I8413">
        <v>5</v>
      </c>
      <c r="J8413">
        <v>-159</v>
      </c>
      <c r="K8413">
        <v>-128</v>
      </c>
      <c r="L8413">
        <v>1200</v>
      </c>
      <c r="M8413" t="str">
        <f t="shared" si="797"/>
        <v xml:space="preserve">N35DC   </v>
      </c>
      <c r="N8413">
        <v>1</v>
      </c>
      <c r="O8413">
        <v>1700</v>
      </c>
    </row>
    <row r="8414" spans="1:15" x14ac:dyDescent="0.25">
      <c r="A8414" t="str">
        <f>"10/21/2020 19:12:48.558"</f>
        <v>10/21/2020 19:12:48.558</v>
      </c>
      <c r="B8414" t="str">
        <f>"19:12:56.555"</f>
        <v>19:12:56.555</v>
      </c>
      <c r="C8414" t="str">
        <f>"19:12:56.255"</f>
        <v>19:12:56.255</v>
      </c>
      <c r="D8414" t="s">
        <v>3149</v>
      </c>
      <c r="E8414">
        <v>30.534997000000001</v>
      </c>
      <c r="F8414" t="s">
        <v>3297</v>
      </c>
      <c r="G8414">
        <v>-89.823252999999994</v>
      </c>
      <c r="H8414">
        <v>1600</v>
      </c>
      <c r="I8414">
        <v>5</v>
      </c>
      <c r="J8414">
        <v>-159</v>
      </c>
      <c r="K8414">
        <v>-128</v>
      </c>
      <c r="L8414">
        <v>1200</v>
      </c>
      <c r="M8414" t="str">
        <f t="shared" si="797"/>
        <v xml:space="preserve">N35DC   </v>
      </c>
      <c r="N8414">
        <v>1</v>
      </c>
      <c r="O8414">
        <v>1700</v>
      </c>
    </row>
    <row r="8415" spans="1:15" x14ac:dyDescent="0.25">
      <c r="A8415" t="str">
        <f>"10/21/2020 19:12:49.746"</f>
        <v>10/21/2020 19:12:49.746</v>
      </c>
      <c r="B8415" t="str">
        <f>"19:12:57.695"</f>
        <v>19:12:57.695</v>
      </c>
      <c r="C8415" t="str">
        <f>"19:12:57.595"</f>
        <v>19:12:57.595</v>
      </c>
      <c r="D8415" t="s">
        <v>3298</v>
      </c>
      <c r="E8415">
        <v>30.534116999999998</v>
      </c>
      <c r="F8415" t="s">
        <v>3271</v>
      </c>
      <c r="G8415">
        <v>-89.823188999999999</v>
      </c>
      <c r="H8415">
        <v>1600</v>
      </c>
      <c r="I8415">
        <v>4</v>
      </c>
      <c r="J8415">
        <v>-159</v>
      </c>
      <c r="K8415">
        <v>-64</v>
      </c>
      <c r="L8415">
        <v>1200</v>
      </c>
      <c r="M8415" t="str">
        <f t="shared" si="797"/>
        <v xml:space="preserve">N35DC   </v>
      </c>
      <c r="N8415">
        <v>1</v>
      </c>
      <c r="O8415">
        <v>1700</v>
      </c>
    </row>
    <row r="8416" spans="1:15" x14ac:dyDescent="0.25">
      <c r="A8416" t="str">
        <f>"10/21/2020 19:12:49.746"</f>
        <v>10/21/2020 19:12:49.746</v>
      </c>
      <c r="B8416" t="str">
        <f>"19:12:57.695"</f>
        <v>19:12:57.695</v>
      </c>
      <c r="C8416" t="str">
        <f>"19:12:57.595"</f>
        <v>19:12:57.595</v>
      </c>
      <c r="D8416" t="s">
        <v>3298</v>
      </c>
      <c r="E8416">
        <v>30.534116999999998</v>
      </c>
      <c r="F8416" t="s">
        <v>3271</v>
      </c>
      <c r="G8416">
        <v>-89.823188999999999</v>
      </c>
      <c r="H8416">
        <v>1600</v>
      </c>
      <c r="I8416">
        <v>4</v>
      </c>
      <c r="J8416">
        <v>-159</v>
      </c>
      <c r="K8416">
        <v>-64</v>
      </c>
      <c r="L8416">
        <v>1200</v>
      </c>
      <c r="M8416" t="str">
        <f t="shared" si="797"/>
        <v xml:space="preserve">N35DC   </v>
      </c>
      <c r="N8416">
        <v>1</v>
      </c>
      <c r="O8416">
        <v>1700</v>
      </c>
    </row>
    <row r="8417" spans="1:15" x14ac:dyDescent="0.25">
      <c r="A8417" t="str">
        <f>"10/21/2020 19:12:49.746"</f>
        <v>10/21/2020 19:12:49.746</v>
      </c>
      <c r="B8417" t="str">
        <f>"19:12:57.695"</f>
        <v>19:12:57.695</v>
      </c>
      <c r="C8417" t="str">
        <f>"19:12:57.595"</f>
        <v>19:12:57.595</v>
      </c>
      <c r="D8417" t="s">
        <v>3298</v>
      </c>
      <c r="E8417">
        <v>30.534116999999998</v>
      </c>
      <c r="F8417" t="s">
        <v>3271</v>
      </c>
      <c r="G8417">
        <v>-89.823188999999999</v>
      </c>
      <c r="H8417">
        <v>1600</v>
      </c>
      <c r="I8417">
        <v>4</v>
      </c>
      <c r="J8417">
        <v>-159</v>
      </c>
      <c r="K8417">
        <v>-64</v>
      </c>
      <c r="L8417">
        <v>1200</v>
      </c>
      <c r="M8417" t="str">
        <f t="shared" si="797"/>
        <v xml:space="preserve">N35DC   </v>
      </c>
      <c r="N8417">
        <v>1</v>
      </c>
      <c r="O8417">
        <v>1700</v>
      </c>
    </row>
    <row r="8418" spans="1:15" x14ac:dyDescent="0.25">
      <c r="A8418" t="str">
        <f>"10/21/2020 19:12:49.746"</f>
        <v>10/21/2020 19:12:49.746</v>
      </c>
      <c r="B8418" t="str">
        <f>"19:12:57.695"</f>
        <v>19:12:57.695</v>
      </c>
      <c r="C8418" t="str">
        <f>"19:12:57.595"</f>
        <v>19:12:57.595</v>
      </c>
      <c r="D8418" t="s">
        <v>3298</v>
      </c>
      <c r="E8418">
        <v>30.534116999999998</v>
      </c>
      <c r="F8418" t="s">
        <v>3271</v>
      </c>
      <c r="G8418">
        <v>-89.823188999999999</v>
      </c>
      <c r="H8418">
        <v>1600</v>
      </c>
      <c r="I8418">
        <v>4</v>
      </c>
      <c r="J8418">
        <v>-159</v>
      </c>
      <c r="K8418">
        <v>-64</v>
      </c>
      <c r="L8418">
        <v>1200</v>
      </c>
      <c r="M8418" t="str">
        <f t="shared" si="797"/>
        <v xml:space="preserve">N35DC   </v>
      </c>
      <c r="N8418">
        <v>1</v>
      </c>
      <c r="O8418">
        <v>1700</v>
      </c>
    </row>
    <row r="8419" spans="1:15" x14ac:dyDescent="0.25">
      <c r="A8419" t="str">
        <f>"10/21/2020 19:12:49.746"</f>
        <v>10/21/2020 19:12:49.746</v>
      </c>
      <c r="B8419" t="str">
        <f>"19:12:57.695"</f>
        <v>19:12:57.695</v>
      </c>
      <c r="C8419" t="str">
        <f>"19:12:57.595"</f>
        <v>19:12:57.595</v>
      </c>
      <c r="D8419" t="s">
        <v>3298</v>
      </c>
      <c r="E8419">
        <v>30.534116999999998</v>
      </c>
      <c r="F8419" t="s">
        <v>3271</v>
      </c>
      <c r="G8419">
        <v>-89.823188999999999</v>
      </c>
      <c r="H8419">
        <v>1600</v>
      </c>
      <c r="I8419">
        <v>4</v>
      </c>
      <c r="J8419">
        <v>-159</v>
      </c>
      <c r="K8419">
        <v>-64</v>
      </c>
      <c r="L8419">
        <v>1200</v>
      </c>
      <c r="M8419" t="str">
        <f t="shared" si="797"/>
        <v xml:space="preserve">N35DC   </v>
      </c>
      <c r="N8419">
        <v>1</v>
      </c>
      <c r="O8419">
        <v>1700</v>
      </c>
    </row>
    <row r="8420" spans="1:15" x14ac:dyDescent="0.25">
      <c r="A8420" t="str">
        <f>"10/21/2020 19:12:52.567"</f>
        <v>10/21/2020 19:12:52.567</v>
      </c>
      <c r="B8420" t="str">
        <f>"19:13:00.531"</f>
        <v>19:13:00.531</v>
      </c>
      <c r="C8420" t="str">
        <f>"19:13:00.331"</f>
        <v>19:13:00.331</v>
      </c>
      <c r="D8420" t="s">
        <v>3299</v>
      </c>
      <c r="E8420">
        <v>30.532014</v>
      </c>
      <c r="F8420" t="s">
        <v>3271</v>
      </c>
      <c r="G8420">
        <v>-89.823188999999999</v>
      </c>
      <c r="H8420">
        <v>1600</v>
      </c>
      <c r="I8420">
        <v>3</v>
      </c>
      <c r="J8420">
        <v>-159</v>
      </c>
      <c r="K8420">
        <v>0</v>
      </c>
      <c r="L8420">
        <v>1200</v>
      </c>
      <c r="M8420" t="str">
        <f t="shared" si="797"/>
        <v xml:space="preserve">N35DC   </v>
      </c>
      <c r="N8420">
        <v>1</v>
      </c>
      <c r="O8420">
        <v>1700</v>
      </c>
    </row>
    <row r="8421" spans="1:15" x14ac:dyDescent="0.25">
      <c r="A8421" t="str">
        <f>"10/21/2020 19:12:52.567"</f>
        <v>10/21/2020 19:12:52.567</v>
      </c>
      <c r="B8421" t="str">
        <f>"19:13:00.531"</f>
        <v>19:13:00.531</v>
      </c>
      <c r="C8421" t="str">
        <f>"19:13:00.331"</f>
        <v>19:13:00.331</v>
      </c>
      <c r="D8421" t="s">
        <v>3299</v>
      </c>
      <c r="E8421">
        <v>30.532014</v>
      </c>
      <c r="F8421" t="s">
        <v>3271</v>
      </c>
      <c r="G8421">
        <v>-89.823188999999999</v>
      </c>
      <c r="H8421">
        <v>1600</v>
      </c>
      <c r="I8421">
        <v>3</v>
      </c>
      <c r="J8421">
        <v>-159</v>
      </c>
      <c r="K8421">
        <v>0</v>
      </c>
      <c r="L8421">
        <v>1200</v>
      </c>
      <c r="M8421" t="str">
        <f t="shared" si="797"/>
        <v xml:space="preserve">N35DC   </v>
      </c>
      <c r="N8421">
        <v>1</v>
      </c>
      <c r="O8421">
        <v>1700</v>
      </c>
    </row>
    <row r="8422" spans="1:15" x14ac:dyDescent="0.25">
      <c r="A8422" t="str">
        <f>"10/21/2020 19:12:52.567"</f>
        <v>10/21/2020 19:12:52.567</v>
      </c>
      <c r="B8422" t="str">
        <f>"19:13:00.531"</f>
        <v>19:13:00.531</v>
      </c>
      <c r="C8422" t="str">
        <f>"19:13:00.331"</f>
        <v>19:13:00.331</v>
      </c>
      <c r="D8422" t="s">
        <v>3299</v>
      </c>
      <c r="E8422">
        <v>30.532014</v>
      </c>
      <c r="F8422" t="s">
        <v>3271</v>
      </c>
      <c r="G8422">
        <v>-89.823188999999999</v>
      </c>
      <c r="H8422">
        <v>1600</v>
      </c>
      <c r="I8422">
        <v>3</v>
      </c>
      <c r="J8422">
        <v>-159</v>
      </c>
      <c r="K8422">
        <v>0</v>
      </c>
      <c r="L8422">
        <v>1200</v>
      </c>
      <c r="M8422" t="str">
        <f t="shared" si="797"/>
        <v xml:space="preserve">N35DC   </v>
      </c>
      <c r="N8422">
        <v>1</v>
      </c>
      <c r="O8422">
        <v>1700</v>
      </c>
    </row>
    <row r="8423" spans="1:15" x14ac:dyDescent="0.25">
      <c r="A8423" t="str">
        <f>"10/21/2020 19:12:52.567"</f>
        <v>10/21/2020 19:12:52.567</v>
      </c>
      <c r="B8423" t="str">
        <f>"19:13:00.531"</f>
        <v>19:13:00.531</v>
      </c>
      <c r="C8423" t="str">
        <f>"19:13:00.331"</f>
        <v>19:13:00.331</v>
      </c>
      <c r="D8423" t="s">
        <v>3299</v>
      </c>
      <c r="E8423">
        <v>30.532014</v>
      </c>
      <c r="F8423" t="s">
        <v>3271</v>
      </c>
      <c r="G8423">
        <v>-89.823188999999999</v>
      </c>
      <c r="H8423">
        <v>1600</v>
      </c>
      <c r="I8423">
        <v>3</v>
      </c>
      <c r="J8423">
        <v>-159</v>
      </c>
      <c r="K8423">
        <v>0</v>
      </c>
      <c r="L8423">
        <v>1200</v>
      </c>
      <c r="M8423" t="str">
        <f t="shared" si="797"/>
        <v xml:space="preserve">N35DC   </v>
      </c>
      <c r="N8423">
        <v>1</v>
      </c>
      <c r="O8423">
        <v>1700</v>
      </c>
    </row>
    <row r="8424" spans="1:15" x14ac:dyDescent="0.25">
      <c r="A8424" t="str">
        <f>"10/21/2020 19:12:52.567"</f>
        <v>10/21/2020 19:12:52.567</v>
      </c>
      <c r="B8424" t="str">
        <f>"19:13:00.531"</f>
        <v>19:13:00.531</v>
      </c>
      <c r="C8424" t="str">
        <f>"19:13:00.331"</f>
        <v>19:13:00.331</v>
      </c>
      <c r="D8424" t="s">
        <v>3299</v>
      </c>
      <c r="E8424">
        <v>30.532014</v>
      </c>
      <c r="F8424" t="s">
        <v>3271</v>
      </c>
      <c r="G8424">
        <v>-89.823188999999999</v>
      </c>
      <c r="H8424">
        <v>1600</v>
      </c>
      <c r="I8424">
        <v>3</v>
      </c>
      <c r="J8424">
        <v>-159</v>
      </c>
      <c r="K8424">
        <v>0</v>
      </c>
      <c r="L8424">
        <v>1200</v>
      </c>
      <c r="M8424" t="str">
        <f t="shared" si="797"/>
        <v xml:space="preserve">N35DC   </v>
      </c>
      <c r="N8424">
        <v>1</v>
      </c>
      <c r="O8424">
        <v>1700</v>
      </c>
    </row>
    <row r="8425" spans="1:15" x14ac:dyDescent="0.25">
      <c r="A8425" t="str">
        <f>"10/21/2020 19:12:53.496"</f>
        <v>10/21/2020 19:12:53.496</v>
      </c>
      <c r="B8425" t="str">
        <f>"19:13:01.461"</f>
        <v>19:13:01.461</v>
      </c>
      <c r="C8425" t="str">
        <f>"19:13:01.361"</f>
        <v>19:13:01.361</v>
      </c>
      <c r="D8425" t="s">
        <v>3300</v>
      </c>
      <c r="E8425">
        <v>30.531327999999998</v>
      </c>
      <c r="F8425" t="s">
        <v>2774</v>
      </c>
      <c r="G8425">
        <v>-89.823166999999998</v>
      </c>
      <c r="H8425">
        <v>1600</v>
      </c>
      <c r="I8425">
        <v>3</v>
      </c>
      <c r="J8425">
        <v>-158</v>
      </c>
      <c r="K8425">
        <v>64</v>
      </c>
      <c r="L8425">
        <v>1200</v>
      </c>
      <c r="M8425" t="str">
        <f t="shared" si="797"/>
        <v xml:space="preserve">N35DC   </v>
      </c>
      <c r="N8425">
        <v>1</v>
      </c>
      <c r="O8425">
        <v>1700</v>
      </c>
    </row>
    <row r="8426" spans="1:15" x14ac:dyDescent="0.25">
      <c r="A8426" t="str">
        <f>"10/21/2020 19:12:53.496"</f>
        <v>10/21/2020 19:12:53.496</v>
      </c>
      <c r="B8426" t="str">
        <f>"19:13:01.461"</f>
        <v>19:13:01.461</v>
      </c>
      <c r="C8426" t="str">
        <f>"19:13:01.361"</f>
        <v>19:13:01.361</v>
      </c>
      <c r="D8426" t="s">
        <v>3300</v>
      </c>
      <c r="E8426">
        <v>30.531327999999998</v>
      </c>
      <c r="F8426" t="s">
        <v>2774</v>
      </c>
      <c r="G8426">
        <v>-89.823166999999998</v>
      </c>
      <c r="H8426">
        <v>1600</v>
      </c>
      <c r="I8426">
        <v>3</v>
      </c>
      <c r="J8426">
        <v>-158</v>
      </c>
      <c r="K8426">
        <v>64</v>
      </c>
      <c r="L8426">
        <v>1200</v>
      </c>
      <c r="M8426" t="str">
        <f t="shared" si="797"/>
        <v xml:space="preserve">N35DC   </v>
      </c>
      <c r="N8426">
        <v>1</v>
      </c>
      <c r="O8426">
        <v>1700</v>
      </c>
    </row>
    <row r="8427" spans="1:15" x14ac:dyDescent="0.25">
      <c r="A8427" t="str">
        <f>"10/21/2020 19:12:53.496"</f>
        <v>10/21/2020 19:12:53.496</v>
      </c>
      <c r="B8427" t="str">
        <f>"19:13:01.461"</f>
        <v>19:13:01.461</v>
      </c>
      <c r="C8427" t="str">
        <f>"19:13:01.361"</f>
        <v>19:13:01.361</v>
      </c>
      <c r="D8427" t="s">
        <v>3300</v>
      </c>
      <c r="E8427">
        <v>30.531327999999998</v>
      </c>
      <c r="F8427" t="s">
        <v>2774</v>
      </c>
      <c r="G8427">
        <v>-89.823166999999998</v>
      </c>
      <c r="H8427">
        <v>1600</v>
      </c>
      <c r="I8427">
        <v>3</v>
      </c>
      <c r="J8427">
        <v>-158</v>
      </c>
      <c r="K8427">
        <v>64</v>
      </c>
      <c r="L8427">
        <v>1200</v>
      </c>
      <c r="M8427" t="str">
        <f t="shared" si="797"/>
        <v xml:space="preserve">N35DC   </v>
      </c>
      <c r="N8427">
        <v>1</v>
      </c>
      <c r="O8427">
        <v>1700</v>
      </c>
    </row>
    <row r="8428" spans="1:15" x14ac:dyDescent="0.25">
      <c r="A8428" t="str">
        <f>"10/21/2020 19:12:53.496"</f>
        <v>10/21/2020 19:12:53.496</v>
      </c>
      <c r="B8428" t="str">
        <f>"19:13:01.461"</f>
        <v>19:13:01.461</v>
      </c>
      <c r="C8428" t="str">
        <f>"19:13:01.361"</f>
        <v>19:13:01.361</v>
      </c>
      <c r="D8428" t="s">
        <v>3300</v>
      </c>
      <c r="E8428">
        <v>30.531327999999998</v>
      </c>
      <c r="F8428" t="s">
        <v>2774</v>
      </c>
      <c r="G8428">
        <v>-89.823166999999998</v>
      </c>
      <c r="H8428">
        <v>1600</v>
      </c>
      <c r="I8428">
        <v>3</v>
      </c>
      <c r="J8428">
        <v>-158</v>
      </c>
      <c r="K8428">
        <v>64</v>
      </c>
      <c r="L8428">
        <v>1200</v>
      </c>
      <c r="M8428" t="str">
        <f t="shared" si="797"/>
        <v xml:space="preserve">N35DC   </v>
      </c>
      <c r="N8428">
        <v>1</v>
      </c>
      <c r="O8428">
        <v>1700</v>
      </c>
    </row>
    <row r="8429" spans="1:15" x14ac:dyDescent="0.25">
      <c r="A8429" t="str">
        <f>"10/21/2020 19:12:53.496"</f>
        <v>10/21/2020 19:12:53.496</v>
      </c>
      <c r="B8429" t="str">
        <f>"19:13:01.461"</f>
        <v>19:13:01.461</v>
      </c>
      <c r="C8429" t="str">
        <f>"19:13:01.361"</f>
        <v>19:13:01.361</v>
      </c>
      <c r="D8429" t="s">
        <v>3300</v>
      </c>
      <c r="E8429">
        <v>30.531327999999998</v>
      </c>
      <c r="F8429" t="s">
        <v>2774</v>
      </c>
      <c r="G8429">
        <v>-89.823166999999998</v>
      </c>
      <c r="H8429">
        <v>1600</v>
      </c>
      <c r="I8429">
        <v>3</v>
      </c>
      <c r="J8429">
        <v>-158</v>
      </c>
      <c r="K8429">
        <v>64</v>
      </c>
      <c r="L8429">
        <v>1200</v>
      </c>
      <c r="M8429" t="str">
        <f t="shared" si="797"/>
        <v xml:space="preserve">N35DC   </v>
      </c>
      <c r="N8429">
        <v>1</v>
      </c>
      <c r="O8429">
        <v>1700</v>
      </c>
    </row>
    <row r="8430" spans="1:15" x14ac:dyDescent="0.25">
      <c r="A8430" t="str">
        <f>"10/21/2020 19:12:56.628"</f>
        <v>10/21/2020 19:12:56.628</v>
      </c>
      <c r="B8430" t="str">
        <f>"19:13:04.578"</f>
        <v>19:13:04.578</v>
      </c>
      <c r="C8430" t="str">
        <f>"19:13:04.278"</f>
        <v>19:13:04.278</v>
      </c>
      <c r="D8430" t="s">
        <v>3301</v>
      </c>
      <c r="E8430">
        <v>30.529053000000001</v>
      </c>
      <c r="F8430" t="s">
        <v>3302</v>
      </c>
      <c r="G8430">
        <v>-89.823124000000007</v>
      </c>
      <c r="H8430">
        <v>1600</v>
      </c>
      <c r="I8430">
        <v>3</v>
      </c>
      <c r="J8430">
        <v>-157</v>
      </c>
      <c r="K8430">
        <v>128</v>
      </c>
      <c r="L8430">
        <v>1200</v>
      </c>
      <c r="M8430" t="str">
        <f t="shared" si="797"/>
        <v xml:space="preserve">N35DC   </v>
      </c>
      <c r="N8430">
        <v>1</v>
      </c>
      <c r="O8430">
        <v>1700</v>
      </c>
    </row>
    <row r="8431" spans="1:15" x14ac:dyDescent="0.25">
      <c r="A8431" t="str">
        <f>"10/21/2020 19:12:56.628"</f>
        <v>10/21/2020 19:12:56.628</v>
      </c>
      <c r="B8431" t="str">
        <f>"19:13:04.578"</f>
        <v>19:13:04.578</v>
      </c>
      <c r="C8431" t="str">
        <f>"19:13:04.278"</f>
        <v>19:13:04.278</v>
      </c>
      <c r="D8431" t="s">
        <v>3301</v>
      </c>
      <c r="E8431">
        <v>30.529053000000001</v>
      </c>
      <c r="F8431" t="s">
        <v>3302</v>
      </c>
      <c r="G8431">
        <v>-89.823124000000007</v>
      </c>
      <c r="H8431">
        <v>1600</v>
      </c>
      <c r="I8431">
        <v>3</v>
      </c>
      <c r="J8431">
        <v>-157</v>
      </c>
      <c r="K8431">
        <v>128</v>
      </c>
      <c r="L8431">
        <v>1200</v>
      </c>
      <c r="M8431" t="str">
        <f t="shared" si="797"/>
        <v xml:space="preserve">N35DC   </v>
      </c>
      <c r="N8431">
        <v>1</v>
      </c>
      <c r="O8431">
        <v>1700</v>
      </c>
    </row>
    <row r="8432" spans="1:15" x14ac:dyDescent="0.25">
      <c r="A8432" t="str">
        <f>"10/21/2020 19:12:56.628"</f>
        <v>10/21/2020 19:12:56.628</v>
      </c>
      <c r="B8432" t="str">
        <f>"19:13:04.578"</f>
        <v>19:13:04.578</v>
      </c>
      <c r="C8432" t="str">
        <f>"19:13:04.278"</f>
        <v>19:13:04.278</v>
      </c>
      <c r="D8432" t="s">
        <v>3301</v>
      </c>
      <c r="E8432">
        <v>30.529053000000001</v>
      </c>
      <c r="F8432" t="s">
        <v>3302</v>
      </c>
      <c r="G8432">
        <v>-89.823124000000007</v>
      </c>
      <c r="H8432">
        <v>1600</v>
      </c>
      <c r="I8432">
        <v>3</v>
      </c>
      <c r="J8432">
        <v>-157</v>
      </c>
      <c r="K8432">
        <v>128</v>
      </c>
      <c r="L8432">
        <v>1200</v>
      </c>
      <c r="M8432" t="str">
        <f t="shared" si="797"/>
        <v xml:space="preserve">N35DC   </v>
      </c>
      <c r="N8432">
        <v>1</v>
      </c>
      <c r="O8432">
        <v>1700</v>
      </c>
    </row>
    <row r="8433" spans="1:15" x14ac:dyDescent="0.25">
      <c r="A8433" t="str">
        <f>"10/21/2020 19:12:56.628"</f>
        <v>10/21/2020 19:12:56.628</v>
      </c>
      <c r="B8433" t="str">
        <f>"19:13:04.578"</f>
        <v>19:13:04.578</v>
      </c>
      <c r="C8433" t="str">
        <f>"19:13:04.278"</f>
        <v>19:13:04.278</v>
      </c>
      <c r="D8433" t="s">
        <v>3301</v>
      </c>
      <c r="E8433">
        <v>30.529053000000001</v>
      </c>
      <c r="F8433" t="s">
        <v>3302</v>
      </c>
      <c r="G8433">
        <v>-89.823124000000007</v>
      </c>
      <c r="H8433">
        <v>1600</v>
      </c>
      <c r="I8433">
        <v>3</v>
      </c>
      <c r="J8433">
        <v>-157</v>
      </c>
      <c r="K8433">
        <v>128</v>
      </c>
      <c r="L8433">
        <v>1200</v>
      </c>
      <c r="M8433" t="str">
        <f t="shared" si="797"/>
        <v xml:space="preserve">N35DC   </v>
      </c>
      <c r="N8433">
        <v>1</v>
      </c>
      <c r="O8433">
        <v>1700</v>
      </c>
    </row>
    <row r="8434" spans="1:15" x14ac:dyDescent="0.25">
      <c r="A8434" t="str">
        <f>"10/21/2020 19:12:56.628"</f>
        <v>10/21/2020 19:12:56.628</v>
      </c>
      <c r="B8434" t="str">
        <f>"19:13:04.578"</f>
        <v>19:13:04.578</v>
      </c>
      <c r="C8434" t="str">
        <f>"19:13:04.278"</f>
        <v>19:13:04.278</v>
      </c>
      <c r="D8434" t="s">
        <v>3301</v>
      </c>
      <c r="E8434">
        <v>30.529053000000001</v>
      </c>
      <c r="F8434" t="s">
        <v>3302</v>
      </c>
      <c r="G8434">
        <v>-89.823124000000007</v>
      </c>
      <c r="H8434">
        <v>1600</v>
      </c>
      <c r="I8434">
        <v>3</v>
      </c>
      <c r="J8434">
        <v>-157</v>
      </c>
      <c r="K8434">
        <v>128</v>
      </c>
      <c r="L8434">
        <v>1200</v>
      </c>
      <c r="M8434" t="str">
        <f t="shared" si="797"/>
        <v xml:space="preserve">N35DC   </v>
      </c>
      <c r="N8434">
        <v>1</v>
      </c>
      <c r="O8434">
        <v>1700</v>
      </c>
    </row>
    <row r="8435" spans="1:15" x14ac:dyDescent="0.25">
      <c r="A8435" t="str">
        <f>"10/21/2020 19:12:57.690"</f>
        <v>10/21/2020 19:12:57.690</v>
      </c>
      <c r="B8435" t="str">
        <f>"19:13:05.617"</f>
        <v>19:13:05.617</v>
      </c>
      <c r="C8435" t="str">
        <f>"19:13:05.317"</f>
        <v>19:13:05.317</v>
      </c>
      <c r="D8435" t="s">
        <v>3303</v>
      </c>
      <c r="E8435">
        <v>30.528302</v>
      </c>
      <c r="F8435" t="s">
        <v>3269</v>
      </c>
      <c r="G8435">
        <v>-89.823081000000002</v>
      </c>
      <c r="H8435">
        <v>1600</v>
      </c>
      <c r="I8435">
        <v>3</v>
      </c>
      <c r="J8435">
        <v>-157</v>
      </c>
      <c r="K8435">
        <v>64</v>
      </c>
      <c r="L8435">
        <v>1200</v>
      </c>
      <c r="M8435" t="str">
        <f t="shared" si="797"/>
        <v xml:space="preserve">N35DC   </v>
      </c>
      <c r="N8435">
        <v>1</v>
      </c>
      <c r="O8435">
        <v>1700</v>
      </c>
    </row>
    <row r="8436" spans="1:15" x14ac:dyDescent="0.25">
      <c r="A8436" t="str">
        <f>"10/21/2020 19:12:57.690"</f>
        <v>10/21/2020 19:12:57.690</v>
      </c>
      <c r="B8436" t="str">
        <f>"19:13:05.617"</f>
        <v>19:13:05.617</v>
      </c>
      <c r="C8436" t="str">
        <f>"19:13:05.317"</f>
        <v>19:13:05.317</v>
      </c>
      <c r="D8436" t="s">
        <v>3303</v>
      </c>
      <c r="E8436">
        <v>30.528302</v>
      </c>
      <c r="F8436" t="s">
        <v>3269</v>
      </c>
      <c r="G8436">
        <v>-89.823081000000002</v>
      </c>
      <c r="H8436">
        <v>1600</v>
      </c>
      <c r="I8436">
        <v>3</v>
      </c>
      <c r="J8436">
        <v>-157</v>
      </c>
      <c r="K8436">
        <v>64</v>
      </c>
      <c r="L8436">
        <v>1200</v>
      </c>
      <c r="M8436" t="str">
        <f t="shared" si="797"/>
        <v xml:space="preserve">N35DC   </v>
      </c>
      <c r="N8436">
        <v>1</v>
      </c>
      <c r="O8436">
        <v>1700</v>
      </c>
    </row>
    <row r="8437" spans="1:15" x14ac:dyDescent="0.25">
      <c r="A8437" t="str">
        <f>"10/21/2020 19:12:57.690"</f>
        <v>10/21/2020 19:12:57.690</v>
      </c>
      <c r="B8437" t="str">
        <f>"19:13:05.617"</f>
        <v>19:13:05.617</v>
      </c>
      <c r="C8437" t="str">
        <f>"19:13:05.317"</f>
        <v>19:13:05.317</v>
      </c>
      <c r="D8437" t="s">
        <v>3303</v>
      </c>
      <c r="E8437">
        <v>30.528302</v>
      </c>
      <c r="F8437" t="s">
        <v>3269</v>
      </c>
      <c r="G8437">
        <v>-89.823081000000002</v>
      </c>
      <c r="H8437">
        <v>1600</v>
      </c>
      <c r="I8437">
        <v>3</v>
      </c>
      <c r="J8437">
        <v>-157</v>
      </c>
      <c r="K8437">
        <v>64</v>
      </c>
      <c r="L8437">
        <v>1200</v>
      </c>
      <c r="M8437" t="str">
        <f t="shared" si="797"/>
        <v xml:space="preserve">N35DC   </v>
      </c>
      <c r="N8437">
        <v>1</v>
      </c>
      <c r="O8437">
        <v>1700</v>
      </c>
    </row>
    <row r="8438" spans="1:15" x14ac:dyDescent="0.25">
      <c r="A8438" t="str">
        <f>"10/21/2020 19:12:57.690"</f>
        <v>10/21/2020 19:12:57.690</v>
      </c>
      <c r="B8438" t="str">
        <f>"19:13:05.617"</f>
        <v>19:13:05.617</v>
      </c>
      <c r="C8438" t="str">
        <f>"19:13:05.317"</f>
        <v>19:13:05.317</v>
      </c>
      <c r="D8438" t="s">
        <v>3303</v>
      </c>
      <c r="E8438">
        <v>30.528302</v>
      </c>
      <c r="F8438" t="s">
        <v>3269</v>
      </c>
      <c r="G8438">
        <v>-89.823081000000002</v>
      </c>
      <c r="H8438">
        <v>1600</v>
      </c>
      <c r="I8438">
        <v>3</v>
      </c>
      <c r="J8438">
        <v>-157</v>
      </c>
      <c r="K8438">
        <v>64</v>
      </c>
      <c r="L8438">
        <v>1200</v>
      </c>
      <c r="M8438" t="str">
        <f t="shared" si="797"/>
        <v xml:space="preserve">N35DC   </v>
      </c>
      <c r="N8438">
        <v>1</v>
      </c>
      <c r="O8438">
        <v>1700</v>
      </c>
    </row>
    <row r="8439" spans="1:15" x14ac:dyDescent="0.25">
      <c r="A8439" t="str">
        <f>"10/21/2020 19:12:57.690"</f>
        <v>10/21/2020 19:12:57.690</v>
      </c>
      <c r="B8439" t="str">
        <f>"19:13:05.617"</f>
        <v>19:13:05.617</v>
      </c>
      <c r="C8439" t="str">
        <f>"19:13:05.317"</f>
        <v>19:13:05.317</v>
      </c>
      <c r="D8439" t="s">
        <v>3303</v>
      </c>
      <c r="E8439">
        <v>30.528302</v>
      </c>
      <c r="F8439" t="s">
        <v>3269</v>
      </c>
      <c r="G8439">
        <v>-89.823081000000002</v>
      </c>
      <c r="H8439">
        <v>1600</v>
      </c>
      <c r="I8439">
        <v>3</v>
      </c>
      <c r="J8439">
        <v>-157</v>
      </c>
      <c r="K8439">
        <v>64</v>
      </c>
      <c r="L8439">
        <v>1200</v>
      </c>
      <c r="M8439" t="str">
        <f t="shared" si="797"/>
        <v xml:space="preserve">N35DC   </v>
      </c>
      <c r="N8439">
        <v>1</v>
      </c>
      <c r="O8439">
        <v>1700</v>
      </c>
    </row>
    <row r="8440" spans="1:15" x14ac:dyDescent="0.25">
      <c r="A8440" t="str">
        <f>"10/21/2020 19:12:58.657"</f>
        <v>10/21/2020 19:12:58.657</v>
      </c>
      <c r="B8440" t="str">
        <f>"19:13:06.617"</f>
        <v>19:13:06.617</v>
      </c>
      <c r="C8440" t="str">
        <f>"19:13:06.217"</f>
        <v>19:13:06.217</v>
      </c>
      <c r="D8440" t="s">
        <v>3304</v>
      </c>
      <c r="E8440">
        <v>30.527550999999999</v>
      </c>
      <c r="F8440" t="s">
        <v>3305</v>
      </c>
      <c r="G8440">
        <v>-89.823059999999998</v>
      </c>
      <c r="H8440">
        <v>1600</v>
      </c>
      <c r="I8440">
        <v>4</v>
      </c>
      <c r="J8440">
        <v>-157</v>
      </c>
      <c r="K8440">
        <v>64</v>
      </c>
      <c r="L8440">
        <v>1200</v>
      </c>
      <c r="M8440" t="str">
        <f t="shared" si="797"/>
        <v xml:space="preserve">N35DC   </v>
      </c>
      <c r="N8440">
        <v>1</v>
      </c>
      <c r="O8440">
        <v>1700</v>
      </c>
    </row>
    <row r="8441" spans="1:15" x14ac:dyDescent="0.25">
      <c r="A8441" t="str">
        <f>"10/21/2020 19:12:58.657"</f>
        <v>10/21/2020 19:12:58.657</v>
      </c>
      <c r="B8441" t="str">
        <f>"19:13:06.617"</f>
        <v>19:13:06.617</v>
      </c>
      <c r="C8441" t="str">
        <f>"19:13:06.217"</f>
        <v>19:13:06.217</v>
      </c>
      <c r="D8441" t="s">
        <v>3304</v>
      </c>
      <c r="E8441">
        <v>30.527550999999999</v>
      </c>
      <c r="F8441" t="s">
        <v>3305</v>
      </c>
      <c r="G8441">
        <v>-89.823059999999998</v>
      </c>
      <c r="H8441">
        <v>1600</v>
      </c>
      <c r="I8441">
        <v>4</v>
      </c>
      <c r="J8441">
        <v>-157</v>
      </c>
      <c r="K8441">
        <v>64</v>
      </c>
      <c r="L8441">
        <v>1200</v>
      </c>
      <c r="M8441" t="str">
        <f t="shared" si="797"/>
        <v xml:space="preserve">N35DC   </v>
      </c>
      <c r="N8441">
        <v>1</v>
      </c>
      <c r="O8441">
        <v>1700</v>
      </c>
    </row>
    <row r="8442" spans="1:15" x14ac:dyDescent="0.25">
      <c r="A8442" t="str">
        <f>"10/21/2020 19:12:58.657"</f>
        <v>10/21/2020 19:12:58.657</v>
      </c>
      <c r="B8442" t="str">
        <f>"19:13:06.617"</f>
        <v>19:13:06.617</v>
      </c>
      <c r="C8442" t="str">
        <f>"19:13:06.217"</f>
        <v>19:13:06.217</v>
      </c>
      <c r="D8442" t="s">
        <v>3304</v>
      </c>
      <c r="E8442">
        <v>30.527550999999999</v>
      </c>
      <c r="F8442" t="s">
        <v>3305</v>
      </c>
      <c r="G8442">
        <v>-89.823059999999998</v>
      </c>
      <c r="H8442">
        <v>1600</v>
      </c>
      <c r="I8442">
        <v>4</v>
      </c>
      <c r="J8442">
        <v>-157</v>
      </c>
      <c r="K8442">
        <v>64</v>
      </c>
      <c r="L8442">
        <v>1200</v>
      </c>
      <c r="M8442" t="str">
        <f t="shared" si="797"/>
        <v xml:space="preserve">N35DC   </v>
      </c>
      <c r="N8442">
        <v>1</v>
      </c>
      <c r="O8442">
        <v>1700</v>
      </c>
    </row>
    <row r="8443" spans="1:15" x14ac:dyDescent="0.25">
      <c r="A8443" t="str">
        <f>"10/21/2020 19:12:58.657"</f>
        <v>10/21/2020 19:12:58.657</v>
      </c>
      <c r="B8443" t="str">
        <f>"19:13:06.617"</f>
        <v>19:13:06.617</v>
      </c>
      <c r="C8443" t="str">
        <f>"19:13:06.217"</f>
        <v>19:13:06.217</v>
      </c>
      <c r="D8443" t="s">
        <v>3304</v>
      </c>
      <c r="E8443">
        <v>30.527550999999999</v>
      </c>
      <c r="F8443" t="s">
        <v>3305</v>
      </c>
      <c r="G8443">
        <v>-89.823059999999998</v>
      </c>
      <c r="H8443">
        <v>1600</v>
      </c>
      <c r="I8443">
        <v>4</v>
      </c>
      <c r="J8443">
        <v>-157</v>
      </c>
      <c r="K8443">
        <v>64</v>
      </c>
      <c r="L8443">
        <v>1200</v>
      </c>
      <c r="M8443" t="str">
        <f t="shared" si="797"/>
        <v xml:space="preserve">N35DC   </v>
      </c>
      <c r="N8443">
        <v>1</v>
      </c>
      <c r="O8443">
        <v>1700</v>
      </c>
    </row>
    <row r="8444" spans="1:15" x14ac:dyDescent="0.25">
      <c r="A8444" t="str">
        <f>"10/21/2020 19:12:58.657"</f>
        <v>10/21/2020 19:12:58.657</v>
      </c>
      <c r="B8444" t="str">
        <f>"19:13:06.617"</f>
        <v>19:13:06.617</v>
      </c>
      <c r="C8444" t="str">
        <f>"19:13:06.217"</f>
        <v>19:13:06.217</v>
      </c>
      <c r="D8444" t="s">
        <v>3304</v>
      </c>
      <c r="E8444">
        <v>30.527550999999999</v>
      </c>
      <c r="F8444" t="s">
        <v>3305</v>
      </c>
      <c r="G8444">
        <v>-89.823059999999998</v>
      </c>
      <c r="H8444">
        <v>1600</v>
      </c>
      <c r="I8444">
        <v>4</v>
      </c>
      <c r="J8444">
        <v>-157</v>
      </c>
      <c r="K8444">
        <v>64</v>
      </c>
      <c r="L8444">
        <v>1200</v>
      </c>
      <c r="M8444" t="str">
        <f t="shared" si="797"/>
        <v xml:space="preserve">N35DC   </v>
      </c>
      <c r="N8444">
        <v>1</v>
      </c>
      <c r="O8444">
        <v>1700</v>
      </c>
    </row>
    <row r="8445" spans="1:15" x14ac:dyDescent="0.25">
      <c r="A8445" t="str">
        <f>"10/21/2020 19:13:01.732"</f>
        <v>10/21/2020 19:13:01.732</v>
      </c>
      <c r="B8445" t="str">
        <f>"19:13:09.695"</f>
        <v>19:13:09.695</v>
      </c>
      <c r="C8445" t="str">
        <f>"19:13:09.195"</f>
        <v>19:13:09.195</v>
      </c>
      <c r="D8445" t="s">
        <v>3306</v>
      </c>
      <c r="E8445">
        <v>30.525320000000001</v>
      </c>
      <c r="F8445" t="s">
        <v>3307</v>
      </c>
      <c r="G8445">
        <v>-89.822974000000002</v>
      </c>
      <c r="H8445">
        <v>1600</v>
      </c>
      <c r="I8445">
        <v>4</v>
      </c>
      <c r="J8445">
        <v>-156</v>
      </c>
      <c r="K8445">
        <v>0</v>
      </c>
      <c r="L8445">
        <v>1200</v>
      </c>
      <c r="M8445" t="str">
        <f t="shared" si="797"/>
        <v xml:space="preserve">N35DC   </v>
      </c>
      <c r="N8445">
        <v>1</v>
      </c>
      <c r="O8445">
        <v>1700</v>
      </c>
    </row>
    <row r="8446" spans="1:15" x14ac:dyDescent="0.25">
      <c r="A8446" t="str">
        <f>"10/21/2020 19:13:01.732"</f>
        <v>10/21/2020 19:13:01.732</v>
      </c>
      <c r="B8446" t="str">
        <f>"19:13:09.695"</f>
        <v>19:13:09.695</v>
      </c>
      <c r="C8446" t="str">
        <f>"19:13:09.195"</f>
        <v>19:13:09.195</v>
      </c>
      <c r="D8446" t="s">
        <v>3306</v>
      </c>
      <c r="E8446">
        <v>30.525320000000001</v>
      </c>
      <c r="F8446" t="s">
        <v>3307</v>
      </c>
      <c r="G8446">
        <v>-89.822974000000002</v>
      </c>
      <c r="H8446">
        <v>1600</v>
      </c>
      <c r="I8446">
        <v>4</v>
      </c>
      <c r="J8446">
        <v>-156</v>
      </c>
      <c r="K8446">
        <v>0</v>
      </c>
      <c r="L8446">
        <v>1200</v>
      </c>
      <c r="M8446" t="str">
        <f t="shared" si="797"/>
        <v xml:space="preserve">N35DC   </v>
      </c>
      <c r="N8446">
        <v>1</v>
      </c>
      <c r="O8446">
        <v>1700</v>
      </c>
    </row>
    <row r="8447" spans="1:15" x14ac:dyDescent="0.25">
      <c r="A8447" t="str">
        <f>"10/21/2020 19:13:01.732"</f>
        <v>10/21/2020 19:13:01.732</v>
      </c>
      <c r="B8447" t="str">
        <f>"19:13:09.695"</f>
        <v>19:13:09.695</v>
      </c>
      <c r="C8447" t="str">
        <f>"19:13:09.195"</f>
        <v>19:13:09.195</v>
      </c>
      <c r="D8447" t="s">
        <v>3306</v>
      </c>
      <c r="E8447">
        <v>30.525320000000001</v>
      </c>
      <c r="F8447" t="s">
        <v>3307</v>
      </c>
      <c r="G8447">
        <v>-89.822974000000002</v>
      </c>
      <c r="H8447">
        <v>1600</v>
      </c>
      <c r="I8447">
        <v>4</v>
      </c>
      <c r="J8447">
        <v>-156</v>
      </c>
      <c r="K8447">
        <v>0</v>
      </c>
      <c r="L8447">
        <v>1200</v>
      </c>
      <c r="M8447" t="str">
        <f t="shared" si="797"/>
        <v xml:space="preserve">N35DC   </v>
      </c>
      <c r="N8447">
        <v>1</v>
      </c>
      <c r="O8447">
        <v>1700</v>
      </c>
    </row>
    <row r="8448" spans="1:15" x14ac:dyDescent="0.25">
      <c r="A8448" t="str">
        <f>"10/21/2020 19:13:01.732"</f>
        <v>10/21/2020 19:13:01.732</v>
      </c>
      <c r="B8448" t="str">
        <f>"19:13:09.695"</f>
        <v>19:13:09.695</v>
      </c>
      <c r="C8448" t="str">
        <f>"19:13:09.195"</f>
        <v>19:13:09.195</v>
      </c>
      <c r="D8448" t="s">
        <v>3306</v>
      </c>
      <c r="E8448">
        <v>30.525320000000001</v>
      </c>
      <c r="F8448" t="s">
        <v>3307</v>
      </c>
      <c r="G8448">
        <v>-89.822974000000002</v>
      </c>
      <c r="H8448">
        <v>1600</v>
      </c>
      <c r="I8448">
        <v>4</v>
      </c>
      <c r="J8448">
        <v>-156</v>
      </c>
      <c r="K8448">
        <v>0</v>
      </c>
      <c r="L8448">
        <v>1200</v>
      </c>
      <c r="M8448" t="str">
        <f t="shared" si="797"/>
        <v xml:space="preserve">N35DC   </v>
      </c>
      <c r="N8448">
        <v>1</v>
      </c>
      <c r="O8448">
        <v>1700</v>
      </c>
    </row>
    <row r="8449" spans="1:15" x14ac:dyDescent="0.25">
      <c r="A8449" t="str">
        <f>"10/21/2020 19:13:01.732"</f>
        <v>10/21/2020 19:13:01.732</v>
      </c>
      <c r="B8449" t="str">
        <f>"19:13:09.695"</f>
        <v>19:13:09.695</v>
      </c>
      <c r="C8449" t="str">
        <f>"19:13:09.195"</f>
        <v>19:13:09.195</v>
      </c>
      <c r="D8449" t="s">
        <v>3306</v>
      </c>
      <c r="E8449">
        <v>30.525320000000001</v>
      </c>
      <c r="F8449" t="s">
        <v>3307</v>
      </c>
      <c r="G8449">
        <v>-89.822974000000002</v>
      </c>
      <c r="H8449">
        <v>1600</v>
      </c>
      <c r="I8449">
        <v>4</v>
      </c>
      <c r="J8449">
        <v>-156</v>
      </c>
      <c r="K8449">
        <v>0</v>
      </c>
      <c r="L8449">
        <v>1200</v>
      </c>
      <c r="M8449" t="str">
        <f t="shared" si="797"/>
        <v xml:space="preserve">N35DC   </v>
      </c>
      <c r="N8449">
        <v>1</v>
      </c>
      <c r="O8449">
        <v>1700</v>
      </c>
    </row>
    <row r="8450" spans="1:15" x14ac:dyDescent="0.25">
      <c r="A8450" t="str">
        <f>"10/21/2020 19:13:02.736"</f>
        <v>10/21/2020 19:13:02.736</v>
      </c>
      <c r="B8450" t="str">
        <f>"19:13:10.672"</f>
        <v>19:13:10.672</v>
      </c>
      <c r="C8450" t="str">
        <f>"19:13:10.372"</f>
        <v>19:13:10.372</v>
      </c>
      <c r="D8450" t="s">
        <v>3308</v>
      </c>
      <c r="E8450">
        <v>30.524633000000001</v>
      </c>
      <c r="F8450" t="s">
        <v>3267</v>
      </c>
      <c r="G8450">
        <v>-89.823016999999993</v>
      </c>
      <c r="H8450">
        <v>1600</v>
      </c>
      <c r="I8450">
        <v>4</v>
      </c>
      <c r="J8450">
        <v>-156</v>
      </c>
      <c r="K8450">
        <v>0</v>
      </c>
      <c r="L8450">
        <v>1200</v>
      </c>
      <c r="M8450" t="str">
        <f t="shared" si="797"/>
        <v xml:space="preserve">N35DC   </v>
      </c>
      <c r="N8450">
        <v>1</v>
      </c>
      <c r="O8450">
        <v>1700</v>
      </c>
    </row>
    <row r="8451" spans="1:15" x14ac:dyDescent="0.25">
      <c r="A8451" t="str">
        <f>"10/21/2020 19:13:02.736"</f>
        <v>10/21/2020 19:13:02.736</v>
      </c>
      <c r="B8451" t="str">
        <f>"19:13:10.672"</f>
        <v>19:13:10.672</v>
      </c>
      <c r="C8451" t="str">
        <f>"19:13:10.372"</f>
        <v>19:13:10.372</v>
      </c>
      <c r="D8451" t="s">
        <v>3308</v>
      </c>
      <c r="E8451">
        <v>30.524633000000001</v>
      </c>
      <c r="F8451" t="s">
        <v>3267</v>
      </c>
      <c r="G8451">
        <v>-89.823016999999993</v>
      </c>
      <c r="H8451">
        <v>1600</v>
      </c>
      <c r="I8451">
        <v>4</v>
      </c>
      <c r="J8451">
        <v>-156</v>
      </c>
      <c r="K8451">
        <v>0</v>
      </c>
      <c r="L8451">
        <v>1200</v>
      </c>
      <c r="M8451" t="str">
        <f t="shared" si="797"/>
        <v xml:space="preserve">N35DC   </v>
      </c>
      <c r="N8451">
        <v>1</v>
      </c>
      <c r="O8451">
        <v>1700</v>
      </c>
    </row>
    <row r="8452" spans="1:15" x14ac:dyDescent="0.25">
      <c r="A8452" t="str">
        <f>"10/21/2020 19:13:02.736"</f>
        <v>10/21/2020 19:13:02.736</v>
      </c>
      <c r="B8452" t="str">
        <f>"19:13:10.672"</f>
        <v>19:13:10.672</v>
      </c>
      <c r="C8452" t="str">
        <f>"19:13:10.372"</f>
        <v>19:13:10.372</v>
      </c>
      <c r="D8452" t="s">
        <v>3308</v>
      </c>
      <c r="E8452">
        <v>30.524633000000001</v>
      </c>
      <c r="F8452" t="s">
        <v>3267</v>
      </c>
      <c r="G8452">
        <v>-89.823016999999993</v>
      </c>
      <c r="H8452">
        <v>1600</v>
      </c>
      <c r="I8452">
        <v>4</v>
      </c>
      <c r="J8452">
        <v>-156</v>
      </c>
      <c r="K8452">
        <v>0</v>
      </c>
      <c r="L8452">
        <v>1200</v>
      </c>
      <c r="M8452" t="str">
        <f t="shared" si="797"/>
        <v xml:space="preserve">N35DC   </v>
      </c>
      <c r="N8452">
        <v>1</v>
      </c>
      <c r="O8452">
        <v>1700</v>
      </c>
    </row>
    <row r="8453" spans="1:15" x14ac:dyDescent="0.25">
      <c r="A8453" t="str">
        <f>"10/21/2020 19:13:02.736"</f>
        <v>10/21/2020 19:13:02.736</v>
      </c>
      <c r="B8453" t="str">
        <f>"19:13:10.672"</f>
        <v>19:13:10.672</v>
      </c>
      <c r="C8453" t="str">
        <f>"19:13:10.372"</f>
        <v>19:13:10.372</v>
      </c>
      <c r="D8453" t="s">
        <v>3308</v>
      </c>
      <c r="E8453">
        <v>30.524633000000001</v>
      </c>
      <c r="F8453" t="s">
        <v>3267</v>
      </c>
      <c r="G8453">
        <v>-89.823016999999993</v>
      </c>
      <c r="H8453">
        <v>1600</v>
      </c>
      <c r="I8453">
        <v>4</v>
      </c>
      <c r="J8453">
        <v>-156</v>
      </c>
      <c r="K8453">
        <v>0</v>
      </c>
      <c r="L8453">
        <v>1200</v>
      </c>
      <c r="M8453" t="str">
        <f t="shared" si="797"/>
        <v xml:space="preserve">N35DC   </v>
      </c>
      <c r="N8453">
        <v>1</v>
      </c>
      <c r="O8453">
        <v>1700</v>
      </c>
    </row>
    <row r="8454" spans="1:15" x14ac:dyDescent="0.25">
      <c r="A8454" t="str">
        <f>"10/21/2020 19:13:02.736"</f>
        <v>10/21/2020 19:13:02.736</v>
      </c>
      <c r="B8454" t="str">
        <f>"19:13:10.672"</f>
        <v>19:13:10.672</v>
      </c>
      <c r="C8454" t="str">
        <f>"19:13:10.372"</f>
        <v>19:13:10.372</v>
      </c>
      <c r="D8454" t="s">
        <v>3308</v>
      </c>
      <c r="E8454">
        <v>30.524633000000001</v>
      </c>
      <c r="F8454" t="s">
        <v>3267</v>
      </c>
      <c r="G8454">
        <v>-89.823016999999993</v>
      </c>
      <c r="H8454">
        <v>1600</v>
      </c>
      <c r="I8454">
        <v>4</v>
      </c>
      <c r="J8454">
        <v>-156</v>
      </c>
      <c r="K8454">
        <v>0</v>
      </c>
      <c r="L8454">
        <v>1200</v>
      </c>
      <c r="M8454" t="str">
        <f t="shared" si="797"/>
        <v xml:space="preserve">N35DC   </v>
      </c>
      <c r="N8454">
        <v>1</v>
      </c>
      <c r="O8454">
        <v>1700</v>
      </c>
    </row>
    <row r="8455" spans="1:15" x14ac:dyDescent="0.25">
      <c r="A8455" t="str">
        <f>"10/21/2020 19:13:03.743"</f>
        <v>10/21/2020 19:13:03.743</v>
      </c>
      <c r="B8455" t="str">
        <f>"19:13:11.703"</f>
        <v>19:13:11.703</v>
      </c>
      <c r="C8455" t="str">
        <f>"19:13:11.403"</f>
        <v>19:13:11.403</v>
      </c>
      <c r="D8455" t="s">
        <v>3309</v>
      </c>
      <c r="E8455">
        <v>30.523903000000001</v>
      </c>
      <c r="F8455" t="s">
        <v>3307</v>
      </c>
      <c r="G8455">
        <v>-89.822974000000002</v>
      </c>
      <c r="H8455">
        <v>1600</v>
      </c>
      <c r="I8455">
        <v>4</v>
      </c>
      <c r="J8455">
        <v>-156</v>
      </c>
      <c r="K8455">
        <v>0</v>
      </c>
      <c r="L8455">
        <v>1200</v>
      </c>
      <c r="M8455" t="str">
        <f t="shared" ref="M8455:M8518" si="798">"N35DC   "</f>
        <v xml:space="preserve">N35DC   </v>
      </c>
      <c r="N8455">
        <v>1</v>
      </c>
      <c r="O8455">
        <v>1700</v>
      </c>
    </row>
    <row r="8456" spans="1:15" x14ac:dyDescent="0.25">
      <c r="A8456" t="str">
        <f>"10/21/2020 19:13:03.743"</f>
        <v>10/21/2020 19:13:03.743</v>
      </c>
      <c r="B8456" t="str">
        <f>"19:13:11.703"</f>
        <v>19:13:11.703</v>
      </c>
      <c r="C8456" t="str">
        <f>"19:13:11.403"</f>
        <v>19:13:11.403</v>
      </c>
      <c r="D8456" t="s">
        <v>3309</v>
      </c>
      <c r="E8456">
        <v>30.523903000000001</v>
      </c>
      <c r="F8456" t="s">
        <v>3307</v>
      </c>
      <c r="G8456">
        <v>-89.822974000000002</v>
      </c>
      <c r="H8456">
        <v>1600</v>
      </c>
      <c r="I8456">
        <v>4</v>
      </c>
      <c r="J8456">
        <v>-156</v>
      </c>
      <c r="K8456">
        <v>0</v>
      </c>
      <c r="L8456">
        <v>1200</v>
      </c>
      <c r="M8456" t="str">
        <f t="shared" si="798"/>
        <v xml:space="preserve">N35DC   </v>
      </c>
      <c r="N8456">
        <v>1</v>
      </c>
      <c r="O8456">
        <v>1700</v>
      </c>
    </row>
    <row r="8457" spans="1:15" x14ac:dyDescent="0.25">
      <c r="A8457" t="str">
        <f>"10/21/2020 19:13:03.743"</f>
        <v>10/21/2020 19:13:03.743</v>
      </c>
      <c r="B8457" t="str">
        <f>"19:13:11.703"</f>
        <v>19:13:11.703</v>
      </c>
      <c r="C8457" t="str">
        <f>"19:13:11.403"</f>
        <v>19:13:11.403</v>
      </c>
      <c r="D8457" t="s">
        <v>3309</v>
      </c>
      <c r="E8457">
        <v>30.523903000000001</v>
      </c>
      <c r="F8457" t="s">
        <v>3307</v>
      </c>
      <c r="G8457">
        <v>-89.822974000000002</v>
      </c>
      <c r="H8457">
        <v>1600</v>
      </c>
      <c r="I8457">
        <v>4</v>
      </c>
      <c r="J8457">
        <v>-156</v>
      </c>
      <c r="K8457">
        <v>0</v>
      </c>
      <c r="L8457">
        <v>1200</v>
      </c>
      <c r="M8457" t="str">
        <f t="shared" si="798"/>
        <v xml:space="preserve">N35DC   </v>
      </c>
      <c r="N8457">
        <v>1</v>
      </c>
      <c r="O8457">
        <v>1700</v>
      </c>
    </row>
    <row r="8458" spans="1:15" x14ac:dyDescent="0.25">
      <c r="A8458" t="str">
        <f>"10/21/2020 19:13:03.743"</f>
        <v>10/21/2020 19:13:03.743</v>
      </c>
      <c r="B8458" t="str">
        <f>"19:13:11.703"</f>
        <v>19:13:11.703</v>
      </c>
      <c r="C8458" t="str">
        <f>"19:13:11.403"</f>
        <v>19:13:11.403</v>
      </c>
      <c r="D8458" t="s">
        <v>3309</v>
      </c>
      <c r="E8458">
        <v>30.523903000000001</v>
      </c>
      <c r="F8458" t="s">
        <v>3307</v>
      </c>
      <c r="G8458">
        <v>-89.822974000000002</v>
      </c>
      <c r="H8458">
        <v>1600</v>
      </c>
      <c r="I8458">
        <v>4</v>
      </c>
      <c r="J8458">
        <v>-156</v>
      </c>
      <c r="K8458">
        <v>0</v>
      </c>
      <c r="L8458">
        <v>1200</v>
      </c>
      <c r="M8458" t="str">
        <f t="shared" si="798"/>
        <v xml:space="preserve">N35DC   </v>
      </c>
      <c r="N8458">
        <v>1</v>
      </c>
      <c r="O8458">
        <v>1700</v>
      </c>
    </row>
    <row r="8459" spans="1:15" x14ac:dyDescent="0.25">
      <c r="A8459" t="str">
        <f>"10/21/2020 19:13:03.743"</f>
        <v>10/21/2020 19:13:03.743</v>
      </c>
      <c r="B8459" t="str">
        <f>"19:13:11.703"</f>
        <v>19:13:11.703</v>
      </c>
      <c r="C8459" t="str">
        <f>"19:13:11.403"</f>
        <v>19:13:11.403</v>
      </c>
      <c r="D8459" t="s">
        <v>3309</v>
      </c>
      <c r="E8459">
        <v>30.523903000000001</v>
      </c>
      <c r="F8459" t="s">
        <v>3307</v>
      </c>
      <c r="G8459">
        <v>-89.822974000000002</v>
      </c>
      <c r="H8459">
        <v>1600</v>
      </c>
      <c r="I8459">
        <v>4</v>
      </c>
      <c r="J8459">
        <v>-156</v>
      </c>
      <c r="K8459">
        <v>0</v>
      </c>
      <c r="L8459">
        <v>1200</v>
      </c>
      <c r="M8459" t="str">
        <f t="shared" si="798"/>
        <v xml:space="preserve">N35DC   </v>
      </c>
      <c r="N8459">
        <v>1</v>
      </c>
      <c r="O8459">
        <v>1700</v>
      </c>
    </row>
    <row r="8460" spans="1:15" x14ac:dyDescent="0.25">
      <c r="A8460" t="str">
        <f>"10/21/2020 19:13:06.482"</f>
        <v>10/21/2020 19:13:06.482</v>
      </c>
      <c r="B8460" t="str">
        <f>"19:13:14.438"</f>
        <v>19:13:14.438</v>
      </c>
      <c r="C8460" t="str">
        <f>"19:13:14.238"</f>
        <v>19:13:14.238</v>
      </c>
      <c r="D8460" t="s">
        <v>3310</v>
      </c>
      <c r="E8460">
        <v>30.521885999999999</v>
      </c>
      <c r="F8460" t="s">
        <v>2772</v>
      </c>
      <c r="G8460">
        <v>-89.822867000000002</v>
      </c>
      <c r="H8460">
        <v>1600</v>
      </c>
      <c r="I8460">
        <v>6</v>
      </c>
      <c r="J8460">
        <v>-156</v>
      </c>
      <c r="K8460">
        <v>-64</v>
      </c>
      <c r="L8460">
        <v>1200</v>
      </c>
      <c r="M8460" t="str">
        <f t="shared" si="798"/>
        <v xml:space="preserve">N35DC   </v>
      </c>
      <c r="N8460">
        <v>1</v>
      </c>
      <c r="O8460">
        <v>1700</v>
      </c>
    </row>
    <row r="8461" spans="1:15" x14ac:dyDescent="0.25">
      <c r="A8461" t="str">
        <f>"10/21/2020 19:13:06.482"</f>
        <v>10/21/2020 19:13:06.482</v>
      </c>
      <c r="B8461" t="str">
        <f>"19:13:14.438"</f>
        <v>19:13:14.438</v>
      </c>
      <c r="C8461" t="str">
        <f>"19:13:14.238"</f>
        <v>19:13:14.238</v>
      </c>
      <c r="D8461" t="s">
        <v>3310</v>
      </c>
      <c r="E8461">
        <v>30.521885999999999</v>
      </c>
      <c r="F8461" t="s">
        <v>2772</v>
      </c>
      <c r="G8461">
        <v>-89.822867000000002</v>
      </c>
      <c r="H8461">
        <v>1600</v>
      </c>
      <c r="I8461">
        <v>6</v>
      </c>
      <c r="J8461">
        <v>-156</v>
      </c>
      <c r="K8461">
        <v>-64</v>
      </c>
      <c r="L8461">
        <v>1200</v>
      </c>
      <c r="M8461" t="str">
        <f t="shared" si="798"/>
        <v xml:space="preserve">N35DC   </v>
      </c>
      <c r="N8461">
        <v>1</v>
      </c>
      <c r="O8461">
        <v>1700</v>
      </c>
    </row>
    <row r="8462" spans="1:15" x14ac:dyDescent="0.25">
      <c r="A8462" t="str">
        <f>"10/21/2020 19:13:06.482"</f>
        <v>10/21/2020 19:13:06.482</v>
      </c>
      <c r="B8462" t="str">
        <f>"19:13:14.438"</f>
        <v>19:13:14.438</v>
      </c>
      <c r="C8462" t="str">
        <f>"19:13:14.238"</f>
        <v>19:13:14.238</v>
      </c>
      <c r="D8462" t="s">
        <v>3310</v>
      </c>
      <c r="E8462">
        <v>30.521885999999999</v>
      </c>
      <c r="F8462" t="s">
        <v>2772</v>
      </c>
      <c r="G8462">
        <v>-89.822867000000002</v>
      </c>
      <c r="H8462">
        <v>1600</v>
      </c>
      <c r="I8462">
        <v>6</v>
      </c>
      <c r="J8462">
        <v>-156</v>
      </c>
      <c r="K8462">
        <v>-64</v>
      </c>
      <c r="L8462">
        <v>1200</v>
      </c>
      <c r="M8462" t="str">
        <f t="shared" si="798"/>
        <v xml:space="preserve">N35DC   </v>
      </c>
      <c r="N8462">
        <v>1</v>
      </c>
      <c r="O8462">
        <v>1700</v>
      </c>
    </row>
    <row r="8463" spans="1:15" x14ac:dyDescent="0.25">
      <c r="A8463" t="str">
        <f>"10/21/2020 19:13:06.482"</f>
        <v>10/21/2020 19:13:06.482</v>
      </c>
      <c r="B8463" t="str">
        <f>"19:13:14.438"</f>
        <v>19:13:14.438</v>
      </c>
      <c r="C8463" t="str">
        <f>"19:13:14.238"</f>
        <v>19:13:14.238</v>
      </c>
      <c r="D8463" t="s">
        <v>3310</v>
      </c>
      <c r="E8463">
        <v>30.521885999999999</v>
      </c>
      <c r="F8463" t="s">
        <v>2772</v>
      </c>
      <c r="G8463">
        <v>-89.822867000000002</v>
      </c>
      <c r="H8463">
        <v>1600</v>
      </c>
      <c r="I8463">
        <v>6</v>
      </c>
      <c r="J8463">
        <v>-156</v>
      </c>
      <c r="K8463">
        <v>-64</v>
      </c>
      <c r="L8463">
        <v>1200</v>
      </c>
      <c r="M8463" t="str">
        <f t="shared" si="798"/>
        <v xml:space="preserve">N35DC   </v>
      </c>
      <c r="N8463">
        <v>1</v>
      </c>
      <c r="O8463">
        <v>1700</v>
      </c>
    </row>
    <row r="8464" spans="1:15" x14ac:dyDescent="0.25">
      <c r="A8464" t="str">
        <f>"10/21/2020 19:13:06.482"</f>
        <v>10/21/2020 19:13:06.482</v>
      </c>
      <c r="B8464" t="str">
        <f>"19:13:14.438"</f>
        <v>19:13:14.438</v>
      </c>
      <c r="C8464" t="str">
        <f>"19:13:14.238"</f>
        <v>19:13:14.238</v>
      </c>
      <c r="D8464" t="s">
        <v>3310</v>
      </c>
      <c r="E8464">
        <v>30.521885999999999</v>
      </c>
      <c r="F8464" t="s">
        <v>2772</v>
      </c>
      <c r="G8464">
        <v>-89.822867000000002</v>
      </c>
      <c r="H8464">
        <v>1600</v>
      </c>
      <c r="I8464">
        <v>6</v>
      </c>
      <c r="J8464">
        <v>-156</v>
      </c>
      <c r="K8464">
        <v>-64</v>
      </c>
      <c r="L8464">
        <v>1200</v>
      </c>
      <c r="M8464" t="str">
        <f t="shared" si="798"/>
        <v xml:space="preserve">N35DC   </v>
      </c>
      <c r="N8464">
        <v>1</v>
      </c>
      <c r="O8464">
        <v>1700</v>
      </c>
    </row>
    <row r="8465" spans="1:15" x14ac:dyDescent="0.25">
      <c r="A8465" t="str">
        <f>"10/21/2020 19:13:07.656"</f>
        <v>10/21/2020 19:13:07.656</v>
      </c>
      <c r="B8465" t="str">
        <f>"19:13:15.617"</f>
        <v>19:13:15.617</v>
      </c>
      <c r="C8465" t="str">
        <f>"19:13:15.317"</f>
        <v>19:13:15.317</v>
      </c>
      <c r="D8465" t="s">
        <v>3311</v>
      </c>
      <c r="E8465">
        <v>30.521070999999999</v>
      </c>
      <c r="F8465" t="s">
        <v>3312</v>
      </c>
      <c r="G8465">
        <v>-89.822823999999997</v>
      </c>
      <c r="H8465">
        <v>1600</v>
      </c>
      <c r="I8465">
        <v>6</v>
      </c>
      <c r="J8465">
        <v>-156</v>
      </c>
      <c r="K8465">
        <v>-128</v>
      </c>
      <c r="L8465">
        <v>1200</v>
      </c>
      <c r="M8465" t="str">
        <f t="shared" si="798"/>
        <v xml:space="preserve">N35DC   </v>
      </c>
      <c r="N8465">
        <v>1</v>
      </c>
      <c r="O8465">
        <v>1700</v>
      </c>
    </row>
    <row r="8466" spans="1:15" x14ac:dyDescent="0.25">
      <c r="A8466" t="str">
        <f>"10/21/2020 19:13:07.656"</f>
        <v>10/21/2020 19:13:07.656</v>
      </c>
      <c r="B8466" t="str">
        <f>"19:13:15.617"</f>
        <v>19:13:15.617</v>
      </c>
      <c r="C8466" t="str">
        <f>"19:13:15.317"</f>
        <v>19:13:15.317</v>
      </c>
      <c r="D8466" t="s">
        <v>3311</v>
      </c>
      <c r="E8466">
        <v>30.521070999999999</v>
      </c>
      <c r="F8466" t="s">
        <v>3312</v>
      </c>
      <c r="G8466">
        <v>-89.822823999999997</v>
      </c>
      <c r="H8466">
        <v>1600</v>
      </c>
      <c r="I8466">
        <v>6</v>
      </c>
      <c r="J8466">
        <v>-156</v>
      </c>
      <c r="K8466">
        <v>-128</v>
      </c>
      <c r="L8466">
        <v>1200</v>
      </c>
      <c r="M8466" t="str">
        <f t="shared" si="798"/>
        <v xml:space="preserve">N35DC   </v>
      </c>
      <c r="N8466">
        <v>1</v>
      </c>
      <c r="O8466">
        <v>1700</v>
      </c>
    </row>
    <row r="8467" spans="1:15" x14ac:dyDescent="0.25">
      <c r="A8467" t="str">
        <f>"10/21/2020 19:13:07.656"</f>
        <v>10/21/2020 19:13:07.656</v>
      </c>
      <c r="B8467" t="str">
        <f>"19:13:15.617"</f>
        <v>19:13:15.617</v>
      </c>
      <c r="C8467" t="str">
        <f>"19:13:15.317"</f>
        <v>19:13:15.317</v>
      </c>
      <c r="D8467" t="s">
        <v>3311</v>
      </c>
      <c r="E8467">
        <v>30.521070999999999</v>
      </c>
      <c r="F8467" t="s">
        <v>3312</v>
      </c>
      <c r="G8467">
        <v>-89.822823999999997</v>
      </c>
      <c r="H8467">
        <v>1600</v>
      </c>
      <c r="I8467">
        <v>6</v>
      </c>
      <c r="J8467">
        <v>-156</v>
      </c>
      <c r="K8467">
        <v>-128</v>
      </c>
      <c r="L8467">
        <v>1200</v>
      </c>
      <c r="M8467" t="str">
        <f t="shared" si="798"/>
        <v xml:space="preserve">N35DC   </v>
      </c>
      <c r="N8467">
        <v>1</v>
      </c>
      <c r="O8467">
        <v>1700</v>
      </c>
    </row>
    <row r="8468" spans="1:15" x14ac:dyDescent="0.25">
      <c r="A8468" t="str">
        <f>"10/21/2020 19:13:07.656"</f>
        <v>10/21/2020 19:13:07.656</v>
      </c>
      <c r="B8468" t="str">
        <f>"19:13:15.617"</f>
        <v>19:13:15.617</v>
      </c>
      <c r="C8468" t="str">
        <f>"19:13:15.317"</f>
        <v>19:13:15.317</v>
      </c>
      <c r="D8468" t="s">
        <v>3311</v>
      </c>
      <c r="E8468">
        <v>30.521070999999999</v>
      </c>
      <c r="F8468" t="s">
        <v>3312</v>
      </c>
      <c r="G8468">
        <v>-89.822823999999997</v>
      </c>
      <c r="H8468">
        <v>1600</v>
      </c>
      <c r="I8468">
        <v>6</v>
      </c>
      <c r="J8468">
        <v>-156</v>
      </c>
      <c r="K8468">
        <v>-128</v>
      </c>
      <c r="L8468">
        <v>1200</v>
      </c>
      <c r="M8468" t="str">
        <f t="shared" si="798"/>
        <v xml:space="preserve">N35DC   </v>
      </c>
      <c r="N8468">
        <v>1</v>
      </c>
      <c r="O8468">
        <v>1700</v>
      </c>
    </row>
    <row r="8469" spans="1:15" x14ac:dyDescent="0.25">
      <c r="A8469" t="str">
        <f>"10/21/2020 19:13:07.656"</f>
        <v>10/21/2020 19:13:07.656</v>
      </c>
      <c r="B8469" t="str">
        <f>"19:13:15.617"</f>
        <v>19:13:15.617</v>
      </c>
      <c r="C8469" t="str">
        <f>"19:13:15.317"</f>
        <v>19:13:15.317</v>
      </c>
      <c r="D8469" t="s">
        <v>3311</v>
      </c>
      <c r="E8469">
        <v>30.521070999999999</v>
      </c>
      <c r="F8469" t="s">
        <v>3312</v>
      </c>
      <c r="G8469">
        <v>-89.822823999999997</v>
      </c>
      <c r="H8469">
        <v>1600</v>
      </c>
      <c r="I8469">
        <v>6</v>
      </c>
      <c r="J8469">
        <v>-156</v>
      </c>
      <c r="K8469">
        <v>-128</v>
      </c>
      <c r="L8469">
        <v>1200</v>
      </c>
      <c r="M8469" t="str">
        <f t="shared" si="798"/>
        <v xml:space="preserve">N35DC   </v>
      </c>
      <c r="N8469">
        <v>1</v>
      </c>
      <c r="O8469">
        <v>1700</v>
      </c>
    </row>
    <row r="8470" spans="1:15" x14ac:dyDescent="0.25">
      <c r="A8470" t="str">
        <f>"10/21/2020 19:13:08.705"</f>
        <v>10/21/2020 19:13:08.705</v>
      </c>
      <c r="B8470" t="str">
        <f>"19:13:16.672"</f>
        <v>19:13:16.672</v>
      </c>
      <c r="C8470" t="str">
        <f>"19:13:16.372"</f>
        <v>19:13:16.372</v>
      </c>
      <c r="D8470" t="s">
        <v>3313</v>
      </c>
      <c r="E8470">
        <v>30.520298</v>
      </c>
      <c r="F8470" t="s">
        <v>3160</v>
      </c>
      <c r="G8470">
        <v>-89.822781000000006</v>
      </c>
      <c r="H8470">
        <v>1600</v>
      </c>
      <c r="I8470">
        <v>6</v>
      </c>
      <c r="J8470">
        <v>-155</v>
      </c>
      <c r="K8470">
        <v>0</v>
      </c>
      <c r="L8470">
        <v>1200</v>
      </c>
      <c r="M8470" t="str">
        <f t="shared" si="798"/>
        <v xml:space="preserve">N35DC   </v>
      </c>
      <c r="N8470">
        <v>1</v>
      </c>
      <c r="O8470">
        <v>1700</v>
      </c>
    </row>
    <row r="8471" spans="1:15" x14ac:dyDescent="0.25">
      <c r="A8471" t="str">
        <f>"10/21/2020 19:13:08.705"</f>
        <v>10/21/2020 19:13:08.705</v>
      </c>
      <c r="B8471" t="str">
        <f>"19:13:16.672"</f>
        <v>19:13:16.672</v>
      </c>
      <c r="C8471" t="str">
        <f>"19:13:16.372"</f>
        <v>19:13:16.372</v>
      </c>
      <c r="D8471" t="s">
        <v>3313</v>
      </c>
      <c r="E8471">
        <v>30.520298</v>
      </c>
      <c r="F8471" t="s">
        <v>3160</v>
      </c>
      <c r="G8471">
        <v>-89.822781000000006</v>
      </c>
      <c r="H8471">
        <v>1600</v>
      </c>
      <c r="I8471">
        <v>6</v>
      </c>
      <c r="J8471">
        <v>-155</v>
      </c>
      <c r="K8471">
        <v>0</v>
      </c>
      <c r="L8471">
        <v>1200</v>
      </c>
      <c r="M8471" t="str">
        <f t="shared" si="798"/>
        <v xml:space="preserve">N35DC   </v>
      </c>
      <c r="N8471">
        <v>1</v>
      </c>
      <c r="O8471">
        <v>1700</v>
      </c>
    </row>
    <row r="8472" spans="1:15" x14ac:dyDescent="0.25">
      <c r="A8472" t="str">
        <f>"10/21/2020 19:13:08.705"</f>
        <v>10/21/2020 19:13:08.705</v>
      </c>
      <c r="B8472" t="str">
        <f>"19:13:16.672"</f>
        <v>19:13:16.672</v>
      </c>
      <c r="C8472" t="str">
        <f>"19:13:16.372"</f>
        <v>19:13:16.372</v>
      </c>
      <c r="D8472" t="s">
        <v>3313</v>
      </c>
      <c r="E8472">
        <v>30.520298</v>
      </c>
      <c r="F8472" t="s">
        <v>3160</v>
      </c>
      <c r="G8472">
        <v>-89.822781000000006</v>
      </c>
      <c r="H8472">
        <v>1600</v>
      </c>
      <c r="I8472">
        <v>6</v>
      </c>
      <c r="J8472">
        <v>-155</v>
      </c>
      <c r="K8472">
        <v>0</v>
      </c>
      <c r="L8472">
        <v>1200</v>
      </c>
      <c r="M8472" t="str">
        <f t="shared" si="798"/>
        <v xml:space="preserve">N35DC   </v>
      </c>
      <c r="N8472">
        <v>1</v>
      </c>
      <c r="O8472">
        <v>1700</v>
      </c>
    </row>
    <row r="8473" spans="1:15" x14ac:dyDescent="0.25">
      <c r="A8473" t="str">
        <f>"10/21/2020 19:13:08.705"</f>
        <v>10/21/2020 19:13:08.705</v>
      </c>
      <c r="B8473" t="str">
        <f>"19:13:16.672"</f>
        <v>19:13:16.672</v>
      </c>
      <c r="C8473" t="str">
        <f>"19:13:16.372"</f>
        <v>19:13:16.372</v>
      </c>
      <c r="D8473" t="s">
        <v>3313</v>
      </c>
      <c r="E8473">
        <v>30.520298</v>
      </c>
      <c r="F8473" t="s">
        <v>3160</v>
      </c>
      <c r="G8473">
        <v>-89.822781000000006</v>
      </c>
      <c r="H8473">
        <v>1600</v>
      </c>
      <c r="I8473">
        <v>6</v>
      </c>
      <c r="J8473">
        <v>-155</v>
      </c>
      <c r="K8473">
        <v>0</v>
      </c>
      <c r="L8473">
        <v>1200</v>
      </c>
      <c r="M8473" t="str">
        <f t="shared" si="798"/>
        <v xml:space="preserve">N35DC   </v>
      </c>
      <c r="N8473">
        <v>1</v>
      </c>
      <c r="O8473">
        <v>1700</v>
      </c>
    </row>
    <row r="8474" spans="1:15" x14ac:dyDescent="0.25">
      <c r="A8474" t="str">
        <f>"10/21/2020 19:13:08.705"</f>
        <v>10/21/2020 19:13:08.705</v>
      </c>
      <c r="B8474" t="str">
        <f>"19:13:16.672"</f>
        <v>19:13:16.672</v>
      </c>
      <c r="C8474" t="str">
        <f>"19:13:16.372"</f>
        <v>19:13:16.372</v>
      </c>
      <c r="D8474" t="s">
        <v>3313</v>
      </c>
      <c r="E8474">
        <v>30.520298</v>
      </c>
      <c r="F8474" t="s">
        <v>3160</v>
      </c>
      <c r="G8474">
        <v>-89.822781000000006</v>
      </c>
      <c r="H8474">
        <v>1600</v>
      </c>
      <c r="I8474">
        <v>6</v>
      </c>
      <c r="J8474">
        <v>-155</v>
      </c>
      <c r="K8474">
        <v>0</v>
      </c>
      <c r="L8474">
        <v>1200</v>
      </c>
      <c r="M8474" t="str">
        <f t="shared" si="798"/>
        <v xml:space="preserve">N35DC   </v>
      </c>
      <c r="N8474">
        <v>1</v>
      </c>
      <c r="O8474">
        <v>1700</v>
      </c>
    </row>
    <row r="8475" spans="1:15" x14ac:dyDescent="0.25">
      <c r="A8475" t="str">
        <f>"10/21/2020 19:13:11.644"</f>
        <v>10/21/2020 19:13:11.644</v>
      </c>
      <c r="B8475" t="str">
        <f>"19:13:19.594"</f>
        <v>19:13:19.594</v>
      </c>
      <c r="C8475" t="str">
        <f>"19:13:19.294"</f>
        <v>19:13:19.294</v>
      </c>
      <c r="D8475" t="s">
        <v>3314</v>
      </c>
      <c r="E8475">
        <v>30.518196</v>
      </c>
      <c r="F8475" t="s">
        <v>2790</v>
      </c>
      <c r="G8475">
        <v>-89.822716999999997</v>
      </c>
      <c r="H8475">
        <v>1600</v>
      </c>
      <c r="I8475">
        <v>8</v>
      </c>
      <c r="J8475">
        <v>-154</v>
      </c>
      <c r="K8475">
        <v>128</v>
      </c>
      <c r="L8475">
        <v>1200</v>
      </c>
      <c r="M8475" t="str">
        <f t="shared" si="798"/>
        <v xml:space="preserve">N35DC   </v>
      </c>
      <c r="N8475">
        <v>1</v>
      </c>
      <c r="O8475">
        <v>1700</v>
      </c>
    </row>
    <row r="8476" spans="1:15" x14ac:dyDescent="0.25">
      <c r="A8476" t="str">
        <f>"10/21/2020 19:13:11.644"</f>
        <v>10/21/2020 19:13:11.644</v>
      </c>
      <c r="B8476" t="str">
        <f>"19:13:19.594"</f>
        <v>19:13:19.594</v>
      </c>
      <c r="C8476" t="str">
        <f>"19:13:19.294"</f>
        <v>19:13:19.294</v>
      </c>
      <c r="D8476" t="s">
        <v>3314</v>
      </c>
      <c r="E8476">
        <v>30.518196</v>
      </c>
      <c r="F8476" t="s">
        <v>2790</v>
      </c>
      <c r="G8476">
        <v>-89.822716999999997</v>
      </c>
      <c r="H8476">
        <v>1600</v>
      </c>
      <c r="I8476">
        <v>8</v>
      </c>
      <c r="J8476">
        <v>-154</v>
      </c>
      <c r="K8476">
        <v>128</v>
      </c>
      <c r="L8476">
        <v>1200</v>
      </c>
      <c r="M8476" t="str">
        <f t="shared" si="798"/>
        <v xml:space="preserve">N35DC   </v>
      </c>
      <c r="N8476">
        <v>1</v>
      </c>
      <c r="O8476">
        <v>1700</v>
      </c>
    </row>
    <row r="8477" spans="1:15" x14ac:dyDescent="0.25">
      <c r="A8477" t="str">
        <f>"10/21/2020 19:13:11.644"</f>
        <v>10/21/2020 19:13:11.644</v>
      </c>
      <c r="B8477" t="str">
        <f>"19:13:19.594"</f>
        <v>19:13:19.594</v>
      </c>
      <c r="C8477" t="str">
        <f>"19:13:19.294"</f>
        <v>19:13:19.294</v>
      </c>
      <c r="D8477" t="s">
        <v>3314</v>
      </c>
      <c r="E8477">
        <v>30.518196</v>
      </c>
      <c r="F8477" t="s">
        <v>2790</v>
      </c>
      <c r="G8477">
        <v>-89.822716999999997</v>
      </c>
      <c r="H8477">
        <v>1600</v>
      </c>
      <c r="I8477">
        <v>8</v>
      </c>
      <c r="J8477">
        <v>-154</v>
      </c>
      <c r="K8477">
        <v>128</v>
      </c>
      <c r="L8477">
        <v>1200</v>
      </c>
      <c r="M8477" t="str">
        <f t="shared" si="798"/>
        <v xml:space="preserve">N35DC   </v>
      </c>
      <c r="N8477">
        <v>1</v>
      </c>
      <c r="O8477">
        <v>1700</v>
      </c>
    </row>
    <row r="8478" spans="1:15" x14ac:dyDescent="0.25">
      <c r="A8478" t="str">
        <f>"10/21/2020 19:13:11.644"</f>
        <v>10/21/2020 19:13:11.644</v>
      </c>
      <c r="B8478" t="str">
        <f>"19:13:19.594"</f>
        <v>19:13:19.594</v>
      </c>
      <c r="C8478" t="str">
        <f>"19:13:19.294"</f>
        <v>19:13:19.294</v>
      </c>
      <c r="D8478" t="s">
        <v>3314</v>
      </c>
      <c r="E8478">
        <v>30.518196</v>
      </c>
      <c r="F8478" t="s">
        <v>2790</v>
      </c>
      <c r="G8478">
        <v>-89.822716999999997</v>
      </c>
      <c r="H8478">
        <v>1600</v>
      </c>
      <c r="I8478">
        <v>8</v>
      </c>
      <c r="J8478">
        <v>-154</v>
      </c>
      <c r="K8478">
        <v>128</v>
      </c>
      <c r="L8478">
        <v>1200</v>
      </c>
      <c r="M8478" t="str">
        <f t="shared" si="798"/>
        <v xml:space="preserve">N35DC   </v>
      </c>
      <c r="N8478">
        <v>1</v>
      </c>
      <c r="O8478">
        <v>1700</v>
      </c>
    </row>
    <row r="8479" spans="1:15" x14ac:dyDescent="0.25">
      <c r="A8479" t="str">
        <f>"10/21/2020 19:13:11.644"</f>
        <v>10/21/2020 19:13:11.644</v>
      </c>
      <c r="B8479" t="str">
        <f>"19:13:19.594"</f>
        <v>19:13:19.594</v>
      </c>
      <c r="C8479" t="str">
        <f>"19:13:19.294"</f>
        <v>19:13:19.294</v>
      </c>
      <c r="D8479" t="s">
        <v>3314</v>
      </c>
      <c r="E8479">
        <v>30.518196</v>
      </c>
      <c r="F8479" t="s">
        <v>2790</v>
      </c>
      <c r="G8479">
        <v>-89.822716999999997</v>
      </c>
      <c r="H8479">
        <v>1600</v>
      </c>
      <c r="I8479">
        <v>8</v>
      </c>
      <c r="J8479">
        <v>-154</v>
      </c>
      <c r="K8479">
        <v>128</v>
      </c>
      <c r="L8479">
        <v>1200</v>
      </c>
      <c r="M8479" t="str">
        <f t="shared" si="798"/>
        <v xml:space="preserve">N35DC   </v>
      </c>
      <c r="N8479">
        <v>1</v>
      </c>
      <c r="O8479">
        <v>1700</v>
      </c>
    </row>
    <row r="8480" spans="1:15" x14ac:dyDescent="0.25">
      <c r="A8480" t="str">
        <f>"10/21/2020 19:13:12.848"</f>
        <v>10/21/2020 19:13:12.848</v>
      </c>
      <c r="B8480" t="str">
        <f>"19:13:20.781"</f>
        <v>19:13:20.781</v>
      </c>
      <c r="C8480" t="str">
        <f>"19:13:20.281"</f>
        <v>19:13:20.281</v>
      </c>
      <c r="D8480" t="s">
        <v>3315</v>
      </c>
      <c r="E8480">
        <v>30.517358999999999</v>
      </c>
      <c r="F8480" t="s">
        <v>3316</v>
      </c>
      <c r="G8480">
        <v>-89.822652000000005</v>
      </c>
      <c r="H8480">
        <v>1600</v>
      </c>
      <c r="I8480">
        <v>8</v>
      </c>
      <c r="J8480">
        <v>-154</v>
      </c>
      <c r="K8480">
        <v>0</v>
      </c>
      <c r="L8480">
        <v>1200</v>
      </c>
      <c r="M8480" t="str">
        <f t="shared" si="798"/>
        <v xml:space="preserve">N35DC   </v>
      </c>
      <c r="N8480">
        <v>1</v>
      </c>
      <c r="O8480">
        <v>1700</v>
      </c>
    </row>
    <row r="8481" spans="1:15" x14ac:dyDescent="0.25">
      <c r="A8481" t="str">
        <f>"10/21/2020 19:13:12.848"</f>
        <v>10/21/2020 19:13:12.848</v>
      </c>
      <c r="B8481" t="str">
        <f>"19:13:20.781"</f>
        <v>19:13:20.781</v>
      </c>
      <c r="C8481" t="str">
        <f>"19:13:20.281"</f>
        <v>19:13:20.281</v>
      </c>
      <c r="D8481" t="s">
        <v>3315</v>
      </c>
      <c r="E8481">
        <v>30.517358999999999</v>
      </c>
      <c r="F8481" t="s">
        <v>3316</v>
      </c>
      <c r="G8481">
        <v>-89.822652000000005</v>
      </c>
      <c r="H8481">
        <v>1600</v>
      </c>
      <c r="I8481">
        <v>8</v>
      </c>
      <c r="J8481">
        <v>-154</v>
      </c>
      <c r="K8481">
        <v>0</v>
      </c>
      <c r="L8481">
        <v>1200</v>
      </c>
      <c r="M8481" t="str">
        <f t="shared" si="798"/>
        <v xml:space="preserve">N35DC   </v>
      </c>
      <c r="N8481">
        <v>1</v>
      </c>
      <c r="O8481">
        <v>1700</v>
      </c>
    </row>
    <row r="8482" spans="1:15" x14ac:dyDescent="0.25">
      <c r="A8482" t="str">
        <f>"10/21/2020 19:13:12.848"</f>
        <v>10/21/2020 19:13:12.848</v>
      </c>
      <c r="B8482" t="str">
        <f>"19:13:20.781"</f>
        <v>19:13:20.781</v>
      </c>
      <c r="C8482" t="str">
        <f>"19:13:20.281"</f>
        <v>19:13:20.281</v>
      </c>
      <c r="D8482" t="s">
        <v>3315</v>
      </c>
      <c r="E8482">
        <v>30.517358999999999</v>
      </c>
      <c r="F8482" t="s">
        <v>3316</v>
      </c>
      <c r="G8482">
        <v>-89.822652000000005</v>
      </c>
      <c r="H8482">
        <v>1600</v>
      </c>
      <c r="I8482">
        <v>8</v>
      </c>
      <c r="J8482">
        <v>-154</v>
      </c>
      <c r="K8482">
        <v>0</v>
      </c>
      <c r="L8482">
        <v>1200</v>
      </c>
      <c r="M8482" t="str">
        <f t="shared" si="798"/>
        <v xml:space="preserve">N35DC   </v>
      </c>
      <c r="N8482">
        <v>1</v>
      </c>
      <c r="O8482">
        <v>1700</v>
      </c>
    </row>
    <row r="8483" spans="1:15" x14ac:dyDescent="0.25">
      <c r="A8483" t="str">
        <f>"10/21/2020 19:13:12.848"</f>
        <v>10/21/2020 19:13:12.848</v>
      </c>
      <c r="B8483" t="str">
        <f>"19:13:20.781"</f>
        <v>19:13:20.781</v>
      </c>
      <c r="C8483" t="str">
        <f>"19:13:20.281"</f>
        <v>19:13:20.281</v>
      </c>
      <c r="D8483" t="s">
        <v>3315</v>
      </c>
      <c r="E8483">
        <v>30.517358999999999</v>
      </c>
      <c r="F8483" t="s">
        <v>3316</v>
      </c>
      <c r="G8483">
        <v>-89.822652000000005</v>
      </c>
      <c r="H8483">
        <v>1600</v>
      </c>
      <c r="I8483">
        <v>8</v>
      </c>
      <c r="J8483">
        <v>-154</v>
      </c>
      <c r="K8483">
        <v>0</v>
      </c>
      <c r="L8483">
        <v>1200</v>
      </c>
      <c r="M8483" t="str">
        <f t="shared" si="798"/>
        <v xml:space="preserve">N35DC   </v>
      </c>
      <c r="N8483">
        <v>1</v>
      </c>
      <c r="O8483">
        <v>1700</v>
      </c>
    </row>
    <row r="8484" spans="1:15" x14ac:dyDescent="0.25">
      <c r="A8484" t="str">
        <f>"10/21/2020 19:13:12.848"</f>
        <v>10/21/2020 19:13:12.848</v>
      </c>
      <c r="B8484" t="str">
        <f>"19:13:20.781"</f>
        <v>19:13:20.781</v>
      </c>
      <c r="C8484" t="str">
        <f>"19:13:20.281"</f>
        <v>19:13:20.281</v>
      </c>
      <c r="D8484" t="s">
        <v>3315</v>
      </c>
      <c r="E8484">
        <v>30.517358999999999</v>
      </c>
      <c r="F8484" t="s">
        <v>3316</v>
      </c>
      <c r="G8484">
        <v>-89.822652000000005</v>
      </c>
      <c r="H8484">
        <v>1600</v>
      </c>
      <c r="I8484">
        <v>8</v>
      </c>
      <c r="J8484">
        <v>-154</v>
      </c>
      <c r="K8484">
        <v>0</v>
      </c>
      <c r="L8484">
        <v>1200</v>
      </c>
      <c r="M8484" t="str">
        <f t="shared" si="798"/>
        <v xml:space="preserve">N35DC   </v>
      </c>
      <c r="N8484">
        <v>1</v>
      </c>
      <c r="O8484">
        <v>1700</v>
      </c>
    </row>
    <row r="8485" spans="1:15" x14ac:dyDescent="0.25">
      <c r="A8485" t="str">
        <f>"10/21/2020 19:13:15.826"</f>
        <v>10/21/2020 19:13:15.826</v>
      </c>
      <c r="B8485" t="str">
        <f>"19:13:23.781"</f>
        <v>19:13:23.781</v>
      </c>
      <c r="C8485" t="str">
        <f>"19:13:23.281"</f>
        <v>19:13:23.281</v>
      </c>
      <c r="D8485" t="s">
        <v>3317</v>
      </c>
      <c r="E8485">
        <v>30.515234</v>
      </c>
      <c r="F8485" t="s">
        <v>3318</v>
      </c>
      <c r="G8485">
        <v>-89.822524000000001</v>
      </c>
      <c r="H8485">
        <v>1600</v>
      </c>
      <c r="I8485">
        <v>7</v>
      </c>
      <c r="J8485">
        <v>-154</v>
      </c>
      <c r="K8485">
        <v>64</v>
      </c>
      <c r="L8485">
        <v>1200</v>
      </c>
      <c r="M8485" t="str">
        <f t="shared" si="798"/>
        <v xml:space="preserve">N35DC   </v>
      </c>
      <c r="N8485">
        <v>1</v>
      </c>
      <c r="O8485">
        <v>1700</v>
      </c>
    </row>
    <row r="8486" spans="1:15" x14ac:dyDescent="0.25">
      <c r="A8486" t="str">
        <f>"10/21/2020 19:13:15.826"</f>
        <v>10/21/2020 19:13:15.826</v>
      </c>
      <c r="B8486" t="str">
        <f>"19:13:23.781"</f>
        <v>19:13:23.781</v>
      </c>
      <c r="C8486" t="str">
        <f>"19:13:23.281"</f>
        <v>19:13:23.281</v>
      </c>
      <c r="D8486" t="s">
        <v>3317</v>
      </c>
      <c r="E8486">
        <v>30.515234</v>
      </c>
      <c r="F8486" t="s">
        <v>3318</v>
      </c>
      <c r="G8486">
        <v>-89.822524000000001</v>
      </c>
      <c r="H8486">
        <v>1600</v>
      </c>
      <c r="I8486">
        <v>7</v>
      </c>
      <c r="J8486">
        <v>-154</v>
      </c>
      <c r="K8486">
        <v>64</v>
      </c>
      <c r="L8486">
        <v>1200</v>
      </c>
      <c r="M8486" t="str">
        <f t="shared" si="798"/>
        <v xml:space="preserve">N35DC   </v>
      </c>
      <c r="N8486">
        <v>1</v>
      </c>
      <c r="O8486">
        <v>1700</v>
      </c>
    </row>
    <row r="8487" spans="1:15" x14ac:dyDescent="0.25">
      <c r="A8487" t="str">
        <f>"10/21/2020 19:13:15.826"</f>
        <v>10/21/2020 19:13:15.826</v>
      </c>
      <c r="B8487" t="str">
        <f>"19:13:23.781"</f>
        <v>19:13:23.781</v>
      </c>
      <c r="C8487" t="str">
        <f>"19:13:23.281"</f>
        <v>19:13:23.281</v>
      </c>
      <c r="D8487" t="s">
        <v>3317</v>
      </c>
      <c r="E8487">
        <v>30.515234</v>
      </c>
      <c r="F8487" t="s">
        <v>3318</v>
      </c>
      <c r="G8487">
        <v>-89.822524000000001</v>
      </c>
      <c r="H8487">
        <v>1600</v>
      </c>
      <c r="I8487">
        <v>7</v>
      </c>
      <c r="J8487">
        <v>-154</v>
      </c>
      <c r="K8487">
        <v>64</v>
      </c>
      <c r="L8487">
        <v>1200</v>
      </c>
      <c r="M8487" t="str">
        <f t="shared" si="798"/>
        <v xml:space="preserve">N35DC   </v>
      </c>
      <c r="N8487">
        <v>1</v>
      </c>
      <c r="O8487">
        <v>1700</v>
      </c>
    </row>
    <row r="8488" spans="1:15" x14ac:dyDescent="0.25">
      <c r="A8488" t="str">
        <f>"10/21/2020 19:13:15.826"</f>
        <v>10/21/2020 19:13:15.826</v>
      </c>
      <c r="B8488" t="str">
        <f>"19:13:23.781"</f>
        <v>19:13:23.781</v>
      </c>
      <c r="C8488" t="str">
        <f>"19:13:23.281"</f>
        <v>19:13:23.281</v>
      </c>
      <c r="D8488" t="s">
        <v>3317</v>
      </c>
      <c r="E8488">
        <v>30.515234</v>
      </c>
      <c r="F8488" t="s">
        <v>3318</v>
      </c>
      <c r="G8488">
        <v>-89.822524000000001</v>
      </c>
      <c r="H8488">
        <v>1600</v>
      </c>
      <c r="I8488">
        <v>7</v>
      </c>
      <c r="J8488">
        <v>-154</v>
      </c>
      <c r="K8488">
        <v>64</v>
      </c>
      <c r="L8488">
        <v>1200</v>
      </c>
      <c r="M8488" t="str">
        <f t="shared" si="798"/>
        <v xml:space="preserve">N35DC   </v>
      </c>
      <c r="N8488">
        <v>1</v>
      </c>
      <c r="O8488">
        <v>1700</v>
      </c>
    </row>
    <row r="8489" spans="1:15" x14ac:dyDescent="0.25">
      <c r="A8489" t="str">
        <f>"10/21/2020 19:13:15.826"</f>
        <v>10/21/2020 19:13:15.826</v>
      </c>
      <c r="B8489" t="str">
        <f>"19:13:23.781"</f>
        <v>19:13:23.781</v>
      </c>
      <c r="C8489" t="str">
        <f>"19:13:23.281"</f>
        <v>19:13:23.281</v>
      </c>
      <c r="D8489" t="s">
        <v>3317</v>
      </c>
      <c r="E8489">
        <v>30.515234</v>
      </c>
      <c r="F8489" t="s">
        <v>3318</v>
      </c>
      <c r="G8489">
        <v>-89.822524000000001</v>
      </c>
      <c r="H8489">
        <v>1600</v>
      </c>
      <c r="I8489">
        <v>7</v>
      </c>
      <c r="J8489">
        <v>-154</v>
      </c>
      <c r="K8489">
        <v>64</v>
      </c>
      <c r="L8489">
        <v>1200</v>
      </c>
      <c r="M8489" t="str">
        <f t="shared" si="798"/>
        <v xml:space="preserve">N35DC   </v>
      </c>
      <c r="N8489">
        <v>1</v>
      </c>
      <c r="O8489">
        <v>1700</v>
      </c>
    </row>
    <row r="8490" spans="1:15" x14ac:dyDescent="0.25">
      <c r="A8490" t="str">
        <f>"10/21/2020 19:13:16.804"</f>
        <v>10/21/2020 19:13:16.804</v>
      </c>
      <c r="B8490" t="str">
        <f>"19:13:24.766"</f>
        <v>19:13:24.766</v>
      </c>
      <c r="C8490" t="str">
        <f>"19:13:24.466"</f>
        <v>19:13:24.466</v>
      </c>
      <c r="D8490" t="s">
        <v>3319</v>
      </c>
      <c r="E8490">
        <v>30.514526</v>
      </c>
      <c r="F8490" t="s">
        <v>3318</v>
      </c>
      <c r="G8490">
        <v>-89.822524000000001</v>
      </c>
      <c r="H8490">
        <v>1600</v>
      </c>
      <c r="I8490">
        <v>7</v>
      </c>
      <c r="J8490">
        <v>-154</v>
      </c>
      <c r="K8490">
        <v>128</v>
      </c>
      <c r="L8490">
        <v>1200</v>
      </c>
      <c r="M8490" t="str">
        <f t="shared" si="798"/>
        <v xml:space="preserve">N35DC   </v>
      </c>
      <c r="N8490">
        <v>1</v>
      </c>
      <c r="O8490">
        <v>1700</v>
      </c>
    </row>
    <row r="8491" spans="1:15" x14ac:dyDescent="0.25">
      <c r="A8491" t="str">
        <f>"10/21/2020 19:13:16.804"</f>
        <v>10/21/2020 19:13:16.804</v>
      </c>
      <c r="B8491" t="str">
        <f>"19:13:24.766"</f>
        <v>19:13:24.766</v>
      </c>
      <c r="C8491" t="str">
        <f>"19:13:24.466"</f>
        <v>19:13:24.466</v>
      </c>
      <c r="D8491" t="s">
        <v>3319</v>
      </c>
      <c r="E8491">
        <v>30.514526</v>
      </c>
      <c r="F8491" t="s">
        <v>3318</v>
      </c>
      <c r="G8491">
        <v>-89.822524000000001</v>
      </c>
      <c r="H8491">
        <v>1600</v>
      </c>
      <c r="I8491">
        <v>7</v>
      </c>
      <c r="J8491">
        <v>-154</v>
      </c>
      <c r="K8491">
        <v>128</v>
      </c>
      <c r="L8491">
        <v>1200</v>
      </c>
      <c r="M8491" t="str">
        <f t="shared" si="798"/>
        <v xml:space="preserve">N35DC   </v>
      </c>
      <c r="N8491">
        <v>1</v>
      </c>
      <c r="O8491">
        <v>1700</v>
      </c>
    </row>
    <row r="8492" spans="1:15" x14ac:dyDescent="0.25">
      <c r="A8492" t="str">
        <f>"10/21/2020 19:13:16.804"</f>
        <v>10/21/2020 19:13:16.804</v>
      </c>
      <c r="B8492" t="str">
        <f>"19:13:24.766"</f>
        <v>19:13:24.766</v>
      </c>
      <c r="C8492" t="str">
        <f>"19:13:24.466"</f>
        <v>19:13:24.466</v>
      </c>
      <c r="D8492" t="s">
        <v>3319</v>
      </c>
      <c r="E8492">
        <v>30.514526</v>
      </c>
      <c r="F8492" t="s">
        <v>3318</v>
      </c>
      <c r="G8492">
        <v>-89.822524000000001</v>
      </c>
      <c r="H8492">
        <v>1600</v>
      </c>
      <c r="I8492">
        <v>7</v>
      </c>
      <c r="J8492">
        <v>-154</v>
      </c>
      <c r="K8492">
        <v>128</v>
      </c>
      <c r="L8492">
        <v>1200</v>
      </c>
      <c r="M8492" t="str">
        <f t="shared" si="798"/>
        <v xml:space="preserve">N35DC   </v>
      </c>
      <c r="N8492">
        <v>1</v>
      </c>
      <c r="O8492">
        <v>1700</v>
      </c>
    </row>
    <row r="8493" spans="1:15" x14ac:dyDescent="0.25">
      <c r="A8493" t="str">
        <f>"10/21/2020 19:13:16.804"</f>
        <v>10/21/2020 19:13:16.804</v>
      </c>
      <c r="B8493" t="str">
        <f>"19:13:24.766"</f>
        <v>19:13:24.766</v>
      </c>
      <c r="C8493" t="str">
        <f>"19:13:24.466"</f>
        <v>19:13:24.466</v>
      </c>
      <c r="D8493" t="s">
        <v>3319</v>
      </c>
      <c r="E8493">
        <v>30.514526</v>
      </c>
      <c r="F8493" t="s">
        <v>3318</v>
      </c>
      <c r="G8493">
        <v>-89.822524000000001</v>
      </c>
      <c r="H8493">
        <v>1600</v>
      </c>
      <c r="I8493">
        <v>7</v>
      </c>
      <c r="J8493">
        <v>-154</v>
      </c>
      <c r="K8493">
        <v>128</v>
      </c>
      <c r="L8493">
        <v>1200</v>
      </c>
      <c r="M8493" t="str">
        <f t="shared" si="798"/>
        <v xml:space="preserve">N35DC   </v>
      </c>
      <c r="N8493">
        <v>1</v>
      </c>
      <c r="O8493">
        <v>1700</v>
      </c>
    </row>
    <row r="8494" spans="1:15" x14ac:dyDescent="0.25">
      <c r="A8494" t="str">
        <f>"10/21/2020 19:13:16.804"</f>
        <v>10/21/2020 19:13:16.804</v>
      </c>
      <c r="B8494" t="str">
        <f>"19:13:24.766"</f>
        <v>19:13:24.766</v>
      </c>
      <c r="C8494" t="str">
        <f>"19:13:24.466"</f>
        <v>19:13:24.466</v>
      </c>
      <c r="D8494" t="s">
        <v>3319</v>
      </c>
      <c r="E8494">
        <v>30.514526</v>
      </c>
      <c r="F8494" t="s">
        <v>3318</v>
      </c>
      <c r="G8494">
        <v>-89.822524000000001</v>
      </c>
      <c r="H8494">
        <v>1600</v>
      </c>
      <c r="I8494">
        <v>7</v>
      </c>
      <c r="J8494">
        <v>-154</v>
      </c>
      <c r="K8494">
        <v>128</v>
      </c>
      <c r="L8494">
        <v>1200</v>
      </c>
      <c r="M8494" t="str">
        <f t="shared" si="798"/>
        <v xml:space="preserve">N35DC   </v>
      </c>
      <c r="N8494">
        <v>1</v>
      </c>
      <c r="O8494">
        <v>1700</v>
      </c>
    </row>
    <row r="8495" spans="1:15" x14ac:dyDescent="0.25">
      <c r="A8495" t="str">
        <f>"10/21/2020 19:13:17.766"</f>
        <v>10/21/2020 19:13:17.766</v>
      </c>
      <c r="B8495" t="str">
        <f>"19:13:25.711"</f>
        <v>19:13:25.711</v>
      </c>
      <c r="C8495" t="str">
        <f>"19:13:25.611"</f>
        <v>19:13:25.611</v>
      </c>
      <c r="D8495" t="s">
        <v>3320</v>
      </c>
      <c r="E8495">
        <v>30.513839999999998</v>
      </c>
      <c r="F8495" t="s">
        <v>3321</v>
      </c>
      <c r="G8495">
        <v>-89.822502</v>
      </c>
      <c r="H8495">
        <v>1600</v>
      </c>
      <c r="I8495">
        <v>6</v>
      </c>
      <c r="J8495">
        <v>-154</v>
      </c>
      <c r="K8495">
        <v>0</v>
      </c>
      <c r="L8495">
        <v>1200</v>
      </c>
      <c r="M8495" t="str">
        <f t="shared" si="798"/>
        <v xml:space="preserve">N35DC   </v>
      </c>
      <c r="N8495">
        <v>1</v>
      </c>
      <c r="O8495">
        <v>1700</v>
      </c>
    </row>
    <row r="8496" spans="1:15" x14ac:dyDescent="0.25">
      <c r="A8496" t="str">
        <f>"10/21/2020 19:13:17.766"</f>
        <v>10/21/2020 19:13:17.766</v>
      </c>
      <c r="B8496" t="str">
        <f>"19:13:25.711"</f>
        <v>19:13:25.711</v>
      </c>
      <c r="C8496" t="str">
        <f>"19:13:25.611"</f>
        <v>19:13:25.611</v>
      </c>
      <c r="D8496" t="s">
        <v>3320</v>
      </c>
      <c r="E8496">
        <v>30.513839999999998</v>
      </c>
      <c r="F8496" t="s">
        <v>3321</v>
      </c>
      <c r="G8496">
        <v>-89.822502</v>
      </c>
      <c r="H8496">
        <v>1600</v>
      </c>
      <c r="I8496">
        <v>6</v>
      </c>
      <c r="J8496">
        <v>-154</v>
      </c>
      <c r="K8496">
        <v>0</v>
      </c>
      <c r="L8496">
        <v>1200</v>
      </c>
      <c r="M8496" t="str">
        <f t="shared" si="798"/>
        <v xml:space="preserve">N35DC   </v>
      </c>
      <c r="N8496">
        <v>1</v>
      </c>
      <c r="O8496">
        <v>1700</v>
      </c>
    </row>
    <row r="8497" spans="1:15" x14ac:dyDescent="0.25">
      <c r="A8497" t="str">
        <f>"10/21/2020 19:13:17.766"</f>
        <v>10/21/2020 19:13:17.766</v>
      </c>
      <c r="B8497" t="str">
        <f>"19:13:25.711"</f>
        <v>19:13:25.711</v>
      </c>
      <c r="C8497" t="str">
        <f>"19:13:25.611"</f>
        <v>19:13:25.611</v>
      </c>
      <c r="D8497" t="s">
        <v>3320</v>
      </c>
      <c r="E8497">
        <v>30.513839999999998</v>
      </c>
      <c r="F8497" t="s">
        <v>3321</v>
      </c>
      <c r="G8497">
        <v>-89.822502</v>
      </c>
      <c r="H8497">
        <v>1600</v>
      </c>
      <c r="I8497">
        <v>6</v>
      </c>
      <c r="J8497">
        <v>-154</v>
      </c>
      <c r="K8497">
        <v>0</v>
      </c>
      <c r="L8497">
        <v>1200</v>
      </c>
      <c r="M8497" t="str">
        <f t="shared" si="798"/>
        <v xml:space="preserve">N35DC   </v>
      </c>
      <c r="N8497">
        <v>1</v>
      </c>
      <c r="O8497">
        <v>1700</v>
      </c>
    </row>
    <row r="8498" spans="1:15" x14ac:dyDescent="0.25">
      <c r="A8498" t="str">
        <f>"10/21/2020 19:13:17.766"</f>
        <v>10/21/2020 19:13:17.766</v>
      </c>
      <c r="B8498" t="str">
        <f>"19:13:25.711"</f>
        <v>19:13:25.711</v>
      </c>
      <c r="C8498" t="str">
        <f>"19:13:25.611"</f>
        <v>19:13:25.611</v>
      </c>
      <c r="D8498" t="s">
        <v>3320</v>
      </c>
      <c r="E8498">
        <v>30.513839999999998</v>
      </c>
      <c r="F8498" t="s">
        <v>3321</v>
      </c>
      <c r="G8498">
        <v>-89.822502</v>
      </c>
      <c r="H8498">
        <v>1600</v>
      </c>
      <c r="I8498">
        <v>6</v>
      </c>
      <c r="J8498">
        <v>-154</v>
      </c>
      <c r="K8498">
        <v>0</v>
      </c>
      <c r="L8498">
        <v>1200</v>
      </c>
      <c r="M8498" t="str">
        <f t="shared" si="798"/>
        <v xml:space="preserve">N35DC   </v>
      </c>
      <c r="N8498">
        <v>1</v>
      </c>
      <c r="O8498">
        <v>1700</v>
      </c>
    </row>
    <row r="8499" spans="1:15" x14ac:dyDescent="0.25">
      <c r="A8499" t="str">
        <f>"10/21/2020 19:13:17.766"</f>
        <v>10/21/2020 19:13:17.766</v>
      </c>
      <c r="B8499" t="str">
        <f>"19:13:25.711"</f>
        <v>19:13:25.711</v>
      </c>
      <c r="C8499" t="str">
        <f>"19:13:25.611"</f>
        <v>19:13:25.611</v>
      </c>
      <c r="D8499" t="s">
        <v>3320</v>
      </c>
      <c r="E8499">
        <v>30.513839999999998</v>
      </c>
      <c r="F8499" t="s">
        <v>3321</v>
      </c>
      <c r="G8499">
        <v>-89.822502</v>
      </c>
      <c r="H8499">
        <v>1600</v>
      </c>
      <c r="I8499">
        <v>6</v>
      </c>
      <c r="J8499">
        <v>-154</v>
      </c>
      <c r="K8499">
        <v>0</v>
      </c>
      <c r="L8499">
        <v>1200</v>
      </c>
      <c r="M8499" t="str">
        <f t="shared" si="798"/>
        <v xml:space="preserve">N35DC   </v>
      </c>
      <c r="N8499">
        <v>1</v>
      </c>
      <c r="O8499">
        <v>1700</v>
      </c>
    </row>
    <row r="8500" spans="1:15" x14ac:dyDescent="0.25">
      <c r="A8500" t="str">
        <f>"10/21/2020 19:13:18.760"</f>
        <v>10/21/2020 19:13:18.760</v>
      </c>
      <c r="B8500" t="str">
        <f>"19:13:26.719"</f>
        <v>19:13:26.719</v>
      </c>
      <c r="C8500" t="str">
        <f>"19:13:26.519"</f>
        <v>19:13:26.519</v>
      </c>
      <c r="D8500" t="s">
        <v>3322</v>
      </c>
      <c r="E8500">
        <v>30.513089000000001</v>
      </c>
      <c r="F8500" t="s">
        <v>3323</v>
      </c>
      <c r="G8500">
        <v>-89.822458999999995</v>
      </c>
      <c r="H8500">
        <v>1600</v>
      </c>
      <c r="I8500">
        <v>6</v>
      </c>
      <c r="J8500">
        <v>-154</v>
      </c>
      <c r="K8500">
        <v>0</v>
      </c>
      <c r="L8500">
        <v>1200</v>
      </c>
      <c r="M8500" t="str">
        <f t="shared" si="798"/>
        <v xml:space="preserve">N35DC   </v>
      </c>
      <c r="N8500">
        <v>1</v>
      </c>
      <c r="O8500">
        <v>1700</v>
      </c>
    </row>
    <row r="8501" spans="1:15" x14ac:dyDescent="0.25">
      <c r="A8501" t="str">
        <f>"10/21/2020 19:13:18.760"</f>
        <v>10/21/2020 19:13:18.760</v>
      </c>
      <c r="B8501" t="str">
        <f>"19:13:26.719"</f>
        <v>19:13:26.719</v>
      </c>
      <c r="C8501" t="str">
        <f>"19:13:26.519"</f>
        <v>19:13:26.519</v>
      </c>
      <c r="D8501" t="s">
        <v>3322</v>
      </c>
      <c r="E8501">
        <v>30.513089000000001</v>
      </c>
      <c r="F8501" t="s">
        <v>3323</v>
      </c>
      <c r="G8501">
        <v>-89.822458999999995</v>
      </c>
      <c r="H8501">
        <v>1600</v>
      </c>
      <c r="I8501">
        <v>6</v>
      </c>
      <c r="J8501">
        <v>-154</v>
      </c>
      <c r="K8501">
        <v>0</v>
      </c>
      <c r="L8501">
        <v>1200</v>
      </c>
      <c r="M8501" t="str">
        <f t="shared" si="798"/>
        <v xml:space="preserve">N35DC   </v>
      </c>
      <c r="N8501">
        <v>1</v>
      </c>
      <c r="O8501">
        <v>1700</v>
      </c>
    </row>
    <row r="8502" spans="1:15" x14ac:dyDescent="0.25">
      <c r="A8502" t="str">
        <f>"10/21/2020 19:13:18.760"</f>
        <v>10/21/2020 19:13:18.760</v>
      </c>
      <c r="B8502" t="str">
        <f>"19:13:26.719"</f>
        <v>19:13:26.719</v>
      </c>
      <c r="C8502" t="str">
        <f>"19:13:26.519"</f>
        <v>19:13:26.519</v>
      </c>
      <c r="D8502" t="s">
        <v>3322</v>
      </c>
      <c r="E8502">
        <v>30.513089000000001</v>
      </c>
      <c r="F8502" t="s">
        <v>3323</v>
      </c>
      <c r="G8502">
        <v>-89.822458999999995</v>
      </c>
      <c r="H8502">
        <v>1600</v>
      </c>
      <c r="I8502">
        <v>6</v>
      </c>
      <c r="J8502">
        <v>-154</v>
      </c>
      <c r="K8502">
        <v>0</v>
      </c>
      <c r="L8502">
        <v>1200</v>
      </c>
      <c r="M8502" t="str">
        <f t="shared" si="798"/>
        <v xml:space="preserve">N35DC   </v>
      </c>
      <c r="N8502">
        <v>1</v>
      </c>
      <c r="O8502">
        <v>1700</v>
      </c>
    </row>
    <row r="8503" spans="1:15" x14ac:dyDescent="0.25">
      <c r="A8503" t="str">
        <f>"10/21/2020 19:13:18.760"</f>
        <v>10/21/2020 19:13:18.760</v>
      </c>
      <c r="B8503" t="str">
        <f>"19:13:26.719"</f>
        <v>19:13:26.719</v>
      </c>
      <c r="C8503" t="str">
        <f>"19:13:26.519"</f>
        <v>19:13:26.519</v>
      </c>
      <c r="D8503" t="s">
        <v>3322</v>
      </c>
      <c r="E8503">
        <v>30.513089000000001</v>
      </c>
      <c r="F8503" t="s">
        <v>3323</v>
      </c>
      <c r="G8503">
        <v>-89.822458999999995</v>
      </c>
      <c r="H8503">
        <v>1600</v>
      </c>
      <c r="I8503">
        <v>6</v>
      </c>
      <c r="J8503">
        <v>-154</v>
      </c>
      <c r="K8503">
        <v>0</v>
      </c>
      <c r="L8503">
        <v>1200</v>
      </c>
      <c r="M8503" t="str">
        <f t="shared" si="798"/>
        <v xml:space="preserve">N35DC   </v>
      </c>
      <c r="N8503">
        <v>1</v>
      </c>
      <c r="O8503">
        <v>1700</v>
      </c>
    </row>
    <row r="8504" spans="1:15" x14ac:dyDescent="0.25">
      <c r="A8504" t="str">
        <f>"10/21/2020 19:13:18.760"</f>
        <v>10/21/2020 19:13:18.760</v>
      </c>
      <c r="B8504" t="str">
        <f>"19:13:26.719"</f>
        <v>19:13:26.719</v>
      </c>
      <c r="C8504" t="str">
        <f>"19:13:26.519"</f>
        <v>19:13:26.519</v>
      </c>
      <c r="D8504" t="s">
        <v>3322</v>
      </c>
      <c r="E8504">
        <v>30.513089000000001</v>
      </c>
      <c r="F8504" t="s">
        <v>3323</v>
      </c>
      <c r="G8504">
        <v>-89.822458999999995</v>
      </c>
      <c r="H8504">
        <v>1600</v>
      </c>
      <c r="I8504">
        <v>6</v>
      </c>
      <c r="J8504">
        <v>-154</v>
      </c>
      <c r="K8504">
        <v>0</v>
      </c>
      <c r="L8504">
        <v>1200</v>
      </c>
      <c r="M8504" t="str">
        <f t="shared" si="798"/>
        <v xml:space="preserve">N35DC   </v>
      </c>
      <c r="N8504">
        <v>1</v>
      </c>
      <c r="O8504">
        <v>1700</v>
      </c>
    </row>
    <row r="8505" spans="1:15" x14ac:dyDescent="0.25">
      <c r="A8505" t="str">
        <f>"10/21/2020 19:13:20.642"</f>
        <v>10/21/2020 19:13:20.642</v>
      </c>
      <c r="B8505" t="str">
        <f>"19:13:28.609"</f>
        <v>19:13:28.609</v>
      </c>
      <c r="C8505" t="str">
        <f>"19:13:28.309"</f>
        <v>19:13:28.309</v>
      </c>
      <c r="D8505" t="s">
        <v>3324</v>
      </c>
      <c r="E8505">
        <v>30.511780000000002</v>
      </c>
      <c r="F8505" t="s">
        <v>396</v>
      </c>
      <c r="G8505">
        <v>-89.822416000000004</v>
      </c>
      <c r="H8505">
        <v>1600</v>
      </c>
      <c r="I8505">
        <v>5</v>
      </c>
      <c r="J8505">
        <v>-154</v>
      </c>
      <c r="K8505">
        <v>-128</v>
      </c>
      <c r="L8505">
        <v>1200</v>
      </c>
      <c r="M8505" t="str">
        <f t="shared" si="798"/>
        <v xml:space="preserve">N35DC   </v>
      </c>
      <c r="N8505">
        <v>1</v>
      </c>
      <c r="O8505">
        <v>1700</v>
      </c>
    </row>
    <row r="8506" spans="1:15" x14ac:dyDescent="0.25">
      <c r="A8506" t="str">
        <f>"10/21/2020 19:13:20.642"</f>
        <v>10/21/2020 19:13:20.642</v>
      </c>
      <c r="B8506" t="str">
        <f>"19:13:28.609"</f>
        <v>19:13:28.609</v>
      </c>
      <c r="C8506" t="str">
        <f>"19:13:28.309"</f>
        <v>19:13:28.309</v>
      </c>
      <c r="D8506" t="s">
        <v>3324</v>
      </c>
      <c r="E8506">
        <v>30.511780000000002</v>
      </c>
      <c r="F8506" t="s">
        <v>396</v>
      </c>
      <c r="G8506">
        <v>-89.822416000000004</v>
      </c>
      <c r="H8506">
        <v>1600</v>
      </c>
      <c r="I8506">
        <v>5</v>
      </c>
      <c r="J8506">
        <v>-154</v>
      </c>
      <c r="K8506">
        <v>-128</v>
      </c>
      <c r="L8506">
        <v>1200</v>
      </c>
      <c r="M8506" t="str">
        <f t="shared" si="798"/>
        <v xml:space="preserve">N35DC   </v>
      </c>
      <c r="N8506">
        <v>1</v>
      </c>
      <c r="O8506">
        <v>1700</v>
      </c>
    </row>
    <row r="8507" spans="1:15" x14ac:dyDescent="0.25">
      <c r="A8507" t="str">
        <f>"10/21/2020 19:13:20.642"</f>
        <v>10/21/2020 19:13:20.642</v>
      </c>
      <c r="B8507" t="str">
        <f>"19:13:28.609"</f>
        <v>19:13:28.609</v>
      </c>
      <c r="C8507" t="str">
        <f>"19:13:28.309"</f>
        <v>19:13:28.309</v>
      </c>
      <c r="D8507" t="s">
        <v>3324</v>
      </c>
      <c r="E8507">
        <v>30.511780000000002</v>
      </c>
      <c r="F8507" t="s">
        <v>396</v>
      </c>
      <c r="G8507">
        <v>-89.822416000000004</v>
      </c>
      <c r="H8507">
        <v>1600</v>
      </c>
      <c r="I8507">
        <v>5</v>
      </c>
      <c r="J8507">
        <v>-154</v>
      </c>
      <c r="K8507">
        <v>-128</v>
      </c>
      <c r="L8507">
        <v>1200</v>
      </c>
      <c r="M8507" t="str">
        <f t="shared" si="798"/>
        <v xml:space="preserve">N35DC   </v>
      </c>
      <c r="N8507">
        <v>1</v>
      </c>
      <c r="O8507">
        <v>1700</v>
      </c>
    </row>
    <row r="8508" spans="1:15" x14ac:dyDescent="0.25">
      <c r="A8508" t="str">
        <f>"10/21/2020 19:13:20.642"</f>
        <v>10/21/2020 19:13:20.642</v>
      </c>
      <c r="B8508" t="str">
        <f>"19:13:28.609"</f>
        <v>19:13:28.609</v>
      </c>
      <c r="C8508" t="str">
        <f>"19:13:28.309"</f>
        <v>19:13:28.309</v>
      </c>
      <c r="D8508" t="s">
        <v>3324</v>
      </c>
      <c r="E8508">
        <v>30.511780000000002</v>
      </c>
      <c r="F8508" t="s">
        <v>396</v>
      </c>
      <c r="G8508">
        <v>-89.822416000000004</v>
      </c>
      <c r="H8508">
        <v>1600</v>
      </c>
      <c r="I8508">
        <v>5</v>
      </c>
      <c r="J8508">
        <v>-154</v>
      </c>
      <c r="K8508">
        <v>-128</v>
      </c>
      <c r="L8508">
        <v>1200</v>
      </c>
      <c r="M8508" t="str">
        <f t="shared" si="798"/>
        <v xml:space="preserve">N35DC   </v>
      </c>
      <c r="N8508">
        <v>1</v>
      </c>
      <c r="O8508">
        <v>1700</v>
      </c>
    </row>
    <row r="8509" spans="1:15" x14ac:dyDescent="0.25">
      <c r="A8509" t="str">
        <f>"10/21/2020 19:13:20.642"</f>
        <v>10/21/2020 19:13:20.642</v>
      </c>
      <c r="B8509" t="str">
        <f>"19:13:28.609"</f>
        <v>19:13:28.609</v>
      </c>
      <c r="C8509" t="str">
        <f>"19:13:28.309"</f>
        <v>19:13:28.309</v>
      </c>
      <c r="D8509" t="s">
        <v>3324</v>
      </c>
      <c r="E8509">
        <v>30.511780000000002</v>
      </c>
      <c r="F8509" t="s">
        <v>396</v>
      </c>
      <c r="G8509">
        <v>-89.822416000000004</v>
      </c>
      <c r="H8509">
        <v>1600</v>
      </c>
      <c r="I8509">
        <v>5</v>
      </c>
      <c r="J8509">
        <v>-154</v>
      </c>
      <c r="K8509">
        <v>-128</v>
      </c>
      <c r="L8509">
        <v>1200</v>
      </c>
      <c r="M8509" t="str">
        <f t="shared" si="798"/>
        <v xml:space="preserve">N35DC   </v>
      </c>
      <c r="N8509">
        <v>1</v>
      </c>
      <c r="O8509">
        <v>1700</v>
      </c>
    </row>
    <row r="8510" spans="1:15" x14ac:dyDescent="0.25">
      <c r="A8510" t="str">
        <f>"10/21/2020 19:13:21.792"</f>
        <v>10/21/2020 19:13:21.792</v>
      </c>
      <c r="B8510" t="str">
        <f>"19:13:29.734"</f>
        <v>19:13:29.734</v>
      </c>
      <c r="C8510" t="str">
        <f>"19:13:29.434"</f>
        <v>19:13:29.434</v>
      </c>
      <c r="D8510" t="s">
        <v>3325</v>
      </c>
      <c r="E8510">
        <v>30.510964000000001</v>
      </c>
      <c r="F8510" t="s">
        <v>3326</v>
      </c>
      <c r="G8510">
        <v>-89.822329999999994</v>
      </c>
      <c r="H8510">
        <v>1600</v>
      </c>
      <c r="I8510">
        <v>4</v>
      </c>
      <c r="J8510">
        <v>-154</v>
      </c>
      <c r="K8510">
        <v>0</v>
      </c>
      <c r="L8510">
        <v>1200</v>
      </c>
      <c r="M8510" t="str">
        <f t="shared" si="798"/>
        <v xml:space="preserve">N35DC   </v>
      </c>
      <c r="N8510">
        <v>1</v>
      </c>
      <c r="O8510">
        <v>1700</v>
      </c>
    </row>
    <row r="8511" spans="1:15" x14ac:dyDescent="0.25">
      <c r="A8511" t="str">
        <f>"10/21/2020 19:13:21.792"</f>
        <v>10/21/2020 19:13:21.792</v>
      </c>
      <c r="B8511" t="str">
        <f>"19:13:29.734"</f>
        <v>19:13:29.734</v>
      </c>
      <c r="C8511" t="str">
        <f>"19:13:29.434"</f>
        <v>19:13:29.434</v>
      </c>
      <c r="D8511" t="s">
        <v>3325</v>
      </c>
      <c r="E8511">
        <v>30.510964000000001</v>
      </c>
      <c r="F8511" t="s">
        <v>3326</v>
      </c>
      <c r="G8511">
        <v>-89.822329999999994</v>
      </c>
      <c r="H8511">
        <v>1600</v>
      </c>
      <c r="I8511">
        <v>4</v>
      </c>
      <c r="J8511">
        <v>-154</v>
      </c>
      <c r="K8511">
        <v>0</v>
      </c>
      <c r="L8511">
        <v>1200</v>
      </c>
      <c r="M8511" t="str">
        <f t="shared" si="798"/>
        <v xml:space="preserve">N35DC   </v>
      </c>
      <c r="N8511">
        <v>1</v>
      </c>
      <c r="O8511">
        <v>1700</v>
      </c>
    </row>
    <row r="8512" spans="1:15" x14ac:dyDescent="0.25">
      <c r="A8512" t="str">
        <f>"10/21/2020 19:13:21.792"</f>
        <v>10/21/2020 19:13:21.792</v>
      </c>
      <c r="B8512" t="str">
        <f>"19:13:29.734"</f>
        <v>19:13:29.734</v>
      </c>
      <c r="C8512" t="str">
        <f>"19:13:29.434"</f>
        <v>19:13:29.434</v>
      </c>
      <c r="D8512" t="s">
        <v>3325</v>
      </c>
      <c r="E8512">
        <v>30.510964000000001</v>
      </c>
      <c r="F8512" t="s">
        <v>3326</v>
      </c>
      <c r="G8512">
        <v>-89.822329999999994</v>
      </c>
      <c r="H8512">
        <v>1600</v>
      </c>
      <c r="I8512">
        <v>4</v>
      </c>
      <c r="J8512">
        <v>-154</v>
      </c>
      <c r="K8512">
        <v>0</v>
      </c>
      <c r="L8512">
        <v>1200</v>
      </c>
      <c r="M8512" t="str">
        <f t="shared" si="798"/>
        <v xml:space="preserve">N35DC   </v>
      </c>
      <c r="N8512">
        <v>1</v>
      </c>
      <c r="O8512">
        <v>1700</v>
      </c>
    </row>
    <row r="8513" spans="1:15" x14ac:dyDescent="0.25">
      <c r="A8513" t="str">
        <f>"10/21/2020 19:13:21.792"</f>
        <v>10/21/2020 19:13:21.792</v>
      </c>
      <c r="B8513" t="str">
        <f>"19:13:29.734"</f>
        <v>19:13:29.734</v>
      </c>
      <c r="C8513" t="str">
        <f>"19:13:29.434"</f>
        <v>19:13:29.434</v>
      </c>
      <c r="D8513" t="s">
        <v>3325</v>
      </c>
      <c r="E8513">
        <v>30.510964000000001</v>
      </c>
      <c r="F8513" t="s">
        <v>3326</v>
      </c>
      <c r="G8513">
        <v>-89.822329999999994</v>
      </c>
      <c r="H8513">
        <v>1600</v>
      </c>
      <c r="I8513">
        <v>4</v>
      </c>
      <c r="J8513">
        <v>-154</v>
      </c>
      <c r="K8513">
        <v>0</v>
      </c>
      <c r="L8513">
        <v>1200</v>
      </c>
      <c r="M8513" t="str">
        <f t="shared" si="798"/>
        <v xml:space="preserve">N35DC   </v>
      </c>
      <c r="N8513">
        <v>1</v>
      </c>
      <c r="O8513">
        <v>1700</v>
      </c>
    </row>
    <row r="8514" spans="1:15" x14ac:dyDescent="0.25">
      <c r="A8514" t="str">
        <f>"10/21/2020 19:13:21.792"</f>
        <v>10/21/2020 19:13:21.792</v>
      </c>
      <c r="B8514" t="str">
        <f>"19:13:29.734"</f>
        <v>19:13:29.734</v>
      </c>
      <c r="C8514" t="str">
        <f>"19:13:29.434"</f>
        <v>19:13:29.434</v>
      </c>
      <c r="D8514" t="s">
        <v>3325</v>
      </c>
      <c r="E8514">
        <v>30.510964000000001</v>
      </c>
      <c r="F8514" t="s">
        <v>3326</v>
      </c>
      <c r="G8514">
        <v>-89.822329999999994</v>
      </c>
      <c r="H8514">
        <v>1600</v>
      </c>
      <c r="I8514">
        <v>4</v>
      </c>
      <c r="J8514">
        <v>-154</v>
      </c>
      <c r="K8514">
        <v>0</v>
      </c>
      <c r="L8514">
        <v>1200</v>
      </c>
      <c r="M8514" t="str">
        <f t="shared" si="798"/>
        <v xml:space="preserve">N35DC   </v>
      </c>
      <c r="N8514">
        <v>1</v>
      </c>
      <c r="O8514">
        <v>1700</v>
      </c>
    </row>
    <row r="8515" spans="1:15" x14ac:dyDescent="0.25">
      <c r="A8515" t="str">
        <f>"10/21/2020 19:13:22.954"</f>
        <v>10/21/2020 19:13:22.954</v>
      </c>
      <c r="B8515" t="str">
        <f>"19:13:30.891"</f>
        <v>19:13:30.891</v>
      </c>
      <c r="C8515" t="str">
        <f>"19:13:30.491"</f>
        <v>19:13:30.491</v>
      </c>
      <c r="D8515" t="s">
        <v>3327</v>
      </c>
      <c r="E8515">
        <v>30.510128000000002</v>
      </c>
      <c r="F8515" t="s">
        <v>3326</v>
      </c>
      <c r="G8515">
        <v>-89.822329999999994</v>
      </c>
      <c r="H8515">
        <v>1600</v>
      </c>
      <c r="I8515">
        <v>3</v>
      </c>
      <c r="J8515">
        <v>-154</v>
      </c>
      <c r="K8515">
        <v>-64</v>
      </c>
      <c r="L8515">
        <v>1200</v>
      </c>
      <c r="M8515" t="str">
        <f t="shared" si="798"/>
        <v xml:space="preserve">N35DC   </v>
      </c>
      <c r="N8515">
        <v>1</v>
      </c>
      <c r="O8515">
        <v>1700</v>
      </c>
    </row>
    <row r="8516" spans="1:15" x14ac:dyDescent="0.25">
      <c r="A8516" t="str">
        <f>"10/21/2020 19:13:22.954"</f>
        <v>10/21/2020 19:13:22.954</v>
      </c>
      <c r="B8516" t="str">
        <f>"19:13:30.891"</f>
        <v>19:13:30.891</v>
      </c>
      <c r="C8516" t="str">
        <f>"19:13:30.491"</f>
        <v>19:13:30.491</v>
      </c>
      <c r="D8516" t="s">
        <v>3327</v>
      </c>
      <c r="E8516">
        <v>30.510128000000002</v>
      </c>
      <c r="F8516" t="s">
        <v>3326</v>
      </c>
      <c r="G8516">
        <v>-89.822329999999994</v>
      </c>
      <c r="H8516">
        <v>1600</v>
      </c>
      <c r="I8516">
        <v>3</v>
      </c>
      <c r="J8516">
        <v>-154</v>
      </c>
      <c r="K8516">
        <v>-64</v>
      </c>
      <c r="L8516">
        <v>1200</v>
      </c>
      <c r="M8516" t="str">
        <f t="shared" si="798"/>
        <v xml:space="preserve">N35DC   </v>
      </c>
      <c r="N8516">
        <v>1</v>
      </c>
      <c r="O8516">
        <v>1700</v>
      </c>
    </row>
    <row r="8517" spans="1:15" x14ac:dyDescent="0.25">
      <c r="A8517" t="str">
        <f>"10/21/2020 19:13:22.954"</f>
        <v>10/21/2020 19:13:22.954</v>
      </c>
      <c r="B8517" t="str">
        <f>"19:13:30.891"</f>
        <v>19:13:30.891</v>
      </c>
      <c r="C8517" t="str">
        <f>"19:13:30.491"</f>
        <v>19:13:30.491</v>
      </c>
      <c r="D8517" t="s">
        <v>3327</v>
      </c>
      <c r="E8517">
        <v>30.510128000000002</v>
      </c>
      <c r="F8517" t="s">
        <v>3326</v>
      </c>
      <c r="G8517">
        <v>-89.822329999999994</v>
      </c>
      <c r="H8517">
        <v>1600</v>
      </c>
      <c r="I8517">
        <v>3</v>
      </c>
      <c r="J8517">
        <v>-154</v>
      </c>
      <c r="K8517">
        <v>-64</v>
      </c>
      <c r="L8517">
        <v>1200</v>
      </c>
      <c r="M8517" t="str">
        <f t="shared" si="798"/>
        <v xml:space="preserve">N35DC   </v>
      </c>
      <c r="N8517">
        <v>1</v>
      </c>
      <c r="O8517">
        <v>1700</v>
      </c>
    </row>
    <row r="8518" spans="1:15" x14ac:dyDescent="0.25">
      <c r="A8518" t="str">
        <f>"10/21/2020 19:13:22.954"</f>
        <v>10/21/2020 19:13:22.954</v>
      </c>
      <c r="B8518" t="str">
        <f>"19:13:30.891"</f>
        <v>19:13:30.891</v>
      </c>
      <c r="C8518" t="str">
        <f>"19:13:30.491"</f>
        <v>19:13:30.491</v>
      </c>
      <c r="D8518" t="s">
        <v>3327</v>
      </c>
      <c r="E8518">
        <v>30.510128000000002</v>
      </c>
      <c r="F8518" t="s">
        <v>3326</v>
      </c>
      <c r="G8518">
        <v>-89.822329999999994</v>
      </c>
      <c r="H8518">
        <v>1600</v>
      </c>
      <c r="I8518">
        <v>3</v>
      </c>
      <c r="J8518">
        <v>-154</v>
      </c>
      <c r="K8518">
        <v>-64</v>
      </c>
      <c r="L8518">
        <v>1200</v>
      </c>
      <c r="M8518" t="str">
        <f t="shared" si="798"/>
        <v xml:space="preserve">N35DC   </v>
      </c>
      <c r="N8518">
        <v>1</v>
      </c>
      <c r="O8518">
        <v>1700</v>
      </c>
    </row>
    <row r="8519" spans="1:15" x14ac:dyDescent="0.25">
      <c r="A8519" t="str">
        <f>"10/21/2020 19:13:22.954"</f>
        <v>10/21/2020 19:13:22.954</v>
      </c>
      <c r="B8519" t="str">
        <f>"19:13:30.891"</f>
        <v>19:13:30.891</v>
      </c>
      <c r="C8519" t="str">
        <f>"19:13:30.491"</f>
        <v>19:13:30.491</v>
      </c>
      <c r="D8519" t="s">
        <v>3327</v>
      </c>
      <c r="E8519">
        <v>30.510128000000002</v>
      </c>
      <c r="F8519" t="s">
        <v>3326</v>
      </c>
      <c r="G8519">
        <v>-89.822329999999994</v>
      </c>
      <c r="H8519">
        <v>1600</v>
      </c>
      <c r="I8519">
        <v>3</v>
      </c>
      <c r="J8519">
        <v>-154</v>
      </c>
      <c r="K8519">
        <v>-64</v>
      </c>
      <c r="L8519">
        <v>1200</v>
      </c>
      <c r="M8519" t="str">
        <f t="shared" ref="M8519:M8582" si="799">"N35DC   "</f>
        <v xml:space="preserve">N35DC   </v>
      </c>
      <c r="N8519">
        <v>1</v>
      </c>
      <c r="O8519">
        <v>1700</v>
      </c>
    </row>
    <row r="8520" spans="1:15" x14ac:dyDescent="0.25">
      <c r="A8520" t="str">
        <f>"10/21/2020 19:13:25.732"</f>
        <v>10/21/2020 19:13:25.732</v>
      </c>
      <c r="B8520" t="str">
        <f>"19:13:33.664"</f>
        <v>19:13:33.664</v>
      </c>
      <c r="C8520" t="str">
        <f>"19:13:33.464"</f>
        <v>19:13:33.464</v>
      </c>
      <c r="D8520" t="s">
        <v>3328</v>
      </c>
      <c r="E8520">
        <v>30.508111</v>
      </c>
      <c r="F8520" t="s">
        <v>3326</v>
      </c>
      <c r="G8520">
        <v>-89.822329999999994</v>
      </c>
      <c r="H8520">
        <v>1600</v>
      </c>
      <c r="I8520">
        <v>2</v>
      </c>
      <c r="J8520">
        <v>-154</v>
      </c>
      <c r="K8520">
        <v>-64</v>
      </c>
      <c r="L8520">
        <v>1200</v>
      </c>
      <c r="M8520" t="str">
        <f t="shared" si="799"/>
        <v xml:space="preserve">N35DC   </v>
      </c>
      <c r="N8520">
        <v>1</v>
      </c>
      <c r="O8520">
        <v>1700</v>
      </c>
    </row>
    <row r="8521" spans="1:15" x14ac:dyDescent="0.25">
      <c r="A8521" t="str">
        <f>"10/21/2020 19:13:25.732"</f>
        <v>10/21/2020 19:13:25.732</v>
      </c>
      <c r="B8521" t="str">
        <f>"19:13:33.664"</f>
        <v>19:13:33.664</v>
      </c>
      <c r="C8521" t="str">
        <f>"19:13:33.464"</f>
        <v>19:13:33.464</v>
      </c>
      <c r="D8521" t="s">
        <v>3328</v>
      </c>
      <c r="E8521">
        <v>30.508111</v>
      </c>
      <c r="F8521" t="s">
        <v>3326</v>
      </c>
      <c r="G8521">
        <v>-89.822329999999994</v>
      </c>
      <c r="H8521">
        <v>1600</v>
      </c>
      <c r="I8521">
        <v>2</v>
      </c>
      <c r="J8521">
        <v>-154</v>
      </c>
      <c r="K8521">
        <v>-64</v>
      </c>
      <c r="L8521">
        <v>1200</v>
      </c>
      <c r="M8521" t="str">
        <f t="shared" si="799"/>
        <v xml:space="preserve">N35DC   </v>
      </c>
      <c r="N8521">
        <v>1</v>
      </c>
      <c r="O8521">
        <v>1700</v>
      </c>
    </row>
    <row r="8522" spans="1:15" x14ac:dyDescent="0.25">
      <c r="A8522" t="str">
        <f>"10/21/2020 19:13:25.732"</f>
        <v>10/21/2020 19:13:25.732</v>
      </c>
      <c r="B8522" t="str">
        <f>"19:13:33.664"</f>
        <v>19:13:33.664</v>
      </c>
      <c r="C8522" t="str">
        <f>"19:13:33.464"</f>
        <v>19:13:33.464</v>
      </c>
      <c r="D8522" t="s">
        <v>3328</v>
      </c>
      <c r="E8522">
        <v>30.508111</v>
      </c>
      <c r="F8522" t="s">
        <v>3326</v>
      </c>
      <c r="G8522">
        <v>-89.822329999999994</v>
      </c>
      <c r="H8522">
        <v>1600</v>
      </c>
      <c r="I8522">
        <v>2</v>
      </c>
      <c r="J8522">
        <v>-154</v>
      </c>
      <c r="K8522">
        <v>-64</v>
      </c>
      <c r="L8522">
        <v>1200</v>
      </c>
      <c r="M8522" t="str">
        <f t="shared" si="799"/>
        <v xml:space="preserve">N35DC   </v>
      </c>
      <c r="N8522">
        <v>1</v>
      </c>
      <c r="O8522">
        <v>1700</v>
      </c>
    </row>
    <row r="8523" spans="1:15" x14ac:dyDescent="0.25">
      <c r="A8523" t="str">
        <f>"10/21/2020 19:13:25.732"</f>
        <v>10/21/2020 19:13:25.732</v>
      </c>
      <c r="B8523" t="str">
        <f>"19:13:33.664"</f>
        <v>19:13:33.664</v>
      </c>
      <c r="C8523" t="str">
        <f>"19:13:33.464"</f>
        <v>19:13:33.464</v>
      </c>
      <c r="D8523" t="s">
        <v>3328</v>
      </c>
      <c r="E8523">
        <v>30.508111</v>
      </c>
      <c r="F8523" t="s">
        <v>3326</v>
      </c>
      <c r="G8523">
        <v>-89.822329999999994</v>
      </c>
      <c r="H8523">
        <v>1600</v>
      </c>
      <c r="I8523">
        <v>2</v>
      </c>
      <c r="J8523">
        <v>-154</v>
      </c>
      <c r="K8523">
        <v>-64</v>
      </c>
      <c r="L8523">
        <v>1200</v>
      </c>
      <c r="M8523" t="str">
        <f t="shared" si="799"/>
        <v xml:space="preserve">N35DC   </v>
      </c>
      <c r="N8523">
        <v>1</v>
      </c>
      <c r="O8523">
        <v>1700</v>
      </c>
    </row>
    <row r="8524" spans="1:15" x14ac:dyDescent="0.25">
      <c r="A8524" t="str">
        <f>"10/21/2020 19:13:25.732"</f>
        <v>10/21/2020 19:13:25.732</v>
      </c>
      <c r="B8524" t="str">
        <f>"19:13:33.664"</f>
        <v>19:13:33.664</v>
      </c>
      <c r="C8524" t="str">
        <f>"19:13:33.464"</f>
        <v>19:13:33.464</v>
      </c>
      <c r="D8524" t="s">
        <v>3328</v>
      </c>
      <c r="E8524">
        <v>30.508111</v>
      </c>
      <c r="F8524" t="s">
        <v>3326</v>
      </c>
      <c r="G8524">
        <v>-89.822329999999994</v>
      </c>
      <c r="H8524">
        <v>1600</v>
      </c>
      <c r="I8524">
        <v>2</v>
      </c>
      <c r="J8524">
        <v>-154</v>
      </c>
      <c r="K8524">
        <v>-64</v>
      </c>
      <c r="L8524">
        <v>1200</v>
      </c>
      <c r="M8524" t="str">
        <f t="shared" si="799"/>
        <v xml:space="preserve">N35DC   </v>
      </c>
      <c r="N8524">
        <v>1</v>
      </c>
      <c r="O8524">
        <v>1700</v>
      </c>
    </row>
    <row r="8525" spans="1:15" x14ac:dyDescent="0.25">
      <c r="A8525" t="str">
        <f>"10/21/2020 19:13:26.791"</f>
        <v>10/21/2020 19:13:26.791</v>
      </c>
      <c r="B8525" t="str">
        <f>"19:13:34.758"</f>
        <v>19:13:34.758</v>
      </c>
      <c r="C8525" t="str">
        <f>"19:13:34.358"</f>
        <v>19:13:34.358</v>
      </c>
      <c r="D8525" t="s">
        <v>3329</v>
      </c>
      <c r="E8525">
        <v>30.507359999999998</v>
      </c>
      <c r="F8525" t="s">
        <v>3261</v>
      </c>
      <c r="G8525">
        <v>-89.822288</v>
      </c>
      <c r="H8525">
        <v>1600</v>
      </c>
      <c r="I8525">
        <v>1</v>
      </c>
      <c r="J8525">
        <v>-154</v>
      </c>
      <c r="K8525">
        <v>-128</v>
      </c>
      <c r="L8525">
        <v>1200</v>
      </c>
      <c r="M8525" t="str">
        <f t="shared" si="799"/>
        <v xml:space="preserve">N35DC   </v>
      </c>
      <c r="N8525">
        <v>1</v>
      </c>
      <c r="O8525">
        <v>1700</v>
      </c>
    </row>
    <row r="8526" spans="1:15" x14ac:dyDescent="0.25">
      <c r="A8526" t="str">
        <f>"10/21/2020 19:13:26.791"</f>
        <v>10/21/2020 19:13:26.791</v>
      </c>
      <c r="B8526" t="str">
        <f>"19:13:34.758"</f>
        <v>19:13:34.758</v>
      </c>
      <c r="C8526" t="str">
        <f>"19:13:34.358"</f>
        <v>19:13:34.358</v>
      </c>
      <c r="D8526" t="s">
        <v>3329</v>
      </c>
      <c r="E8526">
        <v>30.507359999999998</v>
      </c>
      <c r="F8526" t="s">
        <v>3261</v>
      </c>
      <c r="G8526">
        <v>-89.822288</v>
      </c>
      <c r="H8526">
        <v>1600</v>
      </c>
      <c r="I8526">
        <v>1</v>
      </c>
      <c r="J8526">
        <v>-154</v>
      </c>
      <c r="K8526">
        <v>-128</v>
      </c>
      <c r="L8526">
        <v>1200</v>
      </c>
      <c r="M8526" t="str">
        <f t="shared" si="799"/>
        <v xml:space="preserve">N35DC   </v>
      </c>
      <c r="N8526">
        <v>1</v>
      </c>
      <c r="O8526">
        <v>1700</v>
      </c>
    </row>
    <row r="8527" spans="1:15" x14ac:dyDescent="0.25">
      <c r="A8527" t="str">
        <f>"10/21/2020 19:13:26.791"</f>
        <v>10/21/2020 19:13:26.791</v>
      </c>
      <c r="B8527" t="str">
        <f>"19:13:34.758"</f>
        <v>19:13:34.758</v>
      </c>
      <c r="C8527" t="str">
        <f>"19:13:34.358"</f>
        <v>19:13:34.358</v>
      </c>
      <c r="D8527" t="s">
        <v>3329</v>
      </c>
      <c r="E8527">
        <v>30.507359999999998</v>
      </c>
      <c r="F8527" t="s">
        <v>3261</v>
      </c>
      <c r="G8527">
        <v>-89.822288</v>
      </c>
      <c r="H8527">
        <v>1600</v>
      </c>
      <c r="I8527">
        <v>1</v>
      </c>
      <c r="J8527">
        <v>-154</v>
      </c>
      <c r="K8527">
        <v>-128</v>
      </c>
      <c r="L8527">
        <v>1200</v>
      </c>
      <c r="M8527" t="str">
        <f t="shared" si="799"/>
        <v xml:space="preserve">N35DC   </v>
      </c>
      <c r="N8527">
        <v>1</v>
      </c>
      <c r="O8527">
        <v>1700</v>
      </c>
    </row>
    <row r="8528" spans="1:15" x14ac:dyDescent="0.25">
      <c r="A8528" t="str">
        <f>"10/21/2020 19:13:26.791"</f>
        <v>10/21/2020 19:13:26.791</v>
      </c>
      <c r="B8528" t="str">
        <f>"19:13:34.758"</f>
        <v>19:13:34.758</v>
      </c>
      <c r="C8528" t="str">
        <f>"19:13:34.358"</f>
        <v>19:13:34.358</v>
      </c>
      <c r="D8528" t="s">
        <v>3329</v>
      </c>
      <c r="E8528">
        <v>30.507359999999998</v>
      </c>
      <c r="F8528" t="s">
        <v>3261</v>
      </c>
      <c r="G8528">
        <v>-89.822288</v>
      </c>
      <c r="H8528">
        <v>1600</v>
      </c>
      <c r="I8528">
        <v>1</v>
      </c>
      <c r="J8528">
        <v>-154</v>
      </c>
      <c r="K8528">
        <v>-128</v>
      </c>
      <c r="L8528">
        <v>1200</v>
      </c>
      <c r="M8528" t="str">
        <f t="shared" si="799"/>
        <v xml:space="preserve">N35DC   </v>
      </c>
      <c r="N8528">
        <v>1</v>
      </c>
      <c r="O8528">
        <v>1700</v>
      </c>
    </row>
    <row r="8529" spans="1:15" x14ac:dyDescent="0.25">
      <c r="A8529" t="str">
        <f>"10/21/2020 19:13:26.791"</f>
        <v>10/21/2020 19:13:26.791</v>
      </c>
      <c r="B8529" t="str">
        <f>"19:13:34.758"</f>
        <v>19:13:34.758</v>
      </c>
      <c r="C8529" t="str">
        <f>"19:13:34.358"</f>
        <v>19:13:34.358</v>
      </c>
      <c r="D8529" t="s">
        <v>3329</v>
      </c>
      <c r="E8529">
        <v>30.507359999999998</v>
      </c>
      <c r="F8529" t="s">
        <v>3261</v>
      </c>
      <c r="G8529">
        <v>-89.822288</v>
      </c>
      <c r="H8529">
        <v>1600</v>
      </c>
      <c r="I8529">
        <v>1</v>
      </c>
      <c r="J8529">
        <v>-154</v>
      </c>
      <c r="K8529">
        <v>-128</v>
      </c>
      <c r="L8529">
        <v>1200</v>
      </c>
      <c r="M8529" t="str">
        <f t="shared" si="799"/>
        <v xml:space="preserve">N35DC   </v>
      </c>
      <c r="N8529">
        <v>1</v>
      </c>
      <c r="O8529">
        <v>1700</v>
      </c>
    </row>
    <row r="8530" spans="1:15" x14ac:dyDescent="0.25">
      <c r="A8530" t="str">
        <f>"10/21/2020 19:13:27.780"</f>
        <v>10/21/2020 19:13:27.780</v>
      </c>
      <c r="B8530" t="str">
        <f>"19:13:35.719"</f>
        <v>19:13:35.719</v>
      </c>
      <c r="C8530" t="str">
        <f>"19:13:35.419"</f>
        <v>19:13:35.419</v>
      </c>
      <c r="D8530" t="s">
        <v>3330</v>
      </c>
      <c r="E8530">
        <v>30.506651000000002</v>
      </c>
      <c r="F8530" t="s">
        <v>3261</v>
      </c>
      <c r="G8530">
        <v>-89.822288</v>
      </c>
      <c r="H8530">
        <v>1600</v>
      </c>
      <c r="I8530">
        <v>1</v>
      </c>
      <c r="J8530">
        <v>-154</v>
      </c>
      <c r="K8530">
        <v>-128</v>
      </c>
      <c r="L8530">
        <v>1200</v>
      </c>
      <c r="M8530" t="str">
        <f t="shared" si="799"/>
        <v xml:space="preserve">N35DC   </v>
      </c>
      <c r="N8530">
        <v>1</v>
      </c>
      <c r="O8530">
        <v>1700</v>
      </c>
    </row>
    <row r="8531" spans="1:15" x14ac:dyDescent="0.25">
      <c r="A8531" t="str">
        <f>"10/21/2020 19:13:27.780"</f>
        <v>10/21/2020 19:13:27.780</v>
      </c>
      <c r="B8531" t="str">
        <f>"19:13:35.719"</f>
        <v>19:13:35.719</v>
      </c>
      <c r="C8531" t="str">
        <f>"19:13:35.419"</f>
        <v>19:13:35.419</v>
      </c>
      <c r="D8531" t="s">
        <v>3330</v>
      </c>
      <c r="E8531">
        <v>30.506651000000002</v>
      </c>
      <c r="F8531" t="s">
        <v>3261</v>
      </c>
      <c r="G8531">
        <v>-89.822288</v>
      </c>
      <c r="H8531">
        <v>1600</v>
      </c>
      <c r="I8531">
        <v>1</v>
      </c>
      <c r="J8531">
        <v>-154</v>
      </c>
      <c r="K8531">
        <v>-128</v>
      </c>
      <c r="L8531">
        <v>1200</v>
      </c>
      <c r="M8531" t="str">
        <f t="shared" si="799"/>
        <v xml:space="preserve">N35DC   </v>
      </c>
      <c r="N8531">
        <v>1</v>
      </c>
      <c r="O8531">
        <v>1700</v>
      </c>
    </row>
    <row r="8532" spans="1:15" x14ac:dyDescent="0.25">
      <c r="A8532" t="str">
        <f>"10/21/2020 19:13:27.780"</f>
        <v>10/21/2020 19:13:27.780</v>
      </c>
      <c r="B8532" t="str">
        <f>"19:13:35.719"</f>
        <v>19:13:35.719</v>
      </c>
      <c r="C8532" t="str">
        <f>"19:13:35.419"</f>
        <v>19:13:35.419</v>
      </c>
      <c r="D8532" t="s">
        <v>3330</v>
      </c>
      <c r="E8532">
        <v>30.506651000000002</v>
      </c>
      <c r="F8532" t="s">
        <v>3261</v>
      </c>
      <c r="G8532">
        <v>-89.822288</v>
      </c>
      <c r="H8532">
        <v>1600</v>
      </c>
      <c r="I8532">
        <v>1</v>
      </c>
      <c r="J8532">
        <v>-154</v>
      </c>
      <c r="K8532">
        <v>-128</v>
      </c>
      <c r="L8532">
        <v>1200</v>
      </c>
      <c r="M8532" t="str">
        <f t="shared" si="799"/>
        <v xml:space="preserve">N35DC   </v>
      </c>
      <c r="N8532">
        <v>1</v>
      </c>
      <c r="O8532">
        <v>1700</v>
      </c>
    </row>
    <row r="8533" spans="1:15" x14ac:dyDescent="0.25">
      <c r="A8533" t="str">
        <f>"10/21/2020 19:13:27.780"</f>
        <v>10/21/2020 19:13:27.780</v>
      </c>
      <c r="B8533" t="str">
        <f>"19:13:35.719"</f>
        <v>19:13:35.719</v>
      </c>
      <c r="C8533" t="str">
        <f>"19:13:35.419"</f>
        <v>19:13:35.419</v>
      </c>
      <c r="D8533" t="s">
        <v>3330</v>
      </c>
      <c r="E8533">
        <v>30.506651000000002</v>
      </c>
      <c r="F8533" t="s">
        <v>3261</v>
      </c>
      <c r="G8533">
        <v>-89.822288</v>
      </c>
      <c r="H8533">
        <v>1600</v>
      </c>
      <c r="I8533">
        <v>1</v>
      </c>
      <c r="J8533">
        <v>-154</v>
      </c>
      <c r="K8533">
        <v>-128</v>
      </c>
      <c r="L8533">
        <v>1200</v>
      </c>
      <c r="M8533" t="str">
        <f t="shared" si="799"/>
        <v xml:space="preserve">N35DC   </v>
      </c>
      <c r="N8533">
        <v>1</v>
      </c>
      <c r="O8533">
        <v>1700</v>
      </c>
    </row>
    <row r="8534" spans="1:15" x14ac:dyDescent="0.25">
      <c r="A8534" t="str">
        <f>"10/21/2020 19:13:27.780"</f>
        <v>10/21/2020 19:13:27.780</v>
      </c>
      <c r="B8534" t="str">
        <f>"19:13:35.719"</f>
        <v>19:13:35.719</v>
      </c>
      <c r="C8534" t="str">
        <f>"19:13:35.419"</f>
        <v>19:13:35.419</v>
      </c>
      <c r="D8534" t="s">
        <v>3330</v>
      </c>
      <c r="E8534">
        <v>30.506651000000002</v>
      </c>
      <c r="F8534" t="s">
        <v>3261</v>
      </c>
      <c r="G8534">
        <v>-89.822288</v>
      </c>
      <c r="H8534">
        <v>1600</v>
      </c>
      <c r="I8534">
        <v>1</v>
      </c>
      <c r="J8534">
        <v>-154</v>
      </c>
      <c r="K8534">
        <v>-128</v>
      </c>
      <c r="L8534">
        <v>1200</v>
      </c>
      <c r="M8534" t="str">
        <f t="shared" si="799"/>
        <v xml:space="preserve">N35DC   </v>
      </c>
      <c r="N8534">
        <v>1</v>
      </c>
      <c r="O8534">
        <v>1700</v>
      </c>
    </row>
    <row r="8535" spans="1:15" x14ac:dyDescent="0.25">
      <c r="A8535" t="str">
        <f>"10/21/2020 19:13:30.802"</f>
        <v>10/21/2020 19:13:30.802</v>
      </c>
      <c r="B8535" t="str">
        <f>"19:13:38.750"</f>
        <v>19:13:38.750</v>
      </c>
      <c r="C8535" t="str">
        <f>"19:13:38.550"</f>
        <v>19:13:38.550</v>
      </c>
      <c r="D8535" t="s">
        <v>3331</v>
      </c>
      <c r="E8535">
        <v>30.504527</v>
      </c>
      <c r="F8535" t="s">
        <v>3261</v>
      </c>
      <c r="G8535">
        <v>-89.822288</v>
      </c>
      <c r="H8535">
        <v>1600</v>
      </c>
      <c r="I8535">
        <v>1</v>
      </c>
      <c r="J8535">
        <v>-153</v>
      </c>
      <c r="K8535">
        <v>0</v>
      </c>
      <c r="L8535">
        <v>1200</v>
      </c>
      <c r="M8535" t="str">
        <f t="shared" si="799"/>
        <v xml:space="preserve">N35DC   </v>
      </c>
      <c r="N8535">
        <v>1</v>
      </c>
      <c r="O8535">
        <v>1700</v>
      </c>
    </row>
    <row r="8536" spans="1:15" x14ac:dyDescent="0.25">
      <c r="A8536" t="str">
        <f>"10/21/2020 19:13:30.802"</f>
        <v>10/21/2020 19:13:30.802</v>
      </c>
      <c r="B8536" t="str">
        <f>"19:13:38.750"</f>
        <v>19:13:38.750</v>
      </c>
      <c r="C8536" t="str">
        <f>"19:13:38.550"</f>
        <v>19:13:38.550</v>
      </c>
      <c r="D8536" t="s">
        <v>3331</v>
      </c>
      <c r="E8536">
        <v>30.504527</v>
      </c>
      <c r="F8536" t="s">
        <v>3261</v>
      </c>
      <c r="G8536">
        <v>-89.822288</v>
      </c>
      <c r="H8536">
        <v>1600</v>
      </c>
      <c r="I8536">
        <v>1</v>
      </c>
      <c r="J8536">
        <v>-153</v>
      </c>
      <c r="K8536">
        <v>0</v>
      </c>
      <c r="L8536">
        <v>1200</v>
      </c>
      <c r="M8536" t="str">
        <f t="shared" si="799"/>
        <v xml:space="preserve">N35DC   </v>
      </c>
      <c r="N8536">
        <v>1</v>
      </c>
      <c r="O8536">
        <v>1700</v>
      </c>
    </row>
    <row r="8537" spans="1:15" x14ac:dyDescent="0.25">
      <c r="A8537" t="str">
        <f>"10/21/2020 19:13:30.802"</f>
        <v>10/21/2020 19:13:30.802</v>
      </c>
      <c r="B8537" t="str">
        <f>"19:13:38.750"</f>
        <v>19:13:38.750</v>
      </c>
      <c r="C8537" t="str">
        <f>"19:13:38.550"</f>
        <v>19:13:38.550</v>
      </c>
      <c r="D8537" t="s">
        <v>3331</v>
      </c>
      <c r="E8537">
        <v>30.504527</v>
      </c>
      <c r="F8537" t="s">
        <v>3261</v>
      </c>
      <c r="G8537">
        <v>-89.822288</v>
      </c>
      <c r="H8537">
        <v>1600</v>
      </c>
      <c r="I8537">
        <v>1</v>
      </c>
      <c r="J8537">
        <v>-153</v>
      </c>
      <c r="K8537">
        <v>0</v>
      </c>
      <c r="L8537">
        <v>1200</v>
      </c>
      <c r="M8537" t="str">
        <f t="shared" si="799"/>
        <v xml:space="preserve">N35DC   </v>
      </c>
      <c r="N8537">
        <v>1</v>
      </c>
      <c r="O8537">
        <v>1700</v>
      </c>
    </row>
    <row r="8538" spans="1:15" x14ac:dyDescent="0.25">
      <c r="A8538" t="str">
        <f>"10/21/2020 19:13:30.802"</f>
        <v>10/21/2020 19:13:30.802</v>
      </c>
      <c r="B8538" t="str">
        <f>"19:13:38.750"</f>
        <v>19:13:38.750</v>
      </c>
      <c r="C8538" t="str">
        <f>"19:13:38.550"</f>
        <v>19:13:38.550</v>
      </c>
      <c r="D8538" t="s">
        <v>3331</v>
      </c>
      <c r="E8538">
        <v>30.504527</v>
      </c>
      <c r="F8538" t="s">
        <v>3261</v>
      </c>
      <c r="G8538">
        <v>-89.822288</v>
      </c>
      <c r="H8538">
        <v>1600</v>
      </c>
      <c r="I8538">
        <v>1</v>
      </c>
      <c r="J8538">
        <v>-153</v>
      </c>
      <c r="K8538">
        <v>0</v>
      </c>
      <c r="L8538">
        <v>1200</v>
      </c>
      <c r="M8538" t="str">
        <f t="shared" si="799"/>
        <v xml:space="preserve">N35DC   </v>
      </c>
      <c r="N8538">
        <v>1</v>
      </c>
      <c r="O8538">
        <v>1700</v>
      </c>
    </row>
    <row r="8539" spans="1:15" x14ac:dyDescent="0.25">
      <c r="A8539" t="str">
        <f>"10/21/2020 19:13:30.802"</f>
        <v>10/21/2020 19:13:30.802</v>
      </c>
      <c r="B8539" t="str">
        <f>"19:13:38.750"</f>
        <v>19:13:38.750</v>
      </c>
      <c r="C8539" t="str">
        <f>"19:13:38.550"</f>
        <v>19:13:38.550</v>
      </c>
      <c r="D8539" t="s">
        <v>3331</v>
      </c>
      <c r="E8539">
        <v>30.504527</v>
      </c>
      <c r="F8539" t="s">
        <v>3261</v>
      </c>
      <c r="G8539">
        <v>-89.822288</v>
      </c>
      <c r="H8539">
        <v>1600</v>
      </c>
      <c r="I8539">
        <v>1</v>
      </c>
      <c r="J8539">
        <v>-153</v>
      </c>
      <c r="K8539">
        <v>0</v>
      </c>
      <c r="L8539">
        <v>1200</v>
      </c>
      <c r="M8539" t="str">
        <f t="shared" si="799"/>
        <v xml:space="preserve">N35DC   </v>
      </c>
      <c r="N8539">
        <v>1</v>
      </c>
      <c r="O8539">
        <v>1700</v>
      </c>
    </row>
    <row r="8540" spans="1:15" x14ac:dyDescent="0.25">
      <c r="A8540" t="str">
        <f>"10/21/2020 19:13:33.916"</f>
        <v>10/21/2020 19:13:33.916</v>
      </c>
      <c r="B8540" t="str">
        <f t="shared" ref="B8540:C8544" si="800">"19:13:41.852"</f>
        <v>19:13:41.852</v>
      </c>
      <c r="C8540" t="str">
        <f t="shared" si="800"/>
        <v>19:13:41.852</v>
      </c>
      <c r="D8540" t="s">
        <v>3332</v>
      </c>
      <c r="E8540">
        <v>30.502338000000002</v>
      </c>
      <c r="F8540" t="s">
        <v>3333</v>
      </c>
      <c r="G8540">
        <v>-89.822244999999995</v>
      </c>
      <c r="H8540">
        <v>1600</v>
      </c>
      <c r="I8540">
        <v>3</v>
      </c>
      <c r="J8540">
        <v>-153</v>
      </c>
      <c r="K8540">
        <v>-192</v>
      </c>
      <c r="L8540">
        <v>1200</v>
      </c>
      <c r="M8540" t="str">
        <f t="shared" si="799"/>
        <v xml:space="preserve">N35DC   </v>
      </c>
      <c r="N8540">
        <v>1</v>
      </c>
      <c r="O8540">
        <v>1675</v>
      </c>
    </row>
    <row r="8541" spans="1:15" x14ac:dyDescent="0.25">
      <c r="A8541" t="str">
        <f>"10/21/2020 19:13:33.916"</f>
        <v>10/21/2020 19:13:33.916</v>
      </c>
      <c r="B8541" t="str">
        <f t="shared" si="800"/>
        <v>19:13:41.852</v>
      </c>
      <c r="C8541" t="str">
        <f t="shared" si="800"/>
        <v>19:13:41.852</v>
      </c>
      <c r="D8541" t="s">
        <v>3332</v>
      </c>
      <c r="E8541">
        <v>30.502338000000002</v>
      </c>
      <c r="F8541" t="s">
        <v>3333</v>
      </c>
      <c r="G8541">
        <v>-89.822244999999995</v>
      </c>
      <c r="H8541">
        <v>1600</v>
      </c>
      <c r="I8541">
        <v>3</v>
      </c>
      <c r="J8541">
        <v>-153</v>
      </c>
      <c r="K8541">
        <v>-192</v>
      </c>
      <c r="L8541">
        <v>1200</v>
      </c>
      <c r="M8541" t="str">
        <f t="shared" si="799"/>
        <v xml:space="preserve">N35DC   </v>
      </c>
      <c r="N8541">
        <v>1</v>
      </c>
      <c r="O8541">
        <v>1675</v>
      </c>
    </row>
    <row r="8542" spans="1:15" x14ac:dyDescent="0.25">
      <c r="A8542" t="str">
        <f>"10/21/2020 19:13:33.916"</f>
        <v>10/21/2020 19:13:33.916</v>
      </c>
      <c r="B8542" t="str">
        <f t="shared" si="800"/>
        <v>19:13:41.852</v>
      </c>
      <c r="C8542" t="str">
        <f t="shared" si="800"/>
        <v>19:13:41.852</v>
      </c>
      <c r="D8542" t="s">
        <v>3332</v>
      </c>
      <c r="E8542">
        <v>30.502338000000002</v>
      </c>
      <c r="F8542" t="s">
        <v>3333</v>
      </c>
      <c r="G8542">
        <v>-89.822244999999995</v>
      </c>
      <c r="H8542">
        <v>1600</v>
      </c>
      <c r="I8542">
        <v>3</v>
      </c>
      <c r="J8542">
        <v>-153</v>
      </c>
      <c r="K8542">
        <v>-192</v>
      </c>
      <c r="L8542">
        <v>1200</v>
      </c>
      <c r="M8542" t="str">
        <f t="shared" si="799"/>
        <v xml:space="preserve">N35DC   </v>
      </c>
      <c r="N8542">
        <v>1</v>
      </c>
      <c r="O8542">
        <v>1675</v>
      </c>
    </row>
    <row r="8543" spans="1:15" x14ac:dyDescent="0.25">
      <c r="A8543" t="str">
        <f>"10/21/2020 19:13:33.916"</f>
        <v>10/21/2020 19:13:33.916</v>
      </c>
      <c r="B8543" t="str">
        <f t="shared" si="800"/>
        <v>19:13:41.852</v>
      </c>
      <c r="C8543" t="str">
        <f t="shared" si="800"/>
        <v>19:13:41.852</v>
      </c>
      <c r="D8543" t="s">
        <v>3332</v>
      </c>
      <c r="E8543">
        <v>30.502338000000002</v>
      </c>
      <c r="F8543" t="s">
        <v>3333</v>
      </c>
      <c r="G8543">
        <v>-89.822244999999995</v>
      </c>
      <c r="H8543">
        <v>1600</v>
      </c>
      <c r="I8543">
        <v>3</v>
      </c>
      <c r="J8543">
        <v>-153</v>
      </c>
      <c r="K8543">
        <v>-192</v>
      </c>
      <c r="L8543">
        <v>1200</v>
      </c>
      <c r="M8543" t="str">
        <f t="shared" si="799"/>
        <v xml:space="preserve">N35DC   </v>
      </c>
      <c r="N8543">
        <v>1</v>
      </c>
      <c r="O8543">
        <v>1675</v>
      </c>
    </row>
    <row r="8544" spans="1:15" x14ac:dyDescent="0.25">
      <c r="A8544" t="str">
        <f>"10/21/2020 19:13:33.916"</f>
        <v>10/21/2020 19:13:33.916</v>
      </c>
      <c r="B8544" t="str">
        <f t="shared" si="800"/>
        <v>19:13:41.852</v>
      </c>
      <c r="C8544" t="str">
        <f t="shared" si="800"/>
        <v>19:13:41.852</v>
      </c>
      <c r="D8544" t="s">
        <v>3332</v>
      </c>
      <c r="E8544">
        <v>30.502338000000002</v>
      </c>
      <c r="F8544" t="s">
        <v>3333</v>
      </c>
      <c r="G8544">
        <v>-89.822244999999995</v>
      </c>
      <c r="H8544">
        <v>1600</v>
      </c>
      <c r="I8544">
        <v>3</v>
      </c>
      <c r="J8544">
        <v>-153</v>
      </c>
      <c r="K8544">
        <v>-192</v>
      </c>
      <c r="L8544">
        <v>1200</v>
      </c>
      <c r="M8544" t="str">
        <f t="shared" si="799"/>
        <v xml:space="preserve">N35DC   </v>
      </c>
      <c r="N8544">
        <v>1</v>
      </c>
      <c r="O8544">
        <v>1675</v>
      </c>
    </row>
    <row r="8545" spans="1:15" x14ac:dyDescent="0.25">
      <c r="A8545" t="str">
        <f>"10/21/2020 19:13:34.977"</f>
        <v>10/21/2020 19:13:34.977</v>
      </c>
      <c r="B8545" t="str">
        <f>"19:13:42.898"</f>
        <v>19:13:42.898</v>
      </c>
      <c r="C8545" t="str">
        <f>"19:13:42.498"</f>
        <v>19:13:42.498</v>
      </c>
      <c r="D8545" t="s">
        <v>289</v>
      </c>
      <c r="E8545">
        <v>30.501566</v>
      </c>
      <c r="F8545" t="s">
        <v>3334</v>
      </c>
      <c r="G8545">
        <v>-89.822222999999994</v>
      </c>
      <c r="H8545">
        <v>1600</v>
      </c>
      <c r="I8545">
        <v>3</v>
      </c>
      <c r="J8545">
        <v>-154</v>
      </c>
      <c r="K8545">
        <v>-192</v>
      </c>
      <c r="L8545">
        <v>1200</v>
      </c>
      <c r="M8545" t="str">
        <f t="shared" si="799"/>
        <v xml:space="preserve">N35DC   </v>
      </c>
      <c r="N8545">
        <v>1</v>
      </c>
      <c r="O8545">
        <v>1675</v>
      </c>
    </row>
    <row r="8546" spans="1:15" x14ac:dyDescent="0.25">
      <c r="A8546" t="str">
        <f>"10/21/2020 19:13:34.977"</f>
        <v>10/21/2020 19:13:34.977</v>
      </c>
      <c r="B8546" t="str">
        <f>"19:13:42.898"</f>
        <v>19:13:42.898</v>
      </c>
      <c r="C8546" t="str">
        <f>"19:13:42.498"</f>
        <v>19:13:42.498</v>
      </c>
      <c r="D8546" t="s">
        <v>289</v>
      </c>
      <c r="E8546">
        <v>30.501566</v>
      </c>
      <c r="F8546" t="s">
        <v>3334</v>
      </c>
      <c r="G8546">
        <v>-89.822222999999994</v>
      </c>
      <c r="H8546">
        <v>1600</v>
      </c>
      <c r="I8546">
        <v>3</v>
      </c>
      <c r="J8546">
        <v>-154</v>
      </c>
      <c r="K8546">
        <v>-192</v>
      </c>
      <c r="L8546">
        <v>1200</v>
      </c>
      <c r="M8546" t="str">
        <f t="shared" si="799"/>
        <v xml:space="preserve">N35DC   </v>
      </c>
      <c r="N8546">
        <v>1</v>
      </c>
      <c r="O8546">
        <v>1675</v>
      </c>
    </row>
    <row r="8547" spans="1:15" x14ac:dyDescent="0.25">
      <c r="A8547" t="str">
        <f>"10/21/2020 19:13:34.977"</f>
        <v>10/21/2020 19:13:34.977</v>
      </c>
      <c r="B8547" t="str">
        <f>"19:13:42.898"</f>
        <v>19:13:42.898</v>
      </c>
      <c r="C8547" t="str">
        <f>"19:13:42.498"</f>
        <v>19:13:42.498</v>
      </c>
      <c r="D8547" t="s">
        <v>289</v>
      </c>
      <c r="E8547">
        <v>30.501566</v>
      </c>
      <c r="F8547" t="s">
        <v>3334</v>
      </c>
      <c r="G8547">
        <v>-89.822222999999994</v>
      </c>
      <c r="H8547">
        <v>1600</v>
      </c>
      <c r="I8547">
        <v>3</v>
      </c>
      <c r="J8547">
        <v>-154</v>
      </c>
      <c r="K8547">
        <v>-192</v>
      </c>
      <c r="L8547">
        <v>1200</v>
      </c>
      <c r="M8547" t="str">
        <f t="shared" si="799"/>
        <v xml:space="preserve">N35DC   </v>
      </c>
      <c r="N8547">
        <v>1</v>
      </c>
      <c r="O8547">
        <v>1675</v>
      </c>
    </row>
    <row r="8548" spans="1:15" x14ac:dyDescent="0.25">
      <c r="A8548" t="str">
        <f>"10/21/2020 19:13:34.977"</f>
        <v>10/21/2020 19:13:34.977</v>
      </c>
      <c r="B8548" t="str">
        <f>"19:13:42.898"</f>
        <v>19:13:42.898</v>
      </c>
      <c r="C8548" t="str">
        <f>"19:13:42.498"</f>
        <v>19:13:42.498</v>
      </c>
      <c r="D8548" t="s">
        <v>289</v>
      </c>
      <c r="E8548">
        <v>30.501566</v>
      </c>
      <c r="F8548" t="s">
        <v>3334</v>
      </c>
      <c r="G8548">
        <v>-89.822222999999994</v>
      </c>
      <c r="H8548">
        <v>1600</v>
      </c>
      <c r="I8548">
        <v>3</v>
      </c>
      <c r="J8548">
        <v>-154</v>
      </c>
      <c r="K8548">
        <v>-192</v>
      </c>
      <c r="L8548">
        <v>1200</v>
      </c>
      <c r="M8548" t="str">
        <f t="shared" si="799"/>
        <v xml:space="preserve">N35DC   </v>
      </c>
      <c r="N8548">
        <v>1</v>
      </c>
      <c r="O8548">
        <v>1675</v>
      </c>
    </row>
    <row r="8549" spans="1:15" x14ac:dyDescent="0.25">
      <c r="A8549" t="str">
        <f>"10/21/2020 19:13:34.977"</f>
        <v>10/21/2020 19:13:34.977</v>
      </c>
      <c r="B8549" t="str">
        <f>"19:13:42.898"</f>
        <v>19:13:42.898</v>
      </c>
      <c r="C8549" t="str">
        <f>"19:13:42.498"</f>
        <v>19:13:42.498</v>
      </c>
      <c r="D8549" t="s">
        <v>289</v>
      </c>
      <c r="E8549">
        <v>30.501566</v>
      </c>
      <c r="F8549" t="s">
        <v>3334</v>
      </c>
      <c r="G8549">
        <v>-89.822222999999994</v>
      </c>
      <c r="H8549">
        <v>1600</v>
      </c>
      <c r="I8549">
        <v>3</v>
      </c>
      <c r="J8549">
        <v>-154</v>
      </c>
      <c r="K8549">
        <v>-192</v>
      </c>
      <c r="L8549">
        <v>1200</v>
      </c>
      <c r="M8549" t="str">
        <f t="shared" si="799"/>
        <v xml:space="preserve">N35DC   </v>
      </c>
      <c r="N8549">
        <v>1</v>
      </c>
      <c r="O8549">
        <v>1675</v>
      </c>
    </row>
    <row r="8550" spans="1:15" x14ac:dyDescent="0.25">
      <c r="A8550" t="str">
        <f>"10/21/2020 19:13:35.952"</f>
        <v>10/21/2020 19:13:35.952</v>
      </c>
      <c r="B8550" t="str">
        <f>"19:13:43.922"</f>
        <v>19:13:43.922</v>
      </c>
      <c r="C8550" t="str">
        <f>"19:13:43.622"</f>
        <v>19:13:43.622</v>
      </c>
      <c r="D8550" t="s">
        <v>3335</v>
      </c>
      <c r="E8550">
        <v>30.500836</v>
      </c>
      <c r="F8550" t="s">
        <v>3333</v>
      </c>
      <c r="G8550">
        <v>-89.822244999999995</v>
      </c>
      <c r="H8550">
        <v>1600</v>
      </c>
      <c r="I8550">
        <v>4</v>
      </c>
      <c r="J8550">
        <v>-154</v>
      </c>
      <c r="K8550">
        <v>-640</v>
      </c>
      <c r="L8550">
        <v>1200</v>
      </c>
      <c r="M8550" t="str">
        <f t="shared" si="799"/>
        <v xml:space="preserve">N35DC   </v>
      </c>
      <c r="N8550">
        <v>1</v>
      </c>
      <c r="O8550">
        <v>1675</v>
      </c>
    </row>
    <row r="8551" spans="1:15" x14ac:dyDescent="0.25">
      <c r="A8551" t="str">
        <f>"10/21/2020 19:13:35.952"</f>
        <v>10/21/2020 19:13:35.952</v>
      </c>
      <c r="B8551" t="str">
        <f>"19:13:43.922"</f>
        <v>19:13:43.922</v>
      </c>
      <c r="C8551" t="str">
        <f>"19:13:43.622"</f>
        <v>19:13:43.622</v>
      </c>
      <c r="D8551" t="s">
        <v>3335</v>
      </c>
      <c r="E8551">
        <v>30.500836</v>
      </c>
      <c r="F8551" t="s">
        <v>3333</v>
      </c>
      <c r="G8551">
        <v>-89.822244999999995</v>
      </c>
      <c r="H8551">
        <v>1600</v>
      </c>
      <c r="I8551">
        <v>4</v>
      </c>
      <c r="J8551">
        <v>-154</v>
      </c>
      <c r="K8551">
        <v>-640</v>
      </c>
      <c r="L8551">
        <v>1200</v>
      </c>
      <c r="M8551" t="str">
        <f t="shared" si="799"/>
        <v xml:space="preserve">N35DC   </v>
      </c>
      <c r="N8551">
        <v>1</v>
      </c>
      <c r="O8551">
        <v>1675</v>
      </c>
    </row>
    <row r="8552" spans="1:15" x14ac:dyDescent="0.25">
      <c r="A8552" t="str">
        <f>"10/21/2020 19:13:35.952"</f>
        <v>10/21/2020 19:13:35.952</v>
      </c>
      <c r="B8552" t="str">
        <f>"19:13:43.922"</f>
        <v>19:13:43.922</v>
      </c>
      <c r="C8552" t="str">
        <f>"19:13:43.622"</f>
        <v>19:13:43.622</v>
      </c>
      <c r="D8552" t="s">
        <v>3335</v>
      </c>
      <c r="E8552">
        <v>30.500836</v>
      </c>
      <c r="F8552" t="s">
        <v>3333</v>
      </c>
      <c r="G8552">
        <v>-89.822244999999995</v>
      </c>
      <c r="H8552">
        <v>1600</v>
      </c>
      <c r="I8552">
        <v>4</v>
      </c>
      <c r="J8552">
        <v>-154</v>
      </c>
      <c r="K8552">
        <v>-640</v>
      </c>
      <c r="L8552">
        <v>1200</v>
      </c>
      <c r="M8552" t="str">
        <f t="shared" si="799"/>
        <v xml:space="preserve">N35DC   </v>
      </c>
      <c r="N8552">
        <v>1</v>
      </c>
      <c r="O8552">
        <v>1675</v>
      </c>
    </row>
    <row r="8553" spans="1:15" x14ac:dyDescent="0.25">
      <c r="A8553" t="str">
        <f>"10/21/2020 19:13:35.952"</f>
        <v>10/21/2020 19:13:35.952</v>
      </c>
      <c r="B8553" t="str">
        <f>"19:13:43.922"</f>
        <v>19:13:43.922</v>
      </c>
      <c r="C8553" t="str">
        <f>"19:13:43.622"</f>
        <v>19:13:43.622</v>
      </c>
      <c r="D8553" t="s">
        <v>3335</v>
      </c>
      <c r="E8553">
        <v>30.500836</v>
      </c>
      <c r="F8553" t="s">
        <v>3333</v>
      </c>
      <c r="G8553">
        <v>-89.822244999999995</v>
      </c>
      <c r="H8553">
        <v>1600</v>
      </c>
      <c r="I8553">
        <v>4</v>
      </c>
      <c r="J8553">
        <v>-154</v>
      </c>
      <c r="K8553">
        <v>-640</v>
      </c>
      <c r="L8553">
        <v>1200</v>
      </c>
      <c r="M8553" t="str">
        <f t="shared" si="799"/>
        <v xml:space="preserve">N35DC   </v>
      </c>
      <c r="N8553">
        <v>1</v>
      </c>
      <c r="O8553">
        <v>1675</v>
      </c>
    </row>
    <row r="8554" spans="1:15" x14ac:dyDescent="0.25">
      <c r="A8554" t="str">
        <f>"10/21/2020 19:13:35.952"</f>
        <v>10/21/2020 19:13:35.952</v>
      </c>
      <c r="B8554" t="str">
        <f>"19:13:43.922"</f>
        <v>19:13:43.922</v>
      </c>
      <c r="C8554" t="str">
        <f>"19:13:43.622"</f>
        <v>19:13:43.622</v>
      </c>
      <c r="D8554" t="s">
        <v>3335</v>
      </c>
      <c r="E8554">
        <v>30.500836</v>
      </c>
      <c r="F8554" t="s">
        <v>3333</v>
      </c>
      <c r="G8554">
        <v>-89.822244999999995</v>
      </c>
      <c r="H8554">
        <v>1600</v>
      </c>
      <c r="I8554">
        <v>4</v>
      </c>
      <c r="J8554">
        <v>-154</v>
      </c>
      <c r="K8554">
        <v>-640</v>
      </c>
      <c r="L8554">
        <v>1200</v>
      </c>
      <c r="M8554" t="str">
        <f t="shared" si="799"/>
        <v xml:space="preserve">N35DC   </v>
      </c>
      <c r="N8554">
        <v>1</v>
      </c>
      <c r="O8554">
        <v>1675</v>
      </c>
    </row>
    <row r="8555" spans="1:15" x14ac:dyDescent="0.25">
      <c r="A8555" t="str">
        <f>"10/21/2020 19:13:38.836"</f>
        <v>10/21/2020 19:13:38.836</v>
      </c>
      <c r="B8555" t="str">
        <f>"19:13:46.789"</f>
        <v>19:13:46.789</v>
      </c>
      <c r="C8555" t="str">
        <f>"19:13:46.389"</f>
        <v>19:13:46.389</v>
      </c>
      <c r="D8555" t="s">
        <v>3336</v>
      </c>
      <c r="E8555">
        <v>30.498754999999999</v>
      </c>
      <c r="F8555" t="s">
        <v>3337</v>
      </c>
      <c r="G8555">
        <v>-89.822180000000003</v>
      </c>
      <c r="H8555">
        <v>1600</v>
      </c>
      <c r="I8555">
        <v>4</v>
      </c>
      <c r="J8555">
        <v>-159</v>
      </c>
      <c r="K8555">
        <v>-960</v>
      </c>
      <c r="L8555">
        <v>1200</v>
      </c>
      <c r="M8555" t="str">
        <f t="shared" si="799"/>
        <v xml:space="preserve">N35DC   </v>
      </c>
      <c r="N8555">
        <v>1</v>
      </c>
      <c r="O8555">
        <v>1625</v>
      </c>
    </row>
    <row r="8556" spans="1:15" x14ac:dyDescent="0.25">
      <c r="A8556" t="str">
        <f>"10/21/2020 19:13:38.836"</f>
        <v>10/21/2020 19:13:38.836</v>
      </c>
      <c r="B8556" t="str">
        <f>"19:13:46.789"</f>
        <v>19:13:46.789</v>
      </c>
      <c r="C8556" t="str">
        <f>"19:13:46.389"</f>
        <v>19:13:46.389</v>
      </c>
      <c r="D8556" t="s">
        <v>3336</v>
      </c>
      <c r="E8556">
        <v>30.498754999999999</v>
      </c>
      <c r="F8556" t="s">
        <v>3337</v>
      </c>
      <c r="G8556">
        <v>-89.822180000000003</v>
      </c>
      <c r="H8556">
        <v>1600</v>
      </c>
      <c r="I8556">
        <v>4</v>
      </c>
      <c r="J8556">
        <v>-159</v>
      </c>
      <c r="K8556">
        <v>-960</v>
      </c>
      <c r="L8556">
        <v>1200</v>
      </c>
      <c r="M8556" t="str">
        <f t="shared" si="799"/>
        <v xml:space="preserve">N35DC   </v>
      </c>
      <c r="N8556">
        <v>1</v>
      </c>
      <c r="O8556">
        <v>1625</v>
      </c>
    </row>
    <row r="8557" spans="1:15" x14ac:dyDescent="0.25">
      <c r="A8557" t="str">
        <f>"10/21/2020 19:13:38.836"</f>
        <v>10/21/2020 19:13:38.836</v>
      </c>
      <c r="B8557" t="str">
        <f>"19:13:46.789"</f>
        <v>19:13:46.789</v>
      </c>
      <c r="C8557" t="str">
        <f>"19:13:46.389"</f>
        <v>19:13:46.389</v>
      </c>
      <c r="D8557" t="s">
        <v>3336</v>
      </c>
      <c r="E8557">
        <v>30.498754999999999</v>
      </c>
      <c r="F8557" t="s">
        <v>3337</v>
      </c>
      <c r="G8557">
        <v>-89.822180000000003</v>
      </c>
      <c r="H8557">
        <v>1600</v>
      </c>
      <c r="I8557">
        <v>4</v>
      </c>
      <c r="J8557">
        <v>-159</v>
      </c>
      <c r="K8557">
        <v>-960</v>
      </c>
      <c r="L8557">
        <v>1200</v>
      </c>
      <c r="M8557" t="str">
        <f t="shared" si="799"/>
        <v xml:space="preserve">N35DC   </v>
      </c>
      <c r="N8557">
        <v>1</v>
      </c>
      <c r="O8557">
        <v>1625</v>
      </c>
    </row>
    <row r="8558" spans="1:15" x14ac:dyDescent="0.25">
      <c r="A8558" t="str">
        <f>"10/21/2020 19:13:38.836"</f>
        <v>10/21/2020 19:13:38.836</v>
      </c>
      <c r="B8558" t="str">
        <f>"19:13:46.789"</f>
        <v>19:13:46.789</v>
      </c>
      <c r="C8558" t="str">
        <f>"19:13:46.389"</f>
        <v>19:13:46.389</v>
      </c>
      <c r="D8558" t="s">
        <v>3336</v>
      </c>
      <c r="E8558">
        <v>30.498754999999999</v>
      </c>
      <c r="F8558" t="s">
        <v>3337</v>
      </c>
      <c r="G8558">
        <v>-89.822180000000003</v>
      </c>
      <c r="H8558">
        <v>1600</v>
      </c>
      <c r="I8558">
        <v>4</v>
      </c>
      <c r="J8558">
        <v>-159</v>
      </c>
      <c r="K8558">
        <v>-960</v>
      </c>
      <c r="L8558">
        <v>1200</v>
      </c>
      <c r="M8558" t="str">
        <f t="shared" si="799"/>
        <v xml:space="preserve">N35DC   </v>
      </c>
      <c r="N8558">
        <v>1</v>
      </c>
      <c r="O8558">
        <v>1625</v>
      </c>
    </row>
    <row r="8559" spans="1:15" x14ac:dyDescent="0.25">
      <c r="A8559" t="str">
        <f>"10/21/2020 19:13:38.836"</f>
        <v>10/21/2020 19:13:38.836</v>
      </c>
      <c r="B8559" t="str">
        <f>"19:13:46.789"</f>
        <v>19:13:46.789</v>
      </c>
      <c r="C8559" t="str">
        <f>"19:13:46.389"</f>
        <v>19:13:46.389</v>
      </c>
      <c r="D8559" t="s">
        <v>3336</v>
      </c>
      <c r="E8559">
        <v>30.498754999999999</v>
      </c>
      <c r="F8559" t="s">
        <v>3337</v>
      </c>
      <c r="G8559">
        <v>-89.822180000000003</v>
      </c>
      <c r="H8559">
        <v>1600</v>
      </c>
      <c r="I8559">
        <v>4</v>
      </c>
      <c r="J8559">
        <v>-159</v>
      </c>
      <c r="K8559">
        <v>-960</v>
      </c>
      <c r="L8559">
        <v>1200</v>
      </c>
      <c r="M8559" t="str">
        <f t="shared" si="799"/>
        <v xml:space="preserve">N35DC   </v>
      </c>
      <c r="N8559">
        <v>1</v>
      </c>
      <c r="O8559">
        <v>1625</v>
      </c>
    </row>
    <row r="8560" spans="1:15" x14ac:dyDescent="0.25">
      <c r="A8560" t="str">
        <f>"10/21/2020 19:13:39.828"</f>
        <v>10/21/2020 19:13:39.828</v>
      </c>
      <c r="B8560" t="str">
        <f t="shared" ref="B8560:C8564" si="801">"19:13:47.773"</f>
        <v>19:13:47.773</v>
      </c>
      <c r="C8560" t="str">
        <f t="shared" si="801"/>
        <v>19:13:47.773</v>
      </c>
      <c r="D8560" t="s">
        <v>3338</v>
      </c>
      <c r="E8560">
        <v>30.498004000000002</v>
      </c>
      <c r="F8560" t="s">
        <v>3159</v>
      </c>
      <c r="G8560">
        <v>-89.822115999999994</v>
      </c>
      <c r="H8560">
        <v>1600</v>
      </c>
      <c r="I8560">
        <v>4</v>
      </c>
      <c r="J8560">
        <v>-160</v>
      </c>
      <c r="K8560">
        <v>-1152</v>
      </c>
      <c r="L8560">
        <v>1200</v>
      </c>
      <c r="M8560" t="str">
        <f t="shared" si="799"/>
        <v xml:space="preserve">N35DC   </v>
      </c>
      <c r="N8560">
        <v>1</v>
      </c>
      <c r="O8560">
        <v>1600</v>
      </c>
    </row>
    <row r="8561" spans="1:15" x14ac:dyDescent="0.25">
      <c r="A8561" t="str">
        <f>"10/21/2020 19:13:39.828"</f>
        <v>10/21/2020 19:13:39.828</v>
      </c>
      <c r="B8561" t="str">
        <f t="shared" si="801"/>
        <v>19:13:47.773</v>
      </c>
      <c r="C8561" t="str">
        <f t="shared" si="801"/>
        <v>19:13:47.773</v>
      </c>
      <c r="D8561" t="s">
        <v>3338</v>
      </c>
      <c r="E8561">
        <v>30.498004000000002</v>
      </c>
      <c r="F8561" t="s">
        <v>3159</v>
      </c>
      <c r="G8561">
        <v>-89.822115999999994</v>
      </c>
      <c r="H8561">
        <v>1600</v>
      </c>
      <c r="I8561">
        <v>4</v>
      </c>
      <c r="J8561">
        <v>-160</v>
      </c>
      <c r="K8561">
        <v>-1152</v>
      </c>
      <c r="L8561">
        <v>1200</v>
      </c>
      <c r="M8561" t="str">
        <f t="shared" si="799"/>
        <v xml:space="preserve">N35DC   </v>
      </c>
      <c r="N8561">
        <v>1</v>
      </c>
      <c r="O8561">
        <v>1600</v>
      </c>
    </row>
    <row r="8562" spans="1:15" x14ac:dyDescent="0.25">
      <c r="A8562" t="str">
        <f>"10/21/2020 19:13:39.828"</f>
        <v>10/21/2020 19:13:39.828</v>
      </c>
      <c r="B8562" t="str">
        <f t="shared" si="801"/>
        <v>19:13:47.773</v>
      </c>
      <c r="C8562" t="str">
        <f t="shared" si="801"/>
        <v>19:13:47.773</v>
      </c>
      <c r="D8562" t="s">
        <v>3338</v>
      </c>
      <c r="E8562">
        <v>30.498004000000002</v>
      </c>
      <c r="F8562" t="s">
        <v>3159</v>
      </c>
      <c r="G8562">
        <v>-89.822115999999994</v>
      </c>
      <c r="H8562">
        <v>1600</v>
      </c>
      <c r="I8562">
        <v>4</v>
      </c>
      <c r="J8562">
        <v>-160</v>
      </c>
      <c r="K8562">
        <v>-1152</v>
      </c>
      <c r="L8562">
        <v>1200</v>
      </c>
      <c r="M8562" t="str">
        <f t="shared" si="799"/>
        <v xml:space="preserve">N35DC   </v>
      </c>
      <c r="N8562">
        <v>1</v>
      </c>
      <c r="O8562">
        <v>1600</v>
      </c>
    </row>
    <row r="8563" spans="1:15" x14ac:dyDescent="0.25">
      <c r="A8563" t="str">
        <f>"10/21/2020 19:13:39.828"</f>
        <v>10/21/2020 19:13:39.828</v>
      </c>
      <c r="B8563" t="str">
        <f t="shared" si="801"/>
        <v>19:13:47.773</v>
      </c>
      <c r="C8563" t="str">
        <f t="shared" si="801"/>
        <v>19:13:47.773</v>
      </c>
      <c r="D8563" t="s">
        <v>3338</v>
      </c>
      <c r="E8563">
        <v>30.498004000000002</v>
      </c>
      <c r="F8563" t="s">
        <v>3159</v>
      </c>
      <c r="G8563">
        <v>-89.822115999999994</v>
      </c>
      <c r="H8563">
        <v>1600</v>
      </c>
      <c r="I8563">
        <v>4</v>
      </c>
      <c r="J8563">
        <v>-160</v>
      </c>
      <c r="K8563">
        <v>-1152</v>
      </c>
      <c r="L8563">
        <v>1200</v>
      </c>
      <c r="M8563" t="str">
        <f t="shared" si="799"/>
        <v xml:space="preserve">N35DC   </v>
      </c>
      <c r="N8563">
        <v>1</v>
      </c>
      <c r="O8563">
        <v>1600</v>
      </c>
    </row>
    <row r="8564" spans="1:15" x14ac:dyDescent="0.25">
      <c r="A8564" t="str">
        <f>"10/21/2020 19:13:39.828"</f>
        <v>10/21/2020 19:13:39.828</v>
      </c>
      <c r="B8564" t="str">
        <f t="shared" si="801"/>
        <v>19:13:47.773</v>
      </c>
      <c r="C8564" t="str">
        <f t="shared" si="801"/>
        <v>19:13:47.773</v>
      </c>
      <c r="D8564" t="s">
        <v>3338</v>
      </c>
      <c r="E8564">
        <v>30.498004000000002</v>
      </c>
      <c r="F8564" t="s">
        <v>3159</v>
      </c>
      <c r="G8564">
        <v>-89.822115999999994</v>
      </c>
      <c r="H8564">
        <v>1600</v>
      </c>
      <c r="I8564">
        <v>4</v>
      </c>
      <c r="J8564">
        <v>-160</v>
      </c>
      <c r="K8564">
        <v>-1152</v>
      </c>
      <c r="L8564">
        <v>1200</v>
      </c>
      <c r="M8564" t="str">
        <f t="shared" si="799"/>
        <v xml:space="preserve">N35DC   </v>
      </c>
      <c r="N8564">
        <v>1</v>
      </c>
      <c r="O8564">
        <v>1600</v>
      </c>
    </row>
    <row r="8565" spans="1:15" x14ac:dyDescent="0.25">
      <c r="A8565" t="str">
        <f>"10/21/2020 19:13:40.649"</f>
        <v>10/21/2020 19:13:40.649</v>
      </c>
      <c r="B8565" t="str">
        <f>"19:13:48.602"</f>
        <v>19:13:48.602</v>
      </c>
      <c r="C8565" t="str">
        <f>"19:13:48.302"</f>
        <v>19:13:48.302</v>
      </c>
      <c r="D8565" t="s">
        <v>3339</v>
      </c>
      <c r="E8565">
        <v>30.497402999999998</v>
      </c>
      <c r="F8565" t="s">
        <v>3340</v>
      </c>
      <c r="G8565">
        <v>-89.822136999999998</v>
      </c>
      <c r="H8565">
        <v>1500</v>
      </c>
      <c r="I8565">
        <v>4</v>
      </c>
      <c r="J8565">
        <v>-161</v>
      </c>
      <c r="K8565">
        <v>-1024</v>
      </c>
      <c r="L8565">
        <v>1200</v>
      </c>
      <c r="M8565" t="str">
        <f t="shared" si="799"/>
        <v xml:space="preserve">N35DC   </v>
      </c>
      <c r="N8565">
        <v>1</v>
      </c>
      <c r="O8565">
        <v>1600</v>
      </c>
    </row>
    <row r="8566" spans="1:15" x14ac:dyDescent="0.25">
      <c r="A8566" t="str">
        <f>"10/21/2020 19:13:40.649"</f>
        <v>10/21/2020 19:13:40.649</v>
      </c>
      <c r="B8566" t="str">
        <f>"19:13:48.602"</f>
        <v>19:13:48.602</v>
      </c>
      <c r="C8566" t="str">
        <f>"19:13:48.302"</f>
        <v>19:13:48.302</v>
      </c>
      <c r="D8566" t="s">
        <v>3339</v>
      </c>
      <c r="E8566">
        <v>30.497402999999998</v>
      </c>
      <c r="F8566" t="s">
        <v>3340</v>
      </c>
      <c r="G8566">
        <v>-89.822136999999998</v>
      </c>
      <c r="H8566">
        <v>1500</v>
      </c>
      <c r="I8566">
        <v>4</v>
      </c>
      <c r="J8566">
        <v>-161</v>
      </c>
      <c r="K8566">
        <v>-1024</v>
      </c>
      <c r="L8566">
        <v>1200</v>
      </c>
      <c r="M8566" t="str">
        <f t="shared" si="799"/>
        <v xml:space="preserve">N35DC   </v>
      </c>
      <c r="N8566">
        <v>1</v>
      </c>
      <c r="O8566">
        <v>1600</v>
      </c>
    </row>
    <row r="8567" spans="1:15" x14ac:dyDescent="0.25">
      <c r="A8567" t="str">
        <f>"10/21/2020 19:13:40.649"</f>
        <v>10/21/2020 19:13:40.649</v>
      </c>
      <c r="B8567" t="str">
        <f>"19:13:48.602"</f>
        <v>19:13:48.602</v>
      </c>
      <c r="C8567" t="str">
        <f>"19:13:48.302"</f>
        <v>19:13:48.302</v>
      </c>
      <c r="D8567" t="s">
        <v>3339</v>
      </c>
      <c r="E8567">
        <v>30.497402999999998</v>
      </c>
      <c r="F8567" t="s">
        <v>3340</v>
      </c>
      <c r="G8567">
        <v>-89.822136999999998</v>
      </c>
      <c r="H8567">
        <v>1500</v>
      </c>
      <c r="I8567">
        <v>4</v>
      </c>
      <c r="J8567">
        <v>-161</v>
      </c>
      <c r="K8567">
        <v>-1024</v>
      </c>
      <c r="L8567">
        <v>1200</v>
      </c>
      <c r="M8567" t="str">
        <f t="shared" si="799"/>
        <v xml:space="preserve">N35DC   </v>
      </c>
      <c r="N8567">
        <v>1</v>
      </c>
      <c r="O8567">
        <v>1600</v>
      </c>
    </row>
    <row r="8568" spans="1:15" x14ac:dyDescent="0.25">
      <c r="A8568" t="str">
        <f>"10/21/2020 19:13:40.649"</f>
        <v>10/21/2020 19:13:40.649</v>
      </c>
      <c r="B8568" t="str">
        <f>"19:13:48.602"</f>
        <v>19:13:48.602</v>
      </c>
      <c r="C8568" t="str">
        <f>"19:13:48.302"</f>
        <v>19:13:48.302</v>
      </c>
      <c r="D8568" t="s">
        <v>3339</v>
      </c>
      <c r="E8568">
        <v>30.497402999999998</v>
      </c>
      <c r="F8568" t="s">
        <v>3340</v>
      </c>
      <c r="G8568">
        <v>-89.822136999999998</v>
      </c>
      <c r="H8568">
        <v>1500</v>
      </c>
      <c r="I8568">
        <v>4</v>
      </c>
      <c r="J8568">
        <v>-161</v>
      </c>
      <c r="K8568">
        <v>-1024</v>
      </c>
      <c r="L8568">
        <v>1200</v>
      </c>
      <c r="M8568" t="str">
        <f t="shared" si="799"/>
        <v xml:space="preserve">N35DC   </v>
      </c>
      <c r="N8568">
        <v>1</v>
      </c>
      <c r="O8568">
        <v>1600</v>
      </c>
    </row>
    <row r="8569" spans="1:15" x14ac:dyDescent="0.25">
      <c r="A8569" t="str">
        <f>"10/21/2020 19:13:40.649"</f>
        <v>10/21/2020 19:13:40.649</v>
      </c>
      <c r="B8569" t="str">
        <f>"19:13:48.602"</f>
        <v>19:13:48.602</v>
      </c>
      <c r="C8569" t="str">
        <f>"19:13:48.302"</f>
        <v>19:13:48.302</v>
      </c>
      <c r="D8569" t="s">
        <v>3339</v>
      </c>
      <c r="E8569">
        <v>30.497402999999998</v>
      </c>
      <c r="F8569" t="s">
        <v>3340</v>
      </c>
      <c r="G8569">
        <v>-89.822136999999998</v>
      </c>
      <c r="H8569">
        <v>1500</v>
      </c>
      <c r="I8569">
        <v>4</v>
      </c>
      <c r="J8569">
        <v>-161</v>
      </c>
      <c r="K8569">
        <v>-1024</v>
      </c>
      <c r="L8569">
        <v>1200</v>
      </c>
      <c r="M8569" t="str">
        <f t="shared" si="799"/>
        <v xml:space="preserve">N35DC   </v>
      </c>
      <c r="N8569">
        <v>1</v>
      </c>
      <c r="O8569">
        <v>1600</v>
      </c>
    </row>
    <row r="8570" spans="1:15" x14ac:dyDescent="0.25">
      <c r="A8570" t="str">
        <f>"10/21/2020 19:13:43.881"</f>
        <v>10/21/2020 19:13:43.881</v>
      </c>
      <c r="B8570" t="str">
        <f>"19:13:51.844"</f>
        <v>19:13:51.844</v>
      </c>
      <c r="C8570" t="str">
        <f>"19:13:51.544"</f>
        <v>19:13:51.544</v>
      </c>
      <c r="D8570" t="s">
        <v>3341</v>
      </c>
      <c r="E8570">
        <v>30.494935999999999</v>
      </c>
      <c r="F8570" t="s">
        <v>3342</v>
      </c>
      <c r="G8570">
        <v>-89.822073000000003</v>
      </c>
      <c r="H8570">
        <v>1500</v>
      </c>
      <c r="I8570">
        <v>2</v>
      </c>
      <c r="J8570">
        <v>-163</v>
      </c>
      <c r="K8570">
        <v>-768</v>
      </c>
      <c r="L8570">
        <v>1200</v>
      </c>
      <c r="M8570" t="str">
        <f t="shared" si="799"/>
        <v xml:space="preserve">N35DC   </v>
      </c>
      <c r="N8570">
        <v>1</v>
      </c>
      <c r="O8570">
        <v>1550</v>
      </c>
    </row>
    <row r="8571" spans="1:15" x14ac:dyDescent="0.25">
      <c r="A8571" t="str">
        <f>"10/21/2020 19:13:43.881"</f>
        <v>10/21/2020 19:13:43.881</v>
      </c>
      <c r="B8571" t="str">
        <f>"19:13:51.844"</f>
        <v>19:13:51.844</v>
      </c>
      <c r="C8571" t="str">
        <f>"19:13:51.544"</f>
        <v>19:13:51.544</v>
      </c>
      <c r="D8571" t="s">
        <v>3341</v>
      </c>
      <c r="E8571">
        <v>30.494935999999999</v>
      </c>
      <c r="F8571" t="s">
        <v>3342</v>
      </c>
      <c r="G8571">
        <v>-89.822073000000003</v>
      </c>
      <c r="H8571">
        <v>1500</v>
      </c>
      <c r="I8571">
        <v>2</v>
      </c>
      <c r="J8571">
        <v>-163</v>
      </c>
      <c r="K8571">
        <v>-768</v>
      </c>
      <c r="L8571">
        <v>1200</v>
      </c>
      <c r="M8571" t="str">
        <f t="shared" si="799"/>
        <v xml:space="preserve">N35DC   </v>
      </c>
      <c r="N8571">
        <v>1</v>
      </c>
      <c r="O8571">
        <v>1550</v>
      </c>
    </row>
    <row r="8572" spans="1:15" x14ac:dyDescent="0.25">
      <c r="A8572" t="str">
        <f>"10/21/2020 19:13:43.881"</f>
        <v>10/21/2020 19:13:43.881</v>
      </c>
      <c r="B8572" t="str">
        <f>"19:13:51.844"</f>
        <v>19:13:51.844</v>
      </c>
      <c r="C8572" t="str">
        <f>"19:13:51.544"</f>
        <v>19:13:51.544</v>
      </c>
      <c r="D8572" t="s">
        <v>3341</v>
      </c>
      <c r="E8572">
        <v>30.494935999999999</v>
      </c>
      <c r="F8572" t="s">
        <v>3342</v>
      </c>
      <c r="G8572">
        <v>-89.822073000000003</v>
      </c>
      <c r="H8572">
        <v>1500</v>
      </c>
      <c r="I8572">
        <v>2</v>
      </c>
      <c r="J8572">
        <v>-163</v>
      </c>
      <c r="K8572">
        <v>-768</v>
      </c>
      <c r="L8572">
        <v>1200</v>
      </c>
      <c r="M8572" t="str">
        <f t="shared" si="799"/>
        <v xml:space="preserve">N35DC   </v>
      </c>
      <c r="N8572">
        <v>1</v>
      </c>
      <c r="O8572">
        <v>1550</v>
      </c>
    </row>
    <row r="8573" spans="1:15" x14ac:dyDescent="0.25">
      <c r="A8573" t="str">
        <f>"10/21/2020 19:13:43.881"</f>
        <v>10/21/2020 19:13:43.881</v>
      </c>
      <c r="B8573" t="str">
        <f>"19:13:51.844"</f>
        <v>19:13:51.844</v>
      </c>
      <c r="C8573" t="str">
        <f>"19:13:51.544"</f>
        <v>19:13:51.544</v>
      </c>
      <c r="D8573" t="s">
        <v>3341</v>
      </c>
      <c r="E8573">
        <v>30.494935999999999</v>
      </c>
      <c r="F8573" t="s">
        <v>3342</v>
      </c>
      <c r="G8573">
        <v>-89.822073000000003</v>
      </c>
      <c r="H8573">
        <v>1500</v>
      </c>
      <c r="I8573">
        <v>2</v>
      </c>
      <c r="J8573">
        <v>-163</v>
      </c>
      <c r="K8573">
        <v>-768</v>
      </c>
      <c r="L8573">
        <v>1200</v>
      </c>
      <c r="M8573" t="str">
        <f t="shared" si="799"/>
        <v xml:space="preserve">N35DC   </v>
      </c>
      <c r="N8573">
        <v>1</v>
      </c>
      <c r="O8573">
        <v>1550</v>
      </c>
    </row>
    <row r="8574" spans="1:15" x14ac:dyDescent="0.25">
      <c r="A8574" t="str">
        <f>"10/21/2020 19:13:43.881"</f>
        <v>10/21/2020 19:13:43.881</v>
      </c>
      <c r="B8574" t="str">
        <f>"19:13:51.844"</f>
        <v>19:13:51.844</v>
      </c>
      <c r="C8574" t="str">
        <f>"19:13:51.544"</f>
        <v>19:13:51.544</v>
      </c>
      <c r="D8574" t="s">
        <v>3341</v>
      </c>
      <c r="E8574">
        <v>30.494935999999999</v>
      </c>
      <c r="F8574" t="s">
        <v>3342</v>
      </c>
      <c r="G8574">
        <v>-89.822073000000003</v>
      </c>
      <c r="H8574">
        <v>1500</v>
      </c>
      <c r="I8574">
        <v>2</v>
      </c>
      <c r="J8574">
        <v>-163</v>
      </c>
      <c r="K8574">
        <v>-768</v>
      </c>
      <c r="L8574">
        <v>1200</v>
      </c>
      <c r="M8574" t="str">
        <f t="shared" si="799"/>
        <v xml:space="preserve">N35DC   </v>
      </c>
      <c r="N8574">
        <v>1</v>
      </c>
      <c r="O8574">
        <v>1550</v>
      </c>
    </row>
    <row r="8575" spans="1:15" x14ac:dyDescent="0.25">
      <c r="A8575" t="str">
        <f>"10/21/2020 19:13:47.056"</f>
        <v>10/21/2020 19:13:47.056</v>
      </c>
      <c r="B8575" t="str">
        <f t="shared" ref="B8575:C8579" si="802">"19:13:55.023"</f>
        <v>19:13:55.023</v>
      </c>
      <c r="C8575" t="str">
        <f t="shared" si="802"/>
        <v>19:13:55.023</v>
      </c>
      <c r="D8575" t="s">
        <v>3343</v>
      </c>
      <c r="E8575">
        <v>30.492553999999998</v>
      </c>
      <c r="F8575" t="s">
        <v>3342</v>
      </c>
      <c r="G8575">
        <v>-89.822073000000003</v>
      </c>
      <c r="H8575">
        <v>1500</v>
      </c>
      <c r="I8575">
        <v>-1</v>
      </c>
      <c r="J8575">
        <v>-164</v>
      </c>
      <c r="K8575">
        <v>-640</v>
      </c>
      <c r="L8575">
        <v>1200</v>
      </c>
      <c r="M8575" t="str">
        <f t="shared" si="799"/>
        <v xml:space="preserve">N35DC   </v>
      </c>
      <c r="N8575">
        <v>1</v>
      </c>
      <c r="O8575">
        <v>1500</v>
      </c>
    </row>
    <row r="8576" spans="1:15" x14ac:dyDescent="0.25">
      <c r="A8576" t="str">
        <f>"10/21/2020 19:13:47.056"</f>
        <v>10/21/2020 19:13:47.056</v>
      </c>
      <c r="B8576" t="str">
        <f t="shared" si="802"/>
        <v>19:13:55.023</v>
      </c>
      <c r="C8576" t="str">
        <f t="shared" si="802"/>
        <v>19:13:55.023</v>
      </c>
      <c r="D8576" t="s">
        <v>3343</v>
      </c>
      <c r="E8576">
        <v>30.492553999999998</v>
      </c>
      <c r="F8576" t="s">
        <v>3342</v>
      </c>
      <c r="G8576">
        <v>-89.822073000000003</v>
      </c>
      <c r="H8576">
        <v>1500</v>
      </c>
      <c r="I8576">
        <v>-1</v>
      </c>
      <c r="J8576">
        <v>-164</v>
      </c>
      <c r="K8576">
        <v>-640</v>
      </c>
      <c r="L8576">
        <v>1200</v>
      </c>
      <c r="M8576" t="str">
        <f t="shared" si="799"/>
        <v xml:space="preserve">N35DC   </v>
      </c>
      <c r="N8576">
        <v>1</v>
      </c>
      <c r="O8576">
        <v>1500</v>
      </c>
    </row>
    <row r="8577" spans="1:15" x14ac:dyDescent="0.25">
      <c r="A8577" t="str">
        <f>"10/21/2020 19:13:47.056"</f>
        <v>10/21/2020 19:13:47.056</v>
      </c>
      <c r="B8577" t="str">
        <f t="shared" si="802"/>
        <v>19:13:55.023</v>
      </c>
      <c r="C8577" t="str">
        <f t="shared" si="802"/>
        <v>19:13:55.023</v>
      </c>
      <c r="D8577" t="s">
        <v>3343</v>
      </c>
      <c r="E8577">
        <v>30.492553999999998</v>
      </c>
      <c r="F8577" t="s">
        <v>3342</v>
      </c>
      <c r="G8577">
        <v>-89.822073000000003</v>
      </c>
      <c r="H8577">
        <v>1500</v>
      </c>
      <c r="I8577">
        <v>-1</v>
      </c>
      <c r="J8577">
        <v>-164</v>
      </c>
      <c r="K8577">
        <v>-640</v>
      </c>
      <c r="L8577">
        <v>1200</v>
      </c>
      <c r="M8577" t="str">
        <f t="shared" si="799"/>
        <v xml:space="preserve">N35DC   </v>
      </c>
      <c r="N8577">
        <v>1</v>
      </c>
      <c r="O8577">
        <v>1500</v>
      </c>
    </row>
    <row r="8578" spans="1:15" x14ac:dyDescent="0.25">
      <c r="A8578" t="str">
        <f>"10/21/2020 19:13:47.056"</f>
        <v>10/21/2020 19:13:47.056</v>
      </c>
      <c r="B8578" t="str">
        <f t="shared" si="802"/>
        <v>19:13:55.023</v>
      </c>
      <c r="C8578" t="str">
        <f t="shared" si="802"/>
        <v>19:13:55.023</v>
      </c>
      <c r="D8578" t="s">
        <v>3343</v>
      </c>
      <c r="E8578">
        <v>30.492553999999998</v>
      </c>
      <c r="F8578" t="s">
        <v>3342</v>
      </c>
      <c r="G8578">
        <v>-89.822073000000003</v>
      </c>
      <c r="H8578">
        <v>1500</v>
      </c>
      <c r="I8578">
        <v>-1</v>
      </c>
      <c r="J8578">
        <v>-164</v>
      </c>
      <c r="K8578">
        <v>-640</v>
      </c>
      <c r="L8578">
        <v>1200</v>
      </c>
      <c r="M8578" t="str">
        <f t="shared" si="799"/>
        <v xml:space="preserve">N35DC   </v>
      </c>
      <c r="N8578">
        <v>1</v>
      </c>
      <c r="O8578">
        <v>1500</v>
      </c>
    </row>
    <row r="8579" spans="1:15" x14ac:dyDescent="0.25">
      <c r="A8579" t="str">
        <f>"10/21/2020 19:13:47.056"</f>
        <v>10/21/2020 19:13:47.056</v>
      </c>
      <c r="B8579" t="str">
        <f t="shared" si="802"/>
        <v>19:13:55.023</v>
      </c>
      <c r="C8579" t="str">
        <f t="shared" si="802"/>
        <v>19:13:55.023</v>
      </c>
      <c r="D8579" t="s">
        <v>3343</v>
      </c>
      <c r="E8579">
        <v>30.492553999999998</v>
      </c>
      <c r="F8579" t="s">
        <v>3342</v>
      </c>
      <c r="G8579">
        <v>-89.822073000000003</v>
      </c>
      <c r="H8579">
        <v>1500</v>
      </c>
      <c r="I8579">
        <v>-1</v>
      </c>
      <c r="J8579">
        <v>-164</v>
      </c>
      <c r="K8579">
        <v>-640</v>
      </c>
      <c r="L8579">
        <v>1200</v>
      </c>
      <c r="M8579" t="str">
        <f t="shared" si="799"/>
        <v xml:space="preserve">N35DC   </v>
      </c>
      <c r="N8579">
        <v>1</v>
      </c>
      <c r="O8579">
        <v>1500</v>
      </c>
    </row>
    <row r="8580" spans="1:15" x14ac:dyDescent="0.25">
      <c r="A8580" t="str">
        <f>"10/21/2020 19:13:48.095"</f>
        <v>10/21/2020 19:13:48.095</v>
      </c>
      <c r="B8580" t="str">
        <f>"19:13:56.055"</f>
        <v>19:13:56.055</v>
      </c>
      <c r="C8580" t="str">
        <f>"19:13:56.055"</f>
        <v>19:13:56.055</v>
      </c>
      <c r="D8580" t="s">
        <v>3344</v>
      </c>
      <c r="E8580">
        <v>30.491738000000002</v>
      </c>
      <c r="F8580" t="s">
        <v>3342</v>
      </c>
      <c r="G8580">
        <v>-89.822073000000003</v>
      </c>
      <c r="H8580">
        <v>1500</v>
      </c>
      <c r="I8580">
        <v>-1</v>
      </c>
      <c r="J8580">
        <v>-164</v>
      </c>
      <c r="K8580">
        <v>-768</v>
      </c>
      <c r="L8580">
        <v>1200</v>
      </c>
      <c r="M8580" t="str">
        <f t="shared" si="799"/>
        <v xml:space="preserve">N35DC   </v>
      </c>
      <c r="N8580">
        <v>1</v>
      </c>
      <c r="O8580">
        <v>1600</v>
      </c>
    </row>
    <row r="8581" spans="1:15" x14ac:dyDescent="0.25">
      <c r="A8581" t="str">
        <f>"10/21/2020 19:13:48.095"</f>
        <v>10/21/2020 19:13:48.095</v>
      </c>
      <c r="B8581" t="str">
        <f>"19:13:56.055"</f>
        <v>19:13:56.055</v>
      </c>
      <c r="C8581" t="str">
        <f>"19:13:56.055"</f>
        <v>19:13:56.055</v>
      </c>
      <c r="D8581" t="s">
        <v>3344</v>
      </c>
      <c r="E8581">
        <v>30.491738000000002</v>
      </c>
      <c r="F8581" t="s">
        <v>3342</v>
      </c>
      <c r="G8581">
        <v>-89.822073000000003</v>
      </c>
      <c r="H8581">
        <v>1500</v>
      </c>
      <c r="I8581">
        <v>-1</v>
      </c>
      <c r="J8581">
        <v>-164</v>
      </c>
      <c r="K8581">
        <v>-768</v>
      </c>
      <c r="L8581">
        <v>1200</v>
      </c>
      <c r="M8581" t="str">
        <f t="shared" si="799"/>
        <v xml:space="preserve">N35DC   </v>
      </c>
      <c r="N8581">
        <v>1</v>
      </c>
      <c r="O8581">
        <v>1600</v>
      </c>
    </row>
    <row r="8582" spans="1:15" x14ac:dyDescent="0.25">
      <c r="A8582" t="str">
        <f>"10/21/2020 19:13:48.095"</f>
        <v>10/21/2020 19:13:48.095</v>
      </c>
      <c r="B8582" t="str">
        <f>"19:13:56.055"</f>
        <v>19:13:56.055</v>
      </c>
      <c r="C8582" t="str">
        <f>"19:13:55.455"</f>
        <v>19:13:55.455</v>
      </c>
      <c r="D8582" t="s">
        <v>3344</v>
      </c>
      <c r="E8582">
        <v>30.491738000000002</v>
      </c>
      <c r="F8582" t="s">
        <v>3342</v>
      </c>
      <c r="G8582">
        <v>-89.822073000000003</v>
      </c>
      <c r="H8582">
        <v>1500</v>
      </c>
      <c r="I8582">
        <v>-1</v>
      </c>
      <c r="J8582">
        <v>-164</v>
      </c>
      <c r="K8582">
        <v>-640</v>
      </c>
      <c r="L8582">
        <v>1200</v>
      </c>
      <c r="M8582" t="str">
        <f t="shared" si="799"/>
        <v xml:space="preserve">N35DC   </v>
      </c>
      <c r="N8582">
        <v>1</v>
      </c>
      <c r="O8582">
        <v>1500</v>
      </c>
    </row>
    <row r="8583" spans="1:15" x14ac:dyDescent="0.25">
      <c r="A8583" t="str">
        <f>"10/21/2020 19:13:48.095"</f>
        <v>10/21/2020 19:13:48.095</v>
      </c>
      <c r="B8583" t="str">
        <f>"19:13:56.055"</f>
        <v>19:13:56.055</v>
      </c>
      <c r="C8583" t="str">
        <f>"19:13:56.055"</f>
        <v>19:13:56.055</v>
      </c>
      <c r="D8583" t="s">
        <v>3344</v>
      </c>
      <c r="E8583">
        <v>30.491738000000002</v>
      </c>
      <c r="F8583" t="s">
        <v>3342</v>
      </c>
      <c r="G8583">
        <v>-89.822073000000003</v>
      </c>
      <c r="H8583">
        <v>1500</v>
      </c>
      <c r="I8583">
        <v>-1</v>
      </c>
      <c r="J8583">
        <v>-164</v>
      </c>
      <c r="K8583">
        <v>-768</v>
      </c>
      <c r="L8583">
        <v>1200</v>
      </c>
      <c r="M8583" t="str">
        <f t="shared" ref="M8583:M8646" si="803">"N35DC   "</f>
        <v xml:space="preserve">N35DC   </v>
      </c>
      <c r="N8583">
        <v>1</v>
      </c>
      <c r="O8583">
        <v>1600</v>
      </c>
    </row>
    <row r="8584" spans="1:15" x14ac:dyDescent="0.25">
      <c r="A8584" t="str">
        <f>"10/21/2020 19:13:48.095"</f>
        <v>10/21/2020 19:13:48.095</v>
      </c>
      <c r="B8584" t="str">
        <f>"19:13:56.055"</f>
        <v>19:13:56.055</v>
      </c>
      <c r="C8584" t="str">
        <f>"19:13:56.055"</f>
        <v>19:13:56.055</v>
      </c>
      <c r="D8584" t="s">
        <v>3344</v>
      </c>
      <c r="E8584">
        <v>30.491738000000002</v>
      </c>
      <c r="F8584" t="s">
        <v>3342</v>
      </c>
      <c r="G8584">
        <v>-89.822073000000003</v>
      </c>
      <c r="H8584">
        <v>1500</v>
      </c>
      <c r="I8584">
        <v>-1</v>
      </c>
      <c r="J8584">
        <v>-164</v>
      </c>
      <c r="K8584">
        <v>-768</v>
      </c>
      <c r="L8584">
        <v>1200</v>
      </c>
      <c r="M8584" t="str">
        <f t="shared" si="803"/>
        <v xml:space="preserve">N35DC   </v>
      </c>
      <c r="N8584">
        <v>1</v>
      </c>
      <c r="O8584">
        <v>1600</v>
      </c>
    </row>
    <row r="8585" spans="1:15" x14ac:dyDescent="0.25">
      <c r="A8585" t="str">
        <f>"10/21/2020 19:13:50.997"</f>
        <v>10/21/2020 19:13:50.997</v>
      </c>
      <c r="B8585" t="str">
        <f>"19:13:58.969"</f>
        <v>19:13:58.969</v>
      </c>
      <c r="C8585" t="str">
        <f>"19:13:58.469"</f>
        <v>19:13:58.469</v>
      </c>
      <c r="D8585" t="s">
        <v>3345</v>
      </c>
      <c r="E8585">
        <v>30.489528</v>
      </c>
      <c r="F8585" t="s">
        <v>3342</v>
      </c>
      <c r="G8585">
        <v>-89.822073000000003</v>
      </c>
      <c r="H8585">
        <v>1400</v>
      </c>
      <c r="I8585">
        <v>-1</v>
      </c>
      <c r="J8585">
        <v>-165</v>
      </c>
      <c r="K8585">
        <v>-576</v>
      </c>
      <c r="L8585">
        <v>1200</v>
      </c>
      <c r="M8585" t="str">
        <f t="shared" si="803"/>
        <v xml:space="preserve">N35DC   </v>
      </c>
      <c r="N8585">
        <v>1</v>
      </c>
      <c r="O8585">
        <v>1475</v>
      </c>
    </row>
    <row r="8586" spans="1:15" x14ac:dyDescent="0.25">
      <c r="A8586" t="str">
        <f>"10/21/2020 19:13:50.997"</f>
        <v>10/21/2020 19:13:50.997</v>
      </c>
      <c r="B8586" t="str">
        <f>"19:13:58.969"</f>
        <v>19:13:58.969</v>
      </c>
      <c r="C8586" t="str">
        <f>"19:13:58.469"</f>
        <v>19:13:58.469</v>
      </c>
      <c r="D8586" t="s">
        <v>3345</v>
      </c>
      <c r="E8586">
        <v>30.489528</v>
      </c>
      <c r="F8586" t="s">
        <v>3342</v>
      </c>
      <c r="G8586">
        <v>-89.822073000000003</v>
      </c>
      <c r="H8586">
        <v>1400</v>
      </c>
      <c r="I8586">
        <v>-1</v>
      </c>
      <c r="J8586">
        <v>-165</v>
      </c>
      <c r="K8586">
        <v>-576</v>
      </c>
      <c r="L8586">
        <v>1200</v>
      </c>
      <c r="M8586" t="str">
        <f t="shared" si="803"/>
        <v xml:space="preserve">N35DC   </v>
      </c>
      <c r="N8586">
        <v>1</v>
      </c>
      <c r="O8586">
        <v>1475</v>
      </c>
    </row>
    <row r="8587" spans="1:15" x14ac:dyDescent="0.25">
      <c r="A8587" t="str">
        <f>"10/21/2020 19:13:50.997"</f>
        <v>10/21/2020 19:13:50.997</v>
      </c>
      <c r="B8587" t="str">
        <f>"19:13:58.969"</f>
        <v>19:13:58.969</v>
      </c>
      <c r="C8587" t="str">
        <f>"19:13:58.469"</f>
        <v>19:13:58.469</v>
      </c>
      <c r="D8587" t="s">
        <v>3345</v>
      </c>
      <c r="E8587">
        <v>30.489528</v>
      </c>
      <c r="F8587" t="s">
        <v>3342</v>
      </c>
      <c r="G8587">
        <v>-89.822073000000003</v>
      </c>
      <c r="H8587">
        <v>1400</v>
      </c>
      <c r="I8587">
        <v>-1</v>
      </c>
      <c r="J8587">
        <v>-165</v>
      </c>
      <c r="K8587">
        <v>-576</v>
      </c>
      <c r="L8587">
        <v>1200</v>
      </c>
      <c r="M8587" t="str">
        <f t="shared" si="803"/>
        <v xml:space="preserve">N35DC   </v>
      </c>
      <c r="N8587">
        <v>1</v>
      </c>
      <c r="O8587">
        <v>1475</v>
      </c>
    </row>
    <row r="8588" spans="1:15" x14ac:dyDescent="0.25">
      <c r="A8588" t="str">
        <f>"10/21/2020 19:13:50.997"</f>
        <v>10/21/2020 19:13:50.997</v>
      </c>
      <c r="B8588" t="str">
        <f>"19:13:58.969"</f>
        <v>19:13:58.969</v>
      </c>
      <c r="C8588" t="str">
        <f>"19:13:58.469"</f>
        <v>19:13:58.469</v>
      </c>
      <c r="D8588" t="s">
        <v>3345</v>
      </c>
      <c r="E8588">
        <v>30.489528</v>
      </c>
      <c r="F8588" t="s">
        <v>3342</v>
      </c>
      <c r="G8588">
        <v>-89.822073000000003</v>
      </c>
      <c r="H8588">
        <v>1400</v>
      </c>
      <c r="I8588">
        <v>-1</v>
      </c>
      <c r="J8588">
        <v>-165</v>
      </c>
      <c r="K8588">
        <v>-576</v>
      </c>
      <c r="L8588">
        <v>1200</v>
      </c>
      <c r="M8588" t="str">
        <f t="shared" si="803"/>
        <v xml:space="preserve">N35DC   </v>
      </c>
      <c r="N8588">
        <v>1</v>
      </c>
      <c r="O8588">
        <v>1475</v>
      </c>
    </row>
    <row r="8589" spans="1:15" x14ac:dyDescent="0.25">
      <c r="A8589" t="str">
        <f>"10/21/2020 19:13:50.997"</f>
        <v>10/21/2020 19:13:50.997</v>
      </c>
      <c r="B8589" t="str">
        <f>"19:13:58.969"</f>
        <v>19:13:58.969</v>
      </c>
      <c r="C8589" t="str">
        <f>"19:13:58.469"</f>
        <v>19:13:58.469</v>
      </c>
      <c r="D8589" t="s">
        <v>3345</v>
      </c>
      <c r="E8589">
        <v>30.489528</v>
      </c>
      <c r="F8589" t="s">
        <v>3342</v>
      </c>
      <c r="G8589">
        <v>-89.822073000000003</v>
      </c>
      <c r="H8589">
        <v>1400</v>
      </c>
      <c r="I8589">
        <v>-1</v>
      </c>
      <c r="J8589">
        <v>-165</v>
      </c>
      <c r="K8589">
        <v>-576</v>
      </c>
      <c r="L8589">
        <v>1200</v>
      </c>
      <c r="M8589" t="str">
        <f t="shared" si="803"/>
        <v xml:space="preserve">N35DC   </v>
      </c>
      <c r="N8589">
        <v>1</v>
      </c>
      <c r="O8589">
        <v>1475</v>
      </c>
    </row>
    <row r="8590" spans="1:15" x14ac:dyDescent="0.25">
      <c r="A8590" t="str">
        <f>"10/21/2020 19:13:51.908"</f>
        <v>10/21/2020 19:13:51.908</v>
      </c>
      <c r="B8590" t="str">
        <f>"19:13:59.867"</f>
        <v>19:13:59.867</v>
      </c>
      <c r="C8590" t="str">
        <f>"19:13:59.567"</f>
        <v>19:13:59.567</v>
      </c>
      <c r="D8590" t="s">
        <v>3346</v>
      </c>
      <c r="E8590">
        <v>30.48882</v>
      </c>
      <c r="F8590" t="s">
        <v>3342</v>
      </c>
      <c r="G8590">
        <v>-89.822073000000003</v>
      </c>
      <c r="H8590">
        <v>1400</v>
      </c>
      <c r="I8590">
        <v>-1</v>
      </c>
      <c r="J8590">
        <v>-166</v>
      </c>
      <c r="K8590">
        <v>-576</v>
      </c>
      <c r="L8590">
        <v>1200</v>
      </c>
      <c r="M8590" t="str">
        <f t="shared" si="803"/>
        <v xml:space="preserve">N35DC   </v>
      </c>
      <c r="N8590">
        <v>1</v>
      </c>
      <c r="O8590">
        <v>1450</v>
      </c>
    </row>
    <row r="8591" spans="1:15" x14ac:dyDescent="0.25">
      <c r="A8591" t="str">
        <f>"10/21/2020 19:13:51.908"</f>
        <v>10/21/2020 19:13:51.908</v>
      </c>
      <c r="B8591" t="str">
        <f>"19:13:59.867"</f>
        <v>19:13:59.867</v>
      </c>
      <c r="C8591" t="str">
        <f>"19:13:59.567"</f>
        <v>19:13:59.567</v>
      </c>
      <c r="D8591" t="s">
        <v>3346</v>
      </c>
      <c r="E8591">
        <v>30.48882</v>
      </c>
      <c r="F8591" t="s">
        <v>3342</v>
      </c>
      <c r="G8591">
        <v>-89.822073000000003</v>
      </c>
      <c r="H8591">
        <v>1400</v>
      </c>
      <c r="I8591">
        <v>-1</v>
      </c>
      <c r="J8591">
        <v>-166</v>
      </c>
      <c r="K8591">
        <v>-576</v>
      </c>
      <c r="L8591">
        <v>1200</v>
      </c>
      <c r="M8591" t="str">
        <f t="shared" si="803"/>
        <v xml:space="preserve">N35DC   </v>
      </c>
      <c r="N8591">
        <v>1</v>
      </c>
      <c r="O8591">
        <v>1450</v>
      </c>
    </row>
    <row r="8592" spans="1:15" x14ac:dyDescent="0.25">
      <c r="A8592" t="str">
        <f>"10/21/2020 19:13:51.908"</f>
        <v>10/21/2020 19:13:51.908</v>
      </c>
      <c r="B8592" t="str">
        <f>"19:13:59.867"</f>
        <v>19:13:59.867</v>
      </c>
      <c r="C8592" t="str">
        <f>"19:13:59.567"</f>
        <v>19:13:59.567</v>
      </c>
      <c r="D8592" t="s">
        <v>3346</v>
      </c>
      <c r="E8592">
        <v>30.48882</v>
      </c>
      <c r="F8592" t="s">
        <v>3342</v>
      </c>
      <c r="G8592">
        <v>-89.822073000000003</v>
      </c>
      <c r="H8592">
        <v>1400</v>
      </c>
      <c r="I8592">
        <v>-1</v>
      </c>
      <c r="J8592">
        <v>-166</v>
      </c>
      <c r="K8592">
        <v>-576</v>
      </c>
      <c r="L8592">
        <v>1200</v>
      </c>
      <c r="M8592" t="str">
        <f t="shared" si="803"/>
        <v xml:space="preserve">N35DC   </v>
      </c>
      <c r="N8592">
        <v>1</v>
      </c>
      <c r="O8592">
        <v>1450</v>
      </c>
    </row>
    <row r="8593" spans="1:15" x14ac:dyDescent="0.25">
      <c r="A8593" t="str">
        <f>"10/21/2020 19:13:51.908"</f>
        <v>10/21/2020 19:13:51.908</v>
      </c>
      <c r="B8593" t="str">
        <f>"19:13:59.867"</f>
        <v>19:13:59.867</v>
      </c>
      <c r="C8593" t="str">
        <f>"19:13:59.567"</f>
        <v>19:13:59.567</v>
      </c>
      <c r="D8593" t="s">
        <v>3346</v>
      </c>
      <c r="E8593">
        <v>30.48882</v>
      </c>
      <c r="F8593" t="s">
        <v>3342</v>
      </c>
      <c r="G8593">
        <v>-89.822073000000003</v>
      </c>
      <c r="H8593">
        <v>1400</v>
      </c>
      <c r="I8593">
        <v>-1</v>
      </c>
      <c r="J8593">
        <v>-166</v>
      </c>
      <c r="K8593">
        <v>-576</v>
      </c>
      <c r="L8593">
        <v>1200</v>
      </c>
      <c r="M8593" t="str">
        <f t="shared" si="803"/>
        <v xml:space="preserve">N35DC   </v>
      </c>
      <c r="N8593">
        <v>1</v>
      </c>
      <c r="O8593">
        <v>1450</v>
      </c>
    </row>
    <row r="8594" spans="1:15" x14ac:dyDescent="0.25">
      <c r="A8594" t="str">
        <f>"10/21/2020 19:13:51.908"</f>
        <v>10/21/2020 19:13:51.908</v>
      </c>
      <c r="B8594" t="str">
        <f>"19:13:59.867"</f>
        <v>19:13:59.867</v>
      </c>
      <c r="C8594" t="str">
        <f>"19:13:59.567"</f>
        <v>19:13:59.567</v>
      </c>
      <c r="D8594" t="s">
        <v>3346</v>
      </c>
      <c r="E8594">
        <v>30.48882</v>
      </c>
      <c r="F8594" t="s">
        <v>3342</v>
      </c>
      <c r="G8594">
        <v>-89.822073000000003</v>
      </c>
      <c r="H8594">
        <v>1400</v>
      </c>
      <c r="I8594">
        <v>-1</v>
      </c>
      <c r="J8594">
        <v>-166</v>
      </c>
      <c r="K8594">
        <v>-576</v>
      </c>
      <c r="L8594">
        <v>1200</v>
      </c>
      <c r="M8594" t="str">
        <f t="shared" si="803"/>
        <v xml:space="preserve">N35DC   </v>
      </c>
      <c r="N8594">
        <v>1</v>
      </c>
      <c r="O8594">
        <v>1450</v>
      </c>
    </row>
    <row r="8595" spans="1:15" x14ac:dyDescent="0.25">
      <c r="A8595" t="str">
        <f>"10/21/2020 19:13:54.884"</f>
        <v>10/21/2020 19:13:54.884</v>
      </c>
      <c r="B8595" t="str">
        <f>"19:14:02.820"</f>
        <v>19:14:02.820</v>
      </c>
      <c r="C8595" t="str">
        <f>"19:14:02.520"</f>
        <v>19:14:02.520</v>
      </c>
      <c r="D8595" t="s">
        <v>3347</v>
      </c>
      <c r="E8595">
        <v>30.486567000000001</v>
      </c>
      <c r="F8595" t="s">
        <v>3159</v>
      </c>
      <c r="G8595">
        <v>-89.822115999999994</v>
      </c>
      <c r="H8595">
        <v>1400</v>
      </c>
      <c r="I8595">
        <v>-3</v>
      </c>
      <c r="J8595">
        <v>-167</v>
      </c>
      <c r="K8595">
        <v>-576</v>
      </c>
      <c r="L8595">
        <v>1200</v>
      </c>
      <c r="M8595" t="str">
        <f t="shared" si="803"/>
        <v xml:space="preserve">N35DC   </v>
      </c>
      <c r="N8595">
        <v>1</v>
      </c>
      <c r="O8595">
        <v>1425</v>
      </c>
    </row>
    <row r="8596" spans="1:15" x14ac:dyDescent="0.25">
      <c r="A8596" t="str">
        <f>"10/21/2020 19:13:54.884"</f>
        <v>10/21/2020 19:13:54.884</v>
      </c>
      <c r="B8596" t="str">
        <f>"19:14:02.820"</f>
        <v>19:14:02.820</v>
      </c>
      <c r="C8596" t="str">
        <f>"19:14:02.520"</f>
        <v>19:14:02.520</v>
      </c>
      <c r="D8596" t="s">
        <v>3347</v>
      </c>
      <c r="E8596">
        <v>30.486567000000001</v>
      </c>
      <c r="F8596" t="s">
        <v>3159</v>
      </c>
      <c r="G8596">
        <v>-89.822115999999994</v>
      </c>
      <c r="H8596">
        <v>1400</v>
      </c>
      <c r="I8596">
        <v>-3</v>
      </c>
      <c r="J8596">
        <v>-167</v>
      </c>
      <c r="K8596">
        <v>-576</v>
      </c>
      <c r="L8596">
        <v>1200</v>
      </c>
      <c r="M8596" t="str">
        <f t="shared" si="803"/>
        <v xml:space="preserve">N35DC   </v>
      </c>
      <c r="N8596">
        <v>1</v>
      </c>
      <c r="O8596">
        <v>1425</v>
      </c>
    </row>
    <row r="8597" spans="1:15" x14ac:dyDescent="0.25">
      <c r="A8597" t="str">
        <f>"10/21/2020 19:13:54.884"</f>
        <v>10/21/2020 19:13:54.884</v>
      </c>
      <c r="B8597" t="str">
        <f>"19:14:02.820"</f>
        <v>19:14:02.820</v>
      </c>
      <c r="C8597" t="str">
        <f>"19:14:02.520"</f>
        <v>19:14:02.520</v>
      </c>
      <c r="D8597" t="s">
        <v>3347</v>
      </c>
      <c r="E8597">
        <v>30.486567000000001</v>
      </c>
      <c r="F8597" t="s">
        <v>3159</v>
      </c>
      <c r="G8597">
        <v>-89.822115999999994</v>
      </c>
      <c r="H8597">
        <v>1400</v>
      </c>
      <c r="I8597">
        <v>-3</v>
      </c>
      <c r="J8597">
        <v>-167</v>
      </c>
      <c r="K8597">
        <v>-576</v>
      </c>
      <c r="L8597">
        <v>1200</v>
      </c>
      <c r="M8597" t="str">
        <f t="shared" si="803"/>
        <v xml:space="preserve">N35DC   </v>
      </c>
      <c r="N8597">
        <v>1</v>
      </c>
      <c r="O8597">
        <v>1425</v>
      </c>
    </row>
    <row r="8598" spans="1:15" x14ac:dyDescent="0.25">
      <c r="A8598" t="str">
        <f>"10/21/2020 19:13:54.884"</f>
        <v>10/21/2020 19:13:54.884</v>
      </c>
      <c r="B8598" t="str">
        <f>"19:14:02.820"</f>
        <v>19:14:02.820</v>
      </c>
      <c r="C8598" t="str">
        <f>"19:14:02.520"</f>
        <v>19:14:02.520</v>
      </c>
      <c r="D8598" t="s">
        <v>3347</v>
      </c>
      <c r="E8598">
        <v>30.486567000000001</v>
      </c>
      <c r="F8598" t="s">
        <v>3159</v>
      </c>
      <c r="G8598">
        <v>-89.822115999999994</v>
      </c>
      <c r="H8598">
        <v>1400</v>
      </c>
      <c r="I8598">
        <v>-3</v>
      </c>
      <c r="J8598">
        <v>-167</v>
      </c>
      <c r="K8598">
        <v>-576</v>
      </c>
      <c r="L8598">
        <v>1200</v>
      </c>
      <c r="M8598" t="str">
        <f t="shared" si="803"/>
        <v xml:space="preserve">N35DC   </v>
      </c>
      <c r="N8598">
        <v>1</v>
      </c>
      <c r="O8598">
        <v>1425</v>
      </c>
    </row>
    <row r="8599" spans="1:15" x14ac:dyDescent="0.25">
      <c r="A8599" t="str">
        <f>"10/21/2020 19:13:54.884"</f>
        <v>10/21/2020 19:13:54.884</v>
      </c>
      <c r="B8599" t="str">
        <f>"19:14:02.820"</f>
        <v>19:14:02.820</v>
      </c>
      <c r="C8599" t="str">
        <f>"19:14:02.520"</f>
        <v>19:14:02.520</v>
      </c>
      <c r="D8599" t="s">
        <v>3347</v>
      </c>
      <c r="E8599">
        <v>30.486567000000001</v>
      </c>
      <c r="F8599" t="s">
        <v>3159</v>
      </c>
      <c r="G8599">
        <v>-89.822115999999994</v>
      </c>
      <c r="H8599">
        <v>1400</v>
      </c>
      <c r="I8599">
        <v>-3</v>
      </c>
      <c r="J8599">
        <v>-167</v>
      </c>
      <c r="K8599">
        <v>-576</v>
      </c>
      <c r="L8599">
        <v>1200</v>
      </c>
      <c r="M8599" t="str">
        <f t="shared" si="803"/>
        <v xml:space="preserve">N35DC   </v>
      </c>
      <c r="N8599">
        <v>1</v>
      </c>
      <c r="O8599">
        <v>1425</v>
      </c>
    </row>
    <row r="8600" spans="1:15" x14ac:dyDescent="0.25">
      <c r="A8600" t="str">
        <f>"10/21/2020 19:13:55.782"</f>
        <v>10/21/2020 19:13:55.782</v>
      </c>
      <c r="B8600" t="str">
        <f>"19:14:03.750"</f>
        <v>19:14:03.750</v>
      </c>
      <c r="C8600" t="str">
        <f>"19:14:03.650"</f>
        <v>19:14:03.650</v>
      </c>
      <c r="D8600" t="s">
        <v>3348</v>
      </c>
      <c r="E8600">
        <v>30.485816</v>
      </c>
      <c r="F8600" t="s">
        <v>3159</v>
      </c>
      <c r="G8600">
        <v>-89.822115999999994</v>
      </c>
      <c r="H8600">
        <v>1400</v>
      </c>
      <c r="I8600">
        <v>-3</v>
      </c>
      <c r="J8600">
        <v>-167</v>
      </c>
      <c r="K8600">
        <v>-640</v>
      </c>
      <c r="L8600">
        <v>1200</v>
      </c>
      <c r="M8600" t="str">
        <f t="shared" si="803"/>
        <v xml:space="preserve">N35DC   </v>
      </c>
      <c r="N8600">
        <v>1</v>
      </c>
      <c r="O8600">
        <v>1425</v>
      </c>
    </row>
    <row r="8601" spans="1:15" x14ac:dyDescent="0.25">
      <c r="A8601" t="str">
        <f>"10/21/2020 19:13:55.782"</f>
        <v>10/21/2020 19:13:55.782</v>
      </c>
      <c r="B8601" t="str">
        <f>"19:14:03.750"</f>
        <v>19:14:03.750</v>
      </c>
      <c r="C8601" t="str">
        <f>"19:14:03.650"</f>
        <v>19:14:03.650</v>
      </c>
      <c r="D8601" t="s">
        <v>3348</v>
      </c>
      <c r="E8601">
        <v>30.485816</v>
      </c>
      <c r="F8601" t="s">
        <v>3159</v>
      </c>
      <c r="G8601">
        <v>-89.822115999999994</v>
      </c>
      <c r="H8601">
        <v>1400</v>
      </c>
      <c r="I8601">
        <v>-3</v>
      </c>
      <c r="J8601">
        <v>-167</v>
      </c>
      <c r="K8601">
        <v>-640</v>
      </c>
      <c r="L8601">
        <v>1200</v>
      </c>
      <c r="M8601" t="str">
        <f t="shared" si="803"/>
        <v xml:space="preserve">N35DC   </v>
      </c>
      <c r="N8601">
        <v>1</v>
      </c>
      <c r="O8601">
        <v>1425</v>
      </c>
    </row>
    <row r="8602" spans="1:15" x14ac:dyDescent="0.25">
      <c r="A8602" t="str">
        <f>"10/21/2020 19:13:55.782"</f>
        <v>10/21/2020 19:13:55.782</v>
      </c>
      <c r="B8602" t="str">
        <f>"19:14:03.750"</f>
        <v>19:14:03.750</v>
      </c>
      <c r="C8602" t="str">
        <f>"19:14:03.650"</f>
        <v>19:14:03.650</v>
      </c>
      <c r="D8602" t="s">
        <v>3348</v>
      </c>
      <c r="E8602">
        <v>30.485816</v>
      </c>
      <c r="F8602" t="s">
        <v>3159</v>
      </c>
      <c r="G8602">
        <v>-89.822115999999994</v>
      </c>
      <c r="H8602">
        <v>1400</v>
      </c>
      <c r="I8602">
        <v>-3</v>
      </c>
      <c r="J8602">
        <v>-167</v>
      </c>
      <c r="K8602">
        <v>-640</v>
      </c>
      <c r="L8602">
        <v>1200</v>
      </c>
      <c r="M8602" t="str">
        <f t="shared" si="803"/>
        <v xml:space="preserve">N35DC   </v>
      </c>
      <c r="N8602">
        <v>1</v>
      </c>
      <c r="O8602">
        <v>1425</v>
      </c>
    </row>
    <row r="8603" spans="1:15" x14ac:dyDescent="0.25">
      <c r="A8603" t="str">
        <f>"10/21/2020 19:13:55.782"</f>
        <v>10/21/2020 19:13:55.782</v>
      </c>
      <c r="B8603" t="str">
        <f>"19:14:03.750"</f>
        <v>19:14:03.750</v>
      </c>
      <c r="C8603" t="str">
        <f>"19:14:03.650"</f>
        <v>19:14:03.650</v>
      </c>
      <c r="D8603" t="s">
        <v>3348</v>
      </c>
      <c r="E8603">
        <v>30.485816</v>
      </c>
      <c r="F8603" t="s">
        <v>3159</v>
      </c>
      <c r="G8603">
        <v>-89.822115999999994</v>
      </c>
      <c r="H8603">
        <v>1400</v>
      </c>
      <c r="I8603">
        <v>-3</v>
      </c>
      <c r="J8603">
        <v>-167</v>
      </c>
      <c r="K8603">
        <v>-640</v>
      </c>
      <c r="L8603">
        <v>1200</v>
      </c>
      <c r="M8603" t="str">
        <f t="shared" si="803"/>
        <v xml:space="preserve">N35DC   </v>
      </c>
      <c r="N8603">
        <v>1</v>
      </c>
      <c r="O8603">
        <v>1425</v>
      </c>
    </row>
    <row r="8604" spans="1:15" x14ac:dyDescent="0.25">
      <c r="A8604" t="str">
        <f>"10/21/2020 19:13:55.782"</f>
        <v>10/21/2020 19:13:55.782</v>
      </c>
      <c r="B8604" t="str">
        <f>"19:14:03.750"</f>
        <v>19:14:03.750</v>
      </c>
      <c r="C8604" t="str">
        <f>"19:14:03.650"</f>
        <v>19:14:03.650</v>
      </c>
      <c r="D8604" t="s">
        <v>3348</v>
      </c>
      <c r="E8604">
        <v>30.485816</v>
      </c>
      <c r="F8604" t="s">
        <v>3159</v>
      </c>
      <c r="G8604">
        <v>-89.822115999999994</v>
      </c>
      <c r="H8604">
        <v>1400</v>
      </c>
      <c r="I8604">
        <v>-3</v>
      </c>
      <c r="J8604">
        <v>-167</v>
      </c>
      <c r="K8604">
        <v>-640</v>
      </c>
      <c r="L8604">
        <v>1200</v>
      </c>
      <c r="M8604" t="str">
        <f t="shared" si="803"/>
        <v xml:space="preserve">N35DC   </v>
      </c>
      <c r="N8604">
        <v>1</v>
      </c>
      <c r="O8604">
        <v>1425</v>
      </c>
    </row>
    <row r="8605" spans="1:15" x14ac:dyDescent="0.25">
      <c r="A8605" t="str">
        <f>"10/21/2020 19:13:59.122"</f>
        <v>10/21/2020 19:13:59.122</v>
      </c>
      <c r="B8605" t="str">
        <f t="shared" ref="B8605:C8609" si="804">"19:14:07.078"</f>
        <v>19:14:07.078</v>
      </c>
      <c r="C8605" t="str">
        <f t="shared" si="804"/>
        <v>19:14:07.078</v>
      </c>
      <c r="D8605" t="s">
        <v>3349</v>
      </c>
      <c r="E8605">
        <v>30.483241</v>
      </c>
      <c r="F8605" t="s">
        <v>3333</v>
      </c>
      <c r="G8605">
        <v>-89.822244999999995</v>
      </c>
      <c r="H8605">
        <v>1300</v>
      </c>
      <c r="I8605">
        <v>-6</v>
      </c>
      <c r="J8605">
        <v>-168</v>
      </c>
      <c r="K8605">
        <v>-512</v>
      </c>
      <c r="L8605">
        <v>1200</v>
      </c>
      <c r="M8605" t="str">
        <f t="shared" si="803"/>
        <v xml:space="preserve">N35DC   </v>
      </c>
      <c r="N8605">
        <v>1</v>
      </c>
      <c r="O8605">
        <v>1375</v>
      </c>
    </row>
    <row r="8606" spans="1:15" x14ac:dyDescent="0.25">
      <c r="A8606" t="str">
        <f>"10/21/2020 19:13:59.122"</f>
        <v>10/21/2020 19:13:59.122</v>
      </c>
      <c r="B8606" t="str">
        <f t="shared" si="804"/>
        <v>19:14:07.078</v>
      </c>
      <c r="C8606" t="str">
        <f t="shared" si="804"/>
        <v>19:14:07.078</v>
      </c>
      <c r="D8606" t="s">
        <v>3349</v>
      </c>
      <c r="E8606">
        <v>30.483241</v>
      </c>
      <c r="F8606" t="s">
        <v>3333</v>
      </c>
      <c r="G8606">
        <v>-89.822244999999995</v>
      </c>
      <c r="H8606">
        <v>1300</v>
      </c>
      <c r="I8606">
        <v>-6</v>
      </c>
      <c r="J8606">
        <v>-168</v>
      </c>
      <c r="K8606">
        <v>-512</v>
      </c>
      <c r="L8606">
        <v>1200</v>
      </c>
      <c r="M8606" t="str">
        <f t="shared" si="803"/>
        <v xml:space="preserve">N35DC   </v>
      </c>
      <c r="N8606">
        <v>1</v>
      </c>
      <c r="O8606">
        <v>1375</v>
      </c>
    </row>
    <row r="8607" spans="1:15" x14ac:dyDescent="0.25">
      <c r="A8607" t="str">
        <f>"10/21/2020 19:13:59.122"</f>
        <v>10/21/2020 19:13:59.122</v>
      </c>
      <c r="B8607" t="str">
        <f t="shared" si="804"/>
        <v>19:14:07.078</v>
      </c>
      <c r="C8607" t="str">
        <f t="shared" si="804"/>
        <v>19:14:07.078</v>
      </c>
      <c r="D8607" t="s">
        <v>3349</v>
      </c>
      <c r="E8607">
        <v>30.483241</v>
      </c>
      <c r="F8607" t="s">
        <v>3333</v>
      </c>
      <c r="G8607">
        <v>-89.822244999999995</v>
      </c>
      <c r="H8607">
        <v>1300</v>
      </c>
      <c r="I8607">
        <v>-6</v>
      </c>
      <c r="J8607">
        <v>-168</v>
      </c>
      <c r="K8607">
        <v>-512</v>
      </c>
      <c r="L8607">
        <v>1200</v>
      </c>
      <c r="M8607" t="str">
        <f t="shared" si="803"/>
        <v xml:space="preserve">N35DC   </v>
      </c>
      <c r="N8607">
        <v>1</v>
      </c>
      <c r="O8607">
        <v>1375</v>
      </c>
    </row>
    <row r="8608" spans="1:15" x14ac:dyDescent="0.25">
      <c r="A8608" t="str">
        <f>"10/21/2020 19:13:59.122"</f>
        <v>10/21/2020 19:13:59.122</v>
      </c>
      <c r="B8608" t="str">
        <f t="shared" si="804"/>
        <v>19:14:07.078</v>
      </c>
      <c r="C8608" t="str">
        <f t="shared" si="804"/>
        <v>19:14:07.078</v>
      </c>
      <c r="D8608" t="s">
        <v>3349</v>
      </c>
      <c r="E8608">
        <v>30.483241</v>
      </c>
      <c r="F8608" t="s">
        <v>3333</v>
      </c>
      <c r="G8608">
        <v>-89.822244999999995</v>
      </c>
      <c r="H8608">
        <v>1300</v>
      </c>
      <c r="I8608">
        <v>-6</v>
      </c>
      <c r="J8608">
        <v>-168</v>
      </c>
      <c r="K8608">
        <v>-512</v>
      </c>
      <c r="L8608">
        <v>1200</v>
      </c>
      <c r="M8608" t="str">
        <f t="shared" si="803"/>
        <v xml:space="preserve">N35DC   </v>
      </c>
      <c r="N8608">
        <v>1</v>
      </c>
      <c r="O8608">
        <v>1375</v>
      </c>
    </row>
    <row r="8609" spans="1:15" x14ac:dyDescent="0.25">
      <c r="A8609" t="str">
        <f>"10/21/2020 19:13:59.122"</f>
        <v>10/21/2020 19:13:59.122</v>
      </c>
      <c r="B8609" t="str">
        <f t="shared" si="804"/>
        <v>19:14:07.078</v>
      </c>
      <c r="C8609" t="str">
        <f t="shared" si="804"/>
        <v>19:14:07.078</v>
      </c>
      <c r="D8609" t="s">
        <v>3349</v>
      </c>
      <c r="E8609">
        <v>30.483241</v>
      </c>
      <c r="F8609" t="s">
        <v>3333</v>
      </c>
      <c r="G8609">
        <v>-89.822244999999995</v>
      </c>
      <c r="H8609">
        <v>1300</v>
      </c>
      <c r="I8609">
        <v>-6</v>
      </c>
      <c r="J8609">
        <v>-168</v>
      </c>
      <c r="K8609">
        <v>-512</v>
      </c>
      <c r="L8609">
        <v>1200</v>
      </c>
      <c r="M8609" t="str">
        <f t="shared" si="803"/>
        <v xml:space="preserve">N35DC   </v>
      </c>
      <c r="N8609">
        <v>1</v>
      </c>
      <c r="O8609">
        <v>1375</v>
      </c>
    </row>
    <row r="8610" spans="1:15" x14ac:dyDescent="0.25">
      <c r="A8610" t="str">
        <f>"10/21/2020 19:13:59.981"</f>
        <v>10/21/2020 19:13:59.981</v>
      </c>
      <c r="B8610" t="str">
        <f t="shared" ref="B8610:C8614" si="805">"19:14:07.938"</f>
        <v>19:14:07.938</v>
      </c>
      <c r="C8610" t="str">
        <f t="shared" si="805"/>
        <v>19:14:07.938</v>
      </c>
      <c r="D8610" t="s">
        <v>3350</v>
      </c>
      <c r="E8610">
        <v>30.482554</v>
      </c>
      <c r="F8610" t="s">
        <v>3333</v>
      </c>
      <c r="G8610">
        <v>-89.822244999999995</v>
      </c>
      <c r="H8610">
        <v>1300</v>
      </c>
      <c r="I8610">
        <v>-6</v>
      </c>
      <c r="J8610">
        <v>-168</v>
      </c>
      <c r="K8610">
        <v>-576</v>
      </c>
      <c r="L8610">
        <v>1200</v>
      </c>
      <c r="M8610" t="str">
        <f t="shared" si="803"/>
        <v xml:space="preserve">N35DC   </v>
      </c>
      <c r="N8610">
        <v>1</v>
      </c>
      <c r="O8610">
        <v>1375</v>
      </c>
    </row>
    <row r="8611" spans="1:15" x14ac:dyDescent="0.25">
      <c r="A8611" t="str">
        <f>"10/21/2020 19:13:59.981"</f>
        <v>10/21/2020 19:13:59.981</v>
      </c>
      <c r="B8611" t="str">
        <f t="shared" si="805"/>
        <v>19:14:07.938</v>
      </c>
      <c r="C8611" t="str">
        <f t="shared" si="805"/>
        <v>19:14:07.938</v>
      </c>
      <c r="D8611" t="s">
        <v>3350</v>
      </c>
      <c r="E8611">
        <v>30.482554</v>
      </c>
      <c r="F8611" t="s">
        <v>3333</v>
      </c>
      <c r="G8611">
        <v>-89.822244999999995</v>
      </c>
      <c r="H8611">
        <v>1300</v>
      </c>
      <c r="I8611">
        <v>-6</v>
      </c>
      <c r="J8611">
        <v>-168</v>
      </c>
      <c r="K8611">
        <v>-576</v>
      </c>
      <c r="L8611">
        <v>1200</v>
      </c>
      <c r="M8611" t="str">
        <f t="shared" si="803"/>
        <v xml:space="preserve">N35DC   </v>
      </c>
      <c r="N8611">
        <v>1</v>
      </c>
      <c r="O8611">
        <v>1375</v>
      </c>
    </row>
    <row r="8612" spans="1:15" x14ac:dyDescent="0.25">
      <c r="A8612" t="str">
        <f>"10/21/2020 19:13:59.981"</f>
        <v>10/21/2020 19:13:59.981</v>
      </c>
      <c r="B8612" t="str">
        <f t="shared" si="805"/>
        <v>19:14:07.938</v>
      </c>
      <c r="C8612" t="str">
        <f t="shared" si="805"/>
        <v>19:14:07.938</v>
      </c>
      <c r="D8612" t="s">
        <v>3350</v>
      </c>
      <c r="E8612">
        <v>30.482554</v>
      </c>
      <c r="F8612" t="s">
        <v>3333</v>
      </c>
      <c r="G8612">
        <v>-89.822244999999995</v>
      </c>
      <c r="H8612">
        <v>1300</v>
      </c>
      <c r="I8612">
        <v>-6</v>
      </c>
      <c r="J8612">
        <v>-168</v>
      </c>
      <c r="K8612">
        <v>-576</v>
      </c>
      <c r="L8612">
        <v>1200</v>
      </c>
      <c r="M8612" t="str">
        <f t="shared" si="803"/>
        <v xml:space="preserve">N35DC   </v>
      </c>
      <c r="N8612">
        <v>1</v>
      </c>
      <c r="O8612">
        <v>1375</v>
      </c>
    </row>
    <row r="8613" spans="1:15" x14ac:dyDescent="0.25">
      <c r="A8613" t="str">
        <f>"10/21/2020 19:13:59.981"</f>
        <v>10/21/2020 19:13:59.981</v>
      </c>
      <c r="B8613" t="str">
        <f t="shared" si="805"/>
        <v>19:14:07.938</v>
      </c>
      <c r="C8613" t="str">
        <f t="shared" si="805"/>
        <v>19:14:07.938</v>
      </c>
      <c r="D8613" t="s">
        <v>3350</v>
      </c>
      <c r="E8613">
        <v>30.482554</v>
      </c>
      <c r="F8613" t="s">
        <v>3333</v>
      </c>
      <c r="G8613">
        <v>-89.822244999999995</v>
      </c>
      <c r="H8613">
        <v>1300</v>
      </c>
      <c r="I8613">
        <v>-6</v>
      </c>
      <c r="J8613">
        <v>-168</v>
      </c>
      <c r="K8613">
        <v>-576</v>
      </c>
      <c r="L8613">
        <v>1200</v>
      </c>
      <c r="M8613" t="str">
        <f t="shared" si="803"/>
        <v xml:space="preserve">N35DC   </v>
      </c>
      <c r="N8613">
        <v>1</v>
      </c>
      <c r="O8613">
        <v>1375</v>
      </c>
    </row>
    <row r="8614" spans="1:15" x14ac:dyDescent="0.25">
      <c r="A8614" t="str">
        <f>"10/21/2020 19:13:59.981"</f>
        <v>10/21/2020 19:13:59.981</v>
      </c>
      <c r="B8614" t="str">
        <f t="shared" si="805"/>
        <v>19:14:07.938</v>
      </c>
      <c r="C8614" t="str">
        <f t="shared" si="805"/>
        <v>19:14:07.938</v>
      </c>
      <c r="D8614" t="s">
        <v>3350</v>
      </c>
      <c r="E8614">
        <v>30.482554</v>
      </c>
      <c r="F8614" t="s">
        <v>3333</v>
      </c>
      <c r="G8614">
        <v>-89.822244999999995</v>
      </c>
      <c r="H8614">
        <v>1300</v>
      </c>
      <c r="I8614">
        <v>-6</v>
      </c>
      <c r="J8614">
        <v>-168</v>
      </c>
      <c r="K8614">
        <v>-576</v>
      </c>
      <c r="L8614">
        <v>1200</v>
      </c>
      <c r="M8614" t="str">
        <f t="shared" si="803"/>
        <v xml:space="preserve">N35DC   </v>
      </c>
      <c r="N8614">
        <v>1</v>
      </c>
      <c r="O8614">
        <v>1375</v>
      </c>
    </row>
    <row r="8615" spans="1:15" x14ac:dyDescent="0.25">
      <c r="A8615" t="str">
        <f>"10/21/2020 19:14:03.066"</f>
        <v>10/21/2020 19:14:03.066</v>
      </c>
      <c r="B8615" t="str">
        <f>"19:14:11.023"</f>
        <v>19:14:11.023</v>
      </c>
      <c r="C8615" t="str">
        <f>"19:14:10.923"</f>
        <v>19:14:10.923</v>
      </c>
      <c r="D8615" t="s">
        <v>3351</v>
      </c>
      <c r="E8615">
        <v>30.480173000000001</v>
      </c>
      <c r="F8615" t="s">
        <v>396</v>
      </c>
      <c r="G8615">
        <v>-89.822416000000004</v>
      </c>
      <c r="H8615">
        <v>1300</v>
      </c>
      <c r="I8615">
        <v>-7</v>
      </c>
      <c r="J8615">
        <v>-168</v>
      </c>
      <c r="K8615">
        <v>-704</v>
      </c>
      <c r="L8615">
        <v>1200</v>
      </c>
      <c r="M8615" t="str">
        <f t="shared" si="803"/>
        <v xml:space="preserve">N35DC   </v>
      </c>
      <c r="N8615">
        <v>1</v>
      </c>
      <c r="O8615">
        <v>1325</v>
      </c>
    </row>
    <row r="8616" spans="1:15" x14ac:dyDescent="0.25">
      <c r="A8616" t="str">
        <f>"10/21/2020 19:14:03.066"</f>
        <v>10/21/2020 19:14:03.066</v>
      </c>
      <c r="B8616" t="str">
        <f>"19:14:11.023"</f>
        <v>19:14:11.023</v>
      </c>
      <c r="C8616" t="str">
        <f>"19:14:10.923"</f>
        <v>19:14:10.923</v>
      </c>
      <c r="D8616" t="s">
        <v>3351</v>
      </c>
      <c r="E8616">
        <v>30.480173000000001</v>
      </c>
      <c r="F8616" t="s">
        <v>396</v>
      </c>
      <c r="G8616">
        <v>-89.822416000000004</v>
      </c>
      <c r="H8616">
        <v>1300</v>
      </c>
      <c r="I8616">
        <v>-7</v>
      </c>
      <c r="J8616">
        <v>-168</v>
      </c>
      <c r="K8616">
        <v>-704</v>
      </c>
      <c r="L8616">
        <v>1200</v>
      </c>
      <c r="M8616" t="str">
        <f t="shared" si="803"/>
        <v xml:space="preserve">N35DC   </v>
      </c>
      <c r="N8616">
        <v>1</v>
      </c>
      <c r="O8616">
        <v>1325</v>
      </c>
    </row>
    <row r="8617" spans="1:15" x14ac:dyDescent="0.25">
      <c r="A8617" t="str">
        <f>"10/21/2020 19:14:03.066"</f>
        <v>10/21/2020 19:14:03.066</v>
      </c>
      <c r="B8617" t="str">
        <f>"19:14:11.023"</f>
        <v>19:14:11.023</v>
      </c>
      <c r="C8617" t="str">
        <f>"19:14:10.923"</f>
        <v>19:14:10.923</v>
      </c>
      <c r="D8617" t="s">
        <v>3351</v>
      </c>
      <c r="E8617">
        <v>30.480173000000001</v>
      </c>
      <c r="F8617" t="s">
        <v>396</v>
      </c>
      <c r="G8617">
        <v>-89.822416000000004</v>
      </c>
      <c r="H8617">
        <v>1300</v>
      </c>
      <c r="I8617">
        <v>-7</v>
      </c>
      <c r="J8617">
        <v>-168</v>
      </c>
      <c r="K8617">
        <v>-704</v>
      </c>
      <c r="L8617">
        <v>1200</v>
      </c>
      <c r="M8617" t="str">
        <f t="shared" si="803"/>
        <v xml:space="preserve">N35DC   </v>
      </c>
      <c r="N8617">
        <v>1</v>
      </c>
      <c r="O8617">
        <v>1325</v>
      </c>
    </row>
    <row r="8618" spans="1:15" x14ac:dyDescent="0.25">
      <c r="A8618" t="str">
        <f>"10/21/2020 19:14:03.066"</f>
        <v>10/21/2020 19:14:03.066</v>
      </c>
      <c r="B8618" t="str">
        <f>"19:14:11.023"</f>
        <v>19:14:11.023</v>
      </c>
      <c r="C8618" t="str">
        <f>"19:14:10.923"</f>
        <v>19:14:10.923</v>
      </c>
      <c r="D8618" t="s">
        <v>3351</v>
      </c>
      <c r="E8618">
        <v>30.480173000000001</v>
      </c>
      <c r="F8618" t="s">
        <v>396</v>
      </c>
      <c r="G8618">
        <v>-89.822416000000004</v>
      </c>
      <c r="H8618">
        <v>1300</v>
      </c>
      <c r="I8618">
        <v>-7</v>
      </c>
      <c r="J8618">
        <v>-168</v>
      </c>
      <c r="K8618">
        <v>-704</v>
      </c>
      <c r="L8618">
        <v>1200</v>
      </c>
      <c r="M8618" t="str">
        <f t="shared" si="803"/>
        <v xml:space="preserve">N35DC   </v>
      </c>
      <c r="N8618">
        <v>1</v>
      </c>
      <c r="O8618">
        <v>1325</v>
      </c>
    </row>
    <row r="8619" spans="1:15" x14ac:dyDescent="0.25">
      <c r="A8619" t="str">
        <f>"10/21/2020 19:14:03.066"</f>
        <v>10/21/2020 19:14:03.066</v>
      </c>
      <c r="B8619" t="str">
        <f>"19:14:11.023"</f>
        <v>19:14:11.023</v>
      </c>
      <c r="C8619" t="str">
        <f>"19:14:10.923"</f>
        <v>19:14:10.923</v>
      </c>
      <c r="D8619" t="s">
        <v>3351</v>
      </c>
      <c r="E8619">
        <v>30.480173000000001</v>
      </c>
      <c r="F8619" t="s">
        <v>396</v>
      </c>
      <c r="G8619">
        <v>-89.822416000000004</v>
      </c>
      <c r="H8619">
        <v>1300</v>
      </c>
      <c r="I8619">
        <v>-7</v>
      </c>
      <c r="J8619">
        <v>-168</v>
      </c>
      <c r="K8619">
        <v>-704</v>
      </c>
      <c r="L8619">
        <v>1200</v>
      </c>
      <c r="M8619" t="str">
        <f t="shared" si="803"/>
        <v xml:space="preserve">N35DC   </v>
      </c>
      <c r="N8619">
        <v>1</v>
      </c>
      <c r="O8619">
        <v>1325</v>
      </c>
    </row>
    <row r="8620" spans="1:15" x14ac:dyDescent="0.25">
      <c r="A8620" t="str">
        <f>"10/21/2020 19:14:06.932"</f>
        <v>10/21/2020 19:14:06.932</v>
      </c>
      <c r="B8620" t="str">
        <f>"19:14:14.891"</f>
        <v>19:14:14.891</v>
      </c>
      <c r="C8620" t="str">
        <f>"19:14:14.691"</f>
        <v>19:14:14.691</v>
      </c>
      <c r="D8620" t="s">
        <v>3352</v>
      </c>
      <c r="E8620">
        <v>30.477125999999998</v>
      </c>
      <c r="F8620" t="s">
        <v>3353</v>
      </c>
      <c r="G8620">
        <v>-89.822438000000005</v>
      </c>
      <c r="H8620">
        <v>1300</v>
      </c>
      <c r="I8620">
        <v>-3</v>
      </c>
      <c r="J8620">
        <v>-168</v>
      </c>
      <c r="K8620">
        <v>-640</v>
      </c>
      <c r="L8620">
        <v>1200</v>
      </c>
      <c r="M8620" t="str">
        <f t="shared" si="803"/>
        <v xml:space="preserve">N35DC   </v>
      </c>
      <c r="N8620">
        <v>1</v>
      </c>
      <c r="O8620">
        <v>1300</v>
      </c>
    </row>
    <row r="8621" spans="1:15" x14ac:dyDescent="0.25">
      <c r="A8621" t="str">
        <f>"10/21/2020 19:14:06.932"</f>
        <v>10/21/2020 19:14:06.932</v>
      </c>
      <c r="B8621" t="str">
        <f>"19:14:14.891"</f>
        <v>19:14:14.891</v>
      </c>
      <c r="C8621" t="str">
        <f>"19:14:14.691"</f>
        <v>19:14:14.691</v>
      </c>
      <c r="D8621" t="s">
        <v>3352</v>
      </c>
      <c r="E8621">
        <v>30.477125999999998</v>
      </c>
      <c r="F8621" t="s">
        <v>3353</v>
      </c>
      <c r="G8621">
        <v>-89.822438000000005</v>
      </c>
      <c r="H8621">
        <v>1300</v>
      </c>
      <c r="I8621">
        <v>-3</v>
      </c>
      <c r="J8621">
        <v>-168</v>
      </c>
      <c r="K8621">
        <v>-640</v>
      </c>
      <c r="L8621">
        <v>1200</v>
      </c>
      <c r="M8621" t="str">
        <f t="shared" si="803"/>
        <v xml:space="preserve">N35DC   </v>
      </c>
      <c r="N8621">
        <v>1</v>
      </c>
      <c r="O8621">
        <v>1300</v>
      </c>
    </row>
    <row r="8622" spans="1:15" x14ac:dyDescent="0.25">
      <c r="A8622" t="str">
        <f>"10/21/2020 19:14:06.932"</f>
        <v>10/21/2020 19:14:06.932</v>
      </c>
      <c r="B8622" t="str">
        <f>"19:14:14.891"</f>
        <v>19:14:14.891</v>
      </c>
      <c r="C8622" t="str">
        <f>"19:14:14.691"</f>
        <v>19:14:14.691</v>
      </c>
      <c r="D8622" t="s">
        <v>3352</v>
      </c>
      <c r="E8622">
        <v>30.477125999999998</v>
      </c>
      <c r="F8622" t="s">
        <v>3353</v>
      </c>
      <c r="G8622">
        <v>-89.822438000000005</v>
      </c>
      <c r="H8622">
        <v>1300</v>
      </c>
      <c r="I8622">
        <v>-3</v>
      </c>
      <c r="J8622">
        <v>-168</v>
      </c>
      <c r="K8622">
        <v>-640</v>
      </c>
      <c r="L8622">
        <v>1200</v>
      </c>
      <c r="M8622" t="str">
        <f t="shared" si="803"/>
        <v xml:space="preserve">N35DC   </v>
      </c>
      <c r="N8622">
        <v>1</v>
      </c>
      <c r="O8622">
        <v>1300</v>
      </c>
    </row>
    <row r="8623" spans="1:15" x14ac:dyDescent="0.25">
      <c r="A8623" t="str">
        <f>"10/21/2020 19:14:06.932"</f>
        <v>10/21/2020 19:14:06.932</v>
      </c>
      <c r="B8623" t="str">
        <f>"19:14:14.891"</f>
        <v>19:14:14.891</v>
      </c>
      <c r="C8623" t="str">
        <f>"19:14:14.691"</f>
        <v>19:14:14.691</v>
      </c>
      <c r="D8623" t="s">
        <v>3352</v>
      </c>
      <c r="E8623">
        <v>30.477125999999998</v>
      </c>
      <c r="F8623" t="s">
        <v>3353</v>
      </c>
      <c r="G8623">
        <v>-89.822438000000005</v>
      </c>
      <c r="H8623">
        <v>1300</v>
      </c>
      <c r="I8623">
        <v>-3</v>
      </c>
      <c r="J8623">
        <v>-168</v>
      </c>
      <c r="K8623">
        <v>-640</v>
      </c>
      <c r="L8623">
        <v>1200</v>
      </c>
      <c r="M8623" t="str">
        <f t="shared" si="803"/>
        <v xml:space="preserve">N35DC   </v>
      </c>
      <c r="N8623">
        <v>1</v>
      </c>
      <c r="O8623">
        <v>1300</v>
      </c>
    </row>
    <row r="8624" spans="1:15" x14ac:dyDescent="0.25">
      <c r="A8624" t="str">
        <f>"10/21/2020 19:14:06.932"</f>
        <v>10/21/2020 19:14:06.932</v>
      </c>
      <c r="B8624" t="str">
        <f>"19:14:14.891"</f>
        <v>19:14:14.891</v>
      </c>
      <c r="C8624" t="str">
        <f>"19:14:14.691"</f>
        <v>19:14:14.691</v>
      </c>
      <c r="D8624" t="s">
        <v>3352</v>
      </c>
      <c r="E8624">
        <v>30.477125999999998</v>
      </c>
      <c r="F8624" t="s">
        <v>3353</v>
      </c>
      <c r="G8624">
        <v>-89.822438000000005</v>
      </c>
      <c r="H8624">
        <v>1300</v>
      </c>
      <c r="I8624">
        <v>-3</v>
      </c>
      <c r="J8624">
        <v>-168</v>
      </c>
      <c r="K8624">
        <v>-640</v>
      </c>
      <c r="L8624">
        <v>1200</v>
      </c>
      <c r="M8624" t="str">
        <f t="shared" si="803"/>
        <v xml:space="preserve">N35DC   </v>
      </c>
      <c r="N8624">
        <v>1</v>
      </c>
      <c r="O8624">
        <v>1300</v>
      </c>
    </row>
    <row r="8625" spans="1:15" x14ac:dyDescent="0.25">
      <c r="A8625" t="str">
        <f>"10/21/2020 19:14:09.969"</f>
        <v>10/21/2020 19:14:09.969</v>
      </c>
      <c r="B8625" t="str">
        <f>"19:14:17.938"</f>
        <v>19:14:17.938</v>
      </c>
      <c r="C8625" t="str">
        <f>"19:14:17.837"</f>
        <v>19:14:17.837</v>
      </c>
      <c r="D8625" t="s">
        <v>3354</v>
      </c>
      <c r="E8625">
        <v>30.474765000000001</v>
      </c>
      <c r="F8625" t="s">
        <v>3318</v>
      </c>
      <c r="G8625">
        <v>-89.822524000000001</v>
      </c>
      <c r="H8625">
        <v>1200</v>
      </c>
      <c r="I8625">
        <v>0</v>
      </c>
      <c r="J8625">
        <v>-168</v>
      </c>
      <c r="K8625">
        <v>-640</v>
      </c>
      <c r="L8625">
        <v>1200</v>
      </c>
      <c r="M8625" t="str">
        <f t="shared" si="803"/>
        <v xml:space="preserve">N35DC   </v>
      </c>
      <c r="N8625">
        <v>1</v>
      </c>
      <c r="O8625">
        <v>1250</v>
      </c>
    </row>
    <row r="8626" spans="1:15" x14ac:dyDescent="0.25">
      <c r="A8626" t="str">
        <f>"10/21/2020 19:14:09.969"</f>
        <v>10/21/2020 19:14:09.969</v>
      </c>
      <c r="B8626" t="str">
        <f>"19:14:17.938"</f>
        <v>19:14:17.938</v>
      </c>
      <c r="C8626" t="str">
        <f>"19:14:17.837"</f>
        <v>19:14:17.837</v>
      </c>
      <c r="D8626" t="s">
        <v>3354</v>
      </c>
      <c r="E8626">
        <v>30.474765000000001</v>
      </c>
      <c r="F8626" t="s">
        <v>3318</v>
      </c>
      <c r="G8626">
        <v>-89.822524000000001</v>
      </c>
      <c r="H8626">
        <v>1200</v>
      </c>
      <c r="I8626">
        <v>0</v>
      </c>
      <c r="J8626">
        <v>-168</v>
      </c>
      <c r="K8626">
        <v>-640</v>
      </c>
      <c r="L8626">
        <v>1200</v>
      </c>
      <c r="M8626" t="str">
        <f t="shared" si="803"/>
        <v xml:space="preserve">N35DC   </v>
      </c>
      <c r="N8626">
        <v>1</v>
      </c>
      <c r="O8626">
        <v>1250</v>
      </c>
    </row>
    <row r="8627" spans="1:15" x14ac:dyDescent="0.25">
      <c r="A8627" t="str">
        <f>"10/21/2020 19:14:09.969"</f>
        <v>10/21/2020 19:14:09.969</v>
      </c>
      <c r="B8627" t="str">
        <f>"19:14:17.938"</f>
        <v>19:14:17.938</v>
      </c>
      <c r="C8627" t="str">
        <f>"19:14:17.837"</f>
        <v>19:14:17.837</v>
      </c>
      <c r="D8627" t="s">
        <v>3354</v>
      </c>
      <c r="E8627">
        <v>30.474765000000001</v>
      </c>
      <c r="F8627" t="s">
        <v>3318</v>
      </c>
      <c r="G8627">
        <v>-89.822524000000001</v>
      </c>
      <c r="H8627">
        <v>1200</v>
      </c>
      <c r="I8627">
        <v>0</v>
      </c>
      <c r="J8627">
        <v>-168</v>
      </c>
      <c r="K8627">
        <v>-640</v>
      </c>
      <c r="L8627">
        <v>1200</v>
      </c>
      <c r="M8627" t="str">
        <f t="shared" si="803"/>
        <v xml:space="preserve">N35DC   </v>
      </c>
      <c r="N8627">
        <v>1</v>
      </c>
      <c r="O8627">
        <v>1250</v>
      </c>
    </row>
    <row r="8628" spans="1:15" x14ac:dyDescent="0.25">
      <c r="A8628" t="str">
        <f>"10/21/2020 19:14:09.969"</f>
        <v>10/21/2020 19:14:09.969</v>
      </c>
      <c r="B8628" t="str">
        <f>"19:14:17.938"</f>
        <v>19:14:17.938</v>
      </c>
      <c r="C8628" t="str">
        <f>"19:14:17.837"</f>
        <v>19:14:17.837</v>
      </c>
      <c r="D8628" t="s">
        <v>3354</v>
      </c>
      <c r="E8628">
        <v>30.474765000000001</v>
      </c>
      <c r="F8628" t="s">
        <v>3318</v>
      </c>
      <c r="G8628">
        <v>-89.822524000000001</v>
      </c>
      <c r="H8628">
        <v>1200</v>
      </c>
      <c r="I8628">
        <v>0</v>
      </c>
      <c r="J8628">
        <v>-168</v>
      </c>
      <c r="K8628">
        <v>-640</v>
      </c>
      <c r="L8628">
        <v>1200</v>
      </c>
      <c r="M8628" t="str">
        <f t="shared" si="803"/>
        <v xml:space="preserve">N35DC   </v>
      </c>
      <c r="N8628">
        <v>1</v>
      </c>
      <c r="O8628">
        <v>1250</v>
      </c>
    </row>
    <row r="8629" spans="1:15" x14ac:dyDescent="0.25">
      <c r="A8629" t="str">
        <f>"10/21/2020 19:14:09.969"</f>
        <v>10/21/2020 19:14:09.969</v>
      </c>
      <c r="B8629" t="str">
        <f>"19:14:17.938"</f>
        <v>19:14:17.938</v>
      </c>
      <c r="C8629" t="str">
        <f>"19:14:17.837"</f>
        <v>19:14:17.837</v>
      </c>
      <c r="D8629" t="s">
        <v>3354</v>
      </c>
      <c r="E8629">
        <v>30.474765000000001</v>
      </c>
      <c r="F8629" t="s">
        <v>3318</v>
      </c>
      <c r="G8629">
        <v>-89.822524000000001</v>
      </c>
      <c r="H8629">
        <v>1200</v>
      </c>
      <c r="I8629">
        <v>0</v>
      </c>
      <c r="J8629">
        <v>-168</v>
      </c>
      <c r="K8629">
        <v>-640</v>
      </c>
      <c r="L8629">
        <v>1200</v>
      </c>
      <c r="M8629" t="str">
        <f t="shared" si="803"/>
        <v xml:space="preserve">N35DC   </v>
      </c>
      <c r="N8629">
        <v>1</v>
      </c>
      <c r="O8629">
        <v>1250</v>
      </c>
    </row>
    <row r="8630" spans="1:15" x14ac:dyDescent="0.25">
      <c r="A8630" t="str">
        <f>"10/21/2020 19:14:11.005"</f>
        <v>10/21/2020 19:14:11.005</v>
      </c>
      <c r="B8630" t="str">
        <f>"19:14:18.961"</f>
        <v>19:14:18.961</v>
      </c>
      <c r="C8630" t="str">
        <f>"19:14:18.761"</f>
        <v>19:14:18.761</v>
      </c>
      <c r="D8630" t="s">
        <v>3355</v>
      </c>
      <c r="E8630">
        <v>30.473970999999999</v>
      </c>
      <c r="F8630" t="s">
        <v>3321</v>
      </c>
      <c r="G8630">
        <v>-89.822502</v>
      </c>
      <c r="H8630">
        <v>1200</v>
      </c>
      <c r="I8630">
        <v>1</v>
      </c>
      <c r="J8630">
        <v>-168</v>
      </c>
      <c r="K8630">
        <v>-768</v>
      </c>
      <c r="L8630">
        <v>1200</v>
      </c>
      <c r="M8630" t="str">
        <f t="shared" si="803"/>
        <v xml:space="preserve">N35DC   </v>
      </c>
      <c r="N8630">
        <v>1</v>
      </c>
      <c r="O8630">
        <v>1250</v>
      </c>
    </row>
    <row r="8631" spans="1:15" x14ac:dyDescent="0.25">
      <c r="A8631" t="str">
        <f>"10/21/2020 19:14:11.005"</f>
        <v>10/21/2020 19:14:11.005</v>
      </c>
      <c r="B8631" t="str">
        <f>"19:14:18.961"</f>
        <v>19:14:18.961</v>
      </c>
      <c r="C8631" t="str">
        <f>"19:14:18.761"</f>
        <v>19:14:18.761</v>
      </c>
      <c r="D8631" t="s">
        <v>3355</v>
      </c>
      <c r="E8631">
        <v>30.473970999999999</v>
      </c>
      <c r="F8631" t="s">
        <v>3321</v>
      </c>
      <c r="G8631">
        <v>-89.822502</v>
      </c>
      <c r="H8631">
        <v>1200</v>
      </c>
      <c r="I8631">
        <v>1</v>
      </c>
      <c r="J8631">
        <v>-168</v>
      </c>
      <c r="K8631">
        <v>-768</v>
      </c>
      <c r="L8631">
        <v>1200</v>
      </c>
      <c r="M8631" t="str">
        <f t="shared" si="803"/>
        <v xml:space="preserve">N35DC   </v>
      </c>
      <c r="N8631">
        <v>1</v>
      </c>
      <c r="O8631">
        <v>1250</v>
      </c>
    </row>
    <row r="8632" spans="1:15" x14ac:dyDescent="0.25">
      <c r="A8632" t="str">
        <f>"10/21/2020 19:14:11.005"</f>
        <v>10/21/2020 19:14:11.005</v>
      </c>
      <c r="B8632" t="str">
        <f>"19:14:18.961"</f>
        <v>19:14:18.961</v>
      </c>
      <c r="C8632" t="str">
        <f>"19:14:18.761"</f>
        <v>19:14:18.761</v>
      </c>
      <c r="D8632" t="s">
        <v>3355</v>
      </c>
      <c r="E8632">
        <v>30.473970999999999</v>
      </c>
      <c r="F8632" t="s">
        <v>3321</v>
      </c>
      <c r="G8632">
        <v>-89.822502</v>
      </c>
      <c r="H8632">
        <v>1200</v>
      </c>
      <c r="I8632">
        <v>1</v>
      </c>
      <c r="J8632">
        <v>-168</v>
      </c>
      <c r="K8632">
        <v>-768</v>
      </c>
      <c r="L8632">
        <v>1200</v>
      </c>
      <c r="M8632" t="str">
        <f t="shared" si="803"/>
        <v xml:space="preserve">N35DC   </v>
      </c>
      <c r="N8632">
        <v>1</v>
      </c>
      <c r="O8632">
        <v>1250</v>
      </c>
    </row>
    <row r="8633" spans="1:15" x14ac:dyDescent="0.25">
      <c r="A8633" t="str">
        <f>"10/21/2020 19:14:11.005"</f>
        <v>10/21/2020 19:14:11.005</v>
      </c>
      <c r="B8633" t="str">
        <f>"19:14:18.961"</f>
        <v>19:14:18.961</v>
      </c>
      <c r="C8633" t="str">
        <f>"19:14:18.761"</f>
        <v>19:14:18.761</v>
      </c>
      <c r="D8633" t="s">
        <v>3355</v>
      </c>
      <c r="E8633">
        <v>30.473970999999999</v>
      </c>
      <c r="F8633" t="s">
        <v>3321</v>
      </c>
      <c r="G8633">
        <v>-89.822502</v>
      </c>
      <c r="H8633">
        <v>1200</v>
      </c>
      <c r="I8633">
        <v>1</v>
      </c>
      <c r="J8633">
        <v>-168</v>
      </c>
      <c r="K8633">
        <v>-768</v>
      </c>
      <c r="L8633">
        <v>1200</v>
      </c>
      <c r="M8633" t="str">
        <f t="shared" si="803"/>
        <v xml:space="preserve">N35DC   </v>
      </c>
      <c r="N8633">
        <v>1</v>
      </c>
      <c r="O8633">
        <v>1250</v>
      </c>
    </row>
    <row r="8634" spans="1:15" x14ac:dyDescent="0.25">
      <c r="A8634" t="str">
        <f>"10/21/2020 19:14:11.005"</f>
        <v>10/21/2020 19:14:11.005</v>
      </c>
      <c r="B8634" t="str">
        <f>"19:14:18.961"</f>
        <v>19:14:18.961</v>
      </c>
      <c r="C8634" t="str">
        <f>"19:14:18.761"</f>
        <v>19:14:18.761</v>
      </c>
      <c r="D8634" t="s">
        <v>3355</v>
      </c>
      <c r="E8634">
        <v>30.473970999999999</v>
      </c>
      <c r="F8634" t="s">
        <v>3321</v>
      </c>
      <c r="G8634">
        <v>-89.822502</v>
      </c>
      <c r="H8634">
        <v>1200</v>
      </c>
      <c r="I8634">
        <v>1</v>
      </c>
      <c r="J8634">
        <v>-168</v>
      </c>
      <c r="K8634">
        <v>-768</v>
      </c>
      <c r="L8634">
        <v>1200</v>
      </c>
      <c r="M8634" t="str">
        <f t="shared" si="803"/>
        <v xml:space="preserve">N35DC   </v>
      </c>
      <c r="N8634">
        <v>1</v>
      </c>
      <c r="O8634">
        <v>1250</v>
      </c>
    </row>
    <row r="8635" spans="1:15" x14ac:dyDescent="0.25">
      <c r="A8635" t="str">
        <f>"10/21/2020 19:14:14.999"</f>
        <v>10/21/2020 19:14:14.999</v>
      </c>
      <c r="B8635" t="str">
        <f>"19:14:22.961"</f>
        <v>19:14:22.961</v>
      </c>
      <c r="C8635" t="str">
        <f>"19:14:22.661"</f>
        <v>19:14:22.661</v>
      </c>
      <c r="D8635" t="s">
        <v>3356</v>
      </c>
      <c r="E8635">
        <v>30.470859999999998</v>
      </c>
      <c r="F8635" t="s">
        <v>3263</v>
      </c>
      <c r="G8635">
        <v>-89.822395</v>
      </c>
      <c r="H8635">
        <v>1200</v>
      </c>
      <c r="I8635">
        <v>7</v>
      </c>
      <c r="J8635">
        <v>-167</v>
      </c>
      <c r="K8635">
        <v>-704</v>
      </c>
      <c r="L8635">
        <v>1200</v>
      </c>
      <c r="M8635" t="str">
        <f t="shared" si="803"/>
        <v xml:space="preserve">N35DC   </v>
      </c>
      <c r="N8635">
        <v>1</v>
      </c>
      <c r="O8635">
        <v>1200</v>
      </c>
    </row>
    <row r="8636" spans="1:15" x14ac:dyDescent="0.25">
      <c r="A8636" t="str">
        <f>"10/21/2020 19:14:14.999"</f>
        <v>10/21/2020 19:14:14.999</v>
      </c>
      <c r="B8636" t="str">
        <f>"19:14:22.961"</f>
        <v>19:14:22.961</v>
      </c>
      <c r="C8636" t="str">
        <f>"19:14:22.661"</f>
        <v>19:14:22.661</v>
      </c>
      <c r="D8636" t="s">
        <v>3356</v>
      </c>
      <c r="E8636">
        <v>30.470859999999998</v>
      </c>
      <c r="F8636" t="s">
        <v>3263</v>
      </c>
      <c r="G8636">
        <v>-89.822395</v>
      </c>
      <c r="H8636">
        <v>1200</v>
      </c>
      <c r="I8636">
        <v>7</v>
      </c>
      <c r="J8636">
        <v>-167</v>
      </c>
      <c r="K8636">
        <v>-704</v>
      </c>
      <c r="L8636">
        <v>1200</v>
      </c>
      <c r="M8636" t="str">
        <f t="shared" si="803"/>
        <v xml:space="preserve">N35DC   </v>
      </c>
      <c r="N8636">
        <v>1</v>
      </c>
      <c r="O8636">
        <v>1200</v>
      </c>
    </row>
    <row r="8637" spans="1:15" x14ac:dyDescent="0.25">
      <c r="A8637" t="str">
        <f>"10/21/2020 19:14:14.999"</f>
        <v>10/21/2020 19:14:14.999</v>
      </c>
      <c r="B8637" t="str">
        <f>"19:14:22.961"</f>
        <v>19:14:22.961</v>
      </c>
      <c r="C8637" t="str">
        <f>"19:14:22.661"</f>
        <v>19:14:22.661</v>
      </c>
      <c r="D8637" t="s">
        <v>3356</v>
      </c>
      <c r="E8637">
        <v>30.470859999999998</v>
      </c>
      <c r="F8637" t="s">
        <v>3263</v>
      </c>
      <c r="G8637">
        <v>-89.822395</v>
      </c>
      <c r="H8637">
        <v>1200</v>
      </c>
      <c r="I8637">
        <v>7</v>
      </c>
      <c r="J8637">
        <v>-167</v>
      </c>
      <c r="K8637">
        <v>-704</v>
      </c>
      <c r="L8637">
        <v>1200</v>
      </c>
      <c r="M8637" t="str">
        <f t="shared" si="803"/>
        <v xml:space="preserve">N35DC   </v>
      </c>
      <c r="N8637">
        <v>1</v>
      </c>
      <c r="O8637">
        <v>1200</v>
      </c>
    </row>
    <row r="8638" spans="1:15" x14ac:dyDescent="0.25">
      <c r="A8638" t="str">
        <f>"10/21/2020 19:14:14.999"</f>
        <v>10/21/2020 19:14:14.999</v>
      </c>
      <c r="B8638" t="str">
        <f>"19:14:22.961"</f>
        <v>19:14:22.961</v>
      </c>
      <c r="C8638" t="str">
        <f>"19:14:22.661"</f>
        <v>19:14:22.661</v>
      </c>
      <c r="D8638" t="s">
        <v>3356</v>
      </c>
      <c r="E8638">
        <v>30.470859999999998</v>
      </c>
      <c r="F8638" t="s">
        <v>3263</v>
      </c>
      <c r="G8638">
        <v>-89.822395</v>
      </c>
      <c r="H8638">
        <v>1200</v>
      </c>
      <c r="I8638">
        <v>7</v>
      </c>
      <c r="J8638">
        <v>-167</v>
      </c>
      <c r="K8638">
        <v>-704</v>
      </c>
      <c r="L8638">
        <v>1200</v>
      </c>
      <c r="M8638" t="str">
        <f t="shared" si="803"/>
        <v xml:space="preserve">N35DC   </v>
      </c>
      <c r="N8638">
        <v>1</v>
      </c>
      <c r="O8638">
        <v>1200</v>
      </c>
    </row>
    <row r="8639" spans="1:15" x14ac:dyDescent="0.25">
      <c r="A8639" t="str">
        <f>"10/21/2020 19:14:14.999"</f>
        <v>10/21/2020 19:14:14.999</v>
      </c>
      <c r="B8639" t="str">
        <f>"19:14:22.961"</f>
        <v>19:14:22.961</v>
      </c>
      <c r="C8639" t="str">
        <f>"19:14:22.661"</f>
        <v>19:14:22.661</v>
      </c>
      <c r="D8639" t="s">
        <v>3356</v>
      </c>
      <c r="E8639">
        <v>30.470859999999998</v>
      </c>
      <c r="F8639" t="s">
        <v>3263</v>
      </c>
      <c r="G8639">
        <v>-89.822395</v>
      </c>
      <c r="H8639">
        <v>1200</v>
      </c>
      <c r="I8639">
        <v>7</v>
      </c>
      <c r="J8639">
        <v>-167</v>
      </c>
      <c r="K8639">
        <v>-704</v>
      </c>
      <c r="L8639">
        <v>1200</v>
      </c>
      <c r="M8639" t="str">
        <f t="shared" si="803"/>
        <v xml:space="preserve">N35DC   </v>
      </c>
      <c r="N8639">
        <v>1</v>
      </c>
      <c r="O8639">
        <v>1200</v>
      </c>
    </row>
    <row r="8640" spans="1:15" x14ac:dyDescent="0.25">
      <c r="A8640" t="str">
        <f>"10/21/2020 19:14:15.975"</f>
        <v>10/21/2020 19:14:15.975</v>
      </c>
      <c r="B8640" t="str">
        <f>"19:14:23.938"</f>
        <v>19:14:23.938</v>
      </c>
      <c r="C8640" t="str">
        <f>"19:14:23.637"</f>
        <v>19:14:23.637</v>
      </c>
      <c r="D8640" t="s">
        <v>3357</v>
      </c>
      <c r="E8640">
        <v>30.470109000000001</v>
      </c>
      <c r="F8640" t="s">
        <v>3261</v>
      </c>
      <c r="G8640">
        <v>-89.822288</v>
      </c>
      <c r="H8640">
        <v>1200</v>
      </c>
      <c r="I8640">
        <v>7</v>
      </c>
      <c r="J8640">
        <v>-167</v>
      </c>
      <c r="K8640">
        <v>-704</v>
      </c>
      <c r="L8640">
        <v>1200</v>
      </c>
      <c r="M8640" t="str">
        <f t="shared" si="803"/>
        <v xml:space="preserve">N35DC   </v>
      </c>
      <c r="N8640">
        <v>1</v>
      </c>
      <c r="O8640">
        <v>1200</v>
      </c>
    </row>
    <row r="8641" spans="1:15" x14ac:dyDescent="0.25">
      <c r="A8641" t="str">
        <f>"10/21/2020 19:14:15.975"</f>
        <v>10/21/2020 19:14:15.975</v>
      </c>
      <c r="B8641" t="str">
        <f>"19:14:23.938"</f>
        <v>19:14:23.938</v>
      </c>
      <c r="C8641" t="str">
        <f>"19:14:23.637"</f>
        <v>19:14:23.637</v>
      </c>
      <c r="D8641" t="s">
        <v>3357</v>
      </c>
      <c r="E8641">
        <v>30.470109000000001</v>
      </c>
      <c r="F8641" t="s">
        <v>3261</v>
      </c>
      <c r="G8641">
        <v>-89.822288</v>
      </c>
      <c r="H8641">
        <v>1200</v>
      </c>
      <c r="I8641">
        <v>7</v>
      </c>
      <c r="J8641">
        <v>-167</v>
      </c>
      <c r="K8641">
        <v>-704</v>
      </c>
      <c r="L8641">
        <v>1200</v>
      </c>
      <c r="M8641" t="str">
        <f t="shared" si="803"/>
        <v xml:space="preserve">N35DC   </v>
      </c>
      <c r="N8641">
        <v>1</v>
      </c>
      <c r="O8641">
        <v>1200</v>
      </c>
    </row>
    <row r="8642" spans="1:15" x14ac:dyDescent="0.25">
      <c r="A8642" t="str">
        <f>"10/21/2020 19:14:15.975"</f>
        <v>10/21/2020 19:14:15.975</v>
      </c>
      <c r="B8642" t="str">
        <f>"19:14:23.938"</f>
        <v>19:14:23.938</v>
      </c>
      <c r="C8642" t="str">
        <f>"19:14:23.637"</f>
        <v>19:14:23.637</v>
      </c>
      <c r="D8642" t="s">
        <v>3357</v>
      </c>
      <c r="E8642">
        <v>30.470109000000001</v>
      </c>
      <c r="F8642" t="s">
        <v>3261</v>
      </c>
      <c r="G8642">
        <v>-89.822288</v>
      </c>
      <c r="H8642">
        <v>1200</v>
      </c>
      <c r="I8642">
        <v>7</v>
      </c>
      <c r="J8642">
        <v>-167</v>
      </c>
      <c r="K8642">
        <v>-704</v>
      </c>
      <c r="L8642">
        <v>1200</v>
      </c>
      <c r="M8642" t="str">
        <f t="shared" si="803"/>
        <v xml:space="preserve">N35DC   </v>
      </c>
      <c r="N8642">
        <v>1</v>
      </c>
      <c r="O8642">
        <v>1200</v>
      </c>
    </row>
    <row r="8643" spans="1:15" x14ac:dyDescent="0.25">
      <c r="A8643" t="str">
        <f>"10/21/2020 19:14:15.975"</f>
        <v>10/21/2020 19:14:15.975</v>
      </c>
      <c r="B8643" t="str">
        <f>"19:14:23.938"</f>
        <v>19:14:23.938</v>
      </c>
      <c r="C8643" t="str">
        <f>"19:14:23.637"</f>
        <v>19:14:23.637</v>
      </c>
      <c r="D8643" t="s">
        <v>3357</v>
      </c>
      <c r="E8643">
        <v>30.470109000000001</v>
      </c>
      <c r="F8643" t="s">
        <v>3261</v>
      </c>
      <c r="G8643">
        <v>-89.822288</v>
      </c>
      <c r="H8643">
        <v>1200</v>
      </c>
      <c r="I8643">
        <v>7</v>
      </c>
      <c r="J8643">
        <v>-167</v>
      </c>
      <c r="K8643">
        <v>-704</v>
      </c>
      <c r="L8643">
        <v>1200</v>
      </c>
      <c r="M8643" t="str">
        <f t="shared" si="803"/>
        <v xml:space="preserve">N35DC   </v>
      </c>
      <c r="N8643">
        <v>1</v>
      </c>
      <c r="O8643">
        <v>1200</v>
      </c>
    </row>
    <row r="8644" spans="1:15" x14ac:dyDescent="0.25">
      <c r="A8644" t="str">
        <f>"10/21/2020 19:14:15.975"</f>
        <v>10/21/2020 19:14:15.975</v>
      </c>
      <c r="B8644" t="str">
        <f>"19:14:23.938"</f>
        <v>19:14:23.938</v>
      </c>
      <c r="C8644" t="str">
        <f>"19:14:23.637"</f>
        <v>19:14:23.637</v>
      </c>
      <c r="D8644" t="s">
        <v>3357</v>
      </c>
      <c r="E8644">
        <v>30.470109000000001</v>
      </c>
      <c r="F8644" t="s">
        <v>3261</v>
      </c>
      <c r="G8644">
        <v>-89.822288</v>
      </c>
      <c r="H8644">
        <v>1200</v>
      </c>
      <c r="I8644">
        <v>7</v>
      </c>
      <c r="J8644">
        <v>-167</v>
      </c>
      <c r="K8644">
        <v>-704</v>
      </c>
      <c r="L8644">
        <v>1200</v>
      </c>
      <c r="M8644" t="str">
        <f t="shared" si="803"/>
        <v xml:space="preserve">N35DC   </v>
      </c>
      <c r="N8644">
        <v>1</v>
      </c>
      <c r="O8644">
        <v>1200</v>
      </c>
    </row>
    <row r="8645" spans="1:15" x14ac:dyDescent="0.25">
      <c r="A8645" t="str">
        <f>"10/21/2020 19:14:18.126"</f>
        <v>10/21/2020 19:14:18.126</v>
      </c>
      <c r="B8645" t="str">
        <f>"19:14:26.070"</f>
        <v>19:14:26.070</v>
      </c>
      <c r="C8645" t="str">
        <f>"19:14:25.770"</f>
        <v>19:14:25.770</v>
      </c>
      <c r="D8645" t="s">
        <v>3358</v>
      </c>
      <c r="E8645">
        <v>30.468478000000001</v>
      </c>
      <c r="F8645" t="s">
        <v>3334</v>
      </c>
      <c r="G8645">
        <v>-89.822222999999994</v>
      </c>
      <c r="H8645">
        <v>1100</v>
      </c>
      <c r="I8645">
        <v>9</v>
      </c>
      <c r="J8645">
        <v>-167</v>
      </c>
      <c r="K8645">
        <v>-704</v>
      </c>
      <c r="L8645">
        <v>1200</v>
      </c>
      <c r="M8645" t="str">
        <f t="shared" si="803"/>
        <v xml:space="preserve">N35DC   </v>
      </c>
      <c r="N8645">
        <v>1</v>
      </c>
      <c r="O8645">
        <v>1175</v>
      </c>
    </row>
    <row r="8646" spans="1:15" x14ac:dyDescent="0.25">
      <c r="A8646" t="str">
        <f>"10/21/2020 19:14:18.126"</f>
        <v>10/21/2020 19:14:18.126</v>
      </c>
      <c r="B8646" t="str">
        <f>"19:14:26.070"</f>
        <v>19:14:26.070</v>
      </c>
      <c r="C8646" t="str">
        <f>"19:14:25.770"</f>
        <v>19:14:25.770</v>
      </c>
      <c r="D8646" t="s">
        <v>3358</v>
      </c>
      <c r="E8646">
        <v>30.468478000000001</v>
      </c>
      <c r="F8646" t="s">
        <v>3334</v>
      </c>
      <c r="G8646">
        <v>-89.822222999999994</v>
      </c>
      <c r="H8646">
        <v>1100</v>
      </c>
      <c r="I8646">
        <v>9</v>
      </c>
      <c r="J8646">
        <v>-167</v>
      </c>
      <c r="K8646">
        <v>-704</v>
      </c>
      <c r="L8646">
        <v>1200</v>
      </c>
      <c r="M8646" t="str">
        <f t="shared" si="803"/>
        <v xml:space="preserve">N35DC   </v>
      </c>
      <c r="N8646">
        <v>1</v>
      </c>
      <c r="O8646">
        <v>1175</v>
      </c>
    </row>
    <row r="8647" spans="1:15" x14ac:dyDescent="0.25">
      <c r="A8647" t="str">
        <f>"10/21/2020 19:14:18.126"</f>
        <v>10/21/2020 19:14:18.126</v>
      </c>
      <c r="B8647" t="str">
        <f>"19:14:26.070"</f>
        <v>19:14:26.070</v>
      </c>
      <c r="C8647" t="str">
        <f>"19:14:25.770"</f>
        <v>19:14:25.770</v>
      </c>
      <c r="D8647" t="s">
        <v>3358</v>
      </c>
      <c r="E8647">
        <v>30.468478000000001</v>
      </c>
      <c r="F8647" t="s">
        <v>3334</v>
      </c>
      <c r="G8647">
        <v>-89.822222999999994</v>
      </c>
      <c r="H8647">
        <v>1100</v>
      </c>
      <c r="I8647">
        <v>9</v>
      </c>
      <c r="J8647">
        <v>-167</v>
      </c>
      <c r="K8647">
        <v>-704</v>
      </c>
      <c r="L8647">
        <v>1200</v>
      </c>
      <c r="M8647" t="str">
        <f t="shared" ref="M8647:M8710" si="806">"N35DC   "</f>
        <v xml:space="preserve">N35DC   </v>
      </c>
      <c r="N8647">
        <v>1</v>
      </c>
      <c r="O8647">
        <v>1175</v>
      </c>
    </row>
    <row r="8648" spans="1:15" x14ac:dyDescent="0.25">
      <c r="A8648" t="str">
        <f>"10/21/2020 19:14:18.126"</f>
        <v>10/21/2020 19:14:18.126</v>
      </c>
      <c r="B8648" t="str">
        <f>"19:14:26.070"</f>
        <v>19:14:26.070</v>
      </c>
      <c r="C8648" t="str">
        <f>"19:14:25.770"</f>
        <v>19:14:25.770</v>
      </c>
      <c r="D8648" t="s">
        <v>3358</v>
      </c>
      <c r="E8648">
        <v>30.468478000000001</v>
      </c>
      <c r="F8648" t="s">
        <v>3334</v>
      </c>
      <c r="G8648">
        <v>-89.822222999999994</v>
      </c>
      <c r="H8648">
        <v>1100</v>
      </c>
      <c r="I8648">
        <v>9</v>
      </c>
      <c r="J8648">
        <v>-167</v>
      </c>
      <c r="K8648">
        <v>-704</v>
      </c>
      <c r="L8648">
        <v>1200</v>
      </c>
      <c r="M8648" t="str">
        <f t="shared" si="806"/>
        <v xml:space="preserve">N35DC   </v>
      </c>
      <c r="N8648">
        <v>1</v>
      </c>
      <c r="O8648">
        <v>1175</v>
      </c>
    </row>
    <row r="8649" spans="1:15" x14ac:dyDescent="0.25">
      <c r="A8649" t="str">
        <f>"10/21/2020 19:14:18.126"</f>
        <v>10/21/2020 19:14:18.126</v>
      </c>
      <c r="B8649" t="str">
        <f>"19:14:26.070"</f>
        <v>19:14:26.070</v>
      </c>
      <c r="C8649" t="str">
        <f>"19:14:25.770"</f>
        <v>19:14:25.770</v>
      </c>
      <c r="D8649" t="s">
        <v>3358</v>
      </c>
      <c r="E8649">
        <v>30.468478000000001</v>
      </c>
      <c r="F8649" t="s">
        <v>3334</v>
      </c>
      <c r="G8649">
        <v>-89.822222999999994</v>
      </c>
      <c r="H8649">
        <v>1100</v>
      </c>
      <c r="I8649">
        <v>9</v>
      </c>
      <c r="J8649">
        <v>-167</v>
      </c>
      <c r="K8649">
        <v>-704</v>
      </c>
      <c r="L8649">
        <v>1200</v>
      </c>
      <c r="M8649" t="str">
        <f t="shared" si="806"/>
        <v xml:space="preserve">N35DC   </v>
      </c>
      <c r="N8649">
        <v>1</v>
      </c>
      <c r="O8649">
        <v>1175</v>
      </c>
    </row>
    <row r="8650" spans="1:15" x14ac:dyDescent="0.25">
      <c r="A8650" t="str">
        <f>"10/21/2020 19:14:19.198"</f>
        <v>10/21/2020 19:14:19.198</v>
      </c>
      <c r="B8650" t="str">
        <f t="shared" ref="B8650:C8654" si="807">"19:14:27.164"</f>
        <v>19:14:27.164</v>
      </c>
      <c r="C8650" t="str">
        <f t="shared" si="807"/>
        <v>19:14:27.164</v>
      </c>
      <c r="D8650" t="s">
        <v>3359</v>
      </c>
      <c r="E8650">
        <v>30.467597999999999</v>
      </c>
      <c r="F8650" t="s">
        <v>3337</v>
      </c>
      <c r="G8650">
        <v>-89.822180000000003</v>
      </c>
      <c r="H8650">
        <v>1100</v>
      </c>
      <c r="I8650">
        <v>10</v>
      </c>
      <c r="J8650">
        <v>-167</v>
      </c>
      <c r="K8650">
        <v>-576</v>
      </c>
      <c r="L8650">
        <v>1200</v>
      </c>
      <c r="M8650" t="str">
        <f t="shared" si="806"/>
        <v xml:space="preserve">N35DC   </v>
      </c>
      <c r="N8650">
        <v>1</v>
      </c>
      <c r="O8650">
        <v>1150</v>
      </c>
    </row>
    <row r="8651" spans="1:15" x14ac:dyDescent="0.25">
      <c r="A8651" t="str">
        <f>"10/21/2020 19:14:19.198"</f>
        <v>10/21/2020 19:14:19.198</v>
      </c>
      <c r="B8651" t="str">
        <f t="shared" si="807"/>
        <v>19:14:27.164</v>
      </c>
      <c r="C8651" t="str">
        <f t="shared" si="807"/>
        <v>19:14:27.164</v>
      </c>
      <c r="D8651" t="s">
        <v>3359</v>
      </c>
      <c r="E8651">
        <v>30.467597999999999</v>
      </c>
      <c r="F8651" t="s">
        <v>3337</v>
      </c>
      <c r="G8651">
        <v>-89.822180000000003</v>
      </c>
      <c r="H8651">
        <v>1100</v>
      </c>
      <c r="I8651">
        <v>10</v>
      </c>
      <c r="J8651">
        <v>-167</v>
      </c>
      <c r="K8651">
        <v>-576</v>
      </c>
      <c r="L8651">
        <v>1200</v>
      </c>
      <c r="M8651" t="str">
        <f t="shared" si="806"/>
        <v xml:space="preserve">N35DC   </v>
      </c>
      <c r="N8651">
        <v>1</v>
      </c>
      <c r="O8651">
        <v>1150</v>
      </c>
    </row>
    <row r="8652" spans="1:15" x14ac:dyDescent="0.25">
      <c r="A8652" t="str">
        <f>"10/21/2020 19:14:19.198"</f>
        <v>10/21/2020 19:14:19.198</v>
      </c>
      <c r="B8652" t="str">
        <f t="shared" si="807"/>
        <v>19:14:27.164</v>
      </c>
      <c r="C8652" t="str">
        <f t="shared" si="807"/>
        <v>19:14:27.164</v>
      </c>
      <c r="D8652" t="s">
        <v>3359</v>
      </c>
      <c r="E8652">
        <v>30.467597999999999</v>
      </c>
      <c r="F8652" t="s">
        <v>3337</v>
      </c>
      <c r="G8652">
        <v>-89.822180000000003</v>
      </c>
      <c r="H8652">
        <v>1100</v>
      </c>
      <c r="I8652">
        <v>10</v>
      </c>
      <c r="J8652">
        <v>-167</v>
      </c>
      <c r="K8652">
        <v>-576</v>
      </c>
      <c r="L8652">
        <v>1200</v>
      </c>
      <c r="M8652" t="str">
        <f t="shared" si="806"/>
        <v xml:space="preserve">N35DC   </v>
      </c>
      <c r="N8652">
        <v>1</v>
      </c>
      <c r="O8652">
        <v>1150</v>
      </c>
    </row>
    <row r="8653" spans="1:15" x14ac:dyDescent="0.25">
      <c r="A8653" t="str">
        <f>"10/21/2020 19:14:19.198"</f>
        <v>10/21/2020 19:14:19.198</v>
      </c>
      <c r="B8653" t="str">
        <f t="shared" si="807"/>
        <v>19:14:27.164</v>
      </c>
      <c r="C8653" t="str">
        <f t="shared" si="807"/>
        <v>19:14:27.164</v>
      </c>
      <c r="D8653" t="s">
        <v>3359</v>
      </c>
      <c r="E8653">
        <v>30.467597999999999</v>
      </c>
      <c r="F8653" t="s">
        <v>3337</v>
      </c>
      <c r="G8653">
        <v>-89.822180000000003</v>
      </c>
      <c r="H8653">
        <v>1100</v>
      </c>
      <c r="I8653">
        <v>10</v>
      </c>
      <c r="J8653">
        <v>-167</v>
      </c>
      <c r="K8653">
        <v>-576</v>
      </c>
      <c r="L8653">
        <v>1200</v>
      </c>
      <c r="M8653" t="str">
        <f t="shared" si="806"/>
        <v xml:space="preserve">N35DC   </v>
      </c>
      <c r="N8653">
        <v>1</v>
      </c>
      <c r="O8653">
        <v>1150</v>
      </c>
    </row>
    <row r="8654" spans="1:15" x14ac:dyDescent="0.25">
      <c r="A8654" t="str">
        <f>"10/21/2020 19:14:19.198"</f>
        <v>10/21/2020 19:14:19.198</v>
      </c>
      <c r="B8654" t="str">
        <f t="shared" si="807"/>
        <v>19:14:27.164</v>
      </c>
      <c r="C8654" t="str">
        <f t="shared" si="807"/>
        <v>19:14:27.164</v>
      </c>
      <c r="D8654" t="s">
        <v>3359</v>
      </c>
      <c r="E8654">
        <v>30.467597999999999</v>
      </c>
      <c r="F8654" t="s">
        <v>3337</v>
      </c>
      <c r="G8654">
        <v>-89.822180000000003</v>
      </c>
      <c r="H8654">
        <v>1100</v>
      </c>
      <c r="I8654">
        <v>10</v>
      </c>
      <c r="J8654">
        <v>-167</v>
      </c>
      <c r="K8654">
        <v>-576</v>
      </c>
      <c r="L8654">
        <v>1200</v>
      </c>
      <c r="M8654" t="str">
        <f t="shared" si="806"/>
        <v xml:space="preserve">N35DC   </v>
      </c>
      <c r="N8654">
        <v>1</v>
      </c>
      <c r="O8654">
        <v>1150</v>
      </c>
    </row>
    <row r="8655" spans="1:15" x14ac:dyDescent="0.25">
      <c r="A8655" t="str">
        <f>"10/21/2020 19:14:22.028"</f>
        <v>10/21/2020 19:14:22.028</v>
      </c>
      <c r="B8655" t="str">
        <f>"19:14:30.000"</f>
        <v>19:14:30.000</v>
      </c>
      <c r="C8655" t="str">
        <f>"19:14:29.900"</f>
        <v>19:14:29.900</v>
      </c>
      <c r="D8655" t="s">
        <v>3360</v>
      </c>
      <c r="E8655">
        <v>30.465409999999999</v>
      </c>
      <c r="F8655" t="s">
        <v>3342</v>
      </c>
      <c r="G8655">
        <v>-89.822073000000003</v>
      </c>
      <c r="H8655">
        <v>1100</v>
      </c>
      <c r="I8655">
        <v>8</v>
      </c>
      <c r="J8655">
        <v>-167</v>
      </c>
      <c r="K8655">
        <v>-960</v>
      </c>
      <c r="L8655">
        <v>1200</v>
      </c>
      <c r="M8655" t="str">
        <f t="shared" si="806"/>
        <v xml:space="preserve">N35DC   </v>
      </c>
      <c r="N8655">
        <v>1</v>
      </c>
      <c r="O8655">
        <v>1125</v>
      </c>
    </row>
    <row r="8656" spans="1:15" x14ac:dyDescent="0.25">
      <c r="A8656" t="str">
        <f>"10/21/2020 19:14:22.028"</f>
        <v>10/21/2020 19:14:22.028</v>
      </c>
      <c r="B8656" t="str">
        <f>"19:14:30.000"</f>
        <v>19:14:30.000</v>
      </c>
      <c r="C8656" t="str">
        <f>"19:14:29.900"</f>
        <v>19:14:29.900</v>
      </c>
      <c r="D8656" t="s">
        <v>3360</v>
      </c>
      <c r="E8656">
        <v>30.465409999999999</v>
      </c>
      <c r="F8656" t="s">
        <v>3342</v>
      </c>
      <c r="G8656">
        <v>-89.822073000000003</v>
      </c>
      <c r="H8656">
        <v>1100</v>
      </c>
      <c r="I8656">
        <v>8</v>
      </c>
      <c r="J8656">
        <v>-167</v>
      </c>
      <c r="K8656">
        <v>-960</v>
      </c>
      <c r="L8656">
        <v>1200</v>
      </c>
      <c r="M8656" t="str">
        <f t="shared" si="806"/>
        <v xml:space="preserve">N35DC   </v>
      </c>
      <c r="N8656">
        <v>1</v>
      </c>
      <c r="O8656">
        <v>1125</v>
      </c>
    </row>
    <row r="8657" spans="1:15" x14ac:dyDescent="0.25">
      <c r="A8657" t="str">
        <f>"10/21/2020 19:14:22.028"</f>
        <v>10/21/2020 19:14:22.028</v>
      </c>
      <c r="B8657" t="str">
        <f>"19:14:30.000"</f>
        <v>19:14:30.000</v>
      </c>
      <c r="C8657" t="str">
        <f>"19:14:29.900"</f>
        <v>19:14:29.900</v>
      </c>
      <c r="D8657" t="s">
        <v>3360</v>
      </c>
      <c r="E8657">
        <v>30.465409999999999</v>
      </c>
      <c r="F8657" t="s">
        <v>3342</v>
      </c>
      <c r="G8657">
        <v>-89.822073000000003</v>
      </c>
      <c r="H8657">
        <v>1100</v>
      </c>
      <c r="I8657">
        <v>8</v>
      </c>
      <c r="J8657">
        <v>-167</v>
      </c>
      <c r="K8657">
        <v>-960</v>
      </c>
      <c r="L8657">
        <v>1200</v>
      </c>
      <c r="M8657" t="str">
        <f t="shared" si="806"/>
        <v xml:space="preserve">N35DC   </v>
      </c>
      <c r="N8657">
        <v>1</v>
      </c>
      <c r="O8657">
        <v>1125</v>
      </c>
    </row>
    <row r="8658" spans="1:15" x14ac:dyDescent="0.25">
      <c r="A8658" t="str">
        <f>"10/21/2020 19:14:22.028"</f>
        <v>10/21/2020 19:14:22.028</v>
      </c>
      <c r="B8658" t="str">
        <f>"19:14:30.000"</f>
        <v>19:14:30.000</v>
      </c>
      <c r="C8658" t="str">
        <f>"19:14:29.900"</f>
        <v>19:14:29.900</v>
      </c>
      <c r="D8658" t="s">
        <v>3360</v>
      </c>
      <c r="E8658">
        <v>30.465409999999999</v>
      </c>
      <c r="F8658" t="s">
        <v>3342</v>
      </c>
      <c r="G8658">
        <v>-89.822073000000003</v>
      </c>
      <c r="H8658">
        <v>1100</v>
      </c>
      <c r="I8658">
        <v>8</v>
      </c>
      <c r="J8658">
        <v>-167</v>
      </c>
      <c r="K8658">
        <v>-960</v>
      </c>
      <c r="L8658">
        <v>1200</v>
      </c>
      <c r="M8658" t="str">
        <f t="shared" si="806"/>
        <v xml:space="preserve">N35DC   </v>
      </c>
      <c r="N8658">
        <v>1</v>
      </c>
      <c r="O8658">
        <v>1125</v>
      </c>
    </row>
    <row r="8659" spans="1:15" x14ac:dyDescent="0.25">
      <c r="A8659" t="str">
        <f>"10/21/2020 19:14:22.028"</f>
        <v>10/21/2020 19:14:22.028</v>
      </c>
      <c r="B8659" t="str">
        <f>"19:14:30.000"</f>
        <v>19:14:30.000</v>
      </c>
      <c r="C8659" t="str">
        <f>"19:14:29.900"</f>
        <v>19:14:29.900</v>
      </c>
      <c r="D8659" t="s">
        <v>3360</v>
      </c>
      <c r="E8659">
        <v>30.465409999999999</v>
      </c>
      <c r="F8659" t="s">
        <v>3342</v>
      </c>
      <c r="G8659">
        <v>-89.822073000000003</v>
      </c>
      <c r="H8659">
        <v>1100</v>
      </c>
      <c r="I8659">
        <v>8</v>
      </c>
      <c r="J8659">
        <v>-167</v>
      </c>
      <c r="K8659">
        <v>-960</v>
      </c>
      <c r="L8659">
        <v>1200</v>
      </c>
      <c r="M8659" t="str">
        <f t="shared" si="806"/>
        <v xml:space="preserve">N35DC   </v>
      </c>
      <c r="N8659">
        <v>1</v>
      </c>
      <c r="O8659">
        <v>1125</v>
      </c>
    </row>
    <row r="8660" spans="1:15" x14ac:dyDescent="0.25">
      <c r="A8660" t="str">
        <f>"10/21/2020 19:14:23.158"</f>
        <v>10/21/2020 19:14:23.158</v>
      </c>
      <c r="B8660" t="str">
        <f>"19:14:31.109"</f>
        <v>19:14:31.109</v>
      </c>
      <c r="C8660" t="str">
        <f>"19:14:30.809"</f>
        <v>19:14:30.809</v>
      </c>
      <c r="D8660" t="s">
        <v>3361</v>
      </c>
      <c r="E8660">
        <v>30.46453</v>
      </c>
      <c r="F8660" t="s">
        <v>3362</v>
      </c>
      <c r="G8660">
        <v>-89.822029999999998</v>
      </c>
      <c r="H8660">
        <v>1100</v>
      </c>
      <c r="I8660">
        <v>7</v>
      </c>
      <c r="J8660">
        <v>-167</v>
      </c>
      <c r="K8660">
        <v>-1024</v>
      </c>
      <c r="L8660">
        <v>1200</v>
      </c>
      <c r="M8660" t="str">
        <f t="shared" si="806"/>
        <v xml:space="preserve">N35DC   </v>
      </c>
      <c r="N8660">
        <v>1</v>
      </c>
      <c r="O8660">
        <v>1100</v>
      </c>
    </row>
    <row r="8661" spans="1:15" x14ac:dyDescent="0.25">
      <c r="A8661" t="str">
        <f>"10/21/2020 19:14:23.158"</f>
        <v>10/21/2020 19:14:23.158</v>
      </c>
      <c r="B8661" t="str">
        <f>"19:14:31.109"</f>
        <v>19:14:31.109</v>
      </c>
      <c r="C8661" t="str">
        <f>"19:14:30.809"</f>
        <v>19:14:30.809</v>
      </c>
      <c r="D8661" t="s">
        <v>3361</v>
      </c>
      <c r="E8661">
        <v>30.46453</v>
      </c>
      <c r="F8661" t="s">
        <v>3362</v>
      </c>
      <c r="G8661">
        <v>-89.822029999999998</v>
      </c>
      <c r="H8661">
        <v>1100</v>
      </c>
      <c r="I8661">
        <v>7</v>
      </c>
      <c r="J8661">
        <v>-167</v>
      </c>
      <c r="K8661">
        <v>-1024</v>
      </c>
      <c r="L8661">
        <v>1200</v>
      </c>
      <c r="M8661" t="str">
        <f t="shared" si="806"/>
        <v xml:space="preserve">N35DC   </v>
      </c>
      <c r="N8661">
        <v>1</v>
      </c>
      <c r="O8661">
        <v>1100</v>
      </c>
    </row>
    <row r="8662" spans="1:15" x14ac:dyDescent="0.25">
      <c r="A8662" t="str">
        <f>"10/21/2020 19:14:23.158"</f>
        <v>10/21/2020 19:14:23.158</v>
      </c>
      <c r="B8662" t="str">
        <f>"19:14:31.109"</f>
        <v>19:14:31.109</v>
      </c>
      <c r="C8662" t="str">
        <f>"19:14:30.809"</f>
        <v>19:14:30.809</v>
      </c>
      <c r="D8662" t="s">
        <v>3361</v>
      </c>
      <c r="E8662">
        <v>30.46453</v>
      </c>
      <c r="F8662" t="s">
        <v>3362</v>
      </c>
      <c r="G8662">
        <v>-89.822029999999998</v>
      </c>
      <c r="H8662">
        <v>1100</v>
      </c>
      <c r="I8662">
        <v>7</v>
      </c>
      <c r="J8662">
        <v>-167</v>
      </c>
      <c r="K8662">
        <v>-1024</v>
      </c>
      <c r="L8662">
        <v>1200</v>
      </c>
      <c r="M8662" t="str">
        <f t="shared" si="806"/>
        <v xml:space="preserve">N35DC   </v>
      </c>
      <c r="N8662">
        <v>1</v>
      </c>
      <c r="O8662">
        <v>1100</v>
      </c>
    </row>
    <row r="8663" spans="1:15" x14ac:dyDescent="0.25">
      <c r="A8663" t="str">
        <f>"10/21/2020 19:14:23.158"</f>
        <v>10/21/2020 19:14:23.158</v>
      </c>
      <c r="B8663" t="str">
        <f>"19:14:31.109"</f>
        <v>19:14:31.109</v>
      </c>
      <c r="C8663" t="str">
        <f>"19:14:30.809"</f>
        <v>19:14:30.809</v>
      </c>
      <c r="D8663" t="s">
        <v>3361</v>
      </c>
      <c r="E8663">
        <v>30.46453</v>
      </c>
      <c r="F8663" t="s">
        <v>3362</v>
      </c>
      <c r="G8663">
        <v>-89.822029999999998</v>
      </c>
      <c r="H8663">
        <v>1100</v>
      </c>
      <c r="I8663">
        <v>7</v>
      </c>
      <c r="J8663">
        <v>-167</v>
      </c>
      <c r="K8663">
        <v>-1024</v>
      </c>
      <c r="L8663">
        <v>1200</v>
      </c>
      <c r="M8663" t="str">
        <f t="shared" si="806"/>
        <v xml:space="preserve">N35DC   </v>
      </c>
      <c r="N8663">
        <v>1</v>
      </c>
      <c r="O8663">
        <v>1100</v>
      </c>
    </row>
    <row r="8664" spans="1:15" x14ac:dyDescent="0.25">
      <c r="A8664" t="str">
        <f>"10/21/2020 19:14:23.158"</f>
        <v>10/21/2020 19:14:23.158</v>
      </c>
      <c r="B8664" t="str">
        <f>"19:14:31.109"</f>
        <v>19:14:31.109</v>
      </c>
      <c r="C8664" t="str">
        <f>"19:14:30.809"</f>
        <v>19:14:30.809</v>
      </c>
      <c r="D8664" t="s">
        <v>3361</v>
      </c>
      <c r="E8664">
        <v>30.46453</v>
      </c>
      <c r="F8664" t="s">
        <v>3362</v>
      </c>
      <c r="G8664">
        <v>-89.822029999999998</v>
      </c>
      <c r="H8664">
        <v>1100</v>
      </c>
      <c r="I8664">
        <v>7</v>
      </c>
      <c r="J8664">
        <v>-167</v>
      </c>
      <c r="K8664">
        <v>-1024</v>
      </c>
      <c r="L8664">
        <v>1200</v>
      </c>
      <c r="M8664" t="str">
        <f t="shared" si="806"/>
        <v xml:space="preserve">N35DC   </v>
      </c>
      <c r="N8664">
        <v>1</v>
      </c>
      <c r="O8664">
        <v>1100</v>
      </c>
    </row>
    <row r="8665" spans="1:15" x14ac:dyDescent="0.25">
      <c r="A8665" t="str">
        <f>"10/21/2020 19:14:26.121"</f>
        <v>10/21/2020 19:14:26.121</v>
      </c>
      <c r="B8665" t="str">
        <f>"19:14:34.063"</f>
        <v>19:14:34.063</v>
      </c>
      <c r="C8665" t="str">
        <f>"19:14:33.762"</f>
        <v>19:14:33.762</v>
      </c>
      <c r="D8665" t="s">
        <v>3363</v>
      </c>
      <c r="E8665">
        <v>30.462254999999999</v>
      </c>
      <c r="F8665" t="s">
        <v>3364</v>
      </c>
      <c r="G8665">
        <v>-89.821900999999997</v>
      </c>
      <c r="H8665">
        <v>1000</v>
      </c>
      <c r="I8665">
        <v>7</v>
      </c>
      <c r="J8665">
        <v>-168</v>
      </c>
      <c r="K8665">
        <v>-896</v>
      </c>
      <c r="L8665">
        <v>1200</v>
      </c>
      <c r="M8665" t="str">
        <f t="shared" si="806"/>
        <v xml:space="preserve">N35DC   </v>
      </c>
      <c r="N8665">
        <v>1</v>
      </c>
      <c r="O8665">
        <v>1050</v>
      </c>
    </row>
    <row r="8666" spans="1:15" x14ac:dyDescent="0.25">
      <c r="A8666" t="str">
        <f>"10/21/2020 19:14:26.121"</f>
        <v>10/21/2020 19:14:26.121</v>
      </c>
      <c r="B8666" t="str">
        <f>"19:14:34.063"</f>
        <v>19:14:34.063</v>
      </c>
      <c r="C8666" t="str">
        <f>"19:14:33.762"</f>
        <v>19:14:33.762</v>
      </c>
      <c r="D8666" t="s">
        <v>3363</v>
      </c>
      <c r="E8666">
        <v>30.462254999999999</v>
      </c>
      <c r="F8666" t="s">
        <v>3364</v>
      </c>
      <c r="G8666">
        <v>-89.821900999999997</v>
      </c>
      <c r="H8666">
        <v>1000</v>
      </c>
      <c r="I8666">
        <v>7</v>
      </c>
      <c r="J8666">
        <v>-168</v>
      </c>
      <c r="K8666">
        <v>-896</v>
      </c>
      <c r="L8666">
        <v>1200</v>
      </c>
      <c r="M8666" t="str">
        <f t="shared" si="806"/>
        <v xml:space="preserve">N35DC   </v>
      </c>
      <c r="N8666">
        <v>1</v>
      </c>
      <c r="O8666">
        <v>1050</v>
      </c>
    </row>
    <row r="8667" spans="1:15" x14ac:dyDescent="0.25">
      <c r="A8667" t="str">
        <f>"10/21/2020 19:14:26.121"</f>
        <v>10/21/2020 19:14:26.121</v>
      </c>
      <c r="B8667" t="str">
        <f>"19:14:34.063"</f>
        <v>19:14:34.063</v>
      </c>
      <c r="C8667" t="str">
        <f>"19:14:33.762"</f>
        <v>19:14:33.762</v>
      </c>
      <c r="D8667" t="s">
        <v>3363</v>
      </c>
      <c r="E8667">
        <v>30.462254999999999</v>
      </c>
      <c r="F8667" t="s">
        <v>3364</v>
      </c>
      <c r="G8667">
        <v>-89.821900999999997</v>
      </c>
      <c r="H8667">
        <v>1000</v>
      </c>
      <c r="I8667">
        <v>7</v>
      </c>
      <c r="J8667">
        <v>-168</v>
      </c>
      <c r="K8667">
        <v>-896</v>
      </c>
      <c r="L8667">
        <v>1200</v>
      </c>
      <c r="M8667" t="str">
        <f t="shared" si="806"/>
        <v xml:space="preserve">N35DC   </v>
      </c>
      <c r="N8667">
        <v>1</v>
      </c>
      <c r="O8667">
        <v>1050</v>
      </c>
    </row>
    <row r="8668" spans="1:15" x14ac:dyDescent="0.25">
      <c r="A8668" t="str">
        <f>"10/21/2020 19:14:26.121"</f>
        <v>10/21/2020 19:14:26.121</v>
      </c>
      <c r="B8668" t="str">
        <f>"19:14:34.063"</f>
        <v>19:14:34.063</v>
      </c>
      <c r="C8668" t="str">
        <f>"19:14:33.762"</f>
        <v>19:14:33.762</v>
      </c>
      <c r="D8668" t="s">
        <v>3363</v>
      </c>
      <c r="E8668">
        <v>30.462254999999999</v>
      </c>
      <c r="F8668" t="s">
        <v>3364</v>
      </c>
      <c r="G8668">
        <v>-89.821900999999997</v>
      </c>
      <c r="H8668">
        <v>1000</v>
      </c>
      <c r="I8668">
        <v>7</v>
      </c>
      <c r="J8668">
        <v>-168</v>
      </c>
      <c r="K8668">
        <v>-896</v>
      </c>
      <c r="L8668">
        <v>1200</v>
      </c>
      <c r="M8668" t="str">
        <f t="shared" si="806"/>
        <v xml:space="preserve">N35DC   </v>
      </c>
      <c r="N8668">
        <v>1</v>
      </c>
      <c r="O8668">
        <v>1050</v>
      </c>
    </row>
    <row r="8669" spans="1:15" x14ac:dyDescent="0.25">
      <c r="A8669" t="str">
        <f>"10/21/2020 19:14:26.121"</f>
        <v>10/21/2020 19:14:26.121</v>
      </c>
      <c r="B8669" t="str">
        <f>"19:14:34.063"</f>
        <v>19:14:34.063</v>
      </c>
      <c r="C8669" t="str">
        <f>"19:14:33.762"</f>
        <v>19:14:33.762</v>
      </c>
      <c r="D8669" t="s">
        <v>3363</v>
      </c>
      <c r="E8669">
        <v>30.462254999999999</v>
      </c>
      <c r="F8669" t="s">
        <v>3364</v>
      </c>
      <c r="G8669">
        <v>-89.821900999999997</v>
      </c>
      <c r="H8669">
        <v>1000</v>
      </c>
      <c r="I8669">
        <v>7</v>
      </c>
      <c r="J8669">
        <v>-168</v>
      </c>
      <c r="K8669">
        <v>-896</v>
      </c>
      <c r="L8669">
        <v>1200</v>
      </c>
      <c r="M8669" t="str">
        <f t="shared" si="806"/>
        <v xml:space="preserve">N35DC   </v>
      </c>
      <c r="N8669">
        <v>1</v>
      </c>
      <c r="O8669">
        <v>1050</v>
      </c>
    </row>
    <row r="8670" spans="1:15" x14ac:dyDescent="0.25">
      <c r="A8670" t="str">
        <f>"10/21/2020 19:14:27.136"</f>
        <v>10/21/2020 19:14:27.136</v>
      </c>
      <c r="B8670" t="str">
        <f>"19:14:35.109"</f>
        <v>19:14:35.109</v>
      </c>
      <c r="C8670" t="str">
        <f>"19:14:34.809"</f>
        <v>19:14:34.809</v>
      </c>
      <c r="D8670" t="s">
        <v>3365</v>
      </c>
      <c r="E8670">
        <v>30.461462000000001</v>
      </c>
      <c r="F8670" t="s">
        <v>394</v>
      </c>
      <c r="G8670">
        <v>-89.821858000000006</v>
      </c>
      <c r="H8670">
        <v>1000</v>
      </c>
      <c r="I8670">
        <v>8</v>
      </c>
      <c r="J8670">
        <v>-167</v>
      </c>
      <c r="K8670">
        <v>-576</v>
      </c>
      <c r="L8670">
        <v>1200</v>
      </c>
      <c r="M8670" t="str">
        <f t="shared" si="806"/>
        <v xml:space="preserve">N35DC   </v>
      </c>
      <c r="N8670">
        <v>1</v>
      </c>
      <c r="O8670">
        <v>1050</v>
      </c>
    </row>
    <row r="8671" spans="1:15" x14ac:dyDescent="0.25">
      <c r="A8671" t="str">
        <f>"10/21/2020 19:14:27.136"</f>
        <v>10/21/2020 19:14:27.136</v>
      </c>
      <c r="B8671" t="str">
        <f>"19:14:35.109"</f>
        <v>19:14:35.109</v>
      </c>
      <c r="C8671" t="str">
        <f>"19:14:34.809"</f>
        <v>19:14:34.809</v>
      </c>
      <c r="D8671" t="s">
        <v>3365</v>
      </c>
      <c r="E8671">
        <v>30.461462000000001</v>
      </c>
      <c r="F8671" t="s">
        <v>394</v>
      </c>
      <c r="G8671">
        <v>-89.821858000000006</v>
      </c>
      <c r="H8671">
        <v>1000</v>
      </c>
      <c r="I8671">
        <v>8</v>
      </c>
      <c r="J8671">
        <v>-167</v>
      </c>
      <c r="K8671">
        <v>-576</v>
      </c>
      <c r="L8671">
        <v>1200</v>
      </c>
      <c r="M8671" t="str">
        <f t="shared" si="806"/>
        <v xml:space="preserve">N35DC   </v>
      </c>
      <c r="N8671">
        <v>1</v>
      </c>
      <c r="O8671">
        <v>1050</v>
      </c>
    </row>
    <row r="8672" spans="1:15" x14ac:dyDescent="0.25">
      <c r="A8672" t="str">
        <f>"10/21/2020 19:14:27.136"</f>
        <v>10/21/2020 19:14:27.136</v>
      </c>
      <c r="B8672" t="str">
        <f>"19:14:35.109"</f>
        <v>19:14:35.109</v>
      </c>
      <c r="C8672" t="str">
        <f>"19:14:34.809"</f>
        <v>19:14:34.809</v>
      </c>
      <c r="D8672" t="s">
        <v>3365</v>
      </c>
      <c r="E8672">
        <v>30.461462000000001</v>
      </c>
      <c r="F8672" t="s">
        <v>394</v>
      </c>
      <c r="G8672">
        <v>-89.821858000000006</v>
      </c>
      <c r="H8672">
        <v>1000</v>
      </c>
      <c r="I8672">
        <v>8</v>
      </c>
      <c r="J8672">
        <v>-167</v>
      </c>
      <c r="K8672">
        <v>-576</v>
      </c>
      <c r="L8672">
        <v>1200</v>
      </c>
      <c r="M8672" t="str">
        <f t="shared" si="806"/>
        <v xml:space="preserve">N35DC   </v>
      </c>
      <c r="N8672">
        <v>1</v>
      </c>
      <c r="O8672">
        <v>1050</v>
      </c>
    </row>
    <row r="8673" spans="1:15" x14ac:dyDescent="0.25">
      <c r="A8673" t="str">
        <f>"10/21/2020 19:14:27.136"</f>
        <v>10/21/2020 19:14:27.136</v>
      </c>
      <c r="B8673" t="str">
        <f>"19:14:35.109"</f>
        <v>19:14:35.109</v>
      </c>
      <c r="C8673" t="str">
        <f>"19:14:34.809"</f>
        <v>19:14:34.809</v>
      </c>
      <c r="D8673" t="s">
        <v>3365</v>
      </c>
      <c r="E8673">
        <v>30.461462000000001</v>
      </c>
      <c r="F8673" t="s">
        <v>394</v>
      </c>
      <c r="G8673">
        <v>-89.821858000000006</v>
      </c>
      <c r="H8673">
        <v>1000</v>
      </c>
      <c r="I8673">
        <v>8</v>
      </c>
      <c r="J8673">
        <v>-167</v>
      </c>
      <c r="K8673">
        <v>-576</v>
      </c>
      <c r="L8673">
        <v>1200</v>
      </c>
      <c r="M8673" t="str">
        <f t="shared" si="806"/>
        <v xml:space="preserve">N35DC   </v>
      </c>
      <c r="N8673">
        <v>1</v>
      </c>
      <c r="O8673">
        <v>1050</v>
      </c>
    </row>
    <row r="8674" spans="1:15" x14ac:dyDescent="0.25">
      <c r="A8674" t="str">
        <f>"10/21/2020 19:14:27.136"</f>
        <v>10/21/2020 19:14:27.136</v>
      </c>
      <c r="B8674" t="str">
        <f>"19:14:35.109"</f>
        <v>19:14:35.109</v>
      </c>
      <c r="C8674" t="str">
        <f>"19:14:34.809"</f>
        <v>19:14:34.809</v>
      </c>
      <c r="D8674" t="s">
        <v>3365</v>
      </c>
      <c r="E8674">
        <v>30.461462000000001</v>
      </c>
      <c r="F8674" t="s">
        <v>394</v>
      </c>
      <c r="G8674">
        <v>-89.821858000000006</v>
      </c>
      <c r="H8674">
        <v>1000</v>
      </c>
      <c r="I8674">
        <v>8</v>
      </c>
      <c r="J8674">
        <v>-167</v>
      </c>
      <c r="K8674">
        <v>-576</v>
      </c>
      <c r="L8674">
        <v>1200</v>
      </c>
      <c r="M8674" t="str">
        <f t="shared" si="806"/>
        <v xml:space="preserve">N35DC   </v>
      </c>
      <c r="N8674">
        <v>1</v>
      </c>
      <c r="O8674">
        <v>1050</v>
      </c>
    </row>
    <row r="8675" spans="1:15" x14ac:dyDescent="0.25">
      <c r="A8675" t="str">
        <f>"10/21/2020 19:14:29.260"</f>
        <v>10/21/2020 19:14:29.260</v>
      </c>
      <c r="B8675" t="str">
        <f>"19:14:37.211"</f>
        <v>19:14:37.211</v>
      </c>
      <c r="C8675" t="str">
        <f>"19:14:37.011"</f>
        <v>19:14:37.011</v>
      </c>
      <c r="D8675" t="s">
        <v>3366</v>
      </c>
      <c r="E8675">
        <v>30.459831000000001</v>
      </c>
      <c r="F8675" t="s">
        <v>2761</v>
      </c>
      <c r="G8675">
        <v>-89.821686999999997</v>
      </c>
      <c r="H8675">
        <v>1000</v>
      </c>
      <c r="I8675">
        <v>13</v>
      </c>
      <c r="J8675">
        <v>-165</v>
      </c>
      <c r="K8675">
        <v>0</v>
      </c>
      <c r="L8675">
        <v>1200</v>
      </c>
      <c r="M8675" t="str">
        <f t="shared" si="806"/>
        <v xml:space="preserve">N35DC   </v>
      </c>
      <c r="N8675">
        <v>1</v>
      </c>
      <c r="O8675">
        <v>1025</v>
      </c>
    </row>
    <row r="8676" spans="1:15" x14ac:dyDescent="0.25">
      <c r="A8676" t="str">
        <f>"10/21/2020 19:14:29.260"</f>
        <v>10/21/2020 19:14:29.260</v>
      </c>
      <c r="B8676" t="str">
        <f>"19:14:37.211"</f>
        <v>19:14:37.211</v>
      </c>
      <c r="C8676" t="str">
        <f>"19:14:37.011"</f>
        <v>19:14:37.011</v>
      </c>
      <c r="D8676" t="s">
        <v>3366</v>
      </c>
      <c r="E8676">
        <v>30.459831000000001</v>
      </c>
      <c r="F8676" t="s">
        <v>2761</v>
      </c>
      <c r="G8676">
        <v>-89.821686999999997</v>
      </c>
      <c r="H8676">
        <v>1000</v>
      </c>
      <c r="I8676">
        <v>13</v>
      </c>
      <c r="J8676">
        <v>-165</v>
      </c>
      <c r="K8676">
        <v>0</v>
      </c>
      <c r="L8676">
        <v>1200</v>
      </c>
      <c r="M8676" t="str">
        <f t="shared" si="806"/>
        <v xml:space="preserve">N35DC   </v>
      </c>
      <c r="N8676">
        <v>1</v>
      </c>
      <c r="O8676">
        <v>1025</v>
      </c>
    </row>
    <row r="8677" spans="1:15" x14ac:dyDescent="0.25">
      <c r="A8677" t="str">
        <f>"10/21/2020 19:14:29.260"</f>
        <v>10/21/2020 19:14:29.260</v>
      </c>
      <c r="B8677" t="str">
        <f>"19:14:37.211"</f>
        <v>19:14:37.211</v>
      </c>
      <c r="C8677" t="str">
        <f>"19:14:37.011"</f>
        <v>19:14:37.011</v>
      </c>
      <c r="D8677" t="s">
        <v>3366</v>
      </c>
      <c r="E8677">
        <v>30.459831000000001</v>
      </c>
      <c r="F8677" t="s">
        <v>2761</v>
      </c>
      <c r="G8677">
        <v>-89.821686999999997</v>
      </c>
      <c r="H8677">
        <v>1000</v>
      </c>
      <c r="I8677">
        <v>13</v>
      </c>
      <c r="J8677">
        <v>-165</v>
      </c>
      <c r="K8677">
        <v>0</v>
      </c>
      <c r="L8677">
        <v>1200</v>
      </c>
      <c r="M8677" t="str">
        <f t="shared" si="806"/>
        <v xml:space="preserve">N35DC   </v>
      </c>
      <c r="N8677">
        <v>1</v>
      </c>
      <c r="O8677">
        <v>1025</v>
      </c>
    </row>
    <row r="8678" spans="1:15" x14ac:dyDescent="0.25">
      <c r="A8678" t="str">
        <f>"10/21/2020 19:14:29.260"</f>
        <v>10/21/2020 19:14:29.260</v>
      </c>
      <c r="B8678" t="str">
        <f>"19:14:37.211"</f>
        <v>19:14:37.211</v>
      </c>
      <c r="C8678" t="str">
        <f>"19:14:37.011"</f>
        <v>19:14:37.011</v>
      </c>
      <c r="D8678" t="s">
        <v>3366</v>
      </c>
      <c r="E8678">
        <v>30.459831000000001</v>
      </c>
      <c r="F8678" t="s">
        <v>2761</v>
      </c>
      <c r="G8678">
        <v>-89.821686999999997</v>
      </c>
      <c r="H8678">
        <v>1000</v>
      </c>
      <c r="I8678">
        <v>13</v>
      </c>
      <c r="J8678">
        <v>-165</v>
      </c>
      <c r="K8678">
        <v>0</v>
      </c>
      <c r="L8678">
        <v>1200</v>
      </c>
      <c r="M8678" t="str">
        <f t="shared" si="806"/>
        <v xml:space="preserve">N35DC   </v>
      </c>
      <c r="N8678">
        <v>1</v>
      </c>
      <c r="O8678">
        <v>1025</v>
      </c>
    </row>
    <row r="8679" spans="1:15" x14ac:dyDescent="0.25">
      <c r="A8679" t="str">
        <f>"10/21/2020 19:14:29.260"</f>
        <v>10/21/2020 19:14:29.260</v>
      </c>
      <c r="B8679" t="str">
        <f>"19:14:37.211"</f>
        <v>19:14:37.211</v>
      </c>
      <c r="C8679" t="str">
        <f>"19:14:37.011"</f>
        <v>19:14:37.011</v>
      </c>
      <c r="D8679" t="s">
        <v>3366</v>
      </c>
      <c r="E8679">
        <v>30.459831000000001</v>
      </c>
      <c r="F8679" t="s">
        <v>2761</v>
      </c>
      <c r="G8679">
        <v>-89.821686999999997</v>
      </c>
      <c r="H8679">
        <v>1000</v>
      </c>
      <c r="I8679">
        <v>13</v>
      </c>
      <c r="J8679">
        <v>-165</v>
      </c>
      <c r="K8679">
        <v>0</v>
      </c>
      <c r="L8679">
        <v>1200</v>
      </c>
      <c r="M8679" t="str">
        <f t="shared" si="806"/>
        <v xml:space="preserve">N35DC   </v>
      </c>
      <c r="N8679">
        <v>1</v>
      </c>
      <c r="O8679">
        <v>1025</v>
      </c>
    </row>
    <row r="8680" spans="1:15" x14ac:dyDescent="0.25">
      <c r="A8680" t="str">
        <f>"10/21/2020 19:14:30.075"</f>
        <v>10/21/2020 19:14:30.075</v>
      </c>
      <c r="B8680" t="str">
        <f>"19:14:38.039"</f>
        <v>19:14:38.039</v>
      </c>
      <c r="C8680" t="str">
        <f>"19:14:37.639"</f>
        <v>19:14:37.639</v>
      </c>
      <c r="D8680" t="s">
        <v>3367</v>
      </c>
      <c r="E8680">
        <v>30.459187</v>
      </c>
      <c r="F8680" t="s">
        <v>3259</v>
      </c>
      <c r="G8680">
        <v>-89.821644000000006</v>
      </c>
      <c r="H8680">
        <v>1000</v>
      </c>
      <c r="I8680">
        <v>15</v>
      </c>
      <c r="J8680">
        <v>-164</v>
      </c>
      <c r="K8680">
        <v>64</v>
      </c>
      <c r="L8680">
        <v>1200</v>
      </c>
      <c r="M8680" t="str">
        <f t="shared" si="806"/>
        <v xml:space="preserve">N35DC   </v>
      </c>
      <c r="N8680">
        <v>1</v>
      </c>
      <c r="O8680">
        <v>1025</v>
      </c>
    </row>
    <row r="8681" spans="1:15" x14ac:dyDescent="0.25">
      <c r="A8681" t="str">
        <f>"10/21/2020 19:14:30.075"</f>
        <v>10/21/2020 19:14:30.075</v>
      </c>
      <c r="B8681" t="str">
        <f>"19:14:38.039"</f>
        <v>19:14:38.039</v>
      </c>
      <c r="C8681" t="str">
        <f>"19:14:37.639"</f>
        <v>19:14:37.639</v>
      </c>
      <c r="D8681" t="s">
        <v>3367</v>
      </c>
      <c r="E8681">
        <v>30.459187</v>
      </c>
      <c r="F8681" t="s">
        <v>3259</v>
      </c>
      <c r="G8681">
        <v>-89.821644000000006</v>
      </c>
      <c r="H8681">
        <v>1000</v>
      </c>
      <c r="I8681">
        <v>15</v>
      </c>
      <c r="J8681">
        <v>-164</v>
      </c>
      <c r="K8681">
        <v>64</v>
      </c>
      <c r="L8681">
        <v>1200</v>
      </c>
      <c r="M8681" t="str">
        <f t="shared" si="806"/>
        <v xml:space="preserve">N35DC   </v>
      </c>
      <c r="N8681">
        <v>1</v>
      </c>
      <c r="O8681">
        <v>1025</v>
      </c>
    </row>
    <row r="8682" spans="1:15" x14ac:dyDescent="0.25">
      <c r="A8682" t="str">
        <f>"10/21/2020 19:14:30.075"</f>
        <v>10/21/2020 19:14:30.075</v>
      </c>
      <c r="B8682" t="str">
        <f>"19:14:38.039"</f>
        <v>19:14:38.039</v>
      </c>
      <c r="C8682" t="str">
        <f>"19:14:37.639"</f>
        <v>19:14:37.639</v>
      </c>
      <c r="D8682" t="s">
        <v>3367</v>
      </c>
      <c r="E8682">
        <v>30.459187</v>
      </c>
      <c r="F8682" t="s">
        <v>3259</v>
      </c>
      <c r="G8682">
        <v>-89.821644000000006</v>
      </c>
      <c r="H8682">
        <v>1000</v>
      </c>
      <c r="I8682">
        <v>15</v>
      </c>
      <c r="J8682">
        <v>-164</v>
      </c>
      <c r="K8682">
        <v>64</v>
      </c>
      <c r="L8682">
        <v>1200</v>
      </c>
      <c r="M8682" t="str">
        <f t="shared" si="806"/>
        <v xml:space="preserve">N35DC   </v>
      </c>
      <c r="N8682">
        <v>1</v>
      </c>
      <c r="O8682">
        <v>1025</v>
      </c>
    </row>
    <row r="8683" spans="1:15" x14ac:dyDescent="0.25">
      <c r="A8683" t="str">
        <f>"10/21/2020 19:14:30.075"</f>
        <v>10/21/2020 19:14:30.075</v>
      </c>
      <c r="B8683" t="str">
        <f>"19:14:38.039"</f>
        <v>19:14:38.039</v>
      </c>
      <c r="C8683" t="str">
        <f>"19:14:37.639"</f>
        <v>19:14:37.639</v>
      </c>
      <c r="D8683" t="s">
        <v>3367</v>
      </c>
      <c r="E8683">
        <v>30.459187</v>
      </c>
      <c r="F8683" t="s">
        <v>3259</v>
      </c>
      <c r="G8683">
        <v>-89.821644000000006</v>
      </c>
      <c r="H8683">
        <v>1000</v>
      </c>
      <c r="I8683">
        <v>15</v>
      </c>
      <c r="J8683">
        <v>-164</v>
      </c>
      <c r="K8683">
        <v>64</v>
      </c>
      <c r="L8683">
        <v>1200</v>
      </c>
      <c r="M8683" t="str">
        <f t="shared" si="806"/>
        <v xml:space="preserve">N35DC   </v>
      </c>
      <c r="N8683">
        <v>1</v>
      </c>
      <c r="O8683">
        <v>1025</v>
      </c>
    </row>
    <row r="8684" spans="1:15" x14ac:dyDescent="0.25">
      <c r="A8684" t="str">
        <f>"10/21/2020 19:14:30.075"</f>
        <v>10/21/2020 19:14:30.075</v>
      </c>
      <c r="B8684" t="str">
        <f>"19:14:38.039"</f>
        <v>19:14:38.039</v>
      </c>
      <c r="C8684" t="str">
        <f>"19:14:37.639"</f>
        <v>19:14:37.639</v>
      </c>
      <c r="D8684" t="s">
        <v>3367</v>
      </c>
      <c r="E8684">
        <v>30.459187</v>
      </c>
      <c r="F8684" t="s">
        <v>3259</v>
      </c>
      <c r="G8684">
        <v>-89.821644000000006</v>
      </c>
      <c r="H8684">
        <v>1000</v>
      </c>
      <c r="I8684">
        <v>15</v>
      </c>
      <c r="J8684">
        <v>-164</v>
      </c>
      <c r="K8684">
        <v>64</v>
      </c>
      <c r="L8684">
        <v>1200</v>
      </c>
      <c r="M8684" t="str">
        <f t="shared" si="806"/>
        <v xml:space="preserve">N35DC   </v>
      </c>
      <c r="N8684">
        <v>1</v>
      </c>
      <c r="O8684">
        <v>1025</v>
      </c>
    </row>
    <row r="8685" spans="1:15" x14ac:dyDescent="0.25">
      <c r="A8685" t="str">
        <f>"10/21/2020 19:14:33.229"</f>
        <v>10/21/2020 19:14:33.229</v>
      </c>
      <c r="B8685" t="str">
        <f>"19:14:41.188"</f>
        <v>19:14:41.188</v>
      </c>
      <c r="C8685" t="str">
        <f>"19:14:40.788"</f>
        <v>19:14:40.788</v>
      </c>
      <c r="D8685" t="s">
        <v>3368</v>
      </c>
      <c r="E8685">
        <v>30.456848000000001</v>
      </c>
      <c r="F8685" t="s">
        <v>3369</v>
      </c>
      <c r="G8685">
        <v>-89.821301000000005</v>
      </c>
      <c r="H8685">
        <v>1000</v>
      </c>
      <c r="I8685">
        <v>22</v>
      </c>
      <c r="J8685">
        <v>-159</v>
      </c>
      <c r="K8685">
        <v>384</v>
      </c>
      <c r="L8685">
        <v>1200</v>
      </c>
      <c r="M8685" t="str">
        <f t="shared" si="806"/>
        <v xml:space="preserve">N35DC   </v>
      </c>
      <c r="N8685">
        <v>1</v>
      </c>
      <c r="O8685">
        <v>1050</v>
      </c>
    </row>
    <row r="8686" spans="1:15" x14ac:dyDescent="0.25">
      <c r="A8686" t="str">
        <f>"10/21/2020 19:14:33.229"</f>
        <v>10/21/2020 19:14:33.229</v>
      </c>
      <c r="B8686" t="str">
        <f>"19:14:41.188"</f>
        <v>19:14:41.188</v>
      </c>
      <c r="C8686" t="str">
        <f>"19:14:40.788"</f>
        <v>19:14:40.788</v>
      </c>
      <c r="D8686" t="s">
        <v>3368</v>
      </c>
      <c r="E8686">
        <v>30.456848000000001</v>
      </c>
      <c r="F8686" t="s">
        <v>3369</v>
      </c>
      <c r="G8686">
        <v>-89.821301000000005</v>
      </c>
      <c r="H8686">
        <v>1000</v>
      </c>
      <c r="I8686">
        <v>22</v>
      </c>
      <c r="J8686">
        <v>-159</v>
      </c>
      <c r="K8686">
        <v>384</v>
      </c>
      <c r="L8686">
        <v>1200</v>
      </c>
      <c r="M8686" t="str">
        <f t="shared" si="806"/>
        <v xml:space="preserve">N35DC   </v>
      </c>
      <c r="N8686">
        <v>1</v>
      </c>
      <c r="O8686">
        <v>1050</v>
      </c>
    </row>
    <row r="8687" spans="1:15" x14ac:dyDescent="0.25">
      <c r="A8687" t="str">
        <f>"10/21/2020 19:14:33.229"</f>
        <v>10/21/2020 19:14:33.229</v>
      </c>
      <c r="B8687" t="str">
        <f>"19:14:41.188"</f>
        <v>19:14:41.188</v>
      </c>
      <c r="C8687" t="str">
        <f>"19:14:40.788"</f>
        <v>19:14:40.788</v>
      </c>
      <c r="D8687" t="s">
        <v>3368</v>
      </c>
      <c r="E8687">
        <v>30.456848000000001</v>
      </c>
      <c r="F8687" t="s">
        <v>3369</v>
      </c>
      <c r="G8687">
        <v>-89.821301000000005</v>
      </c>
      <c r="H8687">
        <v>1000</v>
      </c>
      <c r="I8687">
        <v>22</v>
      </c>
      <c r="J8687">
        <v>-159</v>
      </c>
      <c r="K8687">
        <v>384</v>
      </c>
      <c r="L8687">
        <v>1200</v>
      </c>
      <c r="M8687" t="str">
        <f t="shared" si="806"/>
        <v xml:space="preserve">N35DC   </v>
      </c>
      <c r="N8687">
        <v>1</v>
      </c>
      <c r="O8687">
        <v>1050</v>
      </c>
    </row>
    <row r="8688" spans="1:15" x14ac:dyDescent="0.25">
      <c r="A8688" t="str">
        <f>"10/21/2020 19:14:33.229"</f>
        <v>10/21/2020 19:14:33.229</v>
      </c>
      <c r="B8688" t="str">
        <f>"19:14:41.188"</f>
        <v>19:14:41.188</v>
      </c>
      <c r="C8688" t="str">
        <f>"19:14:40.788"</f>
        <v>19:14:40.788</v>
      </c>
      <c r="D8688" t="s">
        <v>3368</v>
      </c>
      <c r="E8688">
        <v>30.456848000000001</v>
      </c>
      <c r="F8688" t="s">
        <v>3369</v>
      </c>
      <c r="G8688">
        <v>-89.821301000000005</v>
      </c>
      <c r="H8688">
        <v>1000</v>
      </c>
      <c r="I8688">
        <v>22</v>
      </c>
      <c r="J8688">
        <v>-159</v>
      </c>
      <c r="K8688">
        <v>384</v>
      </c>
      <c r="L8688">
        <v>1200</v>
      </c>
      <c r="M8688" t="str">
        <f t="shared" si="806"/>
        <v xml:space="preserve">N35DC   </v>
      </c>
      <c r="N8688">
        <v>1</v>
      </c>
      <c r="O8688">
        <v>1050</v>
      </c>
    </row>
    <row r="8689" spans="1:15" x14ac:dyDescent="0.25">
      <c r="A8689" t="str">
        <f>"10/21/2020 19:14:33.229"</f>
        <v>10/21/2020 19:14:33.229</v>
      </c>
      <c r="B8689" t="str">
        <f>"19:14:41.188"</f>
        <v>19:14:41.188</v>
      </c>
      <c r="C8689" t="str">
        <f>"19:14:40.788"</f>
        <v>19:14:40.788</v>
      </c>
      <c r="D8689" t="s">
        <v>3368</v>
      </c>
      <c r="E8689">
        <v>30.456848000000001</v>
      </c>
      <c r="F8689" t="s">
        <v>3369</v>
      </c>
      <c r="G8689">
        <v>-89.821301000000005</v>
      </c>
      <c r="H8689">
        <v>1000</v>
      </c>
      <c r="I8689">
        <v>22</v>
      </c>
      <c r="J8689">
        <v>-159</v>
      </c>
      <c r="K8689">
        <v>384</v>
      </c>
      <c r="L8689">
        <v>1200</v>
      </c>
      <c r="M8689" t="str">
        <f t="shared" si="806"/>
        <v xml:space="preserve">N35DC   </v>
      </c>
      <c r="N8689">
        <v>1</v>
      </c>
      <c r="O8689">
        <v>1050</v>
      </c>
    </row>
    <row r="8690" spans="1:15" x14ac:dyDescent="0.25">
      <c r="A8690" t="str">
        <f>"10/21/2020 19:14:36.138"</f>
        <v>10/21/2020 19:14:36.138</v>
      </c>
      <c r="B8690" t="str">
        <f>"19:14:44.109"</f>
        <v>19:14:44.109</v>
      </c>
      <c r="C8690" t="str">
        <f>"19:14:43.809"</f>
        <v>19:14:43.809</v>
      </c>
      <c r="D8690" t="s">
        <v>3370</v>
      </c>
      <c r="E8690">
        <v>30.454702000000001</v>
      </c>
      <c r="F8690" t="s">
        <v>2795</v>
      </c>
      <c r="G8690">
        <v>-89.820936000000003</v>
      </c>
      <c r="H8690">
        <v>1000</v>
      </c>
      <c r="I8690">
        <v>28</v>
      </c>
      <c r="J8690">
        <v>-155</v>
      </c>
      <c r="K8690">
        <v>448</v>
      </c>
      <c r="L8690">
        <v>1200</v>
      </c>
      <c r="M8690" t="str">
        <f t="shared" si="806"/>
        <v xml:space="preserve">N35DC   </v>
      </c>
      <c r="N8690">
        <v>1</v>
      </c>
      <c r="O8690">
        <v>1075</v>
      </c>
    </row>
    <row r="8691" spans="1:15" x14ac:dyDescent="0.25">
      <c r="A8691" t="str">
        <f>"10/21/2020 19:14:36.138"</f>
        <v>10/21/2020 19:14:36.138</v>
      </c>
      <c r="B8691" t="str">
        <f>"19:14:44.109"</f>
        <v>19:14:44.109</v>
      </c>
      <c r="C8691" t="str">
        <f>"19:14:43.809"</f>
        <v>19:14:43.809</v>
      </c>
      <c r="D8691" t="s">
        <v>3370</v>
      </c>
      <c r="E8691">
        <v>30.454702000000001</v>
      </c>
      <c r="F8691" t="s">
        <v>2795</v>
      </c>
      <c r="G8691">
        <v>-89.820936000000003</v>
      </c>
      <c r="H8691">
        <v>1000</v>
      </c>
      <c r="I8691">
        <v>28</v>
      </c>
      <c r="J8691">
        <v>-155</v>
      </c>
      <c r="K8691">
        <v>448</v>
      </c>
      <c r="L8691">
        <v>1200</v>
      </c>
      <c r="M8691" t="str">
        <f t="shared" si="806"/>
        <v xml:space="preserve">N35DC   </v>
      </c>
      <c r="N8691">
        <v>1</v>
      </c>
      <c r="O8691">
        <v>1075</v>
      </c>
    </row>
    <row r="8692" spans="1:15" x14ac:dyDescent="0.25">
      <c r="A8692" t="str">
        <f>"10/21/2020 19:14:36.138"</f>
        <v>10/21/2020 19:14:36.138</v>
      </c>
      <c r="B8692" t="str">
        <f>"19:14:44.109"</f>
        <v>19:14:44.109</v>
      </c>
      <c r="C8692" t="str">
        <f>"19:14:43.809"</f>
        <v>19:14:43.809</v>
      </c>
      <c r="D8692" t="s">
        <v>3370</v>
      </c>
      <c r="E8692">
        <v>30.454702000000001</v>
      </c>
      <c r="F8692" t="s">
        <v>2795</v>
      </c>
      <c r="G8692">
        <v>-89.820936000000003</v>
      </c>
      <c r="H8692">
        <v>1000</v>
      </c>
      <c r="I8692">
        <v>28</v>
      </c>
      <c r="J8692">
        <v>-155</v>
      </c>
      <c r="K8692">
        <v>448</v>
      </c>
      <c r="L8692">
        <v>1200</v>
      </c>
      <c r="M8692" t="str">
        <f t="shared" si="806"/>
        <v xml:space="preserve">N35DC   </v>
      </c>
      <c r="N8692">
        <v>1</v>
      </c>
      <c r="O8692">
        <v>1075</v>
      </c>
    </row>
    <row r="8693" spans="1:15" x14ac:dyDescent="0.25">
      <c r="A8693" t="str">
        <f>"10/21/2020 19:14:36.138"</f>
        <v>10/21/2020 19:14:36.138</v>
      </c>
      <c r="B8693" t="str">
        <f>"19:14:44.109"</f>
        <v>19:14:44.109</v>
      </c>
      <c r="C8693" t="str">
        <f>"19:14:43.809"</f>
        <v>19:14:43.809</v>
      </c>
      <c r="D8693" t="s">
        <v>3370</v>
      </c>
      <c r="E8693">
        <v>30.454702000000001</v>
      </c>
      <c r="F8693" t="s">
        <v>2795</v>
      </c>
      <c r="G8693">
        <v>-89.820936000000003</v>
      </c>
      <c r="H8693">
        <v>1000</v>
      </c>
      <c r="I8693">
        <v>28</v>
      </c>
      <c r="J8693">
        <v>-155</v>
      </c>
      <c r="K8693">
        <v>448</v>
      </c>
      <c r="L8693">
        <v>1200</v>
      </c>
      <c r="M8693" t="str">
        <f t="shared" si="806"/>
        <v xml:space="preserve">N35DC   </v>
      </c>
      <c r="N8693">
        <v>1</v>
      </c>
      <c r="O8693">
        <v>1075</v>
      </c>
    </row>
    <row r="8694" spans="1:15" x14ac:dyDescent="0.25">
      <c r="A8694" t="str">
        <f>"10/21/2020 19:14:36.138"</f>
        <v>10/21/2020 19:14:36.138</v>
      </c>
      <c r="B8694" t="str">
        <f>"19:14:44.109"</f>
        <v>19:14:44.109</v>
      </c>
      <c r="C8694" t="str">
        <f>"19:14:43.809"</f>
        <v>19:14:43.809</v>
      </c>
      <c r="D8694" t="s">
        <v>3370</v>
      </c>
      <c r="E8694">
        <v>30.454702000000001</v>
      </c>
      <c r="F8694" t="s">
        <v>2795</v>
      </c>
      <c r="G8694">
        <v>-89.820936000000003</v>
      </c>
      <c r="H8694">
        <v>1000</v>
      </c>
      <c r="I8694">
        <v>28</v>
      </c>
      <c r="J8694">
        <v>-155</v>
      </c>
      <c r="K8694">
        <v>448</v>
      </c>
      <c r="L8694">
        <v>1200</v>
      </c>
      <c r="M8694" t="str">
        <f t="shared" si="806"/>
        <v xml:space="preserve">N35DC   </v>
      </c>
      <c r="N8694">
        <v>1</v>
      </c>
      <c r="O8694">
        <v>1075</v>
      </c>
    </row>
    <row r="8695" spans="1:15" x14ac:dyDescent="0.25">
      <c r="A8695" t="str">
        <f>"10/21/2020 19:14:37.253"</f>
        <v>10/21/2020 19:14:37.253</v>
      </c>
      <c r="B8695" t="str">
        <f>"19:14:45.234"</f>
        <v>19:14:45.234</v>
      </c>
      <c r="C8695" t="str">
        <f>"19:14:44.734"</f>
        <v>19:14:44.734</v>
      </c>
      <c r="D8695" t="s">
        <v>3371</v>
      </c>
      <c r="E8695">
        <v>30.453907999999998</v>
      </c>
      <c r="F8695" t="s">
        <v>2755</v>
      </c>
      <c r="G8695">
        <v>-89.820721000000006</v>
      </c>
      <c r="H8695">
        <v>1100</v>
      </c>
      <c r="I8695">
        <v>29</v>
      </c>
      <c r="J8695">
        <v>-154</v>
      </c>
      <c r="K8695">
        <v>320</v>
      </c>
      <c r="L8695">
        <v>1200</v>
      </c>
      <c r="M8695" t="str">
        <f t="shared" si="806"/>
        <v xml:space="preserve">N35DC   </v>
      </c>
      <c r="N8695">
        <v>1</v>
      </c>
      <c r="O8695">
        <v>1075</v>
      </c>
    </row>
    <row r="8696" spans="1:15" x14ac:dyDescent="0.25">
      <c r="A8696" t="str">
        <f>"10/21/2020 19:14:37.253"</f>
        <v>10/21/2020 19:14:37.253</v>
      </c>
      <c r="B8696" t="str">
        <f>"19:14:45.234"</f>
        <v>19:14:45.234</v>
      </c>
      <c r="C8696" t="str">
        <f>"19:14:44.734"</f>
        <v>19:14:44.734</v>
      </c>
      <c r="D8696" t="s">
        <v>3371</v>
      </c>
      <c r="E8696">
        <v>30.453907999999998</v>
      </c>
      <c r="F8696" t="s">
        <v>2755</v>
      </c>
      <c r="G8696">
        <v>-89.820721000000006</v>
      </c>
      <c r="H8696">
        <v>1100</v>
      </c>
      <c r="I8696">
        <v>29</v>
      </c>
      <c r="J8696">
        <v>-154</v>
      </c>
      <c r="K8696">
        <v>320</v>
      </c>
      <c r="L8696">
        <v>1200</v>
      </c>
      <c r="M8696" t="str">
        <f t="shared" si="806"/>
        <v xml:space="preserve">N35DC   </v>
      </c>
      <c r="N8696">
        <v>1</v>
      </c>
      <c r="O8696">
        <v>1075</v>
      </c>
    </row>
    <row r="8697" spans="1:15" x14ac:dyDescent="0.25">
      <c r="A8697" t="str">
        <f>"10/21/2020 19:14:37.253"</f>
        <v>10/21/2020 19:14:37.253</v>
      </c>
      <c r="B8697" t="str">
        <f>"19:14:45.234"</f>
        <v>19:14:45.234</v>
      </c>
      <c r="C8697" t="str">
        <f>"19:14:44.734"</f>
        <v>19:14:44.734</v>
      </c>
      <c r="D8697" t="s">
        <v>3371</v>
      </c>
      <c r="E8697">
        <v>30.453907999999998</v>
      </c>
      <c r="F8697" t="s">
        <v>2755</v>
      </c>
      <c r="G8697">
        <v>-89.820721000000006</v>
      </c>
      <c r="H8697">
        <v>1100</v>
      </c>
      <c r="I8697">
        <v>29</v>
      </c>
      <c r="J8697">
        <v>-154</v>
      </c>
      <c r="K8697">
        <v>320</v>
      </c>
      <c r="L8697">
        <v>1200</v>
      </c>
      <c r="M8697" t="str">
        <f t="shared" si="806"/>
        <v xml:space="preserve">N35DC   </v>
      </c>
      <c r="N8697">
        <v>1</v>
      </c>
      <c r="O8697">
        <v>1075</v>
      </c>
    </row>
    <row r="8698" spans="1:15" x14ac:dyDescent="0.25">
      <c r="A8698" t="str">
        <f>"10/21/2020 19:14:37.253"</f>
        <v>10/21/2020 19:14:37.253</v>
      </c>
      <c r="B8698" t="str">
        <f>"19:14:45.234"</f>
        <v>19:14:45.234</v>
      </c>
      <c r="C8698" t="str">
        <f>"19:14:44.734"</f>
        <v>19:14:44.734</v>
      </c>
      <c r="D8698" t="s">
        <v>3371</v>
      </c>
      <c r="E8698">
        <v>30.453907999999998</v>
      </c>
      <c r="F8698" t="s">
        <v>2755</v>
      </c>
      <c r="G8698">
        <v>-89.820721000000006</v>
      </c>
      <c r="H8698">
        <v>1100</v>
      </c>
      <c r="I8698">
        <v>29</v>
      </c>
      <c r="J8698">
        <v>-154</v>
      </c>
      <c r="K8698">
        <v>320</v>
      </c>
      <c r="L8698">
        <v>1200</v>
      </c>
      <c r="M8698" t="str">
        <f t="shared" si="806"/>
        <v xml:space="preserve">N35DC   </v>
      </c>
      <c r="N8698">
        <v>1</v>
      </c>
      <c r="O8698">
        <v>1075</v>
      </c>
    </row>
    <row r="8699" spans="1:15" x14ac:dyDescent="0.25">
      <c r="A8699" t="str">
        <f>"10/21/2020 19:14:37.253"</f>
        <v>10/21/2020 19:14:37.253</v>
      </c>
      <c r="B8699" t="str">
        <f>"19:14:45.234"</f>
        <v>19:14:45.234</v>
      </c>
      <c r="C8699" t="str">
        <f>"19:14:44.734"</f>
        <v>19:14:44.734</v>
      </c>
      <c r="D8699" t="s">
        <v>3371</v>
      </c>
      <c r="E8699">
        <v>30.453907999999998</v>
      </c>
      <c r="F8699" t="s">
        <v>2755</v>
      </c>
      <c r="G8699">
        <v>-89.820721000000006</v>
      </c>
      <c r="H8699">
        <v>1100</v>
      </c>
      <c r="I8699">
        <v>29</v>
      </c>
      <c r="J8699">
        <v>-154</v>
      </c>
      <c r="K8699">
        <v>320</v>
      </c>
      <c r="L8699">
        <v>1200</v>
      </c>
      <c r="M8699" t="str">
        <f t="shared" si="806"/>
        <v xml:space="preserve">N35DC   </v>
      </c>
      <c r="N8699">
        <v>1</v>
      </c>
      <c r="O8699">
        <v>1075</v>
      </c>
    </row>
    <row r="8700" spans="1:15" x14ac:dyDescent="0.25">
      <c r="A8700" t="str">
        <f>"10/21/2020 19:14:39.207"</f>
        <v>10/21/2020 19:14:39.207</v>
      </c>
      <c r="B8700" t="str">
        <f>"19:14:47.172"</f>
        <v>19:14:47.172</v>
      </c>
      <c r="C8700" t="str">
        <f>"19:14:46.772"</f>
        <v>19:14:46.772</v>
      </c>
      <c r="D8700" t="s">
        <v>3372</v>
      </c>
      <c r="E8700">
        <v>30.452556999999999</v>
      </c>
      <c r="F8700" t="s">
        <v>18</v>
      </c>
      <c r="G8700">
        <v>-89.820378000000005</v>
      </c>
      <c r="H8700">
        <v>1100</v>
      </c>
      <c r="I8700">
        <v>33</v>
      </c>
      <c r="J8700">
        <v>-151</v>
      </c>
      <c r="K8700">
        <v>640</v>
      </c>
      <c r="L8700">
        <v>1200</v>
      </c>
      <c r="M8700" t="str">
        <f t="shared" si="806"/>
        <v xml:space="preserve">N35DC   </v>
      </c>
      <c r="N8700">
        <v>1</v>
      </c>
      <c r="O8700">
        <v>1100</v>
      </c>
    </row>
    <row r="8701" spans="1:15" x14ac:dyDescent="0.25">
      <c r="A8701" t="str">
        <f>"10/21/2020 19:14:39.207"</f>
        <v>10/21/2020 19:14:39.207</v>
      </c>
      <c r="B8701" t="str">
        <f>"19:14:47.172"</f>
        <v>19:14:47.172</v>
      </c>
      <c r="C8701" t="str">
        <f>"19:14:46.772"</f>
        <v>19:14:46.772</v>
      </c>
      <c r="D8701" t="s">
        <v>3372</v>
      </c>
      <c r="E8701">
        <v>30.452556999999999</v>
      </c>
      <c r="F8701" t="s">
        <v>18</v>
      </c>
      <c r="G8701">
        <v>-89.820378000000005</v>
      </c>
      <c r="H8701">
        <v>1100</v>
      </c>
      <c r="I8701">
        <v>33</v>
      </c>
      <c r="J8701">
        <v>-151</v>
      </c>
      <c r="K8701">
        <v>640</v>
      </c>
      <c r="L8701">
        <v>1200</v>
      </c>
      <c r="M8701" t="str">
        <f t="shared" si="806"/>
        <v xml:space="preserve">N35DC   </v>
      </c>
      <c r="N8701">
        <v>1</v>
      </c>
      <c r="O8701">
        <v>1100</v>
      </c>
    </row>
    <row r="8702" spans="1:15" x14ac:dyDescent="0.25">
      <c r="A8702" t="str">
        <f>"10/21/2020 19:14:39.207"</f>
        <v>10/21/2020 19:14:39.207</v>
      </c>
      <c r="B8702" t="str">
        <f>"19:14:47.172"</f>
        <v>19:14:47.172</v>
      </c>
      <c r="C8702" t="str">
        <f>"19:14:46.772"</f>
        <v>19:14:46.772</v>
      </c>
      <c r="D8702" t="s">
        <v>3372</v>
      </c>
      <c r="E8702">
        <v>30.452556999999999</v>
      </c>
      <c r="F8702" t="s">
        <v>18</v>
      </c>
      <c r="G8702">
        <v>-89.820378000000005</v>
      </c>
      <c r="H8702">
        <v>1100</v>
      </c>
      <c r="I8702">
        <v>33</v>
      </c>
      <c r="J8702">
        <v>-151</v>
      </c>
      <c r="K8702">
        <v>640</v>
      </c>
      <c r="L8702">
        <v>1200</v>
      </c>
      <c r="M8702" t="str">
        <f t="shared" si="806"/>
        <v xml:space="preserve">N35DC   </v>
      </c>
      <c r="N8702">
        <v>1</v>
      </c>
      <c r="O8702">
        <v>1100</v>
      </c>
    </row>
    <row r="8703" spans="1:15" x14ac:dyDescent="0.25">
      <c r="A8703" t="str">
        <f>"10/21/2020 19:14:39.207"</f>
        <v>10/21/2020 19:14:39.207</v>
      </c>
      <c r="B8703" t="str">
        <f>"19:14:47.172"</f>
        <v>19:14:47.172</v>
      </c>
      <c r="C8703" t="str">
        <f>"19:14:46.772"</f>
        <v>19:14:46.772</v>
      </c>
      <c r="D8703" t="s">
        <v>3372</v>
      </c>
      <c r="E8703">
        <v>30.452556999999999</v>
      </c>
      <c r="F8703" t="s">
        <v>18</v>
      </c>
      <c r="G8703">
        <v>-89.820378000000005</v>
      </c>
      <c r="H8703">
        <v>1100</v>
      </c>
      <c r="I8703">
        <v>33</v>
      </c>
      <c r="J8703">
        <v>-151</v>
      </c>
      <c r="K8703">
        <v>640</v>
      </c>
      <c r="L8703">
        <v>1200</v>
      </c>
      <c r="M8703" t="str">
        <f t="shared" si="806"/>
        <v xml:space="preserve">N35DC   </v>
      </c>
      <c r="N8703">
        <v>1</v>
      </c>
      <c r="O8703">
        <v>1100</v>
      </c>
    </row>
    <row r="8704" spans="1:15" x14ac:dyDescent="0.25">
      <c r="A8704" t="str">
        <f>"10/21/2020 19:14:39.207"</f>
        <v>10/21/2020 19:14:39.207</v>
      </c>
      <c r="B8704" t="str">
        <f>"19:14:47.172"</f>
        <v>19:14:47.172</v>
      </c>
      <c r="C8704" t="str">
        <f>"19:14:46.772"</f>
        <v>19:14:46.772</v>
      </c>
      <c r="D8704" t="s">
        <v>3372</v>
      </c>
      <c r="E8704">
        <v>30.452556999999999</v>
      </c>
      <c r="F8704" t="s">
        <v>18</v>
      </c>
      <c r="G8704">
        <v>-89.820378000000005</v>
      </c>
      <c r="H8704">
        <v>1100</v>
      </c>
      <c r="I8704">
        <v>33</v>
      </c>
      <c r="J8704">
        <v>-151</v>
      </c>
      <c r="K8704">
        <v>640</v>
      </c>
      <c r="L8704">
        <v>1200</v>
      </c>
      <c r="M8704" t="str">
        <f t="shared" si="806"/>
        <v xml:space="preserve">N35DC   </v>
      </c>
      <c r="N8704">
        <v>1</v>
      </c>
      <c r="O8704">
        <v>1100</v>
      </c>
    </row>
    <row r="8705" spans="1:15" x14ac:dyDescent="0.25">
      <c r="A8705" t="str">
        <f>"10/21/2020 19:14:40.219"</f>
        <v>10/21/2020 19:14:40.219</v>
      </c>
      <c r="B8705" t="str">
        <f>"19:14:48.172"</f>
        <v>19:14:48.172</v>
      </c>
      <c r="C8705" t="str">
        <f>"19:14:47.772"</f>
        <v>19:14:47.772</v>
      </c>
      <c r="D8705" t="s">
        <v>3373</v>
      </c>
      <c r="E8705">
        <v>30.451848999999999</v>
      </c>
      <c r="F8705" t="s">
        <v>32</v>
      </c>
      <c r="G8705">
        <v>-89.820184999999995</v>
      </c>
      <c r="H8705">
        <v>1100</v>
      </c>
      <c r="I8705">
        <v>34</v>
      </c>
      <c r="J8705">
        <v>-150</v>
      </c>
      <c r="K8705">
        <v>256</v>
      </c>
      <c r="L8705">
        <v>1200</v>
      </c>
      <c r="M8705" t="str">
        <f t="shared" si="806"/>
        <v xml:space="preserve">N35DC   </v>
      </c>
      <c r="N8705">
        <v>1</v>
      </c>
      <c r="O8705">
        <v>1100</v>
      </c>
    </row>
    <row r="8706" spans="1:15" x14ac:dyDescent="0.25">
      <c r="A8706" t="str">
        <f>"10/21/2020 19:14:40.219"</f>
        <v>10/21/2020 19:14:40.219</v>
      </c>
      <c r="B8706" t="str">
        <f>"19:14:48.172"</f>
        <v>19:14:48.172</v>
      </c>
      <c r="C8706" t="str">
        <f>"19:14:47.772"</f>
        <v>19:14:47.772</v>
      </c>
      <c r="D8706" t="s">
        <v>3373</v>
      </c>
      <c r="E8706">
        <v>30.451848999999999</v>
      </c>
      <c r="F8706" t="s">
        <v>32</v>
      </c>
      <c r="G8706">
        <v>-89.820184999999995</v>
      </c>
      <c r="H8706">
        <v>1100</v>
      </c>
      <c r="I8706">
        <v>34</v>
      </c>
      <c r="J8706">
        <v>-150</v>
      </c>
      <c r="K8706">
        <v>256</v>
      </c>
      <c r="L8706">
        <v>1200</v>
      </c>
      <c r="M8706" t="str">
        <f t="shared" si="806"/>
        <v xml:space="preserve">N35DC   </v>
      </c>
      <c r="N8706">
        <v>1</v>
      </c>
      <c r="O8706">
        <v>1100</v>
      </c>
    </row>
    <row r="8707" spans="1:15" x14ac:dyDescent="0.25">
      <c r="A8707" t="str">
        <f>"10/21/2020 19:14:40.219"</f>
        <v>10/21/2020 19:14:40.219</v>
      </c>
      <c r="B8707" t="str">
        <f>"19:14:48.172"</f>
        <v>19:14:48.172</v>
      </c>
      <c r="C8707" t="str">
        <f>"19:14:47.772"</f>
        <v>19:14:47.772</v>
      </c>
      <c r="D8707" t="s">
        <v>3373</v>
      </c>
      <c r="E8707">
        <v>30.451848999999999</v>
      </c>
      <c r="F8707" t="s">
        <v>32</v>
      </c>
      <c r="G8707">
        <v>-89.820184999999995</v>
      </c>
      <c r="H8707">
        <v>1100</v>
      </c>
      <c r="I8707">
        <v>34</v>
      </c>
      <c r="J8707">
        <v>-150</v>
      </c>
      <c r="K8707">
        <v>256</v>
      </c>
      <c r="L8707">
        <v>1200</v>
      </c>
      <c r="M8707" t="str">
        <f t="shared" si="806"/>
        <v xml:space="preserve">N35DC   </v>
      </c>
      <c r="N8707">
        <v>1</v>
      </c>
      <c r="O8707">
        <v>1100</v>
      </c>
    </row>
    <row r="8708" spans="1:15" x14ac:dyDescent="0.25">
      <c r="A8708" t="str">
        <f>"10/21/2020 19:14:40.219"</f>
        <v>10/21/2020 19:14:40.219</v>
      </c>
      <c r="B8708" t="str">
        <f>"19:14:48.172"</f>
        <v>19:14:48.172</v>
      </c>
      <c r="C8708" t="str">
        <f>"19:14:47.772"</f>
        <v>19:14:47.772</v>
      </c>
      <c r="D8708" t="s">
        <v>3373</v>
      </c>
      <c r="E8708">
        <v>30.451848999999999</v>
      </c>
      <c r="F8708" t="s">
        <v>32</v>
      </c>
      <c r="G8708">
        <v>-89.820184999999995</v>
      </c>
      <c r="H8708">
        <v>1100</v>
      </c>
      <c r="I8708">
        <v>34</v>
      </c>
      <c r="J8708">
        <v>-150</v>
      </c>
      <c r="K8708">
        <v>256</v>
      </c>
      <c r="L8708">
        <v>1200</v>
      </c>
      <c r="M8708" t="str">
        <f t="shared" si="806"/>
        <v xml:space="preserve">N35DC   </v>
      </c>
      <c r="N8708">
        <v>1</v>
      </c>
      <c r="O8708">
        <v>1100</v>
      </c>
    </row>
    <row r="8709" spans="1:15" x14ac:dyDescent="0.25">
      <c r="A8709" t="str">
        <f>"10/21/2020 19:14:40.219"</f>
        <v>10/21/2020 19:14:40.219</v>
      </c>
      <c r="B8709" t="str">
        <f>"19:14:48.172"</f>
        <v>19:14:48.172</v>
      </c>
      <c r="C8709" t="str">
        <f>"19:14:47.772"</f>
        <v>19:14:47.772</v>
      </c>
      <c r="D8709" t="s">
        <v>3373</v>
      </c>
      <c r="E8709">
        <v>30.451848999999999</v>
      </c>
      <c r="F8709" t="s">
        <v>32</v>
      </c>
      <c r="G8709">
        <v>-89.820184999999995</v>
      </c>
      <c r="H8709">
        <v>1100</v>
      </c>
      <c r="I8709">
        <v>34</v>
      </c>
      <c r="J8709">
        <v>-150</v>
      </c>
      <c r="K8709">
        <v>256</v>
      </c>
      <c r="L8709">
        <v>1200</v>
      </c>
      <c r="M8709" t="str">
        <f t="shared" si="806"/>
        <v xml:space="preserve">N35DC   </v>
      </c>
      <c r="N8709">
        <v>1</v>
      </c>
      <c r="O8709">
        <v>1100</v>
      </c>
    </row>
    <row r="8710" spans="1:15" x14ac:dyDescent="0.25">
      <c r="A8710" t="str">
        <f>"10/21/2020 19:14:42.390"</f>
        <v>10/21/2020 19:14:42.390</v>
      </c>
      <c r="B8710" t="str">
        <f>"19:14:50.336"</f>
        <v>19:14:50.336</v>
      </c>
      <c r="C8710" t="str">
        <f>"19:14:50.236"</f>
        <v>19:14:50.236</v>
      </c>
      <c r="D8710" t="s">
        <v>3374</v>
      </c>
      <c r="E8710">
        <v>30.450368000000001</v>
      </c>
      <c r="F8710" t="s">
        <v>3375</v>
      </c>
      <c r="G8710">
        <v>-89.819777000000002</v>
      </c>
      <c r="H8710">
        <v>1100</v>
      </c>
      <c r="I8710">
        <v>39</v>
      </c>
      <c r="J8710">
        <v>-148</v>
      </c>
      <c r="K8710">
        <v>64</v>
      </c>
      <c r="L8710">
        <v>1200</v>
      </c>
      <c r="M8710" t="str">
        <f t="shared" si="806"/>
        <v xml:space="preserve">N35DC   </v>
      </c>
      <c r="N8710">
        <v>1</v>
      </c>
      <c r="O8710">
        <v>1100</v>
      </c>
    </row>
    <row r="8711" spans="1:15" x14ac:dyDescent="0.25">
      <c r="A8711" t="str">
        <f>"10/21/2020 19:14:42.390"</f>
        <v>10/21/2020 19:14:42.390</v>
      </c>
      <c r="B8711" t="str">
        <f>"19:14:50.336"</f>
        <v>19:14:50.336</v>
      </c>
      <c r="C8711" t="str">
        <f>"19:14:50.236"</f>
        <v>19:14:50.236</v>
      </c>
      <c r="D8711" t="s">
        <v>3374</v>
      </c>
      <c r="E8711">
        <v>30.450368000000001</v>
      </c>
      <c r="F8711" t="s">
        <v>3375</v>
      </c>
      <c r="G8711">
        <v>-89.819777000000002</v>
      </c>
      <c r="H8711">
        <v>1100</v>
      </c>
      <c r="I8711">
        <v>39</v>
      </c>
      <c r="J8711">
        <v>-148</v>
      </c>
      <c r="K8711">
        <v>64</v>
      </c>
      <c r="L8711">
        <v>1200</v>
      </c>
      <c r="M8711" t="str">
        <f t="shared" ref="M8711:M8774" si="808">"N35DC   "</f>
        <v xml:space="preserve">N35DC   </v>
      </c>
      <c r="N8711">
        <v>1</v>
      </c>
      <c r="O8711">
        <v>1100</v>
      </c>
    </row>
    <row r="8712" spans="1:15" x14ac:dyDescent="0.25">
      <c r="A8712" t="str">
        <f>"10/21/2020 19:14:42.390"</f>
        <v>10/21/2020 19:14:42.390</v>
      </c>
      <c r="B8712" t="str">
        <f>"19:14:50.336"</f>
        <v>19:14:50.336</v>
      </c>
      <c r="C8712" t="str">
        <f>"19:14:50.236"</f>
        <v>19:14:50.236</v>
      </c>
      <c r="D8712" t="s">
        <v>3374</v>
      </c>
      <c r="E8712">
        <v>30.450368000000001</v>
      </c>
      <c r="F8712" t="s">
        <v>3375</v>
      </c>
      <c r="G8712">
        <v>-89.819777000000002</v>
      </c>
      <c r="H8712">
        <v>1100</v>
      </c>
      <c r="I8712">
        <v>39</v>
      </c>
      <c r="J8712">
        <v>-148</v>
      </c>
      <c r="K8712">
        <v>64</v>
      </c>
      <c r="L8712">
        <v>1200</v>
      </c>
      <c r="M8712" t="str">
        <f t="shared" si="808"/>
        <v xml:space="preserve">N35DC   </v>
      </c>
      <c r="N8712">
        <v>1</v>
      </c>
      <c r="O8712">
        <v>1100</v>
      </c>
    </row>
    <row r="8713" spans="1:15" x14ac:dyDescent="0.25">
      <c r="A8713" t="str">
        <f>"10/21/2020 19:14:42.390"</f>
        <v>10/21/2020 19:14:42.390</v>
      </c>
      <c r="B8713" t="str">
        <f>"19:14:50.336"</f>
        <v>19:14:50.336</v>
      </c>
      <c r="C8713" t="str">
        <f>"19:14:50.236"</f>
        <v>19:14:50.236</v>
      </c>
      <c r="D8713" t="s">
        <v>3374</v>
      </c>
      <c r="E8713">
        <v>30.450368000000001</v>
      </c>
      <c r="F8713" t="s">
        <v>3375</v>
      </c>
      <c r="G8713">
        <v>-89.819777000000002</v>
      </c>
      <c r="H8713">
        <v>1100</v>
      </c>
      <c r="I8713">
        <v>39</v>
      </c>
      <c r="J8713">
        <v>-148</v>
      </c>
      <c r="K8713">
        <v>64</v>
      </c>
      <c r="L8713">
        <v>1200</v>
      </c>
      <c r="M8713" t="str">
        <f t="shared" si="808"/>
        <v xml:space="preserve">N35DC   </v>
      </c>
      <c r="N8713">
        <v>1</v>
      </c>
      <c r="O8713">
        <v>1100</v>
      </c>
    </row>
    <row r="8714" spans="1:15" x14ac:dyDescent="0.25">
      <c r="A8714" t="str">
        <f>"10/21/2020 19:14:42.390"</f>
        <v>10/21/2020 19:14:42.390</v>
      </c>
      <c r="B8714" t="str">
        <f>"19:14:50.336"</f>
        <v>19:14:50.336</v>
      </c>
      <c r="C8714" t="str">
        <f>"19:14:50.236"</f>
        <v>19:14:50.236</v>
      </c>
      <c r="D8714" t="s">
        <v>3374</v>
      </c>
      <c r="E8714">
        <v>30.450368000000001</v>
      </c>
      <c r="F8714" t="s">
        <v>3375</v>
      </c>
      <c r="G8714">
        <v>-89.819777000000002</v>
      </c>
      <c r="H8714">
        <v>1100</v>
      </c>
      <c r="I8714">
        <v>39</v>
      </c>
      <c r="J8714">
        <v>-148</v>
      </c>
      <c r="K8714">
        <v>64</v>
      </c>
      <c r="L8714">
        <v>1200</v>
      </c>
      <c r="M8714" t="str">
        <f t="shared" si="808"/>
        <v xml:space="preserve">N35DC   </v>
      </c>
      <c r="N8714">
        <v>1</v>
      </c>
      <c r="O8714">
        <v>1100</v>
      </c>
    </row>
    <row r="8715" spans="1:15" x14ac:dyDescent="0.25">
      <c r="A8715" t="str">
        <f>"10/21/2020 19:14:43.223"</f>
        <v>10/21/2020 19:14:43.223</v>
      </c>
      <c r="B8715" t="str">
        <f>"19:14:51.172"</f>
        <v>19:14:51.172</v>
      </c>
      <c r="C8715" t="str">
        <f>"19:14:50.772"</f>
        <v>19:14:50.772</v>
      </c>
      <c r="D8715" t="s">
        <v>3376</v>
      </c>
      <c r="E8715">
        <v>30.449788999999999</v>
      </c>
      <c r="F8715" t="s">
        <v>3377</v>
      </c>
      <c r="G8715">
        <v>-89.819584000000006</v>
      </c>
      <c r="H8715">
        <v>1100</v>
      </c>
      <c r="I8715">
        <v>41</v>
      </c>
      <c r="J8715">
        <v>-147</v>
      </c>
      <c r="K8715">
        <v>64</v>
      </c>
      <c r="L8715">
        <v>1200</v>
      </c>
      <c r="M8715" t="str">
        <f t="shared" si="808"/>
        <v xml:space="preserve">N35DC   </v>
      </c>
      <c r="N8715">
        <v>1</v>
      </c>
      <c r="O8715">
        <v>1100</v>
      </c>
    </row>
    <row r="8716" spans="1:15" x14ac:dyDescent="0.25">
      <c r="A8716" t="str">
        <f>"10/21/2020 19:14:43.223"</f>
        <v>10/21/2020 19:14:43.223</v>
      </c>
      <c r="B8716" t="str">
        <f>"19:14:51.172"</f>
        <v>19:14:51.172</v>
      </c>
      <c r="C8716" t="str">
        <f>"19:14:50.772"</f>
        <v>19:14:50.772</v>
      </c>
      <c r="D8716" t="s">
        <v>3376</v>
      </c>
      <c r="E8716">
        <v>30.449788999999999</v>
      </c>
      <c r="F8716" t="s">
        <v>3377</v>
      </c>
      <c r="G8716">
        <v>-89.819584000000006</v>
      </c>
      <c r="H8716">
        <v>1100</v>
      </c>
      <c r="I8716">
        <v>41</v>
      </c>
      <c r="J8716">
        <v>-147</v>
      </c>
      <c r="K8716">
        <v>64</v>
      </c>
      <c r="L8716">
        <v>1200</v>
      </c>
      <c r="M8716" t="str">
        <f t="shared" si="808"/>
        <v xml:space="preserve">N35DC   </v>
      </c>
      <c r="N8716">
        <v>1</v>
      </c>
      <c r="O8716">
        <v>1100</v>
      </c>
    </row>
    <row r="8717" spans="1:15" x14ac:dyDescent="0.25">
      <c r="A8717" t="str">
        <f>"10/21/2020 19:14:43.223"</f>
        <v>10/21/2020 19:14:43.223</v>
      </c>
      <c r="B8717" t="str">
        <f>"19:14:51.172"</f>
        <v>19:14:51.172</v>
      </c>
      <c r="C8717" t="str">
        <f>"19:14:50.772"</f>
        <v>19:14:50.772</v>
      </c>
      <c r="D8717" t="s">
        <v>3376</v>
      </c>
      <c r="E8717">
        <v>30.449788999999999</v>
      </c>
      <c r="F8717" t="s">
        <v>3377</v>
      </c>
      <c r="G8717">
        <v>-89.819584000000006</v>
      </c>
      <c r="H8717">
        <v>1100</v>
      </c>
      <c r="I8717">
        <v>41</v>
      </c>
      <c r="J8717">
        <v>-147</v>
      </c>
      <c r="K8717">
        <v>64</v>
      </c>
      <c r="L8717">
        <v>1200</v>
      </c>
      <c r="M8717" t="str">
        <f t="shared" si="808"/>
        <v xml:space="preserve">N35DC   </v>
      </c>
      <c r="N8717">
        <v>1</v>
      </c>
      <c r="O8717">
        <v>1100</v>
      </c>
    </row>
    <row r="8718" spans="1:15" x14ac:dyDescent="0.25">
      <c r="A8718" t="str">
        <f>"10/21/2020 19:14:43.223"</f>
        <v>10/21/2020 19:14:43.223</v>
      </c>
      <c r="B8718" t="str">
        <f>"19:14:51.172"</f>
        <v>19:14:51.172</v>
      </c>
      <c r="C8718" t="str">
        <f>"19:14:50.772"</f>
        <v>19:14:50.772</v>
      </c>
      <c r="D8718" t="s">
        <v>3376</v>
      </c>
      <c r="E8718">
        <v>30.449788999999999</v>
      </c>
      <c r="F8718" t="s">
        <v>3377</v>
      </c>
      <c r="G8718">
        <v>-89.819584000000006</v>
      </c>
      <c r="H8718">
        <v>1100</v>
      </c>
      <c r="I8718">
        <v>41</v>
      </c>
      <c r="J8718">
        <v>-147</v>
      </c>
      <c r="K8718">
        <v>64</v>
      </c>
      <c r="L8718">
        <v>1200</v>
      </c>
      <c r="M8718" t="str">
        <f t="shared" si="808"/>
        <v xml:space="preserve">N35DC   </v>
      </c>
      <c r="N8718">
        <v>1</v>
      </c>
      <c r="O8718">
        <v>1100</v>
      </c>
    </row>
    <row r="8719" spans="1:15" x14ac:dyDescent="0.25">
      <c r="A8719" t="str">
        <f>"10/21/2020 19:14:43.223"</f>
        <v>10/21/2020 19:14:43.223</v>
      </c>
      <c r="B8719" t="str">
        <f>"19:14:51.172"</f>
        <v>19:14:51.172</v>
      </c>
      <c r="C8719" t="str">
        <f>"19:14:50.772"</f>
        <v>19:14:50.772</v>
      </c>
      <c r="D8719" t="s">
        <v>3376</v>
      </c>
      <c r="E8719">
        <v>30.449788999999999</v>
      </c>
      <c r="F8719" t="s">
        <v>3377</v>
      </c>
      <c r="G8719">
        <v>-89.819584000000006</v>
      </c>
      <c r="H8719">
        <v>1100</v>
      </c>
      <c r="I8719">
        <v>41</v>
      </c>
      <c r="J8719">
        <v>-147</v>
      </c>
      <c r="K8719">
        <v>64</v>
      </c>
      <c r="L8719">
        <v>1200</v>
      </c>
      <c r="M8719" t="str">
        <f t="shared" si="808"/>
        <v xml:space="preserve">N35DC   </v>
      </c>
      <c r="N8719">
        <v>1</v>
      </c>
      <c r="O8719">
        <v>1100</v>
      </c>
    </row>
    <row r="8720" spans="1:15" x14ac:dyDescent="0.25">
      <c r="A8720" t="str">
        <f>"10/21/2020 19:14:46.185"</f>
        <v>10/21/2020 19:14:46.185</v>
      </c>
      <c r="B8720" t="str">
        <f>"19:14:54.148"</f>
        <v>19:14:54.148</v>
      </c>
      <c r="C8720" t="str">
        <f>"19:14:53.948"</f>
        <v>19:14:53.948</v>
      </c>
      <c r="D8720" t="s">
        <v>210</v>
      </c>
      <c r="E8720">
        <v>30.447793000000001</v>
      </c>
      <c r="F8720" t="s">
        <v>3378</v>
      </c>
      <c r="G8720">
        <v>-89.818832999999998</v>
      </c>
      <c r="H8720">
        <v>1100</v>
      </c>
      <c r="I8720">
        <v>49</v>
      </c>
      <c r="J8720">
        <v>-144</v>
      </c>
      <c r="K8720">
        <v>-640</v>
      </c>
      <c r="L8720">
        <v>1200</v>
      </c>
      <c r="M8720" t="str">
        <f t="shared" si="808"/>
        <v xml:space="preserve">N35DC   </v>
      </c>
      <c r="N8720">
        <v>1</v>
      </c>
      <c r="O8720">
        <v>1100</v>
      </c>
    </row>
    <row r="8721" spans="1:15" x14ac:dyDescent="0.25">
      <c r="A8721" t="str">
        <f>"10/21/2020 19:14:46.185"</f>
        <v>10/21/2020 19:14:46.185</v>
      </c>
      <c r="B8721" t="str">
        <f>"19:14:54.148"</f>
        <v>19:14:54.148</v>
      </c>
      <c r="C8721" t="str">
        <f>"19:14:53.948"</f>
        <v>19:14:53.948</v>
      </c>
      <c r="D8721" t="s">
        <v>210</v>
      </c>
      <c r="E8721">
        <v>30.447793000000001</v>
      </c>
      <c r="F8721" t="s">
        <v>3378</v>
      </c>
      <c r="G8721">
        <v>-89.818832999999998</v>
      </c>
      <c r="H8721">
        <v>1100</v>
      </c>
      <c r="I8721">
        <v>49</v>
      </c>
      <c r="J8721">
        <v>-144</v>
      </c>
      <c r="K8721">
        <v>-640</v>
      </c>
      <c r="L8721">
        <v>1200</v>
      </c>
      <c r="M8721" t="str">
        <f t="shared" si="808"/>
        <v xml:space="preserve">N35DC   </v>
      </c>
      <c r="N8721">
        <v>1</v>
      </c>
      <c r="O8721">
        <v>1100</v>
      </c>
    </row>
    <row r="8722" spans="1:15" x14ac:dyDescent="0.25">
      <c r="A8722" t="str">
        <f>"10/21/2020 19:14:46.185"</f>
        <v>10/21/2020 19:14:46.185</v>
      </c>
      <c r="B8722" t="str">
        <f>"19:14:54.148"</f>
        <v>19:14:54.148</v>
      </c>
      <c r="C8722" t="str">
        <f>"19:14:53.948"</f>
        <v>19:14:53.948</v>
      </c>
      <c r="D8722" t="s">
        <v>210</v>
      </c>
      <c r="E8722">
        <v>30.447793000000001</v>
      </c>
      <c r="F8722" t="s">
        <v>3378</v>
      </c>
      <c r="G8722">
        <v>-89.818832999999998</v>
      </c>
      <c r="H8722">
        <v>1100</v>
      </c>
      <c r="I8722">
        <v>49</v>
      </c>
      <c r="J8722">
        <v>-144</v>
      </c>
      <c r="K8722">
        <v>-640</v>
      </c>
      <c r="L8722">
        <v>1200</v>
      </c>
      <c r="M8722" t="str">
        <f t="shared" si="808"/>
        <v xml:space="preserve">N35DC   </v>
      </c>
      <c r="N8722">
        <v>1</v>
      </c>
      <c r="O8722">
        <v>1100</v>
      </c>
    </row>
    <row r="8723" spans="1:15" x14ac:dyDescent="0.25">
      <c r="A8723" t="str">
        <f>"10/21/2020 19:14:46.185"</f>
        <v>10/21/2020 19:14:46.185</v>
      </c>
      <c r="B8723" t="str">
        <f>"19:14:54.148"</f>
        <v>19:14:54.148</v>
      </c>
      <c r="C8723" t="str">
        <f>"19:14:53.948"</f>
        <v>19:14:53.948</v>
      </c>
      <c r="D8723" t="s">
        <v>210</v>
      </c>
      <c r="E8723">
        <v>30.447793000000001</v>
      </c>
      <c r="F8723" t="s">
        <v>3378</v>
      </c>
      <c r="G8723">
        <v>-89.818832999999998</v>
      </c>
      <c r="H8723">
        <v>1100</v>
      </c>
      <c r="I8723">
        <v>49</v>
      </c>
      <c r="J8723">
        <v>-144</v>
      </c>
      <c r="K8723">
        <v>-640</v>
      </c>
      <c r="L8723">
        <v>1200</v>
      </c>
      <c r="M8723" t="str">
        <f t="shared" si="808"/>
        <v xml:space="preserve">N35DC   </v>
      </c>
      <c r="N8723">
        <v>1</v>
      </c>
      <c r="O8723">
        <v>1100</v>
      </c>
    </row>
    <row r="8724" spans="1:15" x14ac:dyDescent="0.25">
      <c r="A8724" t="str">
        <f>"10/21/2020 19:14:46.185"</f>
        <v>10/21/2020 19:14:46.185</v>
      </c>
      <c r="B8724" t="str">
        <f>"19:14:54.148"</f>
        <v>19:14:54.148</v>
      </c>
      <c r="C8724" t="str">
        <f>"19:14:53.948"</f>
        <v>19:14:53.948</v>
      </c>
      <c r="D8724" t="s">
        <v>210</v>
      </c>
      <c r="E8724">
        <v>30.447793000000001</v>
      </c>
      <c r="F8724" t="s">
        <v>3378</v>
      </c>
      <c r="G8724">
        <v>-89.818832999999998</v>
      </c>
      <c r="H8724">
        <v>1100</v>
      </c>
      <c r="I8724">
        <v>49</v>
      </c>
      <c r="J8724">
        <v>-144</v>
      </c>
      <c r="K8724">
        <v>-640</v>
      </c>
      <c r="L8724">
        <v>1200</v>
      </c>
      <c r="M8724" t="str">
        <f t="shared" si="808"/>
        <v xml:space="preserve">N35DC   </v>
      </c>
      <c r="N8724">
        <v>1</v>
      </c>
      <c r="O8724">
        <v>1100</v>
      </c>
    </row>
    <row r="8725" spans="1:15" x14ac:dyDescent="0.25">
      <c r="A8725" t="str">
        <f>"10/21/2020 19:14:47.248"</f>
        <v>10/21/2020 19:14:47.248</v>
      </c>
      <c r="B8725" t="str">
        <f>"19:14:55.227"</f>
        <v>19:14:55.227</v>
      </c>
      <c r="C8725" t="str">
        <f>"19:14:54.927"</f>
        <v>19:14:54.927</v>
      </c>
      <c r="D8725" t="s">
        <v>3379</v>
      </c>
      <c r="E8725">
        <v>30.447106000000002</v>
      </c>
      <c r="F8725" t="s">
        <v>2325</v>
      </c>
      <c r="G8725">
        <v>-89.818554000000006</v>
      </c>
      <c r="H8725">
        <v>1100</v>
      </c>
      <c r="I8725">
        <v>53</v>
      </c>
      <c r="J8725">
        <v>-143</v>
      </c>
      <c r="K8725">
        <v>-512</v>
      </c>
      <c r="L8725">
        <v>1200</v>
      </c>
      <c r="M8725" t="str">
        <f t="shared" si="808"/>
        <v xml:space="preserve">N35DC   </v>
      </c>
      <c r="N8725">
        <v>1</v>
      </c>
      <c r="O8725">
        <v>1075</v>
      </c>
    </row>
    <row r="8726" spans="1:15" x14ac:dyDescent="0.25">
      <c r="A8726" t="str">
        <f>"10/21/2020 19:14:47.248"</f>
        <v>10/21/2020 19:14:47.248</v>
      </c>
      <c r="B8726" t="str">
        <f>"19:14:55.227"</f>
        <v>19:14:55.227</v>
      </c>
      <c r="C8726" t="str">
        <f>"19:14:54.927"</f>
        <v>19:14:54.927</v>
      </c>
      <c r="D8726" t="s">
        <v>3379</v>
      </c>
      <c r="E8726">
        <v>30.447106000000002</v>
      </c>
      <c r="F8726" t="s">
        <v>2325</v>
      </c>
      <c r="G8726">
        <v>-89.818554000000006</v>
      </c>
      <c r="H8726">
        <v>1100</v>
      </c>
      <c r="I8726">
        <v>53</v>
      </c>
      <c r="J8726">
        <v>-143</v>
      </c>
      <c r="K8726">
        <v>-512</v>
      </c>
      <c r="L8726">
        <v>1200</v>
      </c>
      <c r="M8726" t="str">
        <f t="shared" si="808"/>
        <v xml:space="preserve">N35DC   </v>
      </c>
      <c r="N8726">
        <v>1</v>
      </c>
      <c r="O8726">
        <v>1075</v>
      </c>
    </row>
    <row r="8727" spans="1:15" x14ac:dyDescent="0.25">
      <c r="A8727" t="str">
        <f>"10/21/2020 19:14:47.248"</f>
        <v>10/21/2020 19:14:47.248</v>
      </c>
      <c r="B8727" t="str">
        <f>"19:14:55.227"</f>
        <v>19:14:55.227</v>
      </c>
      <c r="C8727" t="str">
        <f>"19:14:54.927"</f>
        <v>19:14:54.927</v>
      </c>
      <c r="D8727" t="s">
        <v>3379</v>
      </c>
      <c r="E8727">
        <v>30.447106000000002</v>
      </c>
      <c r="F8727" t="s">
        <v>2325</v>
      </c>
      <c r="G8727">
        <v>-89.818554000000006</v>
      </c>
      <c r="H8727">
        <v>1100</v>
      </c>
      <c r="I8727">
        <v>53</v>
      </c>
      <c r="J8727">
        <v>-143</v>
      </c>
      <c r="K8727">
        <v>-512</v>
      </c>
      <c r="L8727">
        <v>1200</v>
      </c>
      <c r="M8727" t="str">
        <f t="shared" si="808"/>
        <v xml:space="preserve">N35DC   </v>
      </c>
      <c r="N8727">
        <v>1</v>
      </c>
      <c r="O8727">
        <v>1075</v>
      </c>
    </row>
    <row r="8728" spans="1:15" x14ac:dyDescent="0.25">
      <c r="A8728" t="str">
        <f>"10/21/2020 19:14:47.248"</f>
        <v>10/21/2020 19:14:47.248</v>
      </c>
      <c r="B8728" t="str">
        <f>"19:14:55.227"</f>
        <v>19:14:55.227</v>
      </c>
      <c r="C8728" t="str">
        <f>"19:14:54.927"</f>
        <v>19:14:54.927</v>
      </c>
      <c r="D8728" t="s">
        <v>3379</v>
      </c>
      <c r="E8728">
        <v>30.447106000000002</v>
      </c>
      <c r="F8728" t="s">
        <v>2325</v>
      </c>
      <c r="G8728">
        <v>-89.818554000000006</v>
      </c>
      <c r="H8728">
        <v>1100</v>
      </c>
      <c r="I8728">
        <v>53</v>
      </c>
      <c r="J8728">
        <v>-143</v>
      </c>
      <c r="K8728">
        <v>-512</v>
      </c>
      <c r="L8728">
        <v>1200</v>
      </c>
      <c r="M8728" t="str">
        <f t="shared" si="808"/>
        <v xml:space="preserve">N35DC   </v>
      </c>
      <c r="N8728">
        <v>1</v>
      </c>
      <c r="O8728">
        <v>1075</v>
      </c>
    </row>
    <row r="8729" spans="1:15" x14ac:dyDescent="0.25">
      <c r="A8729" t="str">
        <f>"10/21/2020 19:14:47.248"</f>
        <v>10/21/2020 19:14:47.248</v>
      </c>
      <c r="B8729" t="str">
        <f>"19:14:55.227"</f>
        <v>19:14:55.227</v>
      </c>
      <c r="C8729" t="str">
        <f>"19:14:54.927"</f>
        <v>19:14:54.927</v>
      </c>
      <c r="D8729" t="s">
        <v>3379</v>
      </c>
      <c r="E8729">
        <v>30.447106000000002</v>
      </c>
      <c r="F8729" t="s">
        <v>2325</v>
      </c>
      <c r="G8729">
        <v>-89.818554000000006</v>
      </c>
      <c r="H8729">
        <v>1100</v>
      </c>
      <c r="I8729">
        <v>53</v>
      </c>
      <c r="J8729">
        <v>-143</v>
      </c>
      <c r="K8729">
        <v>-512</v>
      </c>
      <c r="L8729">
        <v>1200</v>
      </c>
      <c r="M8729" t="str">
        <f t="shared" si="808"/>
        <v xml:space="preserve">N35DC   </v>
      </c>
      <c r="N8729">
        <v>1</v>
      </c>
      <c r="O8729">
        <v>1075</v>
      </c>
    </row>
    <row r="8730" spans="1:15" x14ac:dyDescent="0.25">
      <c r="A8730" t="str">
        <f>"10/21/2020 19:14:49.368"</f>
        <v>10/21/2020 19:14:49.368</v>
      </c>
      <c r="B8730" t="str">
        <f>"19:14:57.313"</f>
        <v>19:14:57.313</v>
      </c>
      <c r="C8730" t="str">
        <f>"19:14:56.313"</f>
        <v>19:14:56.313</v>
      </c>
      <c r="D8730" t="s">
        <v>3380</v>
      </c>
      <c r="E8730">
        <v>30.445733000000001</v>
      </c>
      <c r="F8730" t="s">
        <v>3381</v>
      </c>
      <c r="G8730">
        <v>-89.817867000000007</v>
      </c>
      <c r="H8730">
        <v>1100</v>
      </c>
      <c r="I8730">
        <v>57</v>
      </c>
      <c r="J8730">
        <v>-141</v>
      </c>
      <c r="K8730">
        <v>-320</v>
      </c>
      <c r="L8730">
        <v>1200</v>
      </c>
      <c r="M8730" t="str">
        <f t="shared" si="808"/>
        <v xml:space="preserve">N35DC   </v>
      </c>
      <c r="N8730">
        <v>1</v>
      </c>
      <c r="O8730">
        <v>1075</v>
      </c>
    </row>
    <row r="8731" spans="1:15" x14ac:dyDescent="0.25">
      <c r="A8731" t="str">
        <f>"10/21/2020 19:14:49.368"</f>
        <v>10/21/2020 19:14:49.368</v>
      </c>
      <c r="B8731" t="str">
        <f>"19:14:57.313"</f>
        <v>19:14:57.313</v>
      </c>
      <c r="C8731" t="str">
        <f>"19:14:56.313"</f>
        <v>19:14:56.313</v>
      </c>
      <c r="D8731" t="s">
        <v>3380</v>
      </c>
      <c r="E8731">
        <v>30.445733000000001</v>
      </c>
      <c r="F8731" t="s">
        <v>3381</v>
      </c>
      <c r="G8731">
        <v>-89.817867000000007</v>
      </c>
      <c r="H8731">
        <v>1100</v>
      </c>
      <c r="I8731">
        <v>57</v>
      </c>
      <c r="J8731">
        <v>-141</v>
      </c>
      <c r="K8731">
        <v>-320</v>
      </c>
      <c r="L8731">
        <v>1200</v>
      </c>
      <c r="M8731" t="str">
        <f t="shared" si="808"/>
        <v xml:space="preserve">N35DC   </v>
      </c>
      <c r="N8731">
        <v>1</v>
      </c>
      <c r="O8731">
        <v>1075</v>
      </c>
    </row>
    <row r="8732" spans="1:15" x14ac:dyDescent="0.25">
      <c r="A8732" t="str">
        <f>"10/21/2020 19:14:49.368"</f>
        <v>10/21/2020 19:14:49.368</v>
      </c>
      <c r="B8732" t="str">
        <f>"19:14:57.313"</f>
        <v>19:14:57.313</v>
      </c>
      <c r="C8732" t="str">
        <f>"19:14:56.313"</f>
        <v>19:14:56.313</v>
      </c>
      <c r="D8732" t="s">
        <v>3380</v>
      </c>
      <c r="E8732">
        <v>30.445733000000001</v>
      </c>
      <c r="F8732" t="s">
        <v>3381</v>
      </c>
      <c r="G8732">
        <v>-89.817867000000007</v>
      </c>
      <c r="H8732">
        <v>1100</v>
      </c>
      <c r="I8732">
        <v>57</v>
      </c>
      <c r="J8732">
        <v>-141</v>
      </c>
      <c r="K8732">
        <v>-320</v>
      </c>
      <c r="L8732">
        <v>1200</v>
      </c>
      <c r="M8732" t="str">
        <f t="shared" si="808"/>
        <v xml:space="preserve">N35DC   </v>
      </c>
      <c r="N8732">
        <v>1</v>
      </c>
      <c r="O8732">
        <v>1075</v>
      </c>
    </row>
    <row r="8733" spans="1:15" x14ac:dyDescent="0.25">
      <c r="A8733" t="str">
        <f>"10/21/2020 19:14:49.368"</f>
        <v>10/21/2020 19:14:49.368</v>
      </c>
      <c r="B8733" t="str">
        <f>"19:14:57.313"</f>
        <v>19:14:57.313</v>
      </c>
      <c r="C8733" t="str">
        <f>"19:14:56.313"</f>
        <v>19:14:56.313</v>
      </c>
      <c r="D8733" t="s">
        <v>3380</v>
      </c>
      <c r="E8733">
        <v>30.445733000000001</v>
      </c>
      <c r="F8733" t="s">
        <v>3381</v>
      </c>
      <c r="G8733">
        <v>-89.817867000000007</v>
      </c>
      <c r="H8733">
        <v>1100</v>
      </c>
      <c r="I8733">
        <v>57</v>
      </c>
      <c r="J8733">
        <v>-141</v>
      </c>
      <c r="K8733">
        <v>-320</v>
      </c>
      <c r="L8733">
        <v>1200</v>
      </c>
      <c r="M8733" t="str">
        <f t="shared" si="808"/>
        <v xml:space="preserve">N35DC   </v>
      </c>
      <c r="N8733">
        <v>1</v>
      </c>
      <c r="O8733">
        <v>1075</v>
      </c>
    </row>
    <row r="8734" spans="1:15" x14ac:dyDescent="0.25">
      <c r="A8734" t="str">
        <f>"10/21/2020 19:14:49.368"</f>
        <v>10/21/2020 19:14:49.368</v>
      </c>
      <c r="B8734" t="str">
        <f>"19:14:57.313"</f>
        <v>19:14:57.313</v>
      </c>
      <c r="C8734" t="str">
        <f>"19:14:56.313"</f>
        <v>19:14:56.313</v>
      </c>
      <c r="D8734" t="s">
        <v>3380</v>
      </c>
      <c r="E8734">
        <v>30.445733000000001</v>
      </c>
      <c r="F8734" t="s">
        <v>3381</v>
      </c>
      <c r="G8734">
        <v>-89.817867000000007</v>
      </c>
      <c r="H8734">
        <v>1100</v>
      </c>
      <c r="I8734">
        <v>57</v>
      </c>
      <c r="J8734">
        <v>-141</v>
      </c>
      <c r="K8734">
        <v>-320</v>
      </c>
      <c r="L8734">
        <v>1200</v>
      </c>
      <c r="M8734" t="str">
        <f t="shared" si="808"/>
        <v xml:space="preserve">N35DC   </v>
      </c>
      <c r="N8734">
        <v>1</v>
      </c>
      <c r="O8734">
        <v>1075</v>
      </c>
    </row>
    <row r="8735" spans="1:15" x14ac:dyDescent="0.25">
      <c r="A8735" t="str">
        <f>"10/21/2020 19:14:50.251"</f>
        <v>10/21/2020 19:14:50.251</v>
      </c>
      <c r="B8735" t="str">
        <f>"19:14:58.211"</f>
        <v>19:14:58.211</v>
      </c>
      <c r="C8735" t="str">
        <f>"19:14:58.011"</f>
        <v>19:14:58.011</v>
      </c>
      <c r="D8735" t="s">
        <v>3382</v>
      </c>
      <c r="E8735">
        <v>30.445153999999999</v>
      </c>
      <c r="F8735" t="s">
        <v>3383</v>
      </c>
      <c r="G8735">
        <v>-89.817566999999997</v>
      </c>
      <c r="H8735">
        <v>1000</v>
      </c>
      <c r="I8735">
        <v>62</v>
      </c>
      <c r="J8735">
        <v>-139</v>
      </c>
      <c r="K8735">
        <v>-256</v>
      </c>
      <c r="L8735">
        <v>1200</v>
      </c>
      <c r="M8735" t="str">
        <f t="shared" si="808"/>
        <v xml:space="preserve">N35DC   </v>
      </c>
      <c r="N8735">
        <v>1</v>
      </c>
      <c r="O8735">
        <v>1075</v>
      </c>
    </row>
    <row r="8736" spans="1:15" x14ac:dyDescent="0.25">
      <c r="A8736" t="str">
        <f>"10/21/2020 19:14:50.251"</f>
        <v>10/21/2020 19:14:50.251</v>
      </c>
      <c r="B8736" t="str">
        <f>"19:14:58.211"</f>
        <v>19:14:58.211</v>
      </c>
      <c r="C8736" t="str">
        <f>"19:14:58.011"</f>
        <v>19:14:58.011</v>
      </c>
      <c r="D8736" t="s">
        <v>3382</v>
      </c>
      <c r="E8736">
        <v>30.445153999999999</v>
      </c>
      <c r="F8736" t="s">
        <v>3383</v>
      </c>
      <c r="G8736">
        <v>-89.817566999999997</v>
      </c>
      <c r="H8736">
        <v>1000</v>
      </c>
      <c r="I8736">
        <v>62</v>
      </c>
      <c r="J8736">
        <v>-139</v>
      </c>
      <c r="K8736">
        <v>-256</v>
      </c>
      <c r="L8736">
        <v>1200</v>
      </c>
      <c r="M8736" t="str">
        <f t="shared" si="808"/>
        <v xml:space="preserve">N35DC   </v>
      </c>
      <c r="N8736">
        <v>1</v>
      </c>
      <c r="O8736">
        <v>1075</v>
      </c>
    </row>
    <row r="8737" spans="1:15" x14ac:dyDescent="0.25">
      <c r="A8737" t="str">
        <f>"10/21/2020 19:14:50.251"</f>
        <v>10/21/2020 19:14:50.251</v>
      </c>
      <c r="B8737" t="str">
        <f>"19:14:58.211"</f>
        <v>19:14:58.211</v>
      </c>
      <c r="C8737" t="str">
        <f>"19:14:58.011"</f>
        <v>19:14:58.011</v>
      </c>
      <c r="D8737" t="s">
        <v>3382</v>
      </c>
      <c r="E8737">
        <v>30.445153999999999</v>
      </c>
      <c r="F8737" t="s">
        <v>3383</v>
      </c>
      <c r="G8737">
        <v>-89.817566999999997</v>
      </c>
      <c r="H8737">
        <v>1000</v>
      </c>
      <c r="I8737">
        <v>62</v>
      </c>
      <c r="J8737">
        <v>-139</v>
      </c>
      <c r="K8737">
        <v>-256</v>
      </c>
      <c r="L8737">
        <v>1200</v>
      </c>
      <c r="M8737" t="str">
        <f t="shared" si="808"/>
        <v xml:space="preserve">N35DC   </v>
      </c>
      <c r="N8737">
        <v>1</v>
      </c>
      <c r="O8737">
        <v>1075</v>
      </c>
    </row>
    <row r="8738" spans="1:15" x14ac:dyDescent="0.25">
      <c r="A8738" t="str">
        <f>"10/21/2020 19:14:50.251"</f>
        <v>10/21/2020 19:14:50.251</v>
      </c>
      <c r="B8738" t="str">
        <f>"19:14:58.211"</f>
        <v>19:14:58.211</v>
      </c>
      <c r="C8738" t="str">
        <f>"19:14:58.011"</f>
        <v>19:14:58.011</v>
      </c>
      <c r="D8738" t="s">
        <v>3382</v>
      </c>
      <c r="E8738">
        <v>30.445153999999999</v>
      </c>
      <c r="F8738" t="s">
        <v>3383</v>
      </c>
      <c r="G8738">
        <v>-89.817566999999997</v>
      </c>
      <c r="H8738">
        <v>1000</v>
      </c>
      <c r="I8738">
        <v>62</v>
      </c>
      <c r="J8738">
        <v>-139</v>
      </c>
      <c r="K8738">
        <v>-256</v>
      </c>
      <c r="L8738">
        <v>1200</v>
      </c>
      <c r="M8738" t="str">
        <f t="shared" si="808"/>
        <v xml:space="preserve">N35DC   </v>
      </c>
      <c r="N8738">
        <v>1</v>
      </c>
      <c r="O8738">
        <v>1075</v>
      </c>
    </row>
    <row r="8739" spans="1:15" x14ac:dyDescent="0.25">
      <c r="A8739" t="str">
        <f>"10/21/2020 19:14:50.251"</f>
        <v>10/21/2020 19:14:50.251</v>
      </c>
      <c r="B8739" t="str">
        <f>"19:14:58.211"</f>
        <v>19:14:58.211</v>
      </c>
      <c r="C8739" t="str">
        <f>"19:14:58.011"</f>
        <v>19:14:58.011</v>
      </c>
      <c r="D8739" t="s">
        <v>3382</v>
      </c>
      <c r="E8739">
        <v>30.445153999999999</v>
      </c>
      <c r="F8739" t="s">
        <v>3383</v>
      </c>
      <c r="G8739">
        <v>-89.817566999999997</v>
      </c>
      <c r="H8739">
        <v>1000</v>
      </c>
      <c r="I8739">
        <v>62</v>
      </c>
      <c r="J8739">
        <v>-139</v>
      </c>
      <c r="K8739">
        <v>-256</v>
      </c>
      <c r="L8739">
        <v>1200</v>
      </c>
      <c r="M8739" t="str">
        <f t="shared" si="808"/>
        <v xml:space="preserve">N35DC   </v>
      </c>
      <c r="N8739">
        <v>1</v>
      </c>
      <c r="O8739">
        <v>1075</v>
      </c>
    </row>
    <row r="8740" spans="1:15" x14ac:dyDescent="0.25">
      <c r="A8740" t="str">
        <f>"10/21/2020 19:14:53.457"</f>
        <v>10/21/2020 19:14:53.457</v>
      </c>
      <c r="B8740" t="str">
        <f t="shared" ref="B8740:C8744" si="809">"19:15:01.438"</f>
        <v>19:15:01.438</v>
      </c>
      <c r="C8740" t="str">
        <f t="shared" si="809"/>
        <v>19:15:01.438</v>
      </c>
      <c r="D8740" t="s">
        <v>3384</v>
      </c>
      <c r="E8740">
        <v>30.443114999999999</v>
      </c>
      <c r="F8740" t="s">
        <v>2865</v>
      </c>
      <c r="G8740">
        <v>-89.816407999999996</v>
      </c>
      <c r="H8740">
        <v>1000</v>
      </c>
      <c r="I8740">
        <v>71</v>
      </c>
      <c r="J8740">
        <v>-134</v>
      </c>
      <c r="K8740">
        <v>-192</v>
      </c>
      <c r="L8740">
        <v>1200</v>
      </c>
      <c r="M8740" t="str">
        <f t="shared" si="808"/>
        <v xml:space="preserve">N35DC   </v>
      </c>
      <c r="N8740">
        <v>1</v>
      </c>
      <c r="O8740">
        <v>1050</v>
      </c>
    </row>
    <row r="8741" spans="1:15" x14ac:dyDescent="0.25">
      <c r="A8741" t="str">
        <f>"10/21/2020 19:14:53.457"</f>
        <v>10/21/2020 19:14:53.457</v>
      </c>
      <c r="B8741" t="str">
        <f t="shared" si="809"/>
        <v>19:15:01.438</v>
      </c>
      <c r="C8741" t="str">
        <f t="shared" si="809"/>
        <v>19:15:01.438</v>
      </c>
      <c r="D8741" t="s">
        <v>3384</v>
      </c>
      <c r="E8741">
        <v>30.443114999999999</v>
      </c>
      <c r="F8741" t="s">
        <v>2865</v>
      </c>
      <c r="G8741">
        <v>-89.816407999999996</v>
      </c>
      <c r="H8741">
        <v>1000</v>
      </c>
      <c r="I8741">
        <v>71</v>
      </c>
      <c r="J8741">
        <v>-134</v>
      </c>
      <c r="K8741">
        <v>-192</v>
      </c>
      <c r="L8741">
        <v>1200</v>
      </c>
      <c r="M8741" t="str">
        <f t="shared" si="808"/>
        <v xml:space="preserve">N35DC   </v>
      </c>
      <c r="N8741">
        <v>1</v>
      </c>
      <c r="O8741">
        <v>1050</v>
      </c>
    </row>
    <row r="8742" spans="1:15" x14ac:dyDescent="0.25">
      <c r="A8742" t="str">
        <f>"10/21/2020 19:14:53.457"</f>
        <v>10/21/2020 19:14:53.457</v>
      </c>
      <c r="B8742" t="str">
        <f t="shared" si="809"/>
        <v>19:15:01.438</v>
      </c>
      <c r="C8742" t="str">
        <f t="shared" si="809"/>
        <v>19:15:01.438</v>
      </c>
      <c r="D8742" t="s">
        <v>3384</v>
      </c>
      <c r="E8742">
        <v>30.443114999999999</v>
      </c>
      <c r="F8742" t="s">
        <v>2865</v>
      </c>
      <c r="G8742">
        <v>-89.816407999999996</v>
      </c>
      <c r="H8742">
        <v>1000</v>
      </c>
      <c r="I8742">
        <v>71</v>
      </c>
      <c r="J8742">
        <v>-134</v>
      </c>
      <c r="K8742">
        <v>-192</v>
      </c>
      <c r="L8742">
        <v>1200</v>
      </c>
      <c r="M8742" t="str">
        <f t="shared" si="808"/>
        <v xml:space="preserve">N35DC   </v>
      </c>
      <c r="N8742">
        <v>1</v>
      </c>
      <c r="O8742">
        <v>1050</v>
      </c>
    </row>
    <row r="8743" spans="1:15" x14ac:dyDescent="0.25">
      <c r="A8743" t="str">
        <f>"10/21/2020 19:14:53.457"</f>
        <v>10/21/2020 19:14:53.457</v>
      </c>
      <c r="B8743" t="str">
        <f t="shared" si="809"/>
        <v>19:15:01.438</v>
      </c>
      <c r="C8743" t="str">
        <f t="shared" si="809"/>
        <v>19:15:01.438</v>
      </c>
      <c r="D8743" t="s">
        <v>3384</v>
      </c>
      <c r="E8743">
        <v>30.443114999999999</v>
      </c>
      <c r="F8743" t="s">
        <v>2865</v>
      </c>
      <c r="G8743">
        <v>-89.816407999999996</v>
      </c>
      <c r="H8743">
        <v>1000</v>
      </c>
      <c r="I8743">
        <v>71</v>
      </c>
      <c r="J8743">
        <v>-134</v>
      </c>
      <c r="K8743">
        <v>-192</v>
      </c>
      <c r="L8743">
        <v>1200</v>
      </c>
      <c r="M8743" t="str">
        <f t="shared" si="808"/>
        <v xml:space="preserve">N35DC   </v>
      </c>
      <c r="N8743">
        <v>1</v>
      </c>
      <c r="O8743">
        <v>1050</v>
      </c>
    </row>
    <row r="8744" spans="1:15" x14ac:dyDescent="0.25">
      <c r="A8744" t="str">
        <f>"10/21/2020 19:14:53.457"</f>
        <v>10/21/2020 19:14:53.457</v>
      </c>
      <c r="B8744" t="str">
        <f t="shared" si="809"/>
        <v>19:15:01.438</v>
      </c>
      <c r="C8744" t="str">
        <f t="shared" si="809"/>
        <v>19:15:01.438</v>
      </c>
      <c r="D8744" t="s">
        <v>3384</v>
      </c>
      <c r="E8744">
        <v>30.443114999999999</v>
      </c>
      <c r="F8744" t="s">
        <v>2865</v>
      </c>
      <c r="G8744">
        <v>-89.816407999999996</v>
      </c>
      <c r="H8744">
        <v>1000</v>
      </c>
      <c r="I8744">
        <v>71</v>
      </c>
      <c r="J8744">
        <v>-134</v>
      </c>
      <c r="K8744">
        <v>-192</v>
      </c>
      <c r="L8744">
        <v>1200</v>
      </c>
      <c r="M8744" t="str">
        <f t="shared" si="808"/>
        <v xml:space="preserve">N35DC   </v>
      </c>
      <c r="N8744">
        <v>1</v>
      </c>
      <c r="O8744">
        <v>1050</v>
      </c>
    </row>
    <row r="8745" spans="1:15" x14ac:dyDescent="0.25">
      <c r="A8745" t="str">
        <f>"10/21/2020 19:14:56.200"</f>
        <v>10/21/2020 19:14:56.200</v>
      </c>
      <c r="B8745" t="str">
        <f>"19:15:04.180"</f>
        <v>19:15:04.180</v>
      </c>
      <c r="C8745" t="str">
        <f>"19:15:03.780"</f>
        <v>19:15:03.780</v>
      </c>
      <c r="D8745" t="s">
        <v>3385</v>
      </c>
      <c r="E8745">
        <v>30.441441999999999</v>
      </c>
      <c r="F8745" t="s">
        <v>3386</v>
      </c>
      <c r="G8745">
        <v>-89.815314000000001</v>
      </c>
      <c r="H8745">
        <v>1000</v>
      </c>
      <c r="I8745">
        <v>76</v>
      </c>
      <c r="J8745">
        <v>-128</v>
      </c>
      <c r="K8745">
        <v>192</v>
      </c>
      <c r="L8745">
        <v>1200</v>
      </c>
      <c r="M8745" t="str">
        <f t="shared" si="808"/>
        <v xml:space="preserve">N35DC   </v>
      </c>
      <c r="N8745">
        <v>1</v>
      </c>
      <c r="O8745">
        <v>1050</v>
      </c>
    </row>
    <row r="8746" spans="1:15" x14ac:dyDescent="0.25">
      <c r="A8746" t="str">
        <f>"10/21/2020 19:14:56.200"</f>
        <v>10/21/2020 19:14:56.200</v>
      </c>
      <c r="B8746" t="str">
        <f>"19:15:04.180"</f>
        <v>19:15:04.180</v>
      </c>
      <c r="C8746" t="str">
        <f>"19:15:03.780"</f>
        <v>19:15:03.780</v>
      </c>
      <c r="D8746" t="s">
        <v>3385</v>
      </c>
      <c r="E8746">
        <v>30.441441999999999</v>
      </c>
      <c r="F8746" t="s">
        <v>3386</v>
      </c>
      <c r="G8746">
        <v>-89.815314000000001</v>
      </c>
      <c r="H8746">
        <v>1000</v>
      </c>
      <c r="I8746">
        <v>76</v>
      </c>
      <c r="J8746">
        <v>-128</v>
      </c>
      <c r="K8746">
        <v>192</v>
      </c>
      <c r="L8746">
        <v>1200</v>
      </c>
      <c r="M8746" t="str">
        <f t="shared" si="808"/>
        <v xml:space="preserve">N35DC   </v>
      </c>
      <c r="N8746">
        <v>1</v>
      </c>
      <c r="O8746">
        <v>1050</v>
      </c>
    </row>
    <row r="8747" spans="1:15" x14ac:dyDescent="0.25">
      <c r="A8747" t="str">
        <f>"10/21/2020 19:14:56.200"</f>
        <v>10/21/2020 19:14:56.200</v>
      </c>
      <c r="B8747" t="str">
        <f>"19:15:04.180"</f>
        <v>19:15:04.180</v>
      </c>
      <c r="C8747" t="str">
        <f>"19:15:03.780"</f>
        <v>19:15:03.780</v>
      </c>
      <c r="D8747" t="s">
        <v>3385</v>
      </c>
      <c r="E8747">
        <v>30.441441999999999</v>
      </c>
      <c r="F8747" t="s">
        <v>3386</v>
      </c>
      <c r="G8747">
        <v>-89.815314000000001</v>
      </c>
      <c r="H8747">
        <v>1000</v>
      </c>
      <c r="I8747">
        <v>76</v>
      </c>
      <c r="J8747">
        <v>-128</v>
      </c>
      <c r="K8747">
        <v>192</v>
      </c>
      <c r="L8747">
        <v>1200</v>
      </c>
      <c r="M8747" t="str">
        <f t="shared" si="808"/>
        <v xml:space="preserve">N35DC   </v>
      </c>
      <c r="N8747">
        <v>1</v>
      </c>
      <c r="O8747">
        <v>1050</v>
      </c>
    </row>
    <row r="8748" spans="1:15" x14ac:dyDescent="0.25">
      <c r="A8748" t="str">
        <f>"10/21/2020 19:14:56.200"</f>
        <v>10/21/2020 19:14:56.200</v>
      </c>
      <c r="B8748" t="str">
        <f>"19:15:04.180"</f>
        <v>19:15:04.180</v>
      </c>
      <c r="C8748" t="str">
        <f>"19:15:03.780"</f>
        <v>19:15:03.780</v>
      </c>
      <c r="D8748" t="s">
        <v>3385</v>
      </c>
      <c r="E8748">
        <v>30.441441999999999</v>
      </c>
      <c r="F8748" t="s">
        <v>3386</v>
      </c>
      <c r="G8748">
        <v>-89.815314000000001</v>
      </c>
      <c r="H8748">
        <v>1000</v>
      </c>
      <c r="I8748">
        <v>76</v>
      </c>
      <c r="J8748">
        <v>-128</v>
      </c>
      <c r="K8748">
        <v>192</v>
      </c>
      <c r="L8748">
        <v>1200</v>
      </c>
      <c r="M8748" t="str">
        <f t="shared" si="808"/>
        <v xml:space="preserve">N35DC   </v>
      </c>
      <c r="N8748">
        <v>1</v>
      </c>
      <c r="O8748">
        <v>1050</v>
      </c>
    </row>
    <row r="8749" spans="1:15" x14ac:dyDescent="0.25">
      <c r="A8749" t="str">
        <f>"10/21/2020 19:14:56.200"</f>
        <v>10/21/2020 19:14:56.200</v>
      </c>
      <c r="B8749" t="str">
        <f>"19:15:04.180"</f>
        <v>19:15:04.180</v>
      </c>
      <c r="C8749" t="str">
        <f>"19:15:03.780"</f>
        <v>19:15:03.780</v>
      </c>
      <c r="D8749" t="s">
        <v>3385</v>
      </c>
      <c r="E8749">
        <v>30.441441999999999</v>
      </c>
      <c r="F8749" t="s">
        <v>3386</v>
      </c>
      <c r="G8749">
        <v>-89.815314000000001</v>
      </c>
      <c r="H8749">
        <v>1000</v>
      </c>
      <c r="I8749">
        <v>76</v>
      </c>
      <c r="J8749">
        <v>-128</v>
      </c>
      <c r="K8749">
        <v>192</v>
      </c>
      <c r="L8749">
        <v>1200</v>
      </c>
      <c r="M8749" t="str">
        <f t="shared" si="808"/>
        <v xml:space="preserve">N35DC   </v>
      </c>
      <c r="N8749">
        <v>1</v>
      </c>
      <c r="O8749">
        <v>1050</v>
      </c>
    </row>
    <row r="8750" spans="1:15" x14ac:dyDescent="0.25">
      <c r="A8750" t="str">
        <f>"10/21/2020 19:14:57.274"</f>
        <v>10/21/2020 19:14:57.274</v>
      </c>
      <c r="B8750" t="str">
        <f>"19:15:05.195"</f>
        <v>19:15:05.195</v>
      </c>
      <c r="C8750" t="str">
        <f>"19:15:04.695"</f>
        <v>19:15:04.695</v>
      </c>
      <c r="D8750" t="s">
        <v>3387</v>
      </c>
      <c r="E8750">
        <v>30.440861999999999</v>
      </c>
      <c r="F8750" t="s">
        <v>2859</v>
      </c>
      <c r="G8750">
        <v>-89.814905999999993</v>
      </c>
      <c r="H8750">
        <v>1000</v>
      </c>
      <c r="I8750">
        <v>78</v>
      </c>
      <c r="J8750">
        <v>-126</v>
      </c>
      <c r="K8750">
        <v>192</v>
      </c>
      <c r="L8750">
        <v>1200</v>
      </c>
      <c r="M8750" t="str">
        <f t="shared" si="808"/>
        <v xml:space="preserve">N35DC   </v>
      </c>
      <c r="N8750">
        <v>1</v>
      </c>
      <c r="O8750">
        <v>1050</v>
      </c>
    </row>
    <row r="8751" spans="1:15" x14ac:dyDescent="0.25">
      <c r="A8751" t="str">
        <f>"10/21/2020 19:14:57.274"</f>
        <v>10/21/2020 19:14:57.274</v>
      </c>
      <c r="B8751" t="str">
        <f>"19:15:05.195"</f>
        <v>19:15:05.195</v>
      </c>
      <c r="C8751" t="str">
        <f>"19:15:04.695"</f>
        <v>19:15:04.695</v>
      </c>
      <c r="D8751" t="s">
        <v>3387</v>
      </c>
      <c r="E8751">
        <v>30.440861999999999</v>
      </c>
      <c r="F8751" t="s">
        <v>2859</v>
      </c>
      <c r="G8751">
        <v>-89.814905999999993</v>
      </c>
      <c r="H8751">
        <v>1000</v>
      </c>
      <c r="I8751">
        <v>78</v>
      </c>
      <c r="J8751">
        <v>-126</v>
      </c>
      <c r="K8751">
        <v>192</v>
      </c>
      <c r="L8751">
        <v>1200</v>
      </c>
      <c r="M8751" t="str">
        <f t="shared" si="808"/>
        <v xml:space="preserve">N35DC   </v>
      </c>
      <c r="N8751">
        <v>1</v>
      </c>
      <c r="O8751">
        <v>1050</v>
      </c>
    </row>
    <row r="8752" spans="1:15" x14ac:dyDescent="0.25">
      <c r="A8752" t="str">
        <f>"10/21/2020 19:14:57.274"</f>
        <v>10/21/2020 19:14:57.274</v>
      </c>
      <c r="B8752" t="str">
        <f>"19:15:05.195"</f>
        <v>19:15:05.195</v>
      </c>
      <c r="C8752" t="str">
        <f>"19:15:04.695"</f>
        <v>19:15:04.695</v>
      </c>
      <c r="D8752" t="s">
        <v>3387</v>
      </c>
      <c r="E8752">
        <v>30.440861999999999</v>
      </c>
      <c r="F8752" t="s">
        <v>2859</v>
      </c>
      <c r="G8752">
        <v>-89.814905999999993</v>
      </c>
      <c r="H8752">
        <v>1000</v>
      </c>
      <c r="I8752">
        <v>78</v>
      </c>
      <c r="J8752">
        <v>-126</v>
      </c>
      <c r="K8752">
        <v>192</v>
      </c>
      <c r="L8752">
        <v>1200</v>
      </c>
      <c r="M8752" t="str">
        <f t="shared" si="808"/>
        <v xml:space="preserve">N35DC   </v>
      </c>
      <c r="N8752">
        <v>1</v>
      </c>
      <c r="O8752">
        <v>1050</v>
      </c>
    </row>
    <row r="8753" spans="1:15" x14ac:dyDescent="0.25">
      <c r="A8753" t="str">
        <f>"10/21/2020 19:14:57.274"</f>
        <v>10/21/2020 19:14:57.274</v>
      </c>
      <c r="B8753" t="str">
        <f>"19:15:05.195"</f>
        <v>19:15:05.195</v>
      </c>
      <c r="C8753" t="str">
        <f>"19:15:04.695"</f>
        <v>19:15:04.695</v>
      </c>
      <c r="D8753" t="s">
        <v>3387</v>
      </c>
      <c r="E8753">
        <v>30.440861999999999</v>
      </c>
      <c r="F8753" t="s">
        <v>2859</v>
      </c>
      <c r="G8753">
        <v>-89.814905999999993</v>
      </c>
      <c r="H8753">
        <v>1000</v>
      </c>
      <c r="I8753">
        <v>78</v>
      </c>
      <c r="J8753">
        <v>-126</v>
      </c>
      <c r="K8753">
        <v>192</v>
      </c>
      <c r="L8753">
        <v>1200</v>
      </c>
      <c r="M8753" t="str">
        <f t="shared" si="808"/>
        <v xml:space="preserve">N35DC   </v>
      </c>
      <c r="N8753">
        <v>1</v>
      </c>
      <c r="O8753">
        <v>1050</v>
      </c>
    </row>
    <row r="8754" spans="1:15" x14ac:dyDescent="0.25">
      <c r="A8754" t="str">
        <f>"10/21/2020 19:14:57.274"</f>
        <v>10/21/2020 19:14:57.274</v>
      </c>
      <c r="B8754" t="str">
        <f>"19:15:05.195"</f>
        <v>19:15:05.195</v>
      </c>
      <c r="C8754" t="str">
        <f>"19:15:04.695"</f>
        <v>19:15:04.695</v>
      </c>
      <c r="D8754" t="s">
        <v>3387</v>
      </c>
      <c r="E8754">
        <v>30.440861999999999</v>
      </c>
      <c r="F8754" t="s">
        <v>2859</v>
      </c>
      <c r="G8754">
        <v>-89.814905999999993</v>
      </c>
      <c r="H8754">
        <v>1000</v>
      </c>
      <c r="I8754">
        <v>78</v>
      </c>
      <c r="J8754">
        <v>-126</v>
      </c>
      <c r="K8754">
        <v>192</v>
      </c>
      <c r="L8754">
        <v>1200</v>
      </c>
      <c r="M8754" t="str">
        <f t="shared" si="808"/>
        <v xml:space="preserve">N35DC   </v>
      </c>
      <c r="N8754">
        <v>1</v>
      </c>
      <c r="O8754">
        <v>1050</v>
      </c>
    </row>
    <row r="8755" spans="1:15" x14ac:dyDescent="0.25">
      <c r="A8755" t="str">
        <f>"10/21/2020 19:15:00.230"</f>
        <v>10/21/2020 19:15:00.230</v>
      </c>
      <c r="B8755" t="str">
        <f>"19:15:08.188"</f>
        <v>19:15:08.188</v>
      </c>
      <c r="C8755" t="str">
        <f>"19:15:08.087"</f>
        <v>19:15:08.087</v>
      </c>
      <c r="D8755" t="s">
        <v>3388</v>
      </c>
      <c r="E8755">
        <v>30.439253000000001</v>
      </c>
      <c r="F8755" t="s">
        <v>3084</v>
      </c>
      <c r="G8755">
        <v>-89.813511000000005</v>
      </c>
      <c r="H8755">
        <v>1000</v>
      </c>
      <c r="I8755">
        <v>91</v>
      </c>
      <c r="J8755">
        <v>-112</v>
      </c>
      <c r="K8755">
        <v>-64</v>
      </c>
      <c r="L8755">
        <v>1200</v>
      </c>
      <c r="M8755" t="str">
        <f t="shared" si="808"/>
        <v xml:space="preserve">N35DC   </v>
      </c>
      <c r="N8755">
        <v>1</v>
      </c>
      <c r="O8755">
        <v>1050</v>
      </c>
    </row>
    <row r="8756" spans="1:15" x14ac:dyDescent="0.25">
      <c r="A8756" t="str">
        <f>"10/21/2020 19:15:00.230"</f>
        <v>10/21/2020 19:15:00.230</v>
      </c>
      <c r="B8756" t="str">
        <f>"19:15:08.188"</f>
        <v>19:15:08.188</v>
      </c>
      <c r="C8756" t="str">
        <f>"19:15:08.087"</f>
        <v>19:15:08.087</v>
      </c>
      <c r="D8756" t="s">
        <v>3388</v>
      </c>
      <c r="E8756">
        <v>30.439253000000001</v>
      </c>
      <c r="F8756" t="s">
        <v>3084</v>
      </c>
      <c r="G8756">
        <v>-89.813511000000005</v>
      </c>
      <c r="H8756">
        <v>1000</v>
      </c>
      <c r="I8756">
        <v>91</v>
      </c>
      <c r="J8756">
        <v>-112</v>
      </c>
      <c r="K8756">
        <v>-64</v>
      </c>
      <c r="L8756">
        <v>1200</v>
      </c>
      <c r="M8756" t="str">
        <f t="shared" si="808"/>
        <v xml:space="preserve">N35DC   </v>
      </c>
      <c r="N8756">
        <v>1</v>
      </c>
      <c r="O8756">
        <v>1050</v>
      </c>
    </row>
    <row r="8757" spans="1:15" x14ac:dyDescent="0.25">
      <c r="A8757" t="str">
        <f>"10/21/2020 19:15:00.230"</f>
        <v>10/21/2020 19:15:00.230</v>
      </c>
      <c r="B8757" t="str">
        <f>"19:15:08.188"</f>
        <v>19:15:08.188</v>
      </c>
      <c r="C8757" t="str">
        <f>"19:15:08.087"</f>
        <v>19:15:08.087</v>
      </c>
      <c r="D8757" t="s">
        <v>3388</v>
      </c>
      <c r="E8757">
        <v>30.439253000000001</v>
      </c>
      <c r="F8757" t="s">
        <v>3084</v>
      </c>
      <c r="G8757">
        <v>-89.813511000000005</v>
      </c>
      <c r="H8757">
        <v>1000</v>
      </c>
      <c r="I8757">
        <v>91</v>
      </c>
      <c r="J8757">
        <v>-112</v>
      </c>
      <c r="K8757">
        <v>-64</v>
      </c>
      <c r="L8757">
        <v>1200</v>
      </c>
      <c r="M8757" t="str">
        <f t="shared" si="808"/>
        <v xml:space="preserve">N35DC   </v>
      </c>
      <c r="N8757">
        <v>1</v>
      </c>
      <c r="O8757">
        <v>1050</v>
      </c>
    </row>
    <row r="8758" spans="1:15" x14ac:dyDescent="0.25">
      <c r="A8758" t="str">
        <f>"10/21/2020 19:15:00.230"</f>
        <v>10/21/2020 19:15:00.230</v>
      </c>
      <c r="B8758" t="str">
        <f>"19:15:08.188"</f>
        <v>19:15:08.188</v>
      </c>
      <c r="C8758" t="str">
        <f>"19:15:08.087"</f>
        <v>19:15:08.087</v>
      </c>
      <c r="D8758" t="s">
        <v>3388</v>
      </c>
      <c r="E8758">
        <v>30.439253000000001</v>
      </c>
      <c r="F8758" t="s">
        <v>3084</v>
      </c>
      <c r="G8758">
        <v>-89.813511000000005</v>
      </c>
      <c r="H8758">
        <v>1000</v>
      </c>
      <c r="I8758">
        <v>91</v>
      </c>
      <c r="J8758">
        <v>-112</v>
      </c>
      <c r="K8758">
        <v>-64</v>
      </c>
      <c r="L8758">
        <v>1200</v>
      </c>
      <c r="M8758" t="str">
        <f t="shared" si="808"/>
        <v xml:space="preserve">N35DC   </v>
      </c>
      <c r="N8758">
        <v>1</v>
      </c>
      <c r="O8758">
        <v>1050</v>
      </c>
    </row>
    <row r="8759" spans="1:15" x14ac:dyDescent="0.25">
      <c r="A8759" t="str">
        <f>"10/21/2020 19:15:00.230"</f>
        <v>10/21/2020 19:15:00.230</v>
      </c>
      <c r="B8759" t="str">
        <f>"19:15:08.188"</f>
        <v>19:15:08.188</v>
      </c>
      <c r="C8759" t="str">
        <f>"19:15:08.087"</f>
        <v>19:15:08.087</v>
      </c>
      <c r="D8759" t="s">
        <v>3388</v>
      </c>
      <c r="E8759">
        <v>30.439253000000001</v>
      </c>
      <c r="F8759" t="s">
        <v>3084</v>
      </c>
      <c r="G8759">
        <v>-89.813511000000005</v>
      </c>
      <c r="H8759">
        <v>1000</v>
      </c>
      <c r="I8759">
        <v>91</v>
      </c>
      <c r="J8759">
        <v>-112</v>
      </c>
      <c r="K8759">
        <v>-64</v>
      </c>
      <c r="L8759">
        <v>1200</v>
      </c>
      <c r="M8759" t="str">
        <f t="shared" si="808"/>
        <v xml:space="preserve">N35DC   </v>
      </c>
      <c r="N8759">
        <v>1</v>
      </c>
      <c r="O8759">
        <v>1050</v>
      </c>
    </row>
    <row r="8760" spans="1:15" x14ac:dyDescent="0.25">
      <c r="A8760" t="str">
        <f>"10/21/2020 19:15:01.288"</f>
        <v>10/21/2020 19:15:01.288</v>
      </c>
      <c r="B8760" t="str">
        <f>"19:15:09.234"</f>
        <v>19:15:09.234</v>
      </c>
      <c r="C8760" t="str">
        <f>"19:15:09.034"</f>
        <v>19:15:09.034</v>
      </c>
      <c r="D8760" t="s">
        <v>3389</v>
      </c>
      <c r="E8760">
        <v>30.438715999999999</v>
      </c>
      <c r="F8760" t="s">
        <v>3390</v>
      </c>
      <c r="G8760">
        <v>-89.812952999999993</v>
      </c>
      <c r="H8760">
        <v>1000</v>
      </c>
      <c r="I8760">
        <v>98</v>
      </c>
      <c r="J8760">
        <v>-106</v>
      </c>
      <c r="K8760">
        <v>64</v>
      </c>
      <c r="L8760">
        <v>1200</v>
      </c>
      <c r="M8760" t="str">
        <f t="shared" si="808"/>
        <v xml:space="preserve">N35DC   </v>
      </c>
      <c r="N8760">
        <v>1</v>
      </c>
      <c r="O8760">
        <v>1050</v>
      </c>
    </row>
    <row r="8761" spans="1:15" x14ac:dyDescent="0.25">
      <c r="A8761" t="str">
        <f>"10/21/2020 19:15:01.288"</f>
        <v>10/21/2020 19:15:01.288</v>
      </c>
      <c r="B8761" t="str">
        <f>"19:15:09.234"</f>
        <v>19:15:09.234</v>
      </c>
      <c r="C8761" t="str">
        <f>"19:15:09.034"</f>
        <v>19:15:09.034</v>
      </c>
      <c r="D8761" t="s">
        <v>3389</v>
      </c>
      <c r="E8761">
        <v>30.438715999999999</v>
      </c>
      <c r="F8761" t="s">
        <v>3390</v>
      </c>
      <c r="G8761">
        <v>-89.812952999999993</v>
      </c>
      <c r="H8761">
        <v>1000</v>
      </c>
      <c r="I8761">
        <v>98</v>
      </c>
      <c r="J8761">
        <v>-106</v>
      </c>
      <c r="K8761">
        <v>64</v>
      </c>
      <c r="L8761">
        <v>1200</v>
      </c>
      <c r="M8761" t="str">
        <f t="shared" si="808"/>
        <v xml:space="preserve">N35DC   </v>
      </c>
      <c r="N8761">
        <v>1</v>
      </c>
      <c r="O8761">
        <v>1050</v>
      </c>
    </row>
    <row r="8762" spans="1:15" x14ac:dyDescent="0.25">
      <c r="A8762" t="str">
        <f>"10/21/2020 19:15:01.288"</f>
        <v>10/21/2020 19:15:01.288</v>
      </c>
      <c r="B8762" t="str">
        <f>"19:15:09.234"</f>
        <v>19:15:09.234</v>
      </c>
      <c r="C8762" t="str">
        <f>"19:15:09.034"</f>
        <v>19:15:09.034</v>
      </c>
      <c r="D8762" t="s">
        <v>3389</v>
      </c>
      <c r="E8762">
        <v>30.438715999999999</v>
      </c>
      <c r="F8762" t="s">
        <v>3390</v>
      </c>
      <c r="G8762">
        <v>-89.812952999999993</v>
      </c>
      <c r="H8762">
        <v>1000</v>
      </c>
      <c r="I8762">
        <v>98</v>
      </c>
      <c r="J8762">
        <v>-106</v>
      </c>
      <c r="K8762">
        <v>64</v>
      </c>
      <c r="L8762">
        <v>1200</v>
      </c>
      <c r="M8762" t="str">
        <f t="shared" si="808"/>
        <v xml:space="preserve">N35DC   </v>
      </c>
      <c r="N8762">
        <v>1</v>
      </c>
      <c r="O8762">
        <v>1050</v>
      </c>
    </row>
    <row r="8763" spans="1:15" x14ac:dyDescent="0.25">
      <c r="A8763" t="str">
        <f>"10/21/2020 19:15:01.288"</f>
        <v>10/21/2020 19:15:01.288</v>
      </c>
      <c r="B8763" t="str">
        <f>"19:15:09.234"</f>
        <v>19:15:09.234</v>
      </c>
      <c r="C8763" t="str">
        <f>"19:15:09.034"</f>
        <v>19:15:09.034</v>
      </c>
      <c r="D8763" t="s">
        <v>3389</v>
      </c>
      <c r="E8763">
        <v>30.438715999999999</v>
      </c>
      <c r="F8763" t="s">
        <v>3390</v>
      </c>
      <c r="G8763">
        <v>-89.812952999999993</v>
      </c>
      <c r="H8763">
        <v>1000</v>
      </c>
      <c r="I8763">
        <v>98</v>
      </c>
      <c r="J8763">
        <v>-106</v>
      </c>
      <c r="K8763">
        <v>64</v>
      </c>
      <c r="L8763">
        <v>1200</v>
      </c>
      <c r="M8763" t="str">
        <f t="shared" si="808"/>
        <v xml:space="preserve">N35DC   </v>
      </c>
      <c r="N8763">
        <v>1</v>
      </c>
      <c r="O8763">
        <v>1050</v>
      </c>
    </row>
    <row r="8764" spans="1:15" x14ac:dyDescent="0.25">
      <c r="A8764" t="str">
        <f>"10/21/2020 19:15:01.288"</f>
        <v>10/21/2020 19:15:01.288</v>
      </c>
      <c r="B8764" t="str">
        <f>"19:15:09.234"</f>
        <v>19:15:09.234</v>
      </c>
      <c r="C8764" t="str">
        <f>"19:15:09.034"</f>
        <v>19:15:09.034</v>
      </c>
      <c r="D8764" t="s">
        <v>3389</v>
      </c>
      <c r="E8764">
        <v>30.438715999999999</v>
      </c>
      <c r="F8764" t="s">
        <v>3390</v>
      </c>
      <c r="G8764">
        <v>-89.812952999999993</v>
      </c>
      <c r="H8764">
        <v>1000</v>
      </c>
      <c r="I8764">
        <v>98</v>
      </c>
      <c r="J8764">
        <v>-106</v>
      </c>
      <c r="K8764">
        <v>64</v>
      </c>
      <c r="L8764">
        <v>1200</v>
      </c>
      <c r="M8764" t="str">
        <f t="shared" si="808"/>
        <v xml:space="preserve">N35DC   </v>
      </c>
      <c r="N8764">
        <v>1</v>
      </c>
      <c r="O8764">
        <v>1050</v>
      </c>
    </row>
    <row r="8765" spans="1:15" x14ac:dyDescent="0.25">
      <c r="A8765" t="str">
        <f>"10/21/2020 19:15:04.327"</f>
        <v>10/21/2020 19:15:04.327</v>
      </c>
      <c r="B8765" t="str">
        <f>"19:15:12.297"</f>
        <v>19:15:12.297</v>
      </c>
      <c r="C8765" t="str">
        <f>"19:15:11.897"</f>
        <v>19:15:11.897</v>
      </c>
      <c r="D8765" t="s">
        <v>2854</v>
      </c>
      <c r="E8765">
        <v>30.437342999999998</v>
      </c>
      <c r="F8765" t="s">
        <v>3061</v>
      </c>
      <c r="G8765">
        <v>-89.811194</v>
      </c>
      <c r="H8765">
        <v>1000</v>
      </c>
      <c r="I8765">
        <v>110</v>
      </c>
      <c r="J8765">
        <v>-92</v>
      </c>
      <c r="K8765">
        <v>-256</v>
      </c>
      <c r="L8765">
        <v>1200</v>
      </c>
      <c r="M8765" t="str">
        <f t="shared" si="808"/>
        <v xml:space="preserve">N35DC   </v>
      </c>
      <c r="N8765">
        <v>1</v>
      </c>
      <c r="O8765">
        <v>1050</v>
      </c>
    </row>
    <row r="8766" spans="1:15" x14ac:dyDescent="0.25">
      <c r="A8766" t="str">
        <f>"10/21/2020 19:15:04.327"</f>
        <v>10/21/2020 19:15:04.327</v>
      </c>
      <c r="B8766" t="str">
        <f>"19:15:12.297"</f>
        <v>19:15:12.297</v>
      </c>
      <c r="C8766" t="str">
        <f>"19:15:11.897"</f>
        <v>19:15:11.897</v>
      </c>
      <c r="D8766" t="s">
        <v>2854</v>
      </c>
      <c r="E8766">
        <v>30.437342999999998</v>
      </c>
      <c r="F8766" t="s">
        <v>3061</v>
      </c>
      <c r="G8766">
        <v>-89.811194</v>
      </c>
      <c r="H8766">
        <v>1000</v>
      </c>
      <c r="I8766">
        <v>110</v>
      </c>
      <c r="J8766">
        <v>-92</v>
      </c>
      <c r="K8766">
        <v>-256</v>
      </c>
      <c r="L8766">
        <v>1200</v>
      </c>
      <c r="M8766" t="str">
        <f t="shared" si="808"/>
        <v xml:space="preserve">N35DC   </v>
      </c>
      <c r="N8766">
        <v>1</v>
      </c>
      <c r="O8766">
        <v>1050</v>
      </c>
    </row>
    <row r="8767" spans="1:15" x14ac:dyDescent="0.25">
      <c r="A8767" t="str">
        <f>"10/21/2020 19:15:04.327"</f>
        <v>10/21/2020 19:15:04.327</v>
      </c>
      <c r="B8767" t="str">
        <f>"19:15:12.297"</f>
        <v>19:15:12.297</v>
      </c>
      <c r="C8767" t="str">
        <f>"19:15:11.897"</f>
        <v>19:15:11.897</v>
      </c>
      <c r="D8767" t="s">
        <v>2854</v>
      </c>
      <c r="E8767">
        <v>30.437342999999998</v>
      </c>
      <c r="F8767" t="s">
        <v>3061</v>
      </c>
      <c r="G8767">
        <v>-89.811194</v>
      </c>
      <c r="H8767">
        <v>1000</v>
      </c>
      <c r="I8767">
        <v>110</v>
      </c>
      <c r="J8767">
        <v>-92</v>
      </c>
      <c r="K8767">
        <v>-256</v>
      </c>
      <c r="L8767">
        <v>1200</v>
      </c>
      <c r="M8767" t="str">
        <f t="shared" si="808"/>
        <v xml:space="preserve">N35DC   </v>
      </c>
      <c r="N8767">
        <v>1</v>
      </c>
      <c r="O8767">
        <v>1050</v>
      </c>
    </row>
    <row r="8768" spans="1:15" x14ac:dyDescent="0.25">
      <c r="A8768" t="str">
        <f>"10/21/2020 19:15:04.327"</f>
        <v>10/21/2020 19:15:04.327</v>
      </c>
      <c r="B8768" t="str">
        <f>"19:15:12.297"</f>
        <v>19:15:12.297</v>
      </c>
      <c r="C8768" t="str">
        <f>"19:15:11.897"</f>
        <v>19:15:11.897</v>
      </c>
      <c r="D8768" t="s">
        <v>2854</v>
      </c>
      <c r="E8768">
        <v>30.437342999999998</v>
      </c>
      <c r="F8768" t="s">
        <v>3061</v>
      </c>
      <c r="G8768">
        <v>-89.811194</v>
      </c>
      <c r="H8768">
        <v>1000</v>
      </c>
      <c r="I8768">
        <v>110</v>
      </c>
      <c r="J8768">
        <v>-92</v>
      </c>
      <c r="K8768">
        <v>-256</v>
      </c>
      <c r="L8768">
        <v>1200</v>
      </c>
      <c r="M8768" t="str">
        <f t="shared" si="808"/>
        <v xml:space="preserve">N35DC   </v>
      </c>
      <c r="N8768">
        <v>1</v>
      </c>
      <c r="O8768">
        <v>1050</v>
      </c>
    </row>
    <row r="8769" spans="1:15" x14ac:dyDescent="0.25">
      <c r="A8769" t="str">
        <f>"10/21/2020 19:15:04.327"</f>
        <v>10/21/2020 19:15:04.327</v>
      </c>
      <c r="B8769" t="str">
        <f>"19:15:12.297"</f>
        <v>19:15:12.297</v>
      </c>
      <c r="C8769" t="str">
        <f>"19:15:11.897"</f>
        <v>19:15:11.897</v>
      </c>
      <c r="D8769" t="s">
        <v>2854</v>
      </c>
      <c r="E8769">
        <v>30.437342999999998</v>
      </c>
      <c r="F8769" t="s">
        <v>3061</v>
      </c>
      <c r="G8769">
        <v>-89.811194</v>
      </c>
      <c r="H8769">
        <v>1000</v>
      </c>
      <c r="I8769">
        <v>110</v>
      </c>
      <c r="J8769">
        <v>-92</v>
      </c>
      <c r="K8769">
        <v>-256</v>
      </c>
      <c r="L8769">
        <v>1200</v>
      </c>
      <c r="M8769" t="str">
        <f t="shared" si="808"/>
        <v xml:space="preserve">N35DC   </v>
      </c>
      <c r="N8769">
        <v>1</v>
      </c>
      <c r="O8769">
        <v>1050</v>
      </c>
    </row>
    <row r="8770" spans="1:15" x14ac:dyDescent="0.25">
      <c r="A8770" t="str">
        <f>"10/21/2020 19:15:05.368"</f>
        <v>10/21/2020 19:15:05.368</v>
      </c>
      <c r="B8770" t="str">
        <f>"19:15:13.313"</f>
        <v>19:15:13.313</v>
      </c>
      <c r="C8770" t="str">
        <f>"19:15:12.913"</f>
        <v>19:15:12.913</v>
      </c>
      <c r="D8770" t="s">
        <v>3391</v>
      </c>
      <c r="E8770">
        <v>30.436934999999998</v>
      </c>
      <c r="F8770" t="s">
        <v>3058</v>
      </c>
      <c r="G8770">
        <v>-89.810592999999997</v>
      </c>
      <c r="H8770">
        <v>1000</v>
      </c>
      <c r="I8770">
        <v>114</v>
      </c>
      <c r="J8770">
        <v>-87</v>
      </c>
      <c r="K8770">
        <v>-192</v>
      </c>
      <c r="L8770">
        <v>1200</v>
      </c>
      <c r="M8770" t="str">
        <f t="shared" si="808"/>
        <v xml:space="preserve">N35DC   </v>
      </c>
      <c r="N8770">
        <v>1</v>
      </c>
      <c r="O8770">
        <v>1050</v>
      </c>
    </row>
    <row r="8771" spans="1:15" x14ac:dyDescent="0.25">
      <c r="A8771" t="str">
        <f>"10/21/2020 19:15:05.368"</f>
        <v>10/21/2020 19:15:05.368</v>
      </c>
      <c r="B8771" t="str">
        <f>"19:15:13.313"</f>
        <v>19:15:13.313</v>
      </c>
      <c r="C8771" t="str">
        <f>"19:15:13.012"</f>
        <v>19:15:13.012</v>
      </c>
      <c r="D8771" t="s">
        <v>3391</v>
      </c>
      <c r="E8771">
        <v>30.436934999999998</v>
      </c>
      <c r="F8771" t="s">
        <v>3058</v>
      </c>
      <c r="G8771">
        <v>-89.810592999999997</v>
      </c>
      <c r="H8771">
        <v>1000</v>
      </c>
      <c r="I8771">
        <v>114</v>
      </c>
      <c r="J8771">
        <v>-87</v>
      </c>
      <c r="K8771">
        <v>-192</v>
      </c>
      <c r="L8771">
        <v>1200</v>
      </c>
      <c r="M8771" t="str">
        <f t="shared" si="808"/>
        <v xml:space="preserve">N35DC   </v>
      </c>
      <c r="N8771">
        <v>1</v>
      </c>
      <c r="O8771">
        <v>1050</v>
      </c>
    </row>
    <row r="8772" spans="1:15" x14ac:dyDescent="0.25">
      <c r="A8772" t="str">
        <f>"10/21/2020 19:15:05.368"</f>
        <v>10/21/2020 19:15:05.368</v>
      </c>
      <c r="B8772" t="str">
        <f>"19:15:13.313"</f>
        <v>19:15:13.313</v>
      </c>
      <c r="C8772" t="str">
        <f>"19:15:13.012"</f>
        <v>19:15:13.012</v>
      </c>
      <c r="D8772" t="s">
        <v>3391</v>
      </c>
      <c r="E8772">
        <v>30.436934999999998</v>
      </c>
      <c r="F8772" t="s">
        <v>3058</v>
      </c>
      <c r="G8772">
        <v>-89.810592999999997</v>
      </c>
      <c r="H8772">
        <v>1000</v>
      </c>
      <c r="I8772">
        <v>114</v>
      </c>
      <c r="J8772">
        <v>-87</v>
      </c>
      <c r="K8772">
        <v>-192</v>
      </c>
      <c r="L8772">
        <v>1200</v>
      </c>
      <c r="M8772" t="str">
        <f t="shared" si="808"/>
        <v xml:space="preserve">N35DC   </v>
      </c>
      <c r="N8772">
        <v>1</v>
      </c>
      <c r="O8772">
        <v>1050</v>
      </c>
    </row>
    <row r="8773" spans="1:15" x14ac:dyDescent="0.25">
      <c r="A8773" t="str">
        <f>"10/21/2020 19:15:05.368"</f>
        <v>10/21/2020 19:15:05.368</v>
      </c>
      <c r="B8773" t="str">
        <f>"19:15:13.313"</f>
        <v>19:15:13.313</v>
      </c>
      <c r="C8773" t="str">
        <f>"19:15:12.913"</f>
        <v>19:15:12.913</v>
      </c>
      <c r="D8773" t="s">
        <v>3391</v>
      </c>
      <c r="E8773">
        <v>30.436934999999998</v>
      </c>
      <c r="F8773" t="s">
        <v>3058</v>
      </c>
      <c r="G8773">
        <v>-89.810592999999997</v>
      </c>
      <c r="H8773">
        <v>1000</v>
      </c>
      <c r="I8773">
        <v>114</v>
      </c>
      <c r="J8773">
        <v>-87</v>
      </c>
      <c r="K8773">
        <v>-192</v>
      </c>
      <c r="L8773">
        <v>1200</v>
      </c>
      <c r="M8773" t="str">
        <f t="shared" si="808"/>
        <v xml:space="preserve">N35DC   </v>
      </c>
      <c r="N8773">
        <v>1</v>
      </c>
      <c r="O8773">
        <v>1050</v>
      </c>
    </row>
    <row r="8774" spans="1:15" x14ac:dyDescent="0.25">
      <c r="A8774" t="str">
        <f>"10/21/2020 19:15:05.368"</f>
        <v>10/21/2020 19:15:05.368</v>
      </c>
      <c r="B8774" t="str">
        <f>"19:15:13.313"</f>
        <v>19:15:13.313</v>
      </c>
      <c r="C8774" t="str">
        <f>"19:15:12.913"</f>
        <v>19:15:12.913</v>
      </c>
      <c r="D8774" t="s">
        <v>3391</v>
      </c>
      <c r="E8774">
        <v>30.436934999999998</v>
      </c>
      <c r="F8774" t="s">
        <v>3058</v>
      </c>
      <c r="G8774">
        <v>-89.810592999999997</v>
      </c>
      <c r="H8774">
        <v>1000</v>
      </c>
      <c r="I8774">
        <v>114</v>
      </c>
      <c r="J8774">
        <v>-87</v>
      </c>
      <c r="K8774">
        <v>-192</v>
      </c>
      <c r="L8774">
        <v>1200</v>
      </c>
      <c r="M8774" t="str">
        <f t="shared" si="808"/>
        <v xml:space="preserve">N35DC   </v>
      </c>
      <c r="N8774">
        <v>1</v>
      </c>
      <c r="O8774">
        <v>1050</v>
      </c>
    </row>
    <row r="8775" spans="1:15" x14ac:dyDescent="0.25">
      <c r="A8775" t="str">
        <f>"10/21/2020 19:15:09.423"</f>
        <v>10/21/2020 19:15:09.423</v>
      </c>
      <c r="B8775" t="str">
        <f t="shared" ref="B8775:C8779" si="810">"19:15:17.391"</f>
        <v>19:15:17.391</v>
      </c>
      <c r="C8775" t="str">
        <f t="shared" si="810"/>
        <v>19:15:17.391</v>
      </c>
      <c r="D8775" t="s">
        <v>3392</v>
      </c>
      <c r="E8775">
        <v>30.435583999999999</v>
      </c>
      <c r="F8775" t="s">
        <v>3031</v>
      </c>
      <c r="G8775">
        <v>-89.807911000000004</v>
      </c>
      <c r="H8775">
        <v>1000</v>
      </c>
      <c r="I8775">
        <v>126</v>
      </c>
      <c r="J8775">
        <v>-61</v>
      </c>
      <c r="K8775">
        <v>0</v>
      </c>
      <c r="L8775">
        <v>1200</v>
      </c>
      <c r="M8775" t="str">
        <f t="shared" ref="M8775:M8838" si="811">"N35DC   "</f>
        <v xml:space="preserve">N35DC   </v>
      </c>
      <c r="N8775">
        <v>1</v>
      </c>
      <c r="O8775">
        <v>1050</v>
      </c>
    </row>
    <row r="8776" spans="1:15" x14ac:dyDescent="0.25">
      <c r="A8776" t="str">
        <f>"10/21/2020 19:15:09.423"</f>
        <v>10/21/2020 19:15:09.423</v>
      </c>
      <c r="B8776" t="str">
        <f t="shared" si="810"/>
        <v>19:15:17.391</v>
      </c>
      <c r="C8776" t="str">
        <f t="shared" si="810"/>
        <v>19:15:17.391</v>
      </c>
      <c r="D8776" t="s">
        <v>3392</v>
      </c>
      <c r="E8776">
        <v>30.435583999999999</v>
      </c>
      <c r="F8776" t="s">
        <v>3031</v>
      </c>
      <c r="G8776">
        <v>-89.807911000000004</v>
      </c>
      <c r="H8776">
        <v>1000</v>
      </c>
      <c r="I8776">
        <v>126</v>
      </c>
      <c r="J8776">
        <v>-61</v>
      </c>
      <c r="K8776">
        <v>0</v>
      </c>
      <c r="L8776">
        <v>1200</v>
      </c>
      <c r="M8776" t="str">
        <f t="shared" si="811"/>
        <v xml:space="preserve">N35DC   </v>
      </c>
      <c r="N8776">
        <v>1</v>
      </c>
      <c r="O8776">
        <v>1050</v>
      </c>
    </row>
    <row r="8777" spans="1:15" x14ac:dyDescent="0.25">
      <c r="A8777" t="str">
        <f>"10/21/2020 19:15:09.423"</f>
        <v>10/21/2020 19:15:09.423</v>
      </c>
      <c r="B8777" t="str">
        <f t="shared" si="810"/>
        <v>19:15:17.391</v>
      </c>
      <c r="C8777" t="str">
        <f t="shared" si="810"/>
        <v>19:15:17.391</v>
      </c>
      <c r="D8777" t="s">
        <v>3392</v>
      </c>
      <c r="E8777">
        <v>30.435583999999999</v>
      </c>
      <c r="F8777" t="s">
        <v>3031</v>
      </c>
      <c r="G8777">
        <v>-89.807911000000004</v>
      </c>
      <c r="H8777">
        <v>1000</v>
      </c>
      <c r="I8777">
        <v>126</v>
      </c>
      <c r="J8777">
        <v>-61</v>
      </c>
      <c r="K8777">
        <v>0</v>
      </c>
      <c r="L8777">
        <v>1200</v>
      </c>
      <c r="M8777" t="str">
        <f t="shared" si="811"/>
        <v xml:space="preserve">N35DC   </v>
      </c>
      <c r="N8777">
        <v>1</v>
      </c>
      <c r="O8777">
        <v>1050</v>
      </c>
    </row>
    <row r="8778" spans="1:15" x14ac:dyDescent="0.25">
      <c r="A8778" t="str">
        <f>"10/21/2020 19:15:09.423"</f>
        <v>10/21/2020 19:15:09.423</v>
      </c>
      <c r="B8778" t="str">
        <f t="shared" si="810"/>
        <v>19:15:17.391</v>
      </c>
      <c r="C8778" t="str">
        <f t="shared" si="810"/>
        <v>19:15:17.391</v>
      </c>
      <c r="D8778" t="s">
        <v>3392</v>
      </c>
      <c r="E8778">
        <v>30.435583999999999</v>
      </c>
      <c r="F8778" t="s">
        <v>3031</v>
      </c>
      <c r="G8778">
        <v>-89.807911000000004</v>
      </c>
      <c r="H8778">
        <v>1000</v>
      </c>
      <c r="I8778">
        <v>126</v>
      </c>
      <c r="J8778">
        <v>-61</v>
      </c>
      <c r="K8778">
        <v>0</v>
      </c>
      <c r="L8778">
        <v>1200</v>
      </c>
      <c r="M8778" t="str">
        <f t="shared" si="811"/>
        <v xml:space="preserve">N35DC   </v>
      </c>
      <c r="N8778">
        <v>1</v>
      </c>
      <c r="O8778">
        <v>1050</v>
      </c>
    </row>
    <row r="8779" spans="1:15" x14ac:dyDescent="0.25">
      <c r="A8779" t="str">
        <f>"10/21/2020 19:15:09.423"</f>
        <v>10/21/2020 19:15:09.423</v>
      </c>
      <c r="B8779" t="str">
        <f t="shared" si="810"/>
        <v>19:15:17.391</v>
      </c>
      <c r="C8779" t="str">
        <f t="shared" si="810"/>
        <v>19:15:17.391</v>
      </c>
      <c r="D8779" t="s">
        <v>3392</v>
      </c>
      <c r="E8779">
        <v>30.435583999999999</v>
      </c>
      <c r="F8779" t="s">
        <v>3031</v>
      </c>
      <c r="G8779">
        <v>-89.807911000000004</v>
      </c>
      <c r="H8779">
        <v>1000</v>
      </c>
      <c r="I8779">
        <v>126</v>
      </c>
      <c r="J8779">
        <v>-61</v>
      </c>
      <c r="K8779">
        <v>0</v>
      </c>
      <c r="L8779">
        <v>1200</v>
      </c>
      <c r="M8779" t="str">
        <f t="shared" si="811"/>
        <v xml:space="preserve">N35DC   </v>
      </c>
      <c r="N8779">
        <v>1</v>
      </c>
      <c r="O8779">
        <v>1050</v>
      </c>
    </row>
    <row r="8780" spans="1:15" x14ac:dyDescent="0.25">
      <c r="A8780" t="str">
        <f>"10/21/2020 19:15:10.535"</f>
        <v>10/21/2020 19:15:10.535</v>
      </c>
      <c r="B8780" t="str">
        <f>"19:15:18.484"</f>
        <v>19:15:18.484</v>
      </c>
      <c r="C8780" t="str">
        <f>"19:15:18.284"</f>
        <v>19:15:18.284</v>
      </c>
      <c r="D8780" t="s">
        <v>3393</v>
      </c>
      <c r="E8780">
        <v>30.435326</v>
      </c>
      <c r="F8780" t="s">
        <v>3019</v>
      </c>
      <c r="G8780">
        <v>-89.807137999999995</v>
      </c>
      <c r="H8780">
        <v>1000</v>
      </c>
      <c r="I8780">
        <v>127</v>
      </c>
      <c r="J8780">
        <v>-55</v>
      </c>
      <c r="K8780">
        <v>128</v>
      </c>
      <c r="L8780">
        <v>1200</v>
      </c>
      <c r="M8780" t="str">
        <f t="shared" si="811"/>
        <v xml:space="preserve">N35DC   </v>
      </c>
      <c r="N8780">
        <v>1</v>
      </c>
      <c r="O8780">
        <v>1050</v>
      </c>
    </row>
    <row r="8781" spans="1:15" x14ac:dyDescent="0.25">
      <c r="A8781" t="str">
        <f>"10/21/2020 19:15:10.535"</f>
        <v>10/21/2020 19:15:10.535</v>
      </c>
      <c r="B8781" t="str">
        <f>"19:15:18.484"</f>
        <v>19:15:18.484</v>
      </c>
      <c r="C8781" t="str">
        <f>"19:15:18.284"</f>
        <v>19:15:18.284</v>
      </c>
      <c r="D8781" t="s">
        <v>3393</v>
      </c>
      <c r="E8781">
        <v>30.435326</v>
      </c>
      <c r="F8781" t="s">
        <v>3019</v>
      </c>
      <c r="G8781">
        <v>-89.807137999999995</v>
      </c>
      <c r="H8781">
        <v>1000</v>
      </c>
      <c r="I8781">
        <v>127</v>
      </c>
      <c r="J8781">
        <v>-55</v>
      </c>
      <c r="K8781">
        <v>128</v>
      </c>
      <c r="L8781">
        <v>1200</v>
      </c>
      <c r="M8781" t="str">
        <f t="shared" si="811"/>
        <v xml:space="preserve">N35DC   </v>
      </c>
      <c r="N8781">
        <v>1</v>
      </c>
      <c r="O8781">
        <v>1050</v>
      </c>
    </row>
    <row r="8782" spans="1:15" x14ac:dyDescent="0.25">
      <c r="A8782" t="str">
        <f>"10/21/2020 19:15:10.535"</f>
        <v>10/21/2020 19:15:10.535</v>
      </c>
      <c r="B8782" t="str">
        <f>"19:15:18.484"</f>
        <v>19:15:18.484</v>
      </c>
      <c r="C8782" t="str">
        <f>"19:15:18.284"</f>
        <v>19:15:18.284</v>
      </c>
      <c r="D8782" t="s">
        <v>3393</v>
      </c>
      <c r="E8782">
        <v>30.435326</v>
      </c>
      <c r="F8782" t="s">
        <v>3019</v>
      </c>
      <c r="G8782">
        <v>-89.807137999999995</v>
      </c>
      <c r="H8782">
        <v>1000</v>
      </c>
      <c r="I8782">
        <v>127</v>
      </c>
      <c r="J8782">
        <v>-55</v>
      </c>
      <c r="K8782">
        <v>128</v>
      </c>
      <c r="L8782">
        <v>1200</v>
      </c>
      <c r="M8782" t="str">
        <f t="shared" si="811"/>
        <v xml:space="preserve">N35DC   </v>
      </c>
      <c r="N8782">
        <v>1</v>
      </c>
      <c r="O8782">
        <v>1050</v>
      </c>
    </row>
    <row r="8783" spans="1:15" x14ac:dyDescent="0.25">
      <c r="A8783" t="str">
        <f>"10/21/2020 19:15:10.535"</f>
        <v>10/21/2020 19:15:10.535</v>
      </c>
      <c r="B8783" t="str">
        <f>"19:15:18.484"</f>
        <v>19:15:18.484</v>
      </c>
      <c r="C8783" t="str">
        <f>"19:15:18.284"</f>
        <v>19:15:18.284</v>
      </c>
      <c r="D8783" t="s">
        <v>3393</v>
      </c>
      <c r="E8783">
        <v>30.435326</v>
      </c>
      <c r="F8783" t="s">
        <v>3019</v>
      </c>
      <c r="G8783">
        <v>-89.807137999999995</v>
      </c>
      <c r="H8783">
        <v>1000</v>
      </c>
      <c r="I8783">
        <v>127</v>
      </c>
      <c r="J8783">
        <v>-55</v>
      </c>
      <c r="K8783">
        <v>128</v>
      </c>
      <c r="L8783">
        <v>1200</v>
      </c>
      <c r="M8783" t="str">
        <f t="shared" si="811"/>
        <v xml:space="preserve">N35DC   </v>
      </c>
      <c r="N8783">
        <v>1</v>
      </c>
      <c r="O8783">
        <v>1050</v>
      </c>
    </row>
    <row r="8784" spans="1:15" x14ac:dyDescent="0.25">
      <c r="A8784" t="str">
        <f>"10/21/2020 19:15:10.535"</f>
        <v>10/21/2020 19:15:10.535</v>
      </c>
      <c r="B8784" t="str">
        <f>"19:15:18.484"</f>
        <v>19:15:18.484</v>
      </c>
      <c r="C8784" t="str">
        <f>"19:15:18.284"</f>
        <v>19:15:18.284</v>
      </c>
      <c r="D8784" t="s">
        <v>3393</v>
      </c>
      <c r="E8784">
        <v>30.435326</v>
      </c>
      <c r="F8784" t="s">
        <v>3019</v>
      </c>
      <c r="G8784">
        <v>-89.807137999999995</v>
      </c>
      <c r="H8784">
        <v>1000</v>
      </c>
      <c r="I8784">
        <v>127</v>
      </c>
      <c r="J8784">
        <v>-55</v>
      </c>
      <c r="K8784">
        <v>128</v>
      </c>
      <c r="L8784">
        <v>1200</v>
      </c>
      <c r="M8784" t="str">
        <f t="shared" si="811"/>
        <v xml:space="preserve">N35DC   </v>
      </c>
      <c r="N8784">
        <v>1</v>
      </c>
      <c r="O8784">
        <v>1050</v>
      </c>
    </row>
    <row r="8785" spans="1:15" x14ac:dyDescent="0.25">
      <c r="A8785" t="str">
        <f>"10/21/2020 19:15:11.416"</f>
        <v>10/21/2020 19:15:11.416</v>
      </c>
      <c r="B8785" t="str">
        <f>"19:15:19.375"</f>
        <v>19:15:19.375</v>
      </c>
      <c r="C8785" t="str">
        <f>"19:15:18.875"</f>
        <v>19:15:18.875</v>
      </c>
      <c r="D8785" t="s">
        <v>3394</v>
      </c>
      <c r="E8785">
        <v>30.435112</v>
      </c>
      <c r="F8785" t="s">
        <v>3002</v>
      </c>
      <c r="G8785">
        <v>-89.806558999999993</v>
      </c>
      <c r="H8785">
        <v>1000</v>
      </c>
      <c r="I8785">
        <v>128</v>
      </c>
      <c r="J8785">
        <v>-51</v>
      </c>
      <c r="K8785">
        <v>256</v>
      </c>
      <c r="L8785">
        <v>1200</v>
      </c>
      <c r="M8785" t="str">
        <f t="shared" si="811"/>
        <v xml:space="preserve">N35DC   </v>
      </c>
      <c r="N8785">
        <v>1</v>
      </c>
      <c r="O8785">
        <v>1050</v>
      </c>
    </row>
    <row r="8786" spans="1:15" x14ac:dyDescent="0.25">
      <c r="A8786" t="str">
        <f>"10/21/2020 19:15:11.416"</f>
        <v>10/21/2020 19:15:11.416</v>
      </c>
      <c r="B8786" t="str">
        <f>"19:15:19.375"</f>
        <v>19:15:19.375</v>
      </c>
      <c r="C8786" t="str">
        <f>"19:15:18.875"</f>
        <v>19:15:18.875</v>
      </c>
      <c r="D8786" t="s">
        <v>3394</v>
      </c>
      <c r="E8786">
        <v>30.435112</v>
      </c>
      <c r="F8786" t="s">
        <v>3002</v>
      </c>
      <c r="G8786">
        <v>-89.806558999999993</v>
      </c>
      <c r="H8786">
        <v>1000</v>
      </c>
      <c r="I8786">
        <v>128</v>
      </c>
      <c r="J8786">
        <v>-51</v>
      </c>
      <c r="K8786">
        <v>256</v>
      </c>
      <c r="L8786">
        <v>1200</v>
      </c>
      <c r="M8786" t="str">
        <f t="shared" si="811"/>
        <v xml:space="preserve">N35DC   </v>
      </c>
      <c r="N8786">
        <v>1</v>
      </c>
      <c r="O8786">
        <v>1050</v>
      </c>
    </row>
    <row r="8787" spans="1:15" x14ac:dyDescent="0.25">
      <c r="A8787" t="str">
        <f>"10/21/2020 19:15:11.416"</f>
        <v>10/21/2020 19:15:11.416</v>
      </c>
      <c r="B8787" t="str">
        <f>"19:15:19.375"</f>
        <v>19:15:19.375</v>
      </c>
      <c r="C8787" t="str">
        <f>"19:15:18.875"</f>
        <v>19:15:18.875</v>
      </c>
      <c r="D8787" t="s">
        <v>3394</v>
      </c>
      <c r="E8787">
        <v>30.435112</v>
      </c>
      <c r="F8787" t="s">
        <v>3002</v>
      </c>
      <c r="G8787">
        <v>-89.806558999999993</v>
      </c>
      <c r="H8787">
        <v>1000</v>
      </c>
      <c r="I8787">
        <v>128</v>
      </c>
      <c r="J8787">
        <v>-51</v>
      </c>
      <c r="K8787">
        <v>256</v>
      </c>
      <c r="L8787">
        <v>1200</v>
      </c>
      <c r="M8787" t="str">
        <f t="shared" si="811"/>
        <v xml:space="preserve">N35DC   </v>
      </c>
      <c r="N8787">
        <v>1</v>
      </c>
      <c r="O8787">
        <v>1050</v>
      </c>
    </row>
    <row r="8788" spans="1:15" x14ac:dyDescent="0.25">
      <c r="A8788" t="str">
        <f>"10/21/2020 19:15:11.416"</f>
        <v>10/21/2020 19:15:11.416</v>
      </c>
      <c r="B8788" t="str">
        <f>"19:15:19.375"</f>
        <v>19:15:19.375</v>
      </c>
      <c r="C8788" t="str">
        <f>"19:15:18.875"</f>
        <v>19:15:18.875</v>
      </c>
      <c r="D8788" t="s">
        <v>3394</v>
      </c>
      <c r="E8788">
        <v>30.435112</v>
      </c>
      <c r="F8788" t="s">
        <v>3002</v>
      </c>
      <c r="G8788">
        <v>-89.806558999999993</v>
      </c>
      <c r="H8788">
        <v>1000</v>
      </c>
      <c r="I8788">
        <v>128</v>
      </c>
      <c r="J8788">
        <v>-51</v>
      </c>
      <c r="K8788">
        <v>256</v>
      </c>
      <c r="L8788">
        <v>1200</v>
      </c>
      <c r="M8788" t="str">
        <f t="shared" si="811"/>
        <v xml:space="preserve">N35DC   </v>
      </c>
      <c r="N8788">
        <v>1</v>
      </c>
      <c r="O8788">
        <v>1050</v>
      </c>
    </row>
    <row r="8789" spans="1:15" x14ac:dyDescent="0.25">
      <c r="A8789" t="str">
        <f>"10/21/2020 19:15:11.416"</f>
        <v>10/21/2020 19:15:11.416</v>
      </c>
      <c r="B8789" t="str">
        <f>"19:15:19.375"</f>
        <v>19:15:19.375</v>
      </c>
      <c r="C8789" t="str">
        <f>"19:15:18.875"</f>
        <v>19:15:18.875</v>
      </c>
      <c r="D8789" t="s">
        <v>3394</v>
      </c>
      <c r="E8789">
        <v>30.435112</v>
      </c>
      <c r="F8789" t="s">
        <v>3002</v>
      </c>
      <c r="G8789">
        <v>-89.806558999999993</v>
      </c>
      <c r="H8789">
        <v>1000</v>
      </c>
      <c r="I8789">
        <v>128</v>
      </c>
      <c r="J8789">
        <v>-51</v>
      </c>
      <c r="K8789">
        <v>256</v>
      </c>
      <c r="L8789">
        <v>1200</v>
      </c>
      <c r="M8789" t="str">
        <f t="shared" si="811"/>
        <v xml:space="preserve">N35DC   </v>
      </c>
      <c r="N8789">
        <v>1</v>
      </c>
      <c r="O8789">
        <v>1050</v>
      </c>
    </row>
    <row r="8790" spans="1:15" x14ac:dyDescent="0.25">
      <c r="A8790" t="str">
        <f>"10/21/2020 19:15:14.401"</f>
        <v>10/21/2020 19:15:14.401</v>
      </c>
      <c r="B8790" t="str">
        <f>"19:15:22.359"</f>
        <v>19:15:22.359</v>
      </c>
      <c r="C8790" t="str">
        <f>"19:15:22.059"</f>
        <v>19:15:22.059</v>
      </c>
      <c r="D8790" t="s">
        <v>3395</v>
      </c>
      <c r="E8790">
        <v>30.434597</v>
      </c>
      <c r="F8790" t="s">
        <v>2368</v>
      </c>
      <c r="G8790">
        <v>-89.804434999999998</v>
      </c>
      <c r="H8790">
        <v>1000</v>
      </c>
      <c r="I8790">
        <v>130</v>
      </c>
      <c r="J8790">
        <v>-34</v>
      </c>
      <c r="K8790">
        <v>320</v>
      </c>
      <c r="L8790">
        <v>1200</v>
      </c>
      <c r="M8790" t="str">
        <f t="shared" si="811"/>
        <v xml:space="preserve">N35DC   </v>
      </c>
      <c r="N8790">
        <v>1</v>
      </c>
      <c r="O8790">
        <v>1050</v>
      </c>
    </row>
    <row r="8791" spans="1:15" x14ac:dyDescent="0.25">
      <c r="A8791" t="str">
        <f>"10/21/2020 19:15:14.401"</f>
        <v>10/21/2020 19:15:14.401</v>
      </c>
      <c r="B8791" t="str">
        <f>"19:15:22.359"</f>
        <v>19:15:22.359</v>
      </c>
      <c r="C8791" t="str">
        <f>"19:15:22.059"</f>
        <v>19:15:22.059</v>
      </c>
      <c r="D8791" t="s">
        <v>3395</v>
      </c>
      <c r="E8791">
        <v>30.434597</v>
      </c>
      <c r="F8791" t="s">
        <v>2368</v>
      </c>
      <c r="G8791">
        <v>-89.804434999999998</v>
      </c>
      <c r="H8791">
        <v>1000</v>
      </c>
      <c r="I8791">
        <v>130</v>
      </c>
      <c r="J8791">
        <v>-34</v>
      </c>
      <c r="K8791">
        <v>320</v>
      </c>
      <c r="L8791">
        <v>1200</v>
      </c>
      <c r="M8791" t="str">
        <f t="shared" si="811"/>
        <v xml:space="preserve">N35DC   </v>
      </c>
      <c r="N8791">
        <v>1</v>
      </c>
      <c r="O8791">
        <v>1050</v>
      </c>
    </row>
    <row r="8792" spans="1:15" x14ac:dyDescent="0.25">
      <c r="A8792" t="str">
        <f>"10/21/2020 19:15:14.401"</f>
        <v>10/21/2020 19:15:14.401</v>
      </c>
      <c r="B8792" t="str">
        <f>"19:15:22.359"</f>
        <v>19:15:22.359</v>
      </c>
      <c r="C8792" t="str">
        <f>"19:15:22.059"</f>
        <v>19:15:22.059</v>
      </c>
      <c r="D8792" t="s">
        <v>3395</v>
      </c>
      <c r="E8792">
        <v>30.434597</v>
      </c>
      <c r="F8792" t="s">
        <v>2368</v>
      </c>
      <c r="G8792">
        <v>-89.804434999999998</v>
      </c>
      <c r="H8792">
        <v>1000</v>
      </c>
      <c r="I8792">
        <v>130</v>
      </c>
      <c r="J8792">
        <v>-34</v>
      </c>
      <c r="K8792">
        <v>320</v>
      </c>
      <c r="L8792">
        <v>1200</v>
      </c>
      <c r="M8792" t="str">
        <f t="shared" si="811"/>
        <v xml:space="preserve">N35DC   </v>
      </c>
      <c r="N8792">
        <v>1</v>
      </c>
      <c r="O8792">
        <v>1050</v>
      </c>
    </row>
    <row r="8793" spans="1:15" x14ac:dyDescent="0.25">
      <c r="A8793" t="str">
        <f>"10/21/2020 19:15:14.401"</f>
        <v>10/21/2020 19:15:14.401</v>
      </c>
      <c r="B8793" t="str">
        <f>"19:15:22.359"</f>
        <v>19:15:22.359</v>
      </c>
      <c r="C8793" t="str">
        <f>"19:15:22.059"</f>
        <v>19:15:22.059</v>
      </c>
      <c r="D8793" t="s">
        <v>3395</v>
      </c>
      <c r="E8793">
        <v>30.434597</v>
      </c>
      <c r="F8793" t="s">
        <v>2368</v>
      </c>
      <c r="G8793">
        <v>-89.804434999999998</v>
      </c>
      <c r="H8793">
        <v>1000</v>
      </c>
      <c r="I8793">
        <v>130</v>
      </c>
      <c r="J8793">
        <v>-34</v>
      </c>
      <c r="K8793">
        <v>320</v>
      </c>
      <c r="L8793">
        <v>1200</v>
      </c>
      <c r="M8793" t="str">
        <f t="shared" si="811"/>
        <v xml:space="preserve">N35DC   </v>
      </c>
      <c r="N8793">
        <v>1</v>
      </c>
      <c r="O8793">
        <v>1050</v>
      </c>
    </row>
    <row r="8794" spans="1:15" x14ac:dyDescent="0.25">
      <c r="A8794" t="str">
        <f>"10/21/2020 19:15:14.401"</f>
        <v>10/21/2020 19:15:14.401</v>
      </c>
      <c r="B8794" t="str">
        <f>"19:15:22.359"</f>
        <v>19:15:22.359</v>
      </c>
      <c r="C8794" t="str">
        <f>"19:15:22.059"</f>
        <v>19:15:22.059</v>
      </c>
      <c r="D8794" t="s">
        <v>3395</v>
      </c>
      <c r="E8794">
        <v>30.434597</v>
      </c>
      <c r="F8794" t="s">
        <v>2368</v>
      </c>
      <c r="G8794">
        <v>-89.804434999999998</v>
      </c>
      <c r="H8794">
        <v>1000</v>
      </c>
      <c r="I8794">
        <v>130</v>
      </c>
      <c r="J8794">
        <v>-34</v>
      </c>
      <c r="K8794">
        <v>320</v>
      </c>
      <c r="L8794">
        <v>1200</v>
      </c>
      <c r="M8794" t="str">
        <f t="shared" si="811"/>
        <v xml:space="preserve">N35DC   </v>
      </c>
      <c r="N8794">
        <v>1</v>
      </c>
      <c r="O8794">
        <v>1050</v>
      </c>
    </row>
    <row r="8795" spans="1:15" x14ac:dyDescent="0.25">
      <c r="A8795" t="str">
        <f>"10/21/2020 19:15:17.410"</f>
        <v>10/21/2020 19:15:17.410</v>
      </c>
      <c r="B8795" t="str">
        <f>"19:15:25.344"</f>
        <v>19:15:25.344</v>
      </c>
      <c r="C8795" t="str">
        <f>"19:15:24.844"</f>
        <v>19:15:24.844</v>
      </c>
      <c r="D8795" t="s">
        <v>3396</v>
      </c>
      <c r="E8795">
        <v>30.434232000000002</v>
      </c>
      <c r="F8795" t="s">
        <v>109</v>
      </c>
      <c r="G8795">
        <v>-89.802418000000003</v>
      </c>
      <c r="H8795">
        <v>1000</v>
      </c>
      <c r="I8795">
        <v>130</v>
      </c>
      <c r="J8795">
        <v>-21</v>
      </c>
      <c r="K8795">
        <v>384</v>
      </c>
      <c r="L8795">
        <v>1200</v>
      </c>
      <c r="M8795" t="str">
        <f t="shared" si="811"/>
        <v xml:space="preserve">N35DC   </v>
      </c>
      <c r="N8795">
        <v>1</v>
      </c>
      <c r="O8795">
        <v>1075</v>
      </c>
    </row>
    <row r="8796" spans="1:15" x14ac:dyDescent="0.25">
      <c r="A8796" t="str">
        <f>"10/21/2020 19:15:17.410"</f>
        <v>10/21/2020 19:15:17.410</v>
      </c>
      <c r="B8796" t="str">
        <f>"19:15:25.344"</f>
        <v>19:15:25.344</v>
      </c>
      <c r="C8796" t="str">
        <f>"19:15:24.844"</f>
        <v>19:15:24.844</v>
      </c>
      <c r="D8796" t="s">
        <v>3396</v>
      </c>
      <c r="E8796">
        <v>30.434232000000002</v>
      </c>
      <c r="F8796" t="s">
        <v>109</v>
      </c>
      <c r="G8796">
        <v>-89.802418000000003</v>
      </c>
      <c r="H8796">
        <v>1000</v>
      </c>
      <c r="I8796">
        <v>130</v>
      </c>
      <c r="J8796">
        <v>-21</v>
      </c>
      <c r="K8796">
        <v>384</v>
      </c>
      <c r="L8796">
        <v>1200</v>
      </c>
      <c r="M8796" t="str">
        <f t="shared" si="811"/>
        <v xml:space="preserve">N35DC   </v>
      </c>
      <c r="N8796">
        <v>1</v>
      </c>
      <c r="O8796">
        <v>1075</v>
      </c>
    </row>
    <row r="8797" spans="1:15" x14ac:dyDescent="0.25">
      <c r="A8797" t="str">
        <f>"10/21/2020 19:15:17.410"</f>
        <v>10/21/2020 19:15:17.410</v>
      </c>
      <c r="B8797" t="str">
        <f>"19:15:25.344"</f>
        <v>19:15:25.344</v>
      </c>
      <c r="C8797" t="str">
        <f>"19:15:24.844"</f>
        <v>19:15:24.844</v>
      </c>
      <c r="D8797" t="s">
        <v>3396</v>
      </c>
      <c r="E8797">
        <v>30.434232000000002</v>
      </c>
      <c r="F8797" t="s">
        <v>109</v>
      </c>
      <c r="G8797">
        <v>-89.802418000000003</v>
      </c>
      <c r="H8797">
        <v>1000</v>
      </c>
      <c r="I8797">
        <v>130</v>
      </c>
      <c r="J8797">
        <v>-21</v>
      </c>
      <c r="K8797">
        <v>384</v>
      </c>
      <c r="L8797">
        <v>1200</v>
      </c>
      <c r="M8797" t="str">
        <f t="shared" si="811"/>
        <v xml:space="preserve">N35DC   </v>
      </c>
      <c r="N8797">
        <v>1</v>
      </c>
      <c r="O8797">
        <v>1075</v>
      </c>
    </row>
    <row r="8798" spans="1:15" x14ac:dyDescent="0.25">
      <c r="A8798" t="str">
        <f>"10/21/2020 19:15:17.410"</f>
        <v>10/21/2020 19:15:17.410</v>
      </c>
      <c r="B8798" t="str">
        <f>"19:15:25.344"</f>
        <v>19:15:25.344</v>
      </c>
      <c r="C8798" t="str">
        <f>"19:15:24.844"</f>
        <v>19:15:24.844</v>
      </c>
      <c r="D8798" t="s">
        <v>3396</v>
      </c>
      <c r="E8798">
        <v>30.434232000000002</v>
      </c>
      <c r="F8798" t="s">
        <v>109</v>
      </c>
      <c r="G8798">
        <v>-89.802418000000003</v>
      </c>
      <c r="H8798">
        <v>1000</v>
      </c>
      <c r="I8798">
        <v>130</v>
      </c>
      <c r="J8798">
        <v>-21</v>
      </c>
      <c r="K8798">
        <v>384</v>
      </c>
      <c r="L8798">
        <v>1200</v>
      </c>
      <c r="M8798" t="str">
        <f t="shared" si="811"/>
        <v xml:space="preserve">N35DC   </v>
      </c>
      <c r="N8798">
        <v>1</v>
      </c>
      <c r="O8798">
        <v>1075</v>
      </c>
    </row>
    <row r="8799" spans="1:15" x14ac:dyDescent="0.25">
      <c r="A8799" t="str">
        <f>"10/21/2020 19:15:18.219"</f>
        <v>10/21/2020 19:15:18.219</v>
      </c>
      <c r="B8799" t="str">
        <f>"19:15:26.195"</f>
        <v>19:15:26.195</v>
      </c>
      <c r="C8799" t="str">
        <f>"19:15:25.895"</f>
        <v>19:15:25.895</v>
      </c>
      <c r="D8799" t="s">
        <v>3397</v>
      </c>
      <c r="E8799">
        <v>30.434166999999999</v>
      </c>
      <c r="F8799" t="s">
        <v>3398</v>
      </c>
      <c r="G8799">
        <v>-89.801817</v>
      </c>
      <c r="H8799">
        <v>1100</v>
      </c>
      <c r="I8799">
        <v>129</v>
      </c>
      <c r="J8799">
        <v>-17</v>
      </c>
      <c r="K8799">
        <v>256</v>
      </c>
      <c r="L8799">
        <v>1200</v>
      </c>
      <c r="M8799" t="str">
        <f t="shared" si="811"/>
        <v xml:space="preserve">N35DC   </v>
      </c>
      <c r="N8799">
        <v>1</v>
      </c>
      <c r="O8799">
        <v>1075</v>
      </c>
    </row>
    <row r="8800" spans="1:15" x14ac:dyDescent="0.25">
      <c r="A8800" t="str">
        <f>"10/21/2020 19:15:18.219"</f>
        <v>10/21/2020 19:15:18.219</v>
      </c>
      <c r="B8800" t="str">
        <f>"19:15:26.195"</f>
        <v>19:15:26.195</v>
      </c>
      <c r="C8800" t="str">
        <f>"19:15:25.895"</f>
        <v>19:15:25.895</v>
      </c>
      <c r="D8800" t="s">
        <v>3397</v>
      </c>
      <c r="E8800">
        <v>30.434166999999999</v>
      </c>
      <c r="F8800" t="s">
        <v>3398</v>
      </c>
      <c r="G8800">
        <v>-89.801817</v>
      </c>
      <c r="H8800">
        <v>1100</v>
      </c>
      <c r="I8800">
        <v>129</v>
      </c>
      <c r="J8800">
        <v>-17</v>
      </c>
      <c r="K8800">
        <v>256</v>
      </c>
      <c r="L8800">
        <v>1200</v>
      </c>
      <c r="M8800" t="str">
        <f t="shared" si="811"/>
        <v xml:space="preserve">N35DC   </v>
      </c>
      <c r="N8800">
        <v>1</v>
      </c>
      <c r="O8800">
        <v>1075</v>
      </c>
    </row>
    <row r="8801" spans="1:15" x14ac:dyDescent="0.25">
      <c r="A8801" t="str">
        <f>"10/21/2020 19:15:18.219"</f>
        <v>10/21/2020 19:15:18.219</v>
      </c>
      <c r="B8801" t="str">
        <f>"19:15:26.195"</f>
        <v>19:15:26.195</v>
      </c>
      <c r="C8801" t="str">
        <f>"19:15:25.895"</f>
        <v>19:15:25.895</v>
      </c>
      <c r="D8801" t="s">
        <v>3397</v>
      </c>
      <c r="E8801">
        <v>30.434166999999999</v>
      </c>
      <c r="F8801" t="s">
        <v>3398</v>
      </c>
      <c r="G8801">
        <v>-89.801817</v>
      </c>
      <c r="H8801">
        <v>1100</v>
      </c>
      <c r="I8801">
        <v>129</v>
      </c>
      <c r="J8801">
        <v>-17</v>
      </c>
      <c r="K8801">
        <v>256</v>
      </c>
      <c r="L8801">
        <v>1200</v>
      </c>
      <c r="M8801" t="str">
        <f t="shared" si="811"/>
        <v xml:space="preserve">N35DC   </v>
      </c>
      <c r="N8801">
        <v>1</v>
      </c>
      <c r="O8801">
        <v>1075</v>
      </c>
    </row>
    <row r="8802" spans="1:15" x14ac:dyDescent="0.25">
      <c r="A8802" t="str">
        <f>"10/21/2020 19:15:18.219"</f>
        <v>10/21/2020 19:15:18.219</v>
      </c>
      <c r="B8802" t="str">
        <f>"19:15:26.195"</f>
        <v>19:15:26.195</v>
      </c>
      <c r="C8802" t="str">
        <f>"19:15:25.895"</f>
        <v>19:15:25.895</v>
      </c>
      <c r="D8802" t="s">
        <v>3397</v>
      </c>
      <c r="E8802">
        <v>30.434166999999999</v>
      </c>
      <c r="F8802" t="s">
        <v>3398</v>
      </c>
      <c r="G8802">
        <v>-89.801817</v>
      </c>
      <c r="H8802">
        <v>1100</v>
      </c>
      <c r="I8802">
        <v>129</v>
      </c>
      <c r="J8802">
        <v>-17</v>
      </c>
      <c r="K8802">
        <v>256</v>
      </c>
      <c r="L8802">
        <v>1200</v>
      </c>
      <c r="M8802" t="str">
        <f t="shared" si="811"/>
        <v xml:space="preserve">N35DC   </v>
      </c>
      <c r="N8802">
        <v>1</v>
      </c>
      <c r="O8802">
        <v>1075</v>
      </c>
    </row>
    <row r="8803" spans="1:15" x14ac:dyDescent="0.25">
      <c r="A8803" t="str">
        <f>"10/21/2020 19:15:18.219"</f>
        <v>10/21/2020 19:15:18.219</v>
      </c>
      <c r="B8803" t="str">
        <f>"19:15:26.195"</f>
        <v>19:15:26.195</v>
      </c>
      <c r="C8803" t="str">
        <f>"19:15:25.895"</f>
        <v>19:15:25.895</v>
      </c>
      <c r="D8803" t="s">
        <v>3397</v>
      </c>
      <c r="E8803">
        <v>30.434166999999999</v>
      </c>
      <c r="F8803" t="s">
        <v>3398</v>
      </c>
      <c r="G8803">
        <v>-89.801817</v>
      </c>
      <c r="H8803">
        <v>1100</v>
      </c>
      <c r="I8803">
        <v>129</v>
      </c>
      <c r="J8803">
        <v>-17</v>
      </c>
      <c r="K8803">
        <v>256</v>
      </c>
      <c r="L8803">
        <v>1200</v>
      </c>
      <c r="M8803" t="str">
        <f t="shared" si="811"/>
        <v xml:space="preserve">N35DC   </v>
      </c>
      <c r="N8803">
        <v>1</v>
      </c>
      <c r="O8803">
        <v>1075</v>
      </c>
    </row>
    <row r="8804" spans="1:15" x14ac:dyDescent="0.25">
      <c r="A8804" t="str">
        <f>"10/21/2020 19:15:20.371"</f>
        <v>10/21/2020 19:15:20.371</v>
      </c>
      <c r="B8804" t="str">
        <f>"19:15:28.313"</f>
        <v>19:15:28.313</v>
      </c>
      <c r="C8804" t="str">
        <f>"19:15:28.113"</f>
        <v>19:15:28.113</v>
      </c>
      <c r="D8804" t="s">
        <v>3399</v>
      </c>
      <c r="E8804">
        <v>30.434082</v>
      </c>
      <c r="F8804" t="s">
        <v>3400</v>
      </c>
      <c r="G8804">
        <v>-89.800314999999998</v>
      </c>
      <c r="H8804">
        <v>1100</v>
      </c>
      <c r="I8804">
        <v>129</v>
      </c>
      <c r="J8804">
        <v>-8</v>
      </c>
      <c r="K8804">
        <v>128</v>
      </c>
      <c r="L8804">
        <v>1200</v>
      </c>
      <c r="M8804" t="str">
        <f t="shared" si="811"/>
        <v xml:space="preserve">N35DC   </v>
      </c>
      <c r="N8804">
        <v>1</v>
      </c>
      <c r="O8804">
        <v>1100</v>
      </c>
    </row>
    <row r="8805" spans="1:15" x14ac:dyDescent="0.25">
      <c r="A8805" t="str">
        <f>"10/21/2020 19:15:20.371"</f>
        <v>10/21/2020 19:15:20.371</v>
      </c>
      <c r="B8805" t="str">
        <f>"19:15:28.313"</f>
        <v>19:15:28.313</v>
      </c>
      <c r="C8805" t="str">
        <f>"19:15:28.113"</f>
        <v>19:15:28.113</v>
      </c>
      <c r="D8805" t="s">
        <v>3399</v>
      </c>
      <c r="E8805">
        <v>30.434082</v>
      </c>
      <c r="F8805" t="s">
        <v>3400</v>
      </c>
      <c r="G8805">
        <v>-89.800314999999998</v>
      </c>
      <c r="H8805">
        <v>1100</v>
      </c>
      <c r="I8805">
        <v>129</v>
      </c>
      <c r="J8805">
        <v>-8</v>
      </c>
      <c r="K8805">
        <v>128</v>
      </c>
      <c r="L8805">
        <v>1200</v>
      </c>
      <c r="M8805" t="str">
        <f t="shared" si="811"/>
        <v xml:space="preserve">N35DC   </v>
      </c>
      <c r="N8805">
        <v>1</v>
      </c>
      <c r="O8805">
        <v>1100</v>
      </c>
    </row>
    <row r="8806" spans="1:15" x14ac:dyDescent="0.25">
      <c r="A8806" t="str">
        <f>"10/21/2020 19:15:20.371"</f>
        <v>10/21/2020 19:15:20.371</v>
      </c>
      <c r="B8806" t="str">
        <f>"19:15:28.313"</f>
        <v>19:15:28.313</v>
      </c>
      <c r="C8806" t="str">
        <f>"19:15:28.113"</f>
        <v>19:15:28.113</v>
      </c>
      <c r="D8806" t="s">
        <v>3399</v>
      </c>
      <c r="E8806">
        <v>30.434082</v>
      </c>
      <c r="F8806" t="s">
        <v>3400</v>
      </c>
      <c r="G8806">
        <v>-89.800314999999998</v>
      </c>
      <c r="H8806">
        <v>1100</v>
      </c>
      <c r="I8806">
        <v>129</v>
      </c>
      <c r="J8806">
        <v>-8</v>
      </c>
      <c r="K8806">
        <v>128</v>
      </c>
      <c r="L8806">
        <v>1200</v>
      </c>
      <c r="M8806" t="str">
        <f t="shared" si="811"/>
        <v xml:space="preserve">N35DC   </v>
      </c>
      <c r="N8806">
        <v>1</v>
      </c>
      <c r="O8806">
        <v>1100</v>
      </c>
    </row>
    <row r="8807" spans="1:15" x14ac:dyDescent="0.25">
      <c r="A8807" t="str">
        <f>"10/21/2020 19:15:20.371"</f>
        <v>10/21/2020 19:15:20.371</v>
      </c>
      <c r="B8807" t="str">
        <f>"19:15:28.313"</f>
        <v>19:15:28.313</v>
      </c>
      <c r="C8807" t="str">
        <f>"19:15:28.113"</f>
        <v>19:15:28.113</v>
      </c>
      <c r="D8807" t="s">
        <v>3399</v>
      </c>
      <c r="E8807">
        <v>30.434082</v>
      </c>
      <c r="F8807" t="s">
        <v>3400</v>
      </c>
      <c r="G8807">
        <v>-89.800314999999998</v>
      </c>
      <c r="H8807">
        <v>1100</v>
      </c>
      <c r="I8807">
        <v>129</v>
      </c>
      <c r="J8807">
        <v>-8</v>
      </c>
      <c r="K8807">
        <v>128</v>
      </c>
      <c r="L8807">
        <v>1200</v>
      </c>
      <c r="M8807" t="str">
        <f t="shared" si="811"/>
        <v xml:space="preserve">N35DC   </v>
      </c>
      <c r="N8807">
        <v>1</v>
      </c>
      <c r="O8807">
        <v>1100</v>
      </c>
    </row>
    <row r="8808" spans="1:15" x14ac:dyDescent="0.25">
      <c r="A8808" t="str">
        <f>"10/21/2020 19:15:20.371"</f>
        <v>10/21/2020 19:15:20.371</v>
      </c>
      <c r="B8808" t="str">
        <f>"19:15:28.313"</f>
        <v>19:15:28.313</v>
      </c>
      <c r="C8808" t="str">
        <f>"19:15:28.113"</f>
        <v>19:15:28.113</v>
      </c>
      <c r="D8808" t="s">
        <v>3399</v>
      </c>
      <c r="E8808">
        <v>30.434082</v>
      </c>
      <c r="F8808" t="s">
        <v>3400</v>
      </c>
      <c r="G8808">
        <v>-89.800314999999998</v>
      </c>
      <c r="H8808">
        <v>1100</v>
      </c>
      <c r="I8808">
        <v>129</v>
      </c>
      <c r="J8808">
        <v>-8</v>
      </c>
      <c r="K8808">
        <v>128</v>
      </c>
      <c r="L8808">
        <v>1200</v>
      </c>
      <c r="M8808" t="str">
        <f t="shared" si="811"/>
        <v xml:space="preserve">N35DC   </v>
      </c>
      <c r="N8808">
        <v>1</v>
      </c>
      <c r="O8808">
        <v>1100</v>
      </c>
    </row>
    <row r="8809" spans="1:15" x14ac:dyDescent="0.25">
      <c r="A8809" t="str">
        <f>"10/21/2020 19:15:21.404"</f>
        <v>10/21/2020 19:15:21.404</v>
      </c>
      <c r="B8809" t="str">
        <f>"19:15:29.344"</f>
        <v>19:15:29.344</v>
      </c>
      <c r="C8809" t="str">
        <f>"19:15:28.544"</f>
        <v>19:15:28.544</v>
      </c>
      <c r="D8809" t="s">
        <v>3401</v>
      </c>
      <c r="E8809">
        <v>30.434059999999999</v>
      </c>
      <c r="F8809" t="s">
        <v>3402</v>
      </c>
      <c r="G8809">
        <v>-89.799671000000004</v>
      </c>
      <c r="H8809">
        <v>1100</v>
      </c>
      <c r="I8809">
        <v>128</v>
      </c>
      <c r="J8809">
        <v>-7</v>
      </c>
      <c r="K8809">
        <v>128</v>
      </c>
      <c r="L8809">
        <v>1200</v>
      </c>
      <c r="M8809" t="str">
        <f t="shared" si="811"/>
        <v xml:space="preserve">N35DC   </v>
      </c>
      <c r="N8809">
        <v>1</v>
      </c>
      <c r="O8809">
        <v>1100</v>
      </c>
    </row>
    <row r="8810" spans="1:15" x14ac:dyDescent="0.25">
      <c r="A8810" t="str">
        <f>"10/21/2020 19:15:21.404"</f>
        <v>10/21/2020 19:15:21.404</v>
      </c>
      <c r="B8810" t="str">
        <f>"19:15:29.344"</f>
        <v>19:15:29.344</v>
      </c>
      <c r="C8810" t="str">
        <f>"19:15:29.144"</f>
        <v>19:15:29.144</v>
      </c>
      <c r="D8810" t="s">
        <v>3401</v>
      </c>
      <c r="E8810">
        <v>30.434059999999999</v>
      </c>
      <c r="F8810" t="s">
        <v>3402</v>
      </c>
      <c r="G8810">
        <v>-89.799671000000004</v>
      </c>
      <c r="H8810">
        <v>1100</v>
      </c>
      <c r="I8810">
        <v>128</v>
      </c>
      <c r="J8810">
        <v>-4</v>
      </c>
      <c r="K8810">
        <v>64</v>
      </c>
      <c r="L8810">
        <v>1200</v>
      </c>
      <c r="M8810" t="str">
        <f t="shared" si="811"/>
        <v xml:space="preserve">N35DC   </v>
      </c>
      <c r="N8810">
        <v>1</v>
      </c>
      <c r="O8810">
        <v>1100</v>
      </c>
    </row>
    <row r="8811" spans="1:15" x14ac:dyDescent="0.25">
      <c r="A8811" t="str">
        <f>"10/21/2020 19:15:21.404"</f>
        <v>10/21/2020 19:15:21.404</v>
      </c>
      <c r="B8811" t="str">
        <f>"19:15:29.344"</f>
        <v>19:15:29.344</v>
      </c>
      <c r="C8811" t="str">
        <f>"19:15:29.144"</f>
        <v>19:15:29.144</v>
      </c>
      <c r="D8811" t="s">
        <v>3401</v>
      </c>
      <c r="E8811">
        <v>30.434059999999999</v>
      </c>
      <c r="F8811" t="s">
        <v>3402</v>
      </c>
      <c r="G8811">
        <v>-89.799671000000004</v>
      </c>
      <c r="H8811">
        <v>1100</v>
      </c>
      <c r="I8811">
        <v>128</v>
      </c>
      <c r="J8811">
        <v>-4</v>
      </c>
      <c r="K8811">
        <v>64</v>
      </c>
      <c r="L8811">
        <v>1200</v>
      </c>
      <c r="M8811" t="str">
        <f t="shared" si="811"/>
        <v xml:space="preserve">N35DC   </v>
      </c>
      <c r="N8811">
        <v>1</v>
      </c>
      <c r="O8811">
        <v>1100</v>
      </c>
    </row>
    <row r="8812" spans="1:15" x14ac:dyDescent="0.25">
      <c r="A8812" t="str">
        <f>"10/21/2020 19:15:21.404"</f>
        <v>10/21/2020 19:15:21.404</v>
      </c>
      <c r="B8812" t="str">
        <f>"19:15:29.344"</f>
        <v>19:15:29.344</v>
      </c>
      <c r="C8812" t="str">
        <f>"19:15:28.544"</f>
        <v>19:15:28.544</v>
      </c>
      <c r="D8812" t="s">
        <v>3401</v>
      </c>
      <c r="E8812">
        <v>30.434059999999999</v>
      </c>
      <c r="F8812" t="s">
        <v>3402</v>
      </c>
      <c r="G8812">
        <v>-89.799671000000004</v>
      </c>
      <c r="H8812">
        <v>1100</v>
      </c>
      <c r="I8812">
        <v>128</v>
      </c>
      <c r="J8812">
        <v>-7</v>
      </c>
      <c r="K8812">
        <v>128</v>
      </c>
      <c r="L8812">
        <v>1200</v>
      </c>
      <c r="M8812" t="str">
        <f t="shared" si="811"/>
        <v xml:space="preserve">N35DC   </v>
      </c>
      <c r="N8812">
        <v>1</v>
      </c>
      <c r="O8812">
        <v>1100</v>
      </c>
    </row>
    <row r="8813" spans="1:15" x14ac:dyDescent="0.25">
      <c r="A8813" t="str">
        <f>"10/21/2020 19:15:21.404"</f>
        <v>10/21/2020 19:15:21.404</v>
      </c>
      <c r="B8813" t="str">
        <f>"19:15:29.344"</f>
        <v>19:15:29.344</v>
      </c>
      <c r="C8813" t="str">
        <f>"19:15:28.544"</f>
        <v>19:15:28.544</v>
      </c>
      <c r="D8813" t="s">
        <v>3401</v>
      </c>
      <c r="E8813">
        <v>30.434059999999999</v>
      </c>
      <c r="F8813" t="s">
        <v>3402</v>
      </c>
      <c r="G8813">
        <v>-89.799671000000004</v>
      </c>
      <c r="H8813">
        <v>1100</v>
      </c>
      <c r="I8813">
        <v>128</v>
      </c>
      <c r="J8813">
        <v>-7</v>
      </c>
      <c r="K8813">
        <v>128</v>
      </c>
      <c r="L8813">
        <v>1200</v>
      </c>
      <c r="M8813" t="str">
        <f t="shared" si="811"/>
        <v xml:space="preserve">N35DC   </v>
      </c>
      <c r="N8813">
        <v>1</v>
      </c>
      <c r="O8813">
        <v>1100</v>
      </c>
    </row>
    <row r="8814" spans="1:15" x14ac:dyDescent="0.25">
      <c r="A8814" t="str">
        <f>"10/21/2020 19:15:24.568"</f>
        <v>10/21/2020 19:15:24.568</v>
      </c>
      <c r="B8814" t="str">
        <f>"19:15:32.523"</f>
        <v>19:15:32.523</v>
      </c>
      <c r="C8814" t="str">
        <f>"19:15:32.423"</f>
        <v>19:15:32.423</v>
      </c>
      <c r="D8814" t="s">
        <v>3403</v>
      </c>
      <c r="E8814">
        <v>30.434103</v>
      </c>
      <c r="F8814" t="s">
        <v>3404</v>
      </c>
      <c r="G8814">
        <v>-89.797504000000004</v>
      </c>
      <c r="H8814">
        <v>1100</v>
      </c>
      <c r="I8814">
        <v>126</v>
      </c>
      <c r="J8814">
        <v>7</v>
      </c>
      <c r="K8814">
        <v>0</v>
      </c>
      <c r="L8814">
        <v>1200</v>
      </c>
      <c r="M8814" t="str">
        <f t="shared" si="811"/>
        <v xml:space="preserve">N35DC   </v>
      </c>
      <c r="N8814">
        <v>1</v>
      </c>
      <c r="O8814">
        <v>1100</v>
      </c>
    </row>
    <row r="8815" spans="1:15" x14ac:dyDescent="0.25">
      <c r="A8815" t="str">
        <f>"10/21/2020 19:15:24.568"</f>
        <v>10/21/2020 19:15:24.568</v>
      </c>
      <c r="B8815" t="str">
        <f>"19:15:32.523"</f>
        <v>19:15:32.523</v>
      </c>
      <c r="C8815" t="str">
        <f>"19:15:32.423"</f>
        <v>19:15:32.423</v>
      </c>
      <c r="D8815" t="s">
        <v>3403</v>
      </c>
      <c r="E8815">
        <v>30.434103</v>
      </c>
      <c r="F8815" t="s">
        <v>3404</v>
      </c>
      <c r="G8815">
        <v>-89.797504000000004</v>
      </c>
      <c r="H8815">
        <v>1100</v>
      </c>
      <c r="I8815">
        <v>126</v>
      </c>
      <c r="J8815">
        <v>7</v>
      </c>
      <c r="K8815">
        <v>0</v>
      </c>
      <c r="L8815">
        <v>1200</v>
      </c>
      <c r="M8815" t="str">
        <f t="shared" si="811"/>
        <v xml:space="preserve">N35DC   </v>
      </c>
      <c r="N8815">
        <v>1</v>
      </c>
      <c r="O8815">
        <v>1100</v>
      </c>
    </row>
    <row r="8816" spans="1:15" x14ac:dyDescent="0.25">
      <c r="A8816" t="str">
        <f>"10/21/2020 19:15:24.568"</f>
        <v>10/21/2020 19:15:24.568</v>
      </c>
      <c r="B8816" t="str">
        <f>"19:15:32.523"</f>
        <v>19:15:32.523</v>
      </c>
      <c r="C8816" t="str">
        <f>"19:15:32.423"</f>
        <v>19:15:32.423</v>
      </c>
      <c r="D8816" t="s">
        <v>3403</v>
      </c>
      <c r="E8816">
        <v>30.434103</v>
      </c>
      <c r="F8816" t="s">
        <v>3404</v>
      </c>
      <c r="G8816">
        <v>-89.797504000000004</v>
      </c>
      <c r="H8816">
        <v>1100</v>
      </c>
      <c r="I8816">
        <v>126</v>
      </c>
      <c r="J8816">
        <v>7</v>
      </c>
      <c r="K8816">
        <v>0</v>
      </c>
      <c r="L8816">
        <v>1200</v>
      </c>
      <c r="M8816" t="str">
        <f t="shared" si="811"/>
        <v xml:space="preserve">N35DC   </v>
      </c>
      <c r="N8816">
        <v>1</v>
      </c>
      <c r="O8816">
        <v>1100</v>
      </c>
    </row>
    <row r="8817" spans="1:15" x14ac:dyDescent="0.25">
      <c r="A8817" t="str">
        <f>"10/21/2020 19:15:24.568"</f>
        <v>10/21/2020 19:15:24.568</v>
      </c>
      <c r="B8817" t="str">
        <f>"19:15:32.523"</f>
        <v>19:15:32.523</v>
      </c>
      <c r="C8817" t="str">
        <f>"19:15:32.423"</f>
        <v>19:15:32.423</v>
      </c>
      <c r="D8817" t="s">
        <v>3403</v>
      </c>
      <c r="E8817">
        <v>30.434103</v>
      </c>
      <c r="F8817" t="s">
        <v>3404</v>
      </c>
      <c r="G8817">
        <v>-89.797504000000004</v>
      </c>
      <c r="H8817">
        <v>1100</v>
      </c>
      <c r="I8817">
        <v>126</v>
      </c>
      <c r="J8817">
        <v>7</v>
      </c>
      <c r="K8817">
        <v>0</v>
      </c>
      <c r="L8817">
        <v>1200</v>
      </c>
      <c r="M8817" t="str">
        <f t="shared" si="811"/>
        <v xml:space="preserve">N35DC   </v>
      </c>
      <c r="N8817">
        <v>1</v>
      </c>
      <c r="O8817">
        <v>1100</v>
      </c>
    </row>
    <row r="8818" spans="1:15" x14ac:dyDescent="0.25">
      <c r="A8818" t="str">
        <f>"10/21/2020 19:15:24.568"</f>
        <v>10/21/2020 19:15:24.568</v>
      </c>
      <c r="B8818" t="str">
        <f>"19:15:32.523"</f>
        <v>19:15:32.523</v>
      </c>
      <c r="C8818" t="str">
        <f>"19:15:32.423"</f>
        <v>19:15:32.423</v>
      </c>
      <c r="D8818" t="s">
        <v>3403</v>
      </c>
      <c r="E8818">
        <v>30.434103</v>
      </c>
      <c r="F8818" t="s">
        <v>3404</v>
      </c>
      <c r="G8818">
        <v>-89.797504000000004</v>
      </c>
      <c r="H8818">
        <v>1100</v>
      </c>
      <c r="I8818">
        <v>126</v>
      </c>
      <c r="J8818">
        <v>7</v>
      </c>
      <c r="K8818">
        <v>0</v>
      </c>
      <c r="L8818">
        <v>1200</v>
      </c>
      <c r="M8818" t="str">
        <f t="shared" si="811"/>
        <v xml:space="preserve">N35DC   </v>
      </c>
      <c r="N8818">
        <v>1</v>
      </c>
      <c r="O8818">
        <v>1100</v>
      </c>
    </row>
    <row r="8819" spans="1:15" x14ac:dyDescent="0.25">
      <c r="A8819" t="str">
        <f>"10/21/2020 19:15:27.521"</f>
        <v>10/21/2020 19:15:27.521</v>
      </c>
      <c r="B8819" t="str">
        <f>"19:15:35.484"</f>
        <v>19:15:35.484</v>
      </c>
      <c r="C8819" t="str">
        <f>"19:15:35.084"</f>
        <v>19:15:35.084</v>
      </c>
      <c r="D8819" t="s">
        <v>3405</v>
      </c>
      <c r="E8819">
        <v>30.434275</v>
      </c>
      <c r="F8819" t="s">
        <v>3406</v>
      </c>
      <c r="G8819">
        <v>-89.795486999999994</v>
      </c>
      <c r="H8819">
        <v>1000</v>
      </c>
      <c r="I8819">
        <v>125</v>
      </c>
      <c r="J8819">
        <v>14</v>
      </c>
      <c r="K8819">
        <v>0</v>
      </c>
      <c r="L8819">
        <v>1200</v>
      </c>
      <c r="M8819" t="str">
        <f t="shared" si="811"/>
        <v xml:space="preserve">N35DC   </v>
      </c>
      <c r="N8819">
        <v>1</v>
      </c>
      <c r="O8819">
        <v>1100</v>
      </c>
    </row>
    <row r="8820" spans="1:15" x14ac:dyDescent="0.25">
      <c r="A8820" t="str">
        <f>"10/21/2020 19:15:27.521"</f>
        <v>10/21/2020 19:15:27.521</v>
      </c>
      <c r="B8820" t="str">
        <f>"19:15:35.484"</f>
        <v>19:15:35.484</v>
      </c>
      <c r="C8820" t="str">
        <f>"19:15:35.084"</f>
        <v>19:15:35.084</v>
      </c>
      <c r="D8820" t="s">
        <v>3405</v>
      </c>
      <c r="E8820">
        <v>30.434275</v>
      </c>
      <c r="F8820" t="s">
        <v>3406</v>
      </c>
      <c r="G8820">
        <v>-89.795486999999994</v>
      </c>
      <c r="H8820">
        <v>1000</v>
      </c>
      <c r="I8820">
        <v>125</v>
      </c>
      <c r="J8820">
        <v>14</v>
      </c>
      <c r="K8820">
        <v>0</v>
      </c>
      <c r="L8820">
        <v>1200</v>
      </c>
      <c r="M8820" t="str">
        <f t="shared" si="811"/>
        <v xml:space="preserve">N35DC   </v>
      </c>
      <c r="N8820">
        <v>1</v>
      </c>
      <c r="O8820">
        <v>1100</v>
      </c>
    </row>
    <row r="8821" spans="1:15" x14ac:dyDescent="0.25">
      <c r="A8821" t="str">
        <f>"10/21/2020 19:15:27.521"</f>
        <v>10/21/2020 19:15:27.521</v>
      </c>
      <c r="B8821" t="str">
        <f>"19:15:35.484"</f>
        <v>19:15:35.484</v>
      </c>
      <c r="C8821" t="str">
        <f>"19:15:35.084"</f>
        <v>19:15:35.084</v>
      </c>
      <c r="D8821" t="s">
        <v>3405</v>
      </c>
      <c r="E8821">
        <v>30.434275</v>
      </c>
      <c r="F8821" t="s">
        <v>3406</v>
      </c>
      <c r="G8821">
        <v>-89.795486999999994</v>
      </c>
      <c r="H8821">
        <v>1000</v>
      </c>
      <c r="I8821">
        <v>125</v>
      </c>
      <c r="J8821">
        <v>14</v>
      </c>
      <c r="K8821">
        <v>0</v>
      </c>
      <c r="L8821">
        <v>1200</v>
      </c>
      <c r="M8821" t="str">
        <f t="shared" si="811"/>
        <v xml:space="preserve">N35DC   </v>
      </c>
      <c r="N8821">
        <v>1</v>
      </c>
      <c r="O8821">
        <v>1100</v>
      </c>
    </row>
    <row r="8822" spans="1:15" x14ac:dyDescent="0.25">
      <c r="A8822" t="str">
        <f>"10/21/2020 19:15:27.521"</f>
        <v>10/21/2020 19:15:27.521</v>
      </c>
      <c r="B8822" t="str">
        <f>"19:15:35.484"</f>
        <v>19:15:35.484</v>
      </c>
      <c r="C8822" t="str">
        <f>"19:15:35.084"</f>
        <v>19:15:35.084</v>
      </c>
      <c r="D8822" t="s">
        <v>3405</v>
      </c>
      <c r="E8822">
        <v>30.434275</v>
      </c>
      <c r="F8822" t="s">
        <v>3406</v>
      </c>
      <c r="G8822">
        <v>-89.795486999999994</v>
      </c>
      <c r="H8822">
        <v>1000</v>
      </c>
      <c r="I8822">
        <v>125</v>
      </c>
      <c r="J8822">
        <v>14</v>
      </c>
      <c r="K8822">
        <v>0</v>
      </c>
      <c r="L8822">
        <v>1200</v>
      </c>
      <c r="M8822" t="str">
        <f t="shared" si="811"/>
        <v xml:space="preserve">N35DC   </v>
      </c>
      <c r="N8822">
        <v>1</v>
      </c>
      <c r="O8822">
        <v>1100</v>
      </c>
    </row>
    <row r="8823" spans="1:15" x14ac:dyDescent="0.25">
      <c r="A8823" t="str">
        <f>"10/21/2020 19:15:27.521"</f>
        <v>10/21/2020 19:15:27.521</v>
      </c>
      <c r="B8823" t="str">
        <f>"19:15:35.484"</f>
        <v>19:15:35.484</v>
      </c>
      <c r="C8823" t="str">
        <f>"19:15:35.084"</f>
        <v>19:15:35.084</v>
      </c>
      <c r="D8823" t="s">
        <v>3405</v>
      </c>
      <c r="E8823">
        <v>30.434275</v>
      </c>
      <c r="F8823" t="s">
        <v>3406</v>
      </c>
      <c r="G8823">
        <v>-89.795486999999994</v>
      </c>
      <c r="H8823">
        <v>1000</v>
      </c>
      <c r="I8823">
        <v>125</v>
      </c>
      <c r="J8823">
        <v>14</v>
      </c>
      <c r="K8823">
        <v>0</v>
      </c>
      <c r="L8823">
        <v>1200</v>
      </c>
      <c r="M8823" t="str">
        <f t="shared" si="811"/>
        <v xml:space="preserve">N35DC   </v>
      </c>
      <c r="N8823">
        <v>1</v>
      </c>
      <c r="O8823">
        <v>1100</v>
      </c>
    </row>
    <row r="8824" spans="1:15" x14ac:dyDescent="0.25">
      <c r="A8824" t="str">
        <f>"10/21/2020 19:15:28.567"</f>
        <v>10/21/2020 19:15:28.567</v>
      </c>
      <c r="B8824" t="str">
        <f>"19:15:36.500"</f>
        <v>19:15:36.500</v>
      </c>
      <c r="C8824" t="str">
        <f>"19:15:36.100"</f>
        <v>19:15:36.100</v>
      </c>
      <c r="D8824" t="s">
        <v>3407</v>
      </c>
      <c r="E8824">
        <v>30.434318000000001</v>
      </c>
      <c r="F8824" t="s">
        <v>3408</v>
      </c>
      <c r="G8824">
        <v>-89.794821999999996</v>
      </c>
      <c r="H8824">
        <v>1000</v>
      </c>
      <c r="I8824">
        <v>124</v>
      </c>
      <c r="J8824">
        <v>16</v>
      </c>
      <c r="K8824">
        <v>-64</v>
      </c>
      <c r="L8824">
        <v>1200</v>
      </c>
      <c r="M8824" t="str">
        <f t="shared" si="811"/>
        <v xml:space="preserve">N35DC   </v>
      </c>
      <c r="N8824">
        <v>1</v>
      </c>
      <c r="O8824">
        <v>1175</v>
      </c>
    </row>
    <row r="8825" spans="1:15" x14ac:dyDescent="0.25">
      <c r="A8825" t="str">
        <f>"10/21/2020 19:15:28.567"</f>
        <v>10/21/2020 19:15:28.567</v>
      </c>
      <c r="B8825" t="str">
        <f>"19:15:36.500"</f>
        <v>19:15:36.500</v>
      </c>
      <c r="C8825" t="str">
        <f>"19:15:36.100"</f>
        <v>19:15:36.100</v>
      </c>
      <c r="D8825" t="s">
        <v>3407</v>
      </c>
      <c r="E8825">
        <v>30.434318000000001</v>
      </c>
      <c r="F8825" t="s">
        <v>3408</v>
      </c>
      <c r="G8825">
        <v>-89.794821999999996</v>
      </c>
      <c r="H8825">
        <v>1000</v>
      </c>
      <c r="I8825">
        <v>124</v>
      </c>
      <c r="J8825">
        <v>16</v>
      </c>
      <c r="K8825">
        <v>-64</v>
      </c>
      <c r="L8825">
        <v>1200</v>
      </c>
      <c r="M8825" t="str">
        <f t="shared" si="811"/>
        <v xml:space="preserve">N35DC   </v>
      </c>
      <c r="N8825">
        <v>1</v>
      </c>
      <c r="O8825">
        <v>1175</v>
      </c>
    </row>
    <row r="8826" spans="1:15" x14ac:dyDescent="0.25">
      <c r="A8826" t="str">
        <f>"10/21/2020 19:15:28.567"</f>
        <v>10/21/2020 19:15:28.567</v>
      </c>
      <c r="B8826" t="str">
        <f>"19:15:36.500"</f>
        <v>19:15:36.500</v>
      </c>
      <c r="C8826" t="str">
        <f>"19:15:36.100"</f>
        <v>19:15:36.100</v>
      </c>
      <c r="D8826" t="s">
        <v>3407</v>
      </c>
      <c r="E8826">
        <v>30.434318000000001</v>
      </c>
      <c r="F8826" t="s">
        <v>3408</v>
      </c>
      <c r="G8826">
        <v>-89.794821999999996</v>
      </c>
      <c r="H8826">
        <v>1000</v>
      </c>
      <c r="I8826">
        <v>124</v>
      </c>
      <c r="J8826">
        <v>16</v>
      </c>
      <c r="K8826">
        <v>-64</v>
      </c>
      <c r="L8826">
        <v>1200</v>
      </c>
      <c r="M8826" t="str">
        <f t="shared" si="811"/>
        <v xml:space="preserve">N35DC   </v>
      </c>
      <c r="N8826">
        <v>1</v>
      </c>
      <c r="O8826">
        <v>1175</v>
      </c>
    </row>
    <row r="8827" spans="1:15" x14ac:dyDescent="0.25">
      <c r="A8827" t="str">
        <f>"10/21/2020 19:15:28.567"</f>
        <v>10/21/2020 19:15:28.567</v>
      </c>
      <c r="B8827" t="str">
        <f>"19:15:36.500"</f>
        <v>19:15:36.500</v>
      </c>
      <c r="C8827" t="str">
        <f>"19:15:36.100"</f>
        <v>19:15:36.100</v>
      </c>
      <c r="D8827" t="s">
        <v>3407</v>
      </c>
      <c r="E8827">
        <v>30.434318000000001</v>
      </c>
      <c r="F8827" t="s">
        <v>3408</v>
      </c>
      <c r="G8827">
        <v>-89.794821999999996</v>
      </c>
      <c r="H8827">
        <v>1000</v>
      </c>
      <c r="I8827">
        <v>124</v>
      </c>
      <c r="J8827">
        <v>16</v>
      </c>
      <c r="K8827">
        <v>-64</v>
      </c>
      <c r="L8827">
        <v>1200</v>
      </c>
      <c r="M8827" t="str">
        <f t="shared" si="811"/>
        <v xml:space="preserve">N35DC   </v>
      </c>
      <c r="N8827">
        <v>1</v>
      </c>
      <c r="O8827">
        <v>1175</v>
      </c>
    </row>
    <row r="8828" spans="1:15" x14ac:dyDescent="0.25">
      <c r="A8828" t="str">
        <f>"10/21/2020 19:15:28.567"</f>
        <v>10/21/2020 19:15:28.567</v>
      </c>
      <c r="B8828" t="str">
        <f>"19:15:36.500"</f>
        <v>19:15:36.500</v>
      </c>
      <c r="C8828" t="str">
        <f>"19:15:36.100"</f>
        <v>19:15:36.100</v>
      </c>
      <c r="D8828" t="s">
        <v>3407</v>
      </c>
      <c r="E8828">
        <v>30.434318000000001</v>
      </c>
      <c r="F8828" t="s">
        <v>3408</v>
      </c>
      <c r="G8828">
        <v>-89.794821999999996</v>
      </c>
      <c r="H8828">
        <v>1000</v>
      </c>
      <c r="I8828">
        <v>124</v>
      </c>
      <c r="J8828">
        <v>16</v>
      </c>
      <c r="K8828">
        <v>-64</v>
      </c>
      <c r="L8828">
        <v>1200</v>
      </c>
      <c r="M8828" t="str">
        <f t="shared" si="811"/>
        <v xml:space="preserve">N35DC   </v>
      </c>
      <c r="N8828">
        <v>1</v>
      </c>
      <c r="O8828">
        <v>1175</v>
      </c>
    </row>
    <row r="8829" spans="1:15" x14ac:dyDescent="0.25">
      <c r="A8829" t="str">
        <f>"10/21/2020 19:15:31.539"</f>
        <v>10/21/2020 19:15:31.539</v>
      </c>
      <c r="B8829" t="str">
        <f>"19:15:39.484"</f>
        <v>19:15:39.484</v>
      </c>
      <c r="C8829" t="str">
        <f>"19:15:39.284"</f>
        <v>19:15:39.284</v>
      </c>
      <c r="D8829" t="s">
        <v>3395</v>
      </c>
      <c r="E8829">
        <v>30.434597</v>
      </c>
      <c r="F8829" t="s">
        <v>2402</v>
      </c>
      <c r="G8829">
        <v>-89.792848000000006</v>
      </c>
      <c r="H8829">
        <v>1000</v>
      </c>
      <c r="I8829">
        <v>122</v>
      </c>
      <c r="J8829">
        <v>22</v>
      </c>
      <c r="K8829">
        <v>-64</v>
      </c>
      <c r="L8829">
        <v>1200</v>
      </c>
      <c r="M8829" t="str">
        <f t="shared" si="811"/>
        <v xml:space="preserve">N35DC   </v>
      </c>
      <c r="N8829">
        <v>1</v>
      </c>
      <c r="O8829">
        <v>1075</v>
      </c>
    </row>
    <row r="8830" spans="1:15" x14ac:dyDescent="0.25">
      <c r="A8830" t="str">
        <f>"10/21/2020 19:15:31.539"</f>
        <v>10/21/2020 19:15:31.539</v>
      </c>
      <c r="B8830" t="str">
        <f>"19:15:39.484"</f>
        <v>19:15:39.484</v>
      </c>
      <c r="C8830" t="str">
        <f>"19:15:39.284"</f>
        <v>19:15:39.284</v>
      </c>
      <c r="D8830" t="s">
        <v>3395</v>
      </c>
      <c r="E8830">
        <v>30.434597</v>
      </c>
      <c r="F8830" t="s">
        <v>2402</v>
      </c>
      <c r="G8830">
        <v>-89.792848000000006</v>
      </c>
      <c r="H8830">
        <v>1000</v>
      </c>
      <c r="I8830">
        <v>122</v>
      </c>
      <c r="J8830">
        <v>22</v>
      </c>
      <c r="K8830">
        <v>-64</v>
      </c>
      <c r="L8830">
        <v>1200</v>
      </c>
      <c r="M8830" t="str">
        <f t="shared" si="811"/>
        <v xml:space="preserve">N35DC   </v>
      </c>
      <c r="N8830">
        <v>1</v>
      </c>
      <c r="O8830">
        <v>1075</v>
      </c>
    </row>
    <row r="8831" spans="1:15" x14ac:dyDescent="0.25">
      <c r="A8831" t="str">
        <f>"10/21/2020 19:15:31.539"</f>
        <v>10/21/2020 19:15:31.539</v>
      </c>
      <c r="B8831" t="str">
        <f>"19:15:39.484"</f>
        <v>19:15:39.484</v>
      </c>
      <c r="C8831" t="str">
        <f>"19:15:39.284"</f>
        <v>19:15:39.284</v>
      </c>
      <c r="D8831" t="s">
        <v>3395</v>
      </c>
      <c r="E8831">
        <v>30.434597</v>
      </c>
      <c r="F8831" t="s">
        <v>2402</v>
      </c>
      <c r="G8831">
        <v>-89.792848000000006</v>
      </c>
      <c r="H8831">
        <v>1000</v>
      </c>
      <c r="I8831">
        <v>122</v>
      </c>
      <c r="J8831">
        <v>22</v>
      </c>
      <c r="K8831">
        <v>-64</v>
      </c>
      <c r="L8831">
        <v>1200</v>
      </c>
      <c r="M8831" t="str">
        <f t="shared" si="811"/>
        <v xml:space="preserve">N35DC   </v>
      </c>
      <c r="N8831">
        <v>1</v>
      </c>
      <c r="O8831">
        <v>1075</v>
      </c>
    </row>
    <row r="8832" spans="1:15" x14ac:dyDescent="0.25">
      <c r="A8832" t="str">
        <f>"10/21/2020 19:15:31.539"</f>
        <v>10/21/2020 19:15:31.539</v>
      </c>
      <c r="B8832" t="str">
        <f>"19:15:39.484"</f>
        <v>19:15:39.484</v>
      </c>
      <c r="C8832" t="str">
        <f>"19:15:39.284"</f>
        <v>19:15:39.284</v>
      </c>
      <c r="D8832" t="s">
        <v>3395</v>
      </c>
      <c r="E8832">
        <v>30.434597</v>
      </c>
      <c r="F8832" t="s">
        <v>2402</v>
      </c>
      <c r="G8832">
        <v>-89.792848000000006</v>
      </c>
      <c r="H8832">
        <v>1000</v>
      </c>
      <c r="I8832">
        <v>122</v>
      </c>
      <c r="J8832">
        <v>22</v>
      </c>
      <c r="K8832">
        <v>-64</v>
      </c>
      <c r="L8832">
        <v>1200</v>
      </c>
      <c r="M8832" t="str">
        <f t="shared" si="811"/>
        <v xml:space="preserve">N35DC   </v>
      </c>
      <c r="N8832">
        <v>1</v>
      </c>
      <c r="O8832">
        <v>1075</v>
      </c>
    </row>
    <row r="8833" spans="1:15" x14ac:dyDescent="0.25">
      <c r="A8833" t="str">
        <f>"10/21/2020 19:15:31.539"</f>
        <v>10/21/2020 19:15:31.539</v>
      </c>
      <c r="B8833" t="str">
        <f>"19:15:39.484"</f>
        <v>19:15:39.484</v>
      </c>
      <c r="C8833" t="str">
        <f>"19:15:39.284"</f>
        <v>19:15:39.284</v>
      </c>
      <c r="D8833" t="s">
        <v>3395</v>
      </c>
      <c r="E8833">
        <v>30.434597</v>
      </c>
      <c r="F8833" t="s">
        <v>2402</v>
      </c>
      <c r="G8833">
        <v>-89.792848000000006</v>
      </c>
      <c r="H8833">
        <v>1000</v>
      </c>
      <c r="I8833">
        <v>122</v>
      </c>
      <c r="J8833">
        <v>22</v>
      </c>
      <c r="K8833">
        <v>-64</v>
      </c>
      <c r="L8833">
        <v>1200</v>
      </c>
      <c r="M8833" t="str">
        <f t="shared" si="811"/>
        <v xml:space="preserve">N35DC   </v>
      </c>
      <c r="N8833">
        <v>1</v>
      </c>
      <c r="O8833">
        <v>1075</v>
      </c>
    </row>
    <row r="8834" spans="1:15" x14ac:dyDescent="0.25">
      <c r="A8834" t="str">
        <f>"10/21/2020 19:15:32.573"</f>
        <v>10/21/2020 19:15:32.573</v>
      </c>
      <c r="B8834" t="str">
        <f>"19:15:40.539"</f>
        <v>19:15:40.539</v>
      </c>
      <c r="C8834" t="str">
        <f>"19:15:40.239"</f>
        <v>19:15:40.239</v>
      </c>
      <c r="D8834" t="s">
        <v>3409</v>
      </c>
      <c r="E8834">
        <v>30.434747000000002</v>
      </c>
      <c r="F8834" t="s">
        <v>3410</v>
      </c>
      <c r="G8834">
        <v>-89.792181999999997</v>
      </c>
      <c r="H8834">
        <v>1000</v>
      </c>
      <c r="I8834">
        <v>121</v>
      </c>
      <c r="J8834">
        <v>24</v>
      </c>
      <c r="K8834">
        <v>-64</v>
      </c>
      <c r="L8834">
        <v>1200</v>
      </c>
      <c r="M8834" t="str">
        <f t="shared" si="811"/>
        <v xml:space="preserve">N35DC   </v>
      </c>
      <c r="N8834">
        <v>1</v>
      </c>
      <c r="O8834">
        <v>1075</v>
      </c>
    </row>
    <row r="8835" spans="1:15" x14ac:dyDescent="0.25">
      <c r="A8835" t="str">
        <f>"10/21/2020 19:15:32.573"</f>
        <v>10/21/2020 19:15:32.573</v>
      </c>
      <c r="B8835" t="str">
        <f>"19:15:40.539"</f>
        <v>19:15:40.539</v>
      </c>
      <c r="C8835" t="str">
        <f>"19:15:40.239"</f>
        <v>19:15:40.239</v>
      </c>
      <c r="D8835" t="s">
        <v>3409</v>
      </c>
      <c r="E8835">
        <v>30.434747000000002</v>
      </c>
      <c r="F8835" t="s">
        <v>3410</v>
      </c>
      <c r="G8835">
        <v>-89.792181999999997</v>
      </c>
      <c r="H8835">
        <v>1000</v>
      </c>
      <c r="I8835">
        <v>121</v>
      </c>
      <c r="J8835">
        <v>24</v>
      </c>
      <c r="K8835">
        <v>-64</v>
      </c>
      <c r="L8835">
        <v>1200</v>
      </c>
      <c r="M8835" t="str">
        <f t="shared" si="811"/>
        <v xml:space="preserve">N35DC   </v>
      </c>
      <c r="N8835">
        <v>1</v>
      </c>
      <c r="O8835">
        <v>1075</v>
      </c>
    </row>
    <row r="8836" spans="1:15" x14ac:dyDescent="0.25">
      <c r="A8836" t="str">
        <f>"10/21/2020 19:15:32.573"</f>
        <v>10/21/2020 19:15:32.573</v>
      </c>
      <c r="B8836" t="str">
        <f>"19:15:40.539"</f>
        <v>19:15:40.539</v>
      </c>
      <c r="C8836" t="str">
        <f>"19:15:40.239"</f>
        <v>19:15:40.239</v>
      </c>
      <c r="D8836" t="s">
        <v>3409</v>
      </c>
      <c r="E8836">
        <v>30.434747000000002</v>
      </c>
      <c r="F8836" t="s">
        <v>3410</v>
      </c>
      <c r="G8836">
        <v>-89.792181999999997</v>
      </c>
      <c r="H8836">
        <v>1000</v>
      </c>
      <c r="I8836">
        <v>121</v>
      </c>
      <c r="J8836">
        <v>24</v>
      </c>
      <c r="K8836">
        <v>-64</v>
      </c>
      <c r="L8836">
        <v>1200</v>
      </c>
      <c r="M8836" t="str">
        <f t="shared" si="811"/>
        <v xml:space="preserve">N35DC   </v>
      </c>
      <c r="N8836">
        <v>1</v>
      </c>
      <c r="O8836">
        <v>1075</v>
      </c>
    </row>
    <row r="8837" spans="1:15" x14ac:dyDescent="0.25">
      <c r="A8837" t="str">
        <f>"10/21/2020 19:15:32.573"</f>
        <v>10/21/2020 19:15:32.573</v>
      </c>
      <c r="B8837" t="str">
        <f>"19:15:40.539"</f>
        <v>19:15:40.539</v>
      </c>
      <c r="C8837" t="str">
        <f>"19:15:40.239"</f>
        <v>19:15:40.239</v>
      </c>
      <c r="D8837" t="s">
        <v>3409</v>
      </c>
      <c r="E8837">
        <v>30.434747000000002</v>
      </c>
      <c r="F8837" t="s">
        <v>3410</v>
      </c>
      <c r="G8837">
        <v>-89.792181999999997</v>
      </c>
      <c r="H8837">
        <v>1000</v>
      </c>
      <c r="I8837">
        <v>121</v>
      </c>
      <c r="J8837">
        <v>24</v>
      </c>
      <c r="K8837">
        <v>-64</v>
      </c>
      <c r="L8837">
        <v>1200</v>
      </c>
      <c r="M8837" t="str">
        <f t="shared" si="811"/>
        <v xml:space="preserve">N35DC   </v>
      </c>
      <c r="N8837">
        <v>1</v>
      </c>
      <c r="O8837">
        <v>1075</v>
      </c>
    </row>
    <row r="8838" spans="1:15" x14ac:dyDescent="0.25">
      <c r="A8838" t="str">
        <f>"10/21/2020 19:15:32.573"</f>
        <v>10/21/2020 19:15:32.573</v>
      </c>
      <c r="B8838" t="str">
        <f>"19:15:40.539"</f>
        <v>19:15:40.539</v>
      </c>
      <c r="C8838" t="str">
        <f>"19:15:40.239"</f>
        <v>19:15:40.239</v>
      </c>
      <c r="D8838" t="s">
        <v>3409</v>
      </c>
      <c r="E8838">
        <v>30.434747000000002</v>
      </c>
      <c r="F8838" t="s">
        <v>3410</v>
      </c>
      <c r="G8838">
        <v>-89.792181999999997</v>
      </c>
      <c r="H8838">
        <v>1000</v>
      </c>
      <c r="I8838">
        <v>121</v>
      </c>
      <c r="J8838">
        <v>24</v>
      </c>
      <c r="K8838">
        <v>-64</v>
      </c>
      <c r="L8838">
        <v>1200</v>
      </c>
      <c r="M8838" t="str">
        <f t="shared" si="811"/>
        <v xml:space="preserve">N35DC   </v>
      </c>
      <c r="N8838">
        <v>1</v>
      </c>
      <c r="O8838">
        <v>1075</v>
      </c>
    </row>
    <row r="8839" spans="1:15" x14ac:dyDescent="0.25">
      <c r="A8839" t="str">
        <f>"10/21/2020 19:15:35.481"</f>
        <v>10/21/2020 19:15:35.481</v>
      </c>
      <c r="B8839" t="str">
        <f>"19:15:43.414"</f>
        <v>19:15:43.414</v>
      </c>
      <c r="C8839" t="str">
        <f>"19:15:43.114"</f>
        <v>19:15:43.114</v>
      </c>
      <c r="D8839" t="s">
        <v>3394</v>
      </c>
      <c r="E8839">
        <v>30.435112</v>
      </c>
      <c r="F8839" t="s">
        <v>3411</v>
      </c>
      <c r="G8839">
        <v>-89.790316000000004</v>
      </c>
      <c r="H8839">
        <v>1000</v>
      </c>
      <c r="I8839">
        <v>120</v>
      </c>
      <c r="J8839">
        <v>28</v>
      </c>
      <c r="K8839">
        <v>0</v>
      </c>
      <c r="L8839">
        <v>1200</v>
      </c>
      <c r="M8839" t="str">
        <f t="shared" ref="M8839:M8902" si="812">"N35DC   "</f>
        <v xml:space="preserve">N35DC   </v>
      </c>
      <c r="N8839">
        <v>1</v>
      </c>
      <c r="O8839">
        <v>1075</v>
      </c>
    </row>
    <row r="8840" spans="1:15" x14ac:dyDescent="0.25">
      <c r="A8840" t="str">
        <f>"10/21/2020 19:15:35.481"</f>
        <v>10/21/2020 19:15:35.481</v>
      </c>
      <c r="B8840" t="str">
        <f>"19:15:43.414"</f>
        <v>19:15:43.414</v>
      </c>
      <c r="C8840" t="str">
        <f>"19:15:43.114"</f>
        <v>19:15:43.114</v>
      </c>
      <c r="D8840" t="s">
        <v>3394</v>
      </c>
      <c r="E8840">
        <v>30.435112</v>
      </c>
      <c r="F8840" t="s">
        <v>3411</v>
      </c>
      <c r="G8840">
        <v>-89.790316000000004</v>
      </c>
      <c r="H8840">
        <v>1000</v>
      </c>
      <c r="I8840">
        <v>120</v>
      </c>
      <c r="J8840">
        <v>28</v>
      </c>
      <c r="K8840">
        <v>0</v>
      </c>
      <c r="L8840">
        <v>1200</v>
      </c>
      <c r="M8840" t="str">
        <f t="shared" si="812"/>
        <v xml:space="preserve">N35DC   </v>
      </c>
      <c r="N8840">
        <v>1</v>
      </c>
      <c r="O8840">
        <v>1075</v>
      </c>
    </row>
    <row r="8841" spans="1:15" x14ac:dyDescent="0.25">
      <c r="A8841" t="str">
        <f>"10/21/2020 19:15:35.481"</f>
        <v>10/21/2020 19:15:35.481</v>
      </c>
      <c r="B8841" t="str">
        <f>"19:15:43.414"</f>
        <v>19:15:43.414</v>
      </c>
      <c r="C8841" t="str">
        <f>"19:15:43.114"</f>
        <v>19:15:43.114</v>
      </c>
      <c r="D8841" t="s">
        <v>3394</v>
      </c>
      <c r="E8841">
        <v>30.435112</v>
      </c>
      <c r="F8841" t="s">
        <v>3411</v>
      </c>
      <c r="G8841">
        <v>-89.790316000000004</v>
      </c>
      <c r="H8841">
        <v>1000</v>
      </c>
      <c r="I8841">
        <v>120</v>
      </c>
      <c r="J8841">
        <v>28</v>
      </c>
      <c r="K8841">
        <v>0</v>
      </c>
      <c r="L8841">
        <v>1200</v>
      </c>
      <c r="M8841" t="str">
        <f t="shared" si="812"/>
        <v xml:space="preserve">N35DC   </v>
      </c>
      <c r="N8841">
        <v>1</v>
      </c>
      <c r="O8841">
        <v>1075</v>
      </c>
    </row>
    <row r="8842" spans="1:15" x14ac:dyDescent="0.25">
      <c r="A8842" t="str">
        <f>"10/21/2020 19:15:35.481"</f>
        <v>10/21/2020 19:15:35.481</v>
      </c>
      <c r="B8842" t="str">
        <f>"19:15:43.414"</f>
        <v>19:15:43.414</v>
      </c>
      <c r="C8842" t="str">
        <f>"19:15:43.114"</f>
        <v>19:15:43.114</v>
      </c>
      <c r="D8842" t="s">
        <v>3394</v>
      </c>
      <c r="E8842">
        <v>30.435112</v>
      </c>
      <c r="F8842" t="s">
        <v>3411</v>
      </c>
      <c r="G8842">
        <v>-89.790316000000004</v>
      </c>
      <c r="H8842">
        <v>1000</v>
      </c>
      <c r="I8842">
        <v>120</v>
      </c>
      <c r="J8842">
        <v>28</v>
      </c>
      <c r="K8842">
        <v>0</v>
      </c>
      <c r="L8842">
        <v>1200</v>
      </c>
      <c r="M8842" t="str">
        <f t="shared" si="812"/>
        <v xml:space="preserve">N35DC   </v>
      </c>
      <c r="N8842">
        <v>1</v>
      </c>
      <c r="O8842">
        <v>1075</v>
      </c>
    </row>
    <row r="8843" spans="1:15" x14ac:dyDescent="0.25">
      <c r="A8843" t="str">
        <f>"10/21/2020 19:15:35.481"</f>
        <v>10/21/2020 19:15:35.481</v>
      </c>
      <c r="B8843" t="str">
        <f>"19:15:43.414"</f>
        <v>19:15:43.414</v>
      </c>
      <c r="C8843" t="str">
        <f>"19:15:43.114"</f>
        <v>19:15:43.114</v>
      </c>
      <c r="D8843" t="s">
        <v>3394</v>
      </c>
      <c r="E8843">
        <v>30.435112</v>
      </c>
      <c r="F8843" t="s">
        <v>3411</v>
      </c>
      <c r="G8843">
        <v>-89.790316000000004</v>
      </c>
      <c r="H8843">
        <v>1000</v>
      </c>
      <c r="I8843">
        <v>120</v>
      </c>
      <c r="J8843">
        <v>28</v>
      </c>
      <c r="K8843">
        <v>0</v>
      </c>
      <c r="L8843">
        <v>1200</v>
      </c>
      <c r="M8843" t="str">
        <f t="shared" si="812"/>
        <v xml:space="preserve">N35DC   </v>
      </c>
      <c r="N8843">
        <v>1</v>
      </c>
      <c r="O8843">
        <v>1075</v>
      </c>
    </row>
    <row r="8844" spans="1:15" x14ac:dyDescent="0.25">
      <c r="A8844" t="str">
        <f>"10/21/2020 19:15:36.539"</f>
        <v>10/21/2020 19:15:36.539</v>
      </c>
      <c r="B8844" t="str">
        <f>"19:15:44.477"</f>
        <v>19:15:44.477</v>
      </c>
      <c r="C8844" t="str">
        <f>"19:15:44.077"</f>
        <v>19:15:44.077</v>
      </c>
      <c r="D8844" t="s">
        <v>3052</v>
      </c>
      <c r="E8844">
        <v>30.43524</v>
      </c>
      <c r="F8844" t="s">
        <v>3412</v>
      </c>
      <c r="G8844">
        <v>-89.789649999999995</v>
      </c>
      <c r="H8844">
        <v>1000</v>
      </c>
      <c r="I8844">
        <v>119</v>
      </c>
      <c r="J8844">
        <v>29</v>
      </c>
      <c r="K8844">
        <v>0</v>
      </c>
      <c r="L8844">
        <v>1200</v>
      </c>
      <c r="M8844" t="str">
        <f t="shared" si="812"/>
        <v xml:space="preserve">N35DC   </v>
      </c>
      <c r="N8844">
        <v>1</v>
      </c>
      <c r="O8844">
        <v>1075</v>
      </c>
    </row>
    <row r="8845" spans="1:15" x14ac:dyDescent="0.25">
      <c r="A8845" t="str">
        <f>"10/21/2020 19:15:36.539"</f>
        <v>10/21/2020 19:15:36.539</v>
      </c>
      <c r="B8845" t="str">
        <f>"19:15:44.477"</f>
        <v>19:15:44.477</v>
      </c>
      <c r="C8845" t="str">
        <f>"19:15:44.077"</f>
        <v>19:15:44.077</v>
      </c>
      <c r="D8845" t="s">
        <v>3052</v>
      </c>
      <c r="E8845">
        <v>30.43524</v>
      </c>
      <c r="F8845" t="s">
        <v>3412</v>
      </c>
      <c r="G8845">
        <v>-89.789649999999995</v>
      </c>
      <c r="H8845">
        <v>1000</v>
      </c>
      <c r="I8845">
        <v>119</v>
      </c>
      <c r="J8845">
        <v>29</v>
      </c>
      <c r="K8845">
        <v>0</v>
      </c>
      <c r="L8845">
        <v>1200</v>
      </c>
      <c r="M8845" t="str">
        <f t="shared" si="812"/>
        <v xml:space="preserve">N35DC   </v>
      </c>
      <c r="N8845">
        <v>1</v>
      </c>
      <c r="O8845">
        <v>1075</v>
      </c>
    </row>
    <row r="8846" spans="1:15" x14ac:dyDescent="0.25">
      <c r="A8846" t="str">
        <f>"10/21/2020 19:15:36.539"</f>
        <v>10/21/2020 19:15:36.539</v>
      </c>
      <c r="B8846" t="str">
        <f>"19:15:44.477"</f>
        <v>19:15:44.477</v>
      </c>
      <c r="C8846" t="str">
        <f>"19:15:44.077"</f>
        <v>19:15:44.077</v>
      </c>
      <c r="D8846" t="s">
        <v>3052</v>
      </c>
      <c r="E8846">
        <v>30.43524</v>
      </c>
      <c r="F8846" t="s">
        <v>3412</v>
      </c>
      <c r="G8846">
        <v>-89.789649999999995</v>
      </c>
      <c r="H8846">
        <v>1000</v>
      </c>
      <c r="I8846">
        <v>119</v>
      </c>
      <c r="J8846">
        <v>29</v>
      </c>
      <c r="K8846">
        <v>0</v>
      </c>
      <c r="L8846">
        <v>1200</v>
      </c>
      <c r="M8846" t="str">
        <f t="shared" si="812"/>
        <v xml:space="preserve">N35DC   </v>
      </c>
      <c r="N8846">
        <v>1</v>
      </c>
      <c r="O8846">
        <v>1075</v>
      </c>
    </row>
    <row r="8847" spans="1:15" x14ac:dyDescent="0.25">
      <c r="A8847" t="str">
        <f>"10/21/2020 19:15:36.539"</f>
        <v>10/21/2020 19:15:36.539</v>
      </c>
      <c r="B8847" t="str">
        <f>"19:15:44.477"</f>
        <v>19:15:44.477</v>
      </c>
      <c r="C8847" t="str">
        <f>"19:15:44.077"</f>
        <v>19:15:44.077</v>
      </c>
      <c r="D8847" t="s">
        <v>3052</v>
      </c>
      <c r="E8847">
        <v>30.43524</v>
      </c>
      <c r="F8847" t="s">
        <v>3412</v>
      </c>
      <c r="G8847">
        <v>-89.789649999999995</v>
      </c>
      <c r="H8847">
        <v>1000</v>
      </c>
      <c r="I8847">
        <v>119</v>
      </c>
      <c r="J8847">
        <v>29</v>
      </c>
      <c r="K8847">
        <v>0</v>
      </c>
      <c r="L8847">
        <v>1200</v>
      </c>
      <c r="M8847" t="str">
        <f t="shared" si="812"/>
        <v xml:space="preserve">N35DC   </v>
      </c>
      <c r="N8847">
        <v>1</v>
      </c>
      <c r="O8847">
        <v>1075</v>
      </c>
    </row>
    <row r="8848" spans="1:15" x14ac:dyDescent="0.25">
      <c r="A8848" t="str">
        <f>"10/21/2020 19:15:36.539"</f>
        <v>10/21/2020 19:15:36.539</v>
      </c>
      <c r="B8848" t="str">
        <f>"19:15:44.477"</f>
        <v>19:15:44.477</v>
      </c>
      <c r="C8848" t="str">
        <f>"19:15:44.077"</f>
        <v>19:15:44.077</v>
      </c>
      <c r="D8848" t="s">
        <v>3052</v>
      </c>
      <c r="E8848">
        <v>30.43524</v>
      </c>
      <c r="F8848" t="s">
        <v>3412</v>
      </c>
      <c r="G8848">
        <v>-89.789649999999995</v>
      </c>
      <c r="H8848">
        <v>1000</v>
      </c>
      <c r="I8848">
        <v>119</v>
      </c>
      <c r="J8848">
        <v>29</v>
      </c>
      <c r="K8848">
        <v>0</v>
      </c>
      <c r="L8848">
        <v>1200</v>
      </c>
      <c r="M8848" t="str">
        <f t="shared" si="812"/>
        <v xml:space="preserve">N35DC   </v>
      </c>
      <c r="N8848">
        <v>1</v>
      </c>
      <c r="O8848">
        <v>1075</v>
      </c>
    </row>
    <row r="8849" spans="1:15" x14ac:dyDescent="0.25">
      <c r="A8849" t="str">
        <f>"10/21/2020 19:15:39.333"</f>
        <v>10/21/2020 19:15:39.333</v>
      </c>
      <c r="B8849" t="str">
        <f>"19:15:47.273"</f>
        <v>19:15:47.273</v>
      </c>
      <c r="C8849" t="str">
        <f>"19:15:47.073"</f>
        <v>19:15:47.073</v>
      </c>
      <c r="D8849" t="s">
        <v>3413</v>
      </c>
      <c r="E8849">
        <v>30.435648</v>
      </c>
      <c r="F8849" t="s">
        <v>3414</v>
      </c>
      <c r="G8849">
        <v>-89.787912000000006</v>
      </c>
      <c r="H8849">
        <v>1000</v>
      </c>
      <c r="I8849">
        <v>117</v>
      </c>
      <c r="J8849">
        <v>32</v>
      </c>
      <c r="K8849">
        <v>64</v>
      </c>
      <c r="L8849">
        <v>1200</v>
      </c>
      <c r="M8849" t="str">
        <f t="shared" si="812"/>
        <v xml:space="preserve">N35DC   </v>
      </c>
      <c r="N8849">
        <v>1</v>
      </c>
      <c r="O8849">
        <v>1075</v>
      </c>
    </row>
    <row r="8850" spans="1:15" x14ac:dyDescent="0.25">
      <c r="A8850" t="str">
        <f>"10/21/2020 19:15:39.333"</f>
        <v>10/21/2020 19:15:39.333</v>
      </c>
      <c r="B8850" t="str">
        <f>"19:15:47.273"</f>
        <v>19:15:47.273</v>
      </c>
      <c r="C8850" t="str">
        <f>"19:15:47.073"</f>
        <v>19:15:47.073</v>
      </c>
      <c r="D8850" t="s">
        <v>3413</v>
      </c>
      <c r="E8850">
        <v>30.435648</v>
      </c>
      <c r="F8850" t="s">
        <v>3414</v>
      </c>
      <c r="G8850">
        <v>-89.787912000000006</v>
      </c>
      <c r="H8850">
        <v>1000</v>
      </c>
      <c r="I8850">
        <v>117</v>
      </c>
      <c r="J8850">
        <v>32</v>
      </c>
      <c r="K8850">
        <v>64</v>
      </c>
      <c r="L8850">
        <v>1200</v>
      </c>
      <c r="M8850" t="str">
        <f t="shared" si="812"/>
        <v xml:space="preserve">N35DC   </v>
      </c>
      <c r="N8850">
        <v>1</v>
      </c>
      <c r="O8850">
        <v>1075</v>
      </c>
    </row>
    <row r="8851" spans="1:15" x14ac:dyDescent="0.25">
      <c r="A8851" t="str">
        <f>"10/21/2020 19:15:39.333"</f>
        <v>10/21/2020 19:15:39.333</v>
      </c>
      <c r="B8851" t="str">
        <f>"19:15:47.273"</f>
        <v>19:15:47.273</v>
      </c>
      <c r="C8851" t="str">
        <f>"19:15:47.073"</f>
        <v>19:15:47.073</v>
      </c>
      <c r="D8851" t="s">
        <v>3413</v>
      </c>
      <c r="E8851">
        <v>30.435648</v>
      </c>
      <c r="F8851" t="s">
        <v>3414</v>
      </c>
      <c r="G8851">
        <v>-89.787912000000006</v>
      </c>
      <c r="H8851">
        <v>1000</v>
      </c>
      <c r="I8851">
        <v>117</v>
      </c>
      <c r="J8851">
        <v>32</v>
      </c>
      <c r="K8851">
        <v>64</v>
      </c>
      <c r="L8851">
        <v>1200</v>
      </c>
      <c r="M8851" t="str">
        <f t="shared" si="812"/>
        <v xml:space="preserve">N35DC   </v>
      </c>
      <c r="N8851">
        <v>1</v>
      </c>
      <c r="O8851">
        <v>1075</v>
      </c>
    </row>
    <row r="8852" spans="1:15" x14ac:dyDescent="0.25">
      <c r="A8852" t="str">
        <f>"10/21/2020 19:15:39.333"</f>
        <v>10/21/2020 19:15:39.333</v>
      </c>
      <c r="B8852" t="str">
        <f>"19:15:47.273"</f>
        <v>19:15:47.273</v>
      </c>
      <c r="C8852" t="str">
        <f>"19:15:47.073"</f>
        <v>19:15:47.073</v>
      </c>
      <c r="D8852" t="s">
        <v>3413</v>
      </c>
      <c r="E8852">
        <v>30.435648</v>
      </c>
      <c r="F8852" t="s">
        <v>3414</v>
      </c>
      <c r="G8852">
        <v>-89.787912000000006</v>
      </c>
      <c r="H8852">
        <v>1000</v>
      </c>
      <c r="I8852">
        <v>117</v>
      </c>
      <c r="J8852">
        <v>32</v>
      </c>
      <c r="K8852">
        <v>64</v>
      </c>
      <c r="L8852">
        <v>1200</v>
      </c>
      <c r="M8852" t="str">
        <f t="shared" si="812"/>
        <v xml:space="preserve">N35DC   </v>
      </c>
      <c r="N8852">
        <v>1</v>
      </c>
      <c r="O8852">
        <v>1075</v>
      </c>
    </row>
    <row r="8853" spans="1:15" x14ac:dyDescent="0.25">
      <c r="A8853" t="str">
        <f>"10/21/2020 19:15:39.333"</f>
        <v>10/21/2020 19:15:39.333</v>
      </c>
      <c r="B8853" t="str">
        <f>"19:15:47.273"</f>
        <v>19:15:47.273</v>
      </c>
      <c r="C8853" t="str">
        <f>"19:15:47.073"</f>
        <v>19:15:47.073</v>
      </c>
      <c r="D8853" t="s">
        <v>3413</v>
      </c>
      <c r="E8853">
        <v>30.435648</v>
      </c>
      <c r="F8853" t="s">
        <v>3414</v>
      </c>
      <c r="G8853">
        <v>-89.787912000000006</v>
      </c>
      <c r="H8853">
        <v>1000</v>
      </c>
      <c r="I8853">
        <v>117</v>
      </c>
      <c r="J8853">
        <v>32</v>
      </c>
      <c r="K8853">
        <v>64</v>
      </c>
      <c r="L8853">
        <v>1200</v>
      </c>
      <c r="M8853" t="str">
        <f t="shared" si="812"/>
        <v xml:space="preserve">N35DC   </v>
      </c>
      <c r="N8853">
        <v>1</v>
      </c>
      <c r="O8853">
        <v>1075</v>
      </c>
    </row>
    <row r="8854" spans="1:15" x14ac:dyDescent="0.25">
      <c r="A8854" t="str">
        <f>"10/21/2020 19:15:40.357"</f>
        <v>10/21/2020 19:15:40.357</v>
      </c>
      <c r="B8854" t="str">
        <f>"19:15:48.320"</f>
        <v>19:15:48.320</v>
      </c>
      <c r="C8854" t="str">
        <f>"19:15:48.120"</f>
        <v>19:15:48.120</v>
      </c>
      <c r="D8854" t="s">
        <v>3415</v>
      </c>
      <c r="E8854">
        <v>30.435797999999998</v>
      </c>
      <c r="F8854" t="s">
        <v>155</v>
      </c>
      <c r="G8854">
        <v>-89.787246999999994</v>
      </c>
      <c r="H8854">
        <v>1000</v>
      </c>
      <c r="I8854">
        <v>117</v>
      </c>
      <c r="J8854">
        <v>33</v>
      </c>
      <c r="K8854">
        <v>64</v>
      </c>
      <c r="L8854">
        <v>1200</v>
      </c>
      <c r="M8854" t="str">
        <f t="shared" si="812"/>
        <v xml:space="preserve">N35DC   </v>
      </c>
      <c r="N8854">
        <v>1</v>
      </c>
      <c r="O8854">
        <v>1075</v>
      </c>
    </row>
    <row r="8855" spans="1:15" x14ac:dyDescent="0.25">
      <c r="A8855" t="str">
        <f>"10/21/2020 19:15:40.357"</f>
        <v>10/21/2020 19:15:40.357</v>
      </c>
      <c r="B8855" t="str">
        <f>"19:15:48.320"</f>
        <v>19:15:48.320</v>
      </c>
      <c r="C8855" t="str">
        <f>"19:15:48.120"</f>
        <v>19:15:48.120</v>
      </c>
      <c r="D8855" t="s">
        <v>3415</v>
      </c>
      <c r="E8855">
        <v>30.435797999999998</v>
      </c>
      <c r="F8855" t="s">
        <v>155</v>
      </c>
      <c r="G8855">
        <v>-89.787246999999994</v>
      </c>
      <c r="H8855">
        <v>1000</v>
      </c>
      <c r="I8855">
        <v>117</v>
      </c>
      <c r="J8855">
        <v>33</v>
      </c>
      <c r="K8855">
        <v>64</v>
      </c>
      <c r="L8855">
        <v>1200</v>
      </c>
      <c r="M8855" t="str">
        <f t="shared" si="812"/>
        <v xml:space="preserve">N35DC   </v>
      </c>
      <c r="N8855">
        <v>1</v>
      </c>
      <c r="O8855">
        <v>1075</v>
      </c>
    </row>
    <row r="8856" spans="1:15" x14ac:dyDescent="0.25">
      <c r="A8856" t="str">
        <f>"10/21/2020 19:15:40.357"</f>
        <v>10/21/2020 19:15:40.357</v>
      </c>
      <c r="B8856" t="str">
        <f>"19:15:48.320"</f>
        <v>19:15:48.320</v>
      </c>
      <c r="C8856" t="str">
        <f>"19:15:48.120"</f>
        <v>19:15:48.120</v>
      </c>
      <c r="D8856" t="s">
        <v>3415</v>
      </c>
      <c r="E8856">
        <v>30.435797999999998</v>
      </c>
      <c r="F8856" t="s">
        <v>155</v>
      </c>
      <c r="G8856">
        <v>-89.787246999999994</v>
      </c>
      <c r="H8856">
        <v>1000</v>
      </c>
      <c r="I8856">
        <v>117</v>
      </c>
      <c r="J8856">
        <v>33</v>
      </c>
      <c r="K8856">
        <v>64</v>
      </c>
      <c r="L8856">
        <v>1200</v>
      </c>
      <c r="M8856" t="str">
        <f t="shared" si="812"/>
        <v xml:space="preserve">N35DC   </v>
      </c>
      <c r="N8856">
        <v>1</v>
      </c>
      <c r="O8856">
        <v>1075</v>
      </c>
    </row>
    <row r="8857" spans="1:15" x14ac:dyDescent="0.25">
      <c r="A8857" t="str">
        <f>"10/21/2020 19:15:40.357"</f>
        <v>10/21/2020 19:15:40.357</v>
      </c>
      <c r="B8857" t="str">
        <f>"19:15:48.320"</f>
        <v>19:15:48.320</v>
      </c>
      <c r="C8857" t="str">
        <f>"19:15:48.120"</f>
        <v>19:15:48.120</v>
      </c>
      <c r="D8857" t="s">
        <v>3415</v>
      </c>
      <c r="E8857">
        <v>30.435797999999998</v>
      </c>
      <c r="F8857" t="s">
        <v>155</v>
      </c>
      <c r="G8857">
        <v>-89.787246999999994</v>
      </c>
      <c r="H8857">
        <v>1000</v>
      </c>
      <c r="I8857">
        <v>117</v>
      </c>
      <c r="J8857">
        <v>33</v>
      </c>
      <c r="K8857">
        <v>64</v>
      </c>
      <c r="L8857">
        <v>1200</v>
      </c>
      <c r="M8857" t="str">
        <f t="shared" si="812"/>
        <v xml:space="preserve">N35DC   </v>
      </c>
      <c r="N8857">
        <v>1</v>
      </c>
      <c r="O8857">
        <v>1075</v>
      </c>
    </row>
    <row r="8858" spans="1:15" x14ac:dyDescent="0.25">
      <c r="A8858" t="str">
        <f>"10/21/2020 19:15:40.357"</f>
        <v>10/21/2020 19:15:40.357</v>
      </c>
      <c r="B8858" t="str">
        <f>"19:15:48.320"</f>
        <v>19:15:48.320</v>
      </c>
      <c r="C8858" t="str">
        <f>"19:15:48.120"</f>
        <v>19:15:48.120</v>
      </c>
      <c r="D8858" t="s">
        <v>3415</v>
      </c>
      <c r="E8858">
        <v>30.435797999999998</v>
      </c>
      <c r="F8858" t="s">
        <v>155</v>
      </c>
      <c r="G8858">
        <v>-89.787246999999994</v>
      </c>
      <c r="H8858">
        <v>1000</v>
      </c>
      <c r="I8858">
        <v>117</v>
      </c>
      <c r="J8858">
        <v>33</v>
      </c>
      <c r="K8858">
        <v>64</v>
      </c>
      <c r="L8858">
        <v>1200</v>
      </c>
      <c r="M8858" t="str">
        <f t="shared" si="812"/>
        <v xml:space="preserve">N35DC   </v>
      </c>
      <c r="N8858">
        <v>1</v>
      </c>
      <c r="O8858">
        <v>1075</v>
      </c>
    </row>
    <row r="8859" spans="1:15" x14ac:dyDescent="0.25">
      <c r="A8859" t="str">
        <f>"10/21/2020 19:15:41.364"</f>
        <v>10/21/2020 19:15:41.364</v>
      </c>
      <c r="B8859" t="str">
        <f>"19:15:49.328"</f>
        <v>19:15:49.328</v>
      </c>
      <c r="C8859" t="str">
        <f>"19:15:49.228"</f>
        <v>19:15:49.228</v>
      </c>
      <c r="D8859" t="s">
        <v>3416</v>
      </c>
      <c r="E8859">
        <v>30.435927</v>
      </c>
      <c r="F8859" t="s">
        <v>3417</v>
      </c>
      <c r="G8859">
        <v>-89.786625000000001</v>
      </c>
      <c r="H8859">
        <v>1000</v>
      </c>
      <c r="I8859">
        <v>116</v>
      </c>
      <c r="J8859">
        <v>34</v>
      </c>
      <c r="K8859">
        <v>64</v>
      </c>
      <c r="L8859">
        <v>1200</v>
      </c>
      <c r="M8859" t="str">
        <f t="shared" si="812"/>
        <v xml:space="preserve">N35DC   </v>
      </c>
      <c r="N8859">
        <v>1</v>
      </c>
      <c r="O8859">
        <v>975</v>
      </c>
    </row>
    <row r="8860" spans="1:15" x14ac:dyDescent="0.25">
      <c r="A8860" t="str">
        <f>"10/21/2020 19:15:41.364"</f>
        <v>10/21/2020 19:15:41.364</v>
      </c>
      <c r="B8860" t="str">
        <f>"19:15:49.328"</f>
        <v>19:15:49.328</v>
      </c>
      <c r="C8860" t="str">
        <f>"19:15:49.228"</f>
        <v>19:15:49.228</v>
      </c>
      <c r="D8860" t="s">
        <v>3416</v>
      </c>
      <c r="E8860">
        <v>30.435927</v>
      </c>
      <c r="F8860" t="s">
        <v>3417</v>
      </c>
      <c r="G8860">
        <v>-89.786625000000001</v>
      </c>
      <c r="H8860">
        <v>1000</v>
      </c>
      <c r="I8860">
        <v>116</v>
      </c>
      <c r="J8860">
        <v>34</v>
      </c>
      <c r="K8860">
        <v>64</v>
      </c>
      <c r="L8860">
        <v>1200</v>
      </c>
      <c r="M8860" t="str">
        <f t="shared" si="812"/>
        <v xml:space="preserve">N35DC   </v>
      </c>
      <c r="N8860">
        <v>1</v>
      </c>
      <c r="O8860">
        <v>975</v>
      </c>
    </row>
    <row r="8861" spans="1:15" x14ac:dyDescent="0.25">
      <c r="A8861" t="str">
        <f>"10/21/2020 19:15:41.364"</f>
        <v>10/21/2020 19:15:41.364</v>
      </c>
      <c r="B8861" t="str">
        <f>"19:15:49.328"</f>
        <v>19:15:49.328</v>
      </c>
      <c r="C8861" t="str">
        <f>"19:15:49.228"</f>
        <v>19:15:49.228</v>
      </c>
      <c r="D8861" t="s">
        <v>3416</v>
      </c>
      <c r="E8861">
        <v>30.435927</v>
      </c>
      <c r="F8861" t="s">
        <v>3417</v>
      </c>
      <c r="G8861">
        <v>-89.786625000000001</v>
      </c>
      <c r="H8861">
        <v>1000</v>
      </c>
      <c r="I8861">
        <v>116</v>
      </c>
      <c r="J8861">
        <v>34</v>
      </c>
      <c r="K8861">
        <v>64</v>
      </c>
      <c r="L8861">
        <v>1200</v>
      </c>
      <c r="M8861" t="str">
        <f t="shared" si="812"/>
        <v xml:space="preserve">N35DC   </v>
      </c>
      <c r="N8861">
        <v>1</v>
      </c>
      <c r="O8861">
        <v>975</v>
      </c>
    </row>
    <row r="8862" spans="1:15" x14ac:dyDescent="0.25">
      <c r="A8862" t="str">
        <f>"10/21/2020 19:15:41.364"</f>
        <v>10/21/2020 19:15:41.364</v>
      </c>
      <c r="B8862" t="str">
        <f>"19:15:49.328"</f>
        <v>19:15:49.328</v>
      </c>
      <c r="C8862" t="str">
        <f>"19:15:49.228"</f>
        <v>19:15:49.228</v>
      </c>
      <c r="D8862" t="s">
        <v>3416</v>
      </c>
      <c r="E8862">
        <v>30.435927</v>
      </c>
      <c r="F8862" t="s">
        <v>3417</v>
      </c>
      <c r="G8862">
        <v>-89.786625000000001</v>
      </c>
      <c r="H8862">
        <v>1000</v>
      </c>
      <c r="I8862">
        <v>116</v>
      </c>
      <c r="J8862">
        <v>34</v>
      </c>
      <c r="K8862">
        <v>64</v>
      </c>
      <c r="L8862">
        <v>1200</v>
      </c>
      <c r="M8862" t="str">
        <f t="shared" si="812"/>
        <v xml:space="preserve">N35DC   </v>
      </c>
      <c r="N8862">
        <v>1</v>
      </c>
      <c r="O8862">
        <v>975</v>
      </c>
    </row>
    <row r="8863" spans="1:15" x14ac:dyDescent="0.25">
      <c r="A8863" t="str">
        <f>"10/21/2020 19:15:41.364"</f>
        <v>10/21/2020 19:15:41.364</v>
      </c>
      <c r="B8863" t="str">
        <f>"19:15:49.328"</f>
        <v>19:15:49.328</v>
      </c>
      <c r="C8863" t="str">
        <f>"19:15:49.228"</f>
        <v>19:15:49.228</v>
      </c>
      <c r="D8863" t="s">
        <v>3416</v>
      </c>
      <c r="E8863">
        <v>30.435927</v>
      </c>
      <c r="F8863" t="s">
        <v>3417</v>
      </c>
      <c r="G8863">
        <v>-89.786625000000001</v>
      </c>
      <c r="H8863">
        <v>1000</v>
      </c>
      <c r="I8863">
        <v>116</v>
      </c>
      <c r="J8863">
        <v>34</v>
      </c>
      <c r="K8863">
        <v>64</v>
      </c>
      <c r="L8863">
        <v>1200</v>
      </c>
      <c r="M8863" t="str">
        <f t="shared" si="812"/>
        <v xml:space="preserve">N35DC   </v>
      </c>
      <c r="N8863">
        <v>1</v>
      </c>
      <c r="O8863">
        <v>975</v>
      </c>
    </row>
    <row r="8864" spans="1:15" x14ac:dyDescent="0.25">
      <c r="A8864" t="str">
        <f>"10/21/2020 19:15:46.458"</f>
        <v>10/21/2020 19:15:46.458</v>
      </c>
      <c r="B8864" t="str">
        <f>"19:15:54.406"</f>
        <v>19:15:54.406</v>
      </c>
      <c r="C8864" t="str">
        <f>"19:15:54.006"</f>
        <v>19:15:54.006</v>
      </c>
      <c r="D8864" t="s">
        <v>3418</v>
      </c>
      <c r="E8864">
        <v>30.436807000000002</v>
      </c>
      <c r="F8864" t="s">
        <v>3419</v>
      </c>
      <c r="G8864">
        <v>-89.783449000000005</v>
      </c>
      <c r="H8864">
        <v>1100</v>
      </c>
      <c r="I8864">
        <v>115</v>
      </c>
      <c r="J8864">
        <v>37</v>
      </c>
      <c r="K8864">
        <v>0</v>
      </c>
      <c r="L8864">
        <v>1200</v>
      </c>
      <c r="M8864" t="str">
        <f t="shared" si="812"/>
        <v xml:space="preserve">N35DC   </v>
      </c>
      <c r="N8864">
        <v>1</v>
      </c>
      <c r="O8864">
        <v>1100</v>
      </c>
    </row>
    <row r="8865" spans="1:15" x14ac:dyDescent="0.25">
      <c r="A8865" t="str">
        <f>"10/21/2020 19:15:46.458"</f>
        <v>10/21/2020 19:15:46.458</v>
      </c>
      <c r="B8865" t="str">
        <f>"19:15:54.406"</f>
        <v>19:15:54.406</v>
      </c>
      <c r="C8865" t="str">
        <f>"19:15:54.006"</f>
        <v>19:15:54.006</v>
      </c>
      <c r="D8865" t="s">
        <v>3418</v>
      </c>
      <c r="E8865">
        <v>30.436807000000002</v>
      </c>
      <c r="F8865" t="s">
        <v>3419</v>
      </c>
      <c r="G8865">
        <v>-89.783449000000005</v>
      </c>
      <c r="H8865">
        <v>1100</v>
      </c>
      <c r="I8865">
        <v>115</v>
      </c>
      <c r="J8865">
        <v>37</v>
      </c>
      <c r="K8865">
        <v>0</v>
      </c>
      <c r="L8865">
        <v>1200</v>
      </c>
      <c r="M8865" t="str">
        <f t="shared" si="812"/>
        <v xml:space="preserve">N35DC   </v>
      </c>
      <c r="N8865">
        <v>1</v>
      </c>
      <c r="O8865">
        <v>1100</v>
      </c>
    </row>
    <row r="8866" spans="1:15" x14ac:dyDescent="0.25">
      <c r="A8866" t="str">
        <f>"10/21/2020 19:15:46.458"</f>
        <v>10/21/2020 19:15:46.458</v>
      </c>
      <c r="B8866" t="str">
        <f>"19:15:54.406"</f>
        <v>19:15:54.406</v>
      </c>
      <c r="C8866" t="str">
        <f>"19:15:54.006"</f>
        <v>19:15:54.006</v>
      </c>
      <c r="D8866" t="s">
        <v>3418</v>
      </c>
      <c r="E8866">
        <v>30.436807000000002</v>
      </c>
      <c r="F8866" t="s">
        <v>3419</v>
      </c>
      <c r="G8866">
        <v>-89.783449000000005</v>
      </c>
      <c r="H8866">
        <v>1100</v>
      </c>
      <c r="I8866">
        <v>115</v>
      </c>
      <c r="J8866">
        <v>37</v>
      </c>
      <c r="K8866">
        <v>0</v>
      </c>
      <c r="L8866">
        <v>1200</v>
      </c>
      <c r="M8866" t="str">
        <f t="shared" si="812"/>
        <v xml:space="preserve">N35DC   </v>
      </c>
      <c r="N8866">
        <v>1</v>
      </c>
      <c r="O8866">
        <v>1100</v>
      </c>
    </row>
    <row r="8867" spans="1:15" x14ac:dyDescent="0.25">
      <c r="A8867" t="str">
        <f>"10/21/2020 19:15:46.458"</f>
        <v>10/21/2020 19:15:46.458</v>
      </c>
      <c r="B8867" t="str">
        <f>"19:15:54.406"</f>
        <v>19:15:54.406</v>
      </c>
      <c r="C8867" t="str">
        <f>"19:15:54.006"</f>
        <v>19:15:54.006</v>
      </c>
      <c r="D8867" t="s">
        <v>3418</v>
      </c>
      <c r="E8867">
        <v>30.436807000000002</v>
      </c>
      <c r="F8867" t="s">
        <v>3419</v>
      </c>
      <c r="G8867">
        <v>-89.783449000000005</v>
      </c>
      <c r="H8867">
        <v>1100</v>
      </c>
      <c r="I8867">
        <v>115</v>
      </c>
      <c r="J8867">
        <v>37</v>
      </c>
      <c r="K8867">
        <v>0</v>
      </c>
      <c r="L8867">
        <v>1200</v>
      </c>
      <c r="M8867" t="str">
        <f t="shared" si="812"/>
        <v xml:space="preserve">N35DC   </v>
      </c>
      <c r="N8867">
        <v>1</v>
      </c>
      <c r="O8867">
        <v>1100</v>
      </c>
    </row>
    <row r="8868" spans="1:15" x14ac:dyDescent="0.25">
      <c r="A8868" t="str">
        <f>"10/21/2020 19:15:46.458"</f>
        <v>10/21/2020 19:15:46.458</v>
      </c>
      <c r="B8868" t="str">
        <f>"19:15:54.406"</f>
        <v>19:15:54.406</v>
      </c>
      <c r="C8868" t="str">
        <f>"19:15:54.006"</f>
        <v>19:15:54.006</v>
      </c>
      <c r="D8868" t="s">
        <v>3418</v>
      </c>
      <c r="E8868">
        <v>30.436807000000002</v>
      </c>
      <c r="F8868" t="s">
        <v>3419</v>
      </c>
      <c r="G8868">
        <v>-89.783449000000005</v>
      </c>
      <c r="H8868">
        <v>1100</v>
      </c>
      <c r="I8868">
        <v>115</v>
      </c>
      <c r="J8868">
        <v>37</v>
      </c>
      <c r="K8868">
        <v>0</v>
      </c>
      <c r="L8868">
        <v>1200</v>
      </c>
      <c r="M8868" t="str">
        <f t="shared" si="812"/>
        <v xml:space="preserve">N35DC   </v>
      </c>
      <c r="N8868">
        <v>1</v>
      </c>
      <c r="O8868">
        <v>1100</v>
      </c>
    </row>
    <row r="8869" spans="1:15" x14ac:dyDescent="0.25">
      <c r="A8869" t="str">
        <f>"10/21/2020 19:15:47.538"</f>
        <v>10/21/2020 19:15:47.538</v>
      </c>
      <c r="B8869" t="str">
        <f t="shared" ref="B8869:C8873" si="813">"19:15:55.508"</f>
        <v>19:15:55.508</v>
      </c>
      <c r="C8869" t="str">
        <f t="shared" si="813"/>
        <v>19:15:55.508</v>
      </c>
      <c r="D8869" t="s">
        <v>3420</v>
      </c>
      <c r="E8869">
        <v>30.436978</v>
      </c>
      <c r="F8869" t="s">
        <v>3421</v>
      </c>
      <c r="G8869">
        <v>-89.782804999999996</v>
      </c>
      <c r="H8869">
        <v>1100</v>
      </c>
      <c r="I8869">
        <v>115</v>
      </c>
      <c r="J8869">
        <v>37</v>
      </c>
      <c r="K8869">
        <v>-128</v>
      </c>
      <c r="L8869">
        <v>1200</v>
      </c>
      <c r="M8869" t="str">
        <f t="shared" si="812"/>
        <v xml:space="preserve">N35DC   </v>
      </c>
      <c r="N8869">
        <v>1</v>
      </c>
      <c r="O8869">
        <v>975</v>
      </c>
    </row>
    <row r="8870" spans="1:15" x14ac:dyDescent="0.25">
      <c r="A8870" t="str">
        <f>"10/21/2020 19:15:47.538"</f>
        <v>10/21/2020 19:15:47.538</v>
      </c>
      <c r="B8870" t="str">
        <f t="shared" si="813"/>
        <v>19:15:55.508</v>
      </c>
      <c r="C8870" t="str">
        <f t="shared" si="813"/>
        <v>19:15:55.508</v>
      </c>
      <c r="D8870" t="s">
        <v>3420</v>
      </c>
      <c r="E8870">
        <v>30.436978</v>
      </c>
      <c r="F8870" t="s">
        <v>3421</v>
      </c>
      <c r="G8870">
        <v>-89.782804999999996</v>
      </c>
      <c r="H8870">
        <v>1100</v>
      </c>
      <c r="I8870">
        <v>115</v>
      </c>
      <c r="J8870">
        <v>37</v>
      </c>
      <c r="K8870">
        <v>-128</v>
      </c>
      <c r="L8870">
        <v>1200</v>
      </c>
      <c r="M8870" t="str">
        <f t="shared" si="812"/>
        <v xml:space="preserve">N35DC   </v>
      </c>
      <c r="N8870">
        <v>1</v>
      </c>
      <c r="O8870">
        <v>975</v>
      </c>
    </row>
    <row r="8871" spans="1:15" x14ac:dyDescent="0.25">
      <c r="A8871" t="str">
        <f>"10/21/2020 19:15:47.538"</f>
        <v>10/21/2020 19:15:47.538</v>
      </c>
      <c r="B8871" t="str">
        <f t="shared" si="813"/>
        <v>19:15:55.508</v>
      </c>
      <c r="C8871" t="str">
        <f t="shared" si="813"/>
        <v>19:15:55.508</v>
      </c>
      <c r="D8871" t="s">
        <v>3420</v>
      </c>
      <c r="E8871">
        <v>30.436978</v>
      </c>
      <c r="F8871" t="s">
        <v>3421</v>
      </c>
      <c r="G8871">
        <v>-89.782804999999996</v>
      </c>
      <c r="H8871">
        <v>1100</v>
      </c>
      <c r="I8871">
        <v>115</v>
      </c>
      <c r="J8871">
        <v>37</v>
      </c>
      <c r="K8871">
        <v>-128</v>
      </c>
      <c r="L8871">
        <v>1200</v>
      </c>
      <c r="M8871" t="str">
        <f t="shared" si="812"/>
        <v xml:space="preserve">N35DC   </v>
      </c>
      <c r="N8871">
        <v>1</v>
      </c>
      <c r="O8871">
        <v>975</v>
      </c>
    </row>
    <row r="8872" spans="1:15" x14ac:dyDescent="0.25">
      <c r="A8872" t="str">
        <f>"10/21/2020 19:15:47.538"</f>
        <v>10/21/2020 19:15:47.538</v>
      </c>
      <c r="B8872" t="str">
        <f t="shared" si="813"/>
        <v>19:15:55.508</v>
      </c>
      <c r="C8872" t="str">
        <f t="shared" si="813"/>
        <v>19:15:55.508</v>
      </c>
      <c r="D8872" t="s">
        <v>3420</v>
      </c>
      <c r="E8872">
        <v>30.436978</v>
      </c>
      <c r="F8872" t="s">
        <v>3421</v>
      </c>
      <c r="G8872">
        <v>-89.782804999999996</v>
      </c>
      <c r="H8872">
        <v>1100</v>
      </c>
      <c r="I8872">
        <v>115</v>
      </c>
      <c r="J8872">
        <v>37</v>
      </c>
      <c r="K8872">
        <v>-128</v>
      </c>
      <c r="L8872">
        <v>1200</v>
      </c>
      <c r="M8872" t="str">
        <f t="shared" si="812"/>
        <v xml:space="preserve">N35DC   </v>
      </c>
      <c r="N8872">
        <v>1</v>
      </c>
      <c r="O8872">
        <v>975</v>
      </c>
    </row>
    <row r="8873" spans="1:15" x14ac:dyDescent="0.25">
      <c r="A8873" t="str">
        <f>"10/21/2020 19:15:47.538"</f>
        <v>10/21/2020 19:15:47.538</v>
      </c>
      <c r="B8873" t="str">
        <f t="shared" si="813"/>
        <v>19:15:55.508</v>
      </c>
      <c r="C8873" t="str">
        <f t="shared" si="813"/>
        <v>19:15:55.508</v>
      </c>
      <c r="D8873" t="s">
        <v>3420</v>
      </c>
      <c r="E8873">
        <v>30.436978</v>
      </c>
      <c r="F8873" t="s">
        <v>3421</v>
      </c>
      <c r="G8873">
        <v>-89.782804999999996</v>
      </c>
      <c r="H8873">
        <v>1100</v>
      </c>
      <c r="I8873">
        <v>115</v>
      </c>
      <c r="J8873">
        <v>37</v>
      </c>
      <c r="K8873">
        <v>-128</v>
      </c>
      <c r="L8873">
        <v>1200</v>
      </c>
      <c r="M8873" t="str">
        <f t="shared" si="812"/>
        <v xml:space="preserve">N35DC   </v>
      </c>
      <c r="N8873">
        <v>1</v>
      </c>
      <c r="O8873">
        <v>975</v>
      </c>
    </row>
    <row r="8874" spans="1:15" x14ac:dyDescent="0.25">
      <c r="A8874" t="str">
        <f>"10/21/2020 19:15:51.664"</f>
        <v>10/21/2020 19:15:51.664</v>
      </c>
      <c r="B8874" t="str">
        <f t="shared" ref="B8874:C8878" si="814">"19:15:59.617"</f>
        <v>19:15:59.617</v>
      </c>
      <c r="C8874" t="str">
        <f t="shared" si="814"/>
        <v>19:15:59.617</v>
      </c>
      <c r="D8874" t="s">
        <v>3422</v>
      </c>
      <c r="E8874">
        <v>30.437708000000001</v>
      </c>
      <c r="F8874" t="s">
        <v>3423</v>
      </c>
      <c r="G8874">
        <v>-89.780272999999994</v>
      </c>
      <c r="H8874">
        <v>1000</v>
      </c>
      <c r="I8874">
        <v>115</v>
      </c>
      <c r="J8874">
        <v>39</v>
      </c>
      <c r="K8874">
        <v>0</v>
      </c>
      <c r="L8874">
        <v>1200</v>
      </c>
      <c r="M8874" t="str">
        <f t="shared" si="812"/>
        <v xml:space="preserve">N35DC   </v>
      </c>
      <c r="N8874">
        <v>1</v>
      </c>
      <c r="O8874">
        <v>1075</v>
      </c>
    </row>
    <row r="8875" spans="1:15" x14ac:dyDescent="0.25">
      <c r="A8875" t="str">
        <f>"10/21/2020 19:15:51.664"</f>
        <v>10/21/2020 19:15:51.664</v>
      </c>
      <c r="B8875" t="str">
        <f t="shared" si="814"/>
        <v>19:15:59.617</v>
      </c>
      <c r="C8875" t="str">
        <f t="shared" si="814"/>
        <v>19:15:59.617</v>
      </c>
      <c r="D8875" t="s">
        <v>3422</v>
      </c>
      <c r="E8875">
        <v>30.437708000000001</v>
      </c>
      <c r="F8875" t="s">
        <v>3423</v>
      </c>
      <c r="G8875">
        <v>-89.780272999999994</v>
      </c>
      <c r="H8875">
        <v>1000</v>
      </c>
      <c r="I8875">
        <v>115</v>
      </c>
      <c r="J8875">
        <v>39</v>
      </c>
      <c r="K8875">
        <v>0</v>
      </c>
      <c r="L8875">
        <v>1200</v>
      </c>
      <c r="M8875" t="str">
        <f t="shared" si="812"/>
        <v xml:space="preserve">N35DC   </v>
      </c>
      <c r="N8875">
        <v>1</v>
      </c>
      <c r="O8875">
        <v>1075</v>
      </c>
    </row>
    <row r="8876" spans="1:15" x14ac:dyDescent="0.25">
      <c r="A8876" t="str">
        <f>"10/21/2020 19:15:51.664"</f>
        <v>10/21/2020 19:15:51.664</v>
      </c>
      <c r="B8876" t="str">
        <f t="shared" si="814"/>
        <v>19:15:59.617</v>
      </c>
      <c r="C8876" t="str">
        <f t="shared" si="814"/>
        <v>19:15:59.617</v>
      </c>
      <c r="D8876" t="s">
        <v>3422</v>
      </c>
      <c r="E8876">
        <v>30.437708000000001</v>
      </c>
      <c r="F8876" t="s">
        <v>3423</v>
      </c>
      <c r="G8876">
        <v>-89.780272999999994</v>
      </c>
      <c r="H8876">
        <v>1000</v>
      </c>
      <c r="I8876">
        <v>115</v>
      </c>
      <c r="J8876">
        <v>39</v>
      </c>
      <c r="K8876">
        <v>0</v>
      </c>
      <c r="L8876">
        <v>1200</v>
      </c>
      <c r="M8876" t="str">
        <f t="shared" si="812"/>
        <v xml:space="preserve">N35DC   </v>
      </c>
      <c r="N8876">
        <v>1</v>
      </c>
      <c r="O8876">
        <v>1075</v>
      </c>
    </row>
    <row r="8877" spans="1:15" x14ac:dyDescent="0.25">
      <c r="A8877" t="str">
        <f>"10/21/2020 19:15:51.664"</f>
        <v>10/21/2020 19:15:51.664</v>
      </c>
      <c r="B8877" t="str">
        <f t="shared" si="814"/>
        <v>19:15:59.617</v>
      </c>
      <c r="C8877" t="str">
        <f t="shared" si="814"/>
        <v>19:15:59.617</v>
      </c>
      <c r="D8877" t="s">
        <v>3422</v>
      </c>
      <c r="E8877">
        <v>30.437708000000001</v>
      </c>
      <c r="F8877" t="s">
        <v>3423</v>
      </c>
      <c r="G8877">
        <v>-89.780272999999994</v>
      </c>
      <c r="H8877">
        <v>1000</v>
      </c>
      <c r="I8877">
        <v>115</v>
      </c>
      <c r="J8877">
        <v>39</v>
      </c>
      <c r="K8877">
        <v>0</v>
      </c>
      <c r="L8877">
        <v>1200</v>
      </c>
      <c r="M8877" t="str">
        <f t="shared" si="812"/>
        <v xml:space="preserve">N35DC   </v>
      </c>
      <c r="N8877">
        <v>1</v>
      </c>
      <c r="O8877">
        <v>1075</v>
      </c>
    </row>
    <row r="8878" spans="1:15" x14ac:dyDescent="0.25">
      <c r="A8878" t="str">
        <f>"10/21/2020 19:15:51.664"</f>
        <v>10/21/2020 19:15:51.664</v>
      </c>
      <c r="B8878" t="str">
        <f t="shared" si="814"/>
        <v>19:15:59.617</v>
      </c>
      <c r="C8878" t="str">
        <f t="shared" si="814"/>
        <v>19:15:59.617</v>
      </c>
      <c r="D8878" t="s">
        <v>3422</v>
      </c>
      <c r="E8878">
        <v>30.437708000000001</v>
      </c>
      <c r="F8878" t="s">
        <v>3423</v>
      </c>
      <c r="G8878">
        <v>-89.780272999999994</v>
      </c>
      <c r="H8878">
        <v>1000</v>
      </c>
      <c r="I8878">
        <v>115</v>
      </c>
      <c r="J8878">
        <v>39</v>
      </c>
      <c r="K8878">
        <v>0</v>
      </c>
      <c r="L8878">
        <v>1200</v>
      </c>
      <c r="M8878" t="str">
        <f t="shared" si="812"/>
        <v xml:space="preserve">N35DC   </v>
      </c>
      <c r="N8878">
        <v>1</v>
      </c>
      <c r="O8878">
        <v>1075</v>
      </c>
    </row>
    <row r="8879" spans="1:15" x14ac:dyDescent="0.25">
      <c r="A8879" t="str">
        <f>"10/21/2020 19:15:53.586"</f>
        <v>10/21/2020 19:15:53.586</v>
      </c>
      <c r="B8879" t="str">
        <f>"19:16:01.516"</f>
        <v>19:16:01.516</v>
      </c>
      <c r="C8879" t="str">
        <f>"19:16:01.416"</f>
        <v>19:16:01.416</v>
      </c>
      <c r="D8879" t="s">
        <v>3424</v>
      </c>
      <c r="E8879">
        <v>30.438051000000002</v>
      </c>
      <c r="F8879" t="s">
        <v>3425</v>
      </c>
      <c r="G8879">
        <v>-89.779071999999999</v>
      </c>
      <c r="H8879">
        <v>1000</v>
      </c>
      <c r="I8879">
        <v>115</v>
      </c>
      <c r="J8879">
        <v>39</v>
      </c>
      <c r="K8879">
        <v>-64</v>
      </c>
      <c r="L8879">
        <v>1200</v>
      </c>
      <c r="M8879" t="str">
        <f t="shared" si="812"/>
        <v xml:space="preserve">N35DC   </v>
      </c>
      <c r="N8879">
        <v>1</v>
      </c>
      <c r="O8879">
        <v>1075</v>
      </c>
    </row>
    <row r="8880" spans="1:15" x14ac:dyDescent="0.25">
      <c r="A8880" t="str">
        <f>"10/21/2020 19:15:53.586"</f>
        <v>10/21/2020 19:15:53.586</v>
      </c>
      <c r="B8880" t="str">
        <f>"19:16:01.516"</f>
        <v>19:16:01.516</v>
      </c>
      <c r="C8880" t="str">
        <f>"19:16:01.416"</f>
        <v>19:16:01.416</v>
      </c>
      <c r="D8880" t="s">
        <v>3424</v>
      </c>
      <c r="E8880">
        <v>30.438051000000002</v>
      </c>
      <c r="F8880" t="s">
        <v>3425</v>
      </c>
      <c r="G8880">
        <v>-89.779071999999999</v>
      </c>
      <c r="H8880">
        <v>1000</v>
      </c>
      <c r="I8880">
        <v>115</v>
      </c>
      <c r="J8880">
        <v>39</v>
      </c>
      <c r="K8880">
        <v>-64</v>
      </c>
      <c r="L8880">
        <v>1200</v>
      </c>
      <c r="M8880" t="str">
        <f t="shared" si="812"/>
        <v xml:space="preserve">N35DC   </v>
      </c>
      <c r="N8880">
        <v>1</v>
      </c>
      <c r="O8880">
        <v>1075</v>
      </c>
    </row>
    <row r="8881" spans="1:15" x14ac:dyDescent="0.25">
      <c r="A8881" t="str">
        <f>"10/21/2020 19:15:53.586"</f>
        <v>10/21/2020 19:15:53.586</v>
      </c>
      <c r="B8881" t="str">
        <f>"19:16:01.516"</f>
        <v>19:16:01.516</v>
      </c>
      <c r="C8881" t="str">
        <f>"19:16:01.416"</f>
        <v>19:16:01.416</v>
      </c>
      <c r="D8881" t="s">
        <v>3424</v>
      </c>
      <c r="E8881">
        <v>30.438051000000002</v>
      </c>
      <c r="F8881" t="s">
        <v>3425</v>
      </c>
      <c r="G8881">
        <v>-89.779071999999999</v>
      </c>
      <c r="H8881">
        <v>1000</v>
      </c>
      <c r="I8881">
        <v>115</v>
      </c>
      <c r="J8881">
        <v>39</v>
      </c>
      <c r="K8881">
        <v>-64</v>
      </c>
      <c r="L8881">
        <v>1200</v>
      </c>
      <c r="M8881" t="str">
        <f t="shared" si="812"/>
        <v xml:space="preserve">N35DC   </v>
      </c>
      <c r="N8881">
        <v>1</v>
      </c>
      <c r="O8881">
        <v>1075</v>
      </c>
    </row>
    <row r="8882" spans="1:15" x14ac:dyDescent="0.25">
      <c r="A8882" t="str">
        <f>"10/21/2020 19:15:53.586"</f>
        <v>10/21/2020 19:15:53.586</v>
      </c>
      <c r="B8882" t="str">
        <f>"19:16:01.516"</f>
        <v>19:16:01.516</v>
      </c>
      <c r="C8882" t="str">
        <f>"19:16:01.416"</f>
        <v>19:16:01.416</v>
      </c>
      <c r="D8882" t="s">
        <v>3424</v>
      </c>
      <c r="E8882">
        <v>30.438051000000002</v>
      </c>
      <c r="F8882" t="s">
        <v>3425</v>
      </c>
      <c r="G8882">
        <v>-89.779071999999999</v>
      </c>
      <c r="H8882">
        <v>1000</v>
      </c>
      <c r="I8882">
        <v>115</v>
      </c>
      <c r="J8882">
        <v>39</v>
      </c>
      <c r="K8882">
        <v>-64</v>
      </c>
      <c r="L8882">
        <v>1200</v>
      </c>
      <c r="M8882" t="str">
        <f t="shared" si="812"/>
        <v xml:space="preserve">N35DC   </v>
      </c>
      <c r="N8882">
        <v>1</v>
      </c>
      <c r="O8882">
        <v>1075</v>
      </c>
    </row>
    <row r="8883" spans="1:15" x14ac:dyDescent="0.25">
      <c r="A8883" t="str">
        <f>"10/21/2020 19:15:53.586"</f>
        <v>10/21/2020 19:15:53.586</v>
      </c>
      <c r="B8883" t="str">
        <f>"19:16:01.516"</f>
        <v>19:16:01.516</v>
      </c>
      <c r="C8883" t="str">
        <f>"19:16:01.416"</f>
        <v>19:16:01.416</v>
      </c>
      <c r="D8883" t="s">
        <v>3424</v>
      </c>
      <c r="E8883">
        <v>30.438051000000002</v>
      </c>
      <c r="F8883" t="s">
        <v>3425</v>
      </c>
      <c r="G8883">
        <v>-89.779071999999999</v>
      </c>
      <c r="H8883">
        <v>1000</v>
      </c>
      <c r="I8883">
        <v>115</v>
      </c>
      <c r="J8883">
        <v>39</v>
      </c>
      <c r="K8883">
        <v>-64</v>
      </c>
      <c r="L8883">
        <v>1200</v>
      </c>
      <c r="M8883" t="str">
        <f t="shared" si="812"/>
        <v xml:space="preserve">N35DC   </v>
      </c>
      <c r="N8883">
        <v>1</v>
      </c>
      <c r="O8883">
        <v>1075</v>
      </c>
    </row>
    <row r="8884" spans="1:15" x14ac:dyDescent="0.25">
      <c r="A8884" t="str">
        <f>"10/21/2020 19:15:54.596"</f>
        <v>10/21/2020 19:15:54.596</v>
      </c>
      <c r="B8884" t="str">
        <f t="shared" ref="B8884:C8888" si="815">"19:16:02.555"</f>
        <v>19:16:02.555</v>
      </c>
      <c r="C8884" t="str">
        <f t="shared" si="815"/>
        <v>19:16:02.555</v>
      </c>
      <c r="D8884" t="s">
        <v>3426</v>
      </c>
      <c r="E8884">
        <v>30.438265999999999</v>
      </c>
      <c r="F8884" t="s">
        <v>3427</v>
      </c>
      <c r="G8884">
        <v>-89.778450000000007</v>
      </c>
      <c r="H8884">
        <v>1000</v>
      </c>
      <c r="I8884">
        <v>115</v>
      </c>
      <c r="J8884">
        <v>39</v>
      </c>
      <c r="K8884">
        <v>64</v>
      </c>
      <c r="L8884">
        <v>1200</v>
      </c>
      <c r="M8884" t="str">
        <f t="shared" si="812"/>
        <v xml:space="preserve">N35DC   </v>
      </c>
      <c r="N8884">
        <v>1</v>
      </c>
      <c r="O8884">
        <v>1075</v>
      </c>
    </row>
    <row r="8885" spans="1:15" x14ac:dyDescent="0.25">
      <c r="A8885" t="str">
        <f>"10/21/2020 19:15:54.596"</f>
        <v>10/21/2020 19:15:54.596</v>
      </c>
      <c r="B8885" t="str">
        <f t="shared" si="815"/>
        <v>19:16:02.555</v>
      </c>
      <c r="C8885" t="str">
        <f t="shared" si="815"/>
        <v>19:16:02.555</v>
      </c>
      <c r="D8885" t="s">
        <v>3426</v>
      </c>
      <c r="E8885">
        <v>30.438265999999999</v>
      </c>
      <c r="F8885" t="s">
        <v>3427</v>
      </c>
      <c r="G8885">
        <v>-89.778450000000007</v>
      </c>
      <c r="H8885">
        <v>1000</v>
      </c>
      <c r="I8885">
        <v>115</v>
      </c>
      <c r="J8885">
        <v>39</v>
      </c>
      <c r="K8885">
        <v>64</v>
      </c>
      <c r="L8885">
        <v>1200</v>
      </c>
      <c r="M8885" t="str">
        <f t="shared" si="812"/>
        <v xml:space="preserve">N35DC   </v>
      </c>
      <c r="N8885">
        <v>1</v>
      </c>
      <c r="O8885">
        <v>1075</v>
      </c>
    </row>
    <row r="8886" spans="1:15" x14ac:dyDescent="0.25">
      <c r="A8886" t="str">
        <f>"10/21/2020 19:15:54.596"</f>
        <v>10/21/2020 19:15:54.596</v>
      </c>
      <c r="B8886" t="str">
        <f t="shared" si="815"/>
        <v>19:16:02.555</v>
      </c>
      <c r="C8886" t="str">
        <f t="shared" si="815"/>
        <v>19:16:02.555</v>
      </c>
      <c r="D8886" t="s">
        <v>3426</v>
      </c>
      <c r="E8886">
        <v>30.438265999999999</v>
      </c>
      <c r="F8886" t="s">
        <v>3427</v>
      </c>
      <c r="G8886">
        <v>-89.778450000000007</v>
      </c>
      <c r="H8886">
        <v>1000</v>
      </c>
      <c r="I8886">
        <v>115</v>
      </c>
      <c r="J8886">
        <v>39</v>
      </c>
      <c r="K8886">
        <v>64</v>
      </c>
      <c r="L8886">
        <v>1200</v>
      </c>
      <c r="M8886" t="str">
        <f t="shared" si="812"/>
        <v xml:space="preserve">N35DC   </v>
      </c>
      <c r="N8886">
        <v>1</v>
      </c>
      <c r="O8886">
        <v>1075</v>
      </c>
    </row>
    <row r="8887" spans="1:15" x14ac:dyDescent="0.25">
      <c r="A8887" t="str">
        <f>"10/21/2020 19:15:54.596"</f>
        <v>10/21/2020 19:15:54.596</v>
      </c>
      <c r="B8887" t="str">
        <f t="shared" si="815"/>
        <v>19:16:02.555</v>
      </c>
      <c r="C8887" t="str">
        <f t="shared" si="815"/>
        <v>19:16:02.555</v>
      </c>
      <c r="D8887" t="s">
        <v>3426</v>
      </c>
      <c r="E8887">
        <v>30.438265999999999</v>
      </c>
      <c r="F8887" t="s">
        <v>3427</v>
      </c>
      <c r="G8887">
        <v>-89.778450000000007</v>
      </c>
      <c r="H8887">
        <v>1000</v>
      </c>
      <c r="I8887">
        <v>115</v>
      </c>
      <c r="J8887">
        <v>39</v>
      </c>
      <c r="K8887">
        <v>64</v>
      </c>
      <c r="L8887">
        <v>1200</v>
      </c>
      <c r="M8887" t="str">
        <f t="shared" si="812"/>
        <v xml:space="preserve">N35DC   </v>
      </c>
      <c r="N8887">
        <v>1</v>
      </c>
      <c r="O8887">
        <v>1075</v>
      </c>
    </row>
    <row r="8888" spans="1:15" x14ac:dyDescent="0.25">
      <c r="A8888" t="str">
        <f>"10/21/2020 19:15:54.596"</f>
        <v>10/21/2020 19:15:54.596</v>
      </c>
      <c r="B8888" t="str">
        <f t="shared" si="815"/>
        <v>19:16:02.555</v>
      </c>
      <c r="C8888" t="str">
        <f t="shared" si="815"/>
        <v>19:16:02.555</v>
      </c>
      <c r="D8888" t="s">
        <v>3426</v>
      </c>
      <c r="E8888">
        <v>30.438265999999999</v>
      </c>
      <c r="F8888" t="s">
        <v>3427</v>
      </c>
      <c r="G8888">
        <v>-89.778450000000007</v>
      </c>
      <c r="H8888">
        <v>1000</v>
      </c>
      <c r="I8888">
        <v>115</v>
      </c>
      <c r="J8888">
        <v>39</v>
      </c>
      <c r="K8888">
        <v>64</v>
      </c>
      <c r="L8888">
        <v>1200</v>
      </c>
      <c r="M8888" t="str">
        <f t="shared" si="812"/>
        <v xml:space="preserve">N35DC   </v>
      </c>
      <c r="N8888">
        <v>1</v>
      </c>
      <c r="O8888">
        <v>1075</v>
      </c>
    </row>
    <row r="8889" spans="1:15" x14ac:dyDescent="0.25">
      <c r="A8889" t="str">
        <f>"10/21/2020 19:15:55.586"</f>
        <v>10/21/2020 19:15:55.586</v>
      </c>
      <c r="B8889" t="str">
        <f>"19:16:03.547"</f>
        <v>19:16:03.547</v>
      </c>
      <c r="C8889" t="str">
        <f>"19:16:03.147"</f>
        <v>19:16:03.147</v>
      </c>
      <c r="D8889" t="s">
        <v>3428</v>
      </c>
      <c r="E8889">
        <v>30.438416</v>
      </c>
      <c r="F8889" t="s">
        <v>3429</v>
      </c>
      <c r="G8889">
        <v>-89.777805999999998</v>
      </c>
      <c r="H8889">
        <v>1000</v>
      </c>
      <c r="I8889">
        <v>115</v>
      </c>
      <c r="J8889">
        <v>39</v>
      </c>
      <c r="K8889">
        <v>0</v>
      </c>
      <c r="L8889">
        <v>1200</v>
      </c>
      <c r="M8889" t="str">
        <f t="shared" si="812"/>
        <v xml:space="preserve">N35DC   </v>
      </c>
      <c r="N8889">
        <v>1</v>
      </c>
      <c r="O8889">
        <v>1075</v>
      </c>
    </row>
    <row r="8890" spans="1:15" x14ac:dyDescent="0.25">
      <c r="A8890" t="str">
        <f>"10/21/2020 19:15:55.586"</f>
        <v>10/21/2020 19:15:55.586</v>
      </c>
      <c r="B8890" t="str">
        <f>"19:16:03.547"</f>
        <v>19:16:03.547</v>
      </c>
      <c r="C8890" t="str">
        <f>"19:16:03.147"</f>
        <v>19:16:03.147</v>
      </c>
      <c r="D8890" t="s">
        <v>3428</v>
      </c>
      <c r="E8890">
        <v>30.438416</v>
      </c>
      <c r="F8890" t="s">
        <v>3429</v>
      </c>
      <c r="G8890">
        <v>-89.777805999999998</v>
      </c>
      <c r="H8890">
        <v>1000</v>
      </c>
      <c r="I8890">
        <v>115</v>
      </c>
      <c r="J8890">
        <v>39</v>
      </c>
      <c r="K8890">
        <v>0</v>
      </c>
      <c r="L8890">
        <v>1200</v>
      </c>
      <c r="M8890" t="str">
        <f t="shared" si="812"/>
        <v xml:space="preserve">N35DC   </v>
      </c>
      <c r="N8890">
        <v>1</v>
      </c>
      <c r="O8890">
        <v>1075</v>
      </c>
    </row>
    <row r="8891" spans="1:15" x14ac:dyDescent="0.25">
      <c r="A8891" t="str">
        <f>"10/21/2020 19:15:55.586"</f>
        <v>10/21/2020 19:15:55.586</v>
      </c>
      <c r="B8891" t="str">
        <f>"19:16:03.547"</f>
        <v>19:16:03.547</v>
      </c>
      <c r="C8891" t="str">
        <f>"19:16:03.147"</f>
        <v>19:16:03.147</v>
      </c>
      <c r="D8891" t="s">
        <v>3428</v>
      </c>
      <c r="E8891">
        <v>30.438416</v>
      </c>
      <c r="F8891" t="s">
        <v>3429</v>
      </c>
      <c r="G8891">
        <v>-89.777805999999998</v>
      </c>
      <c r="H8891">
        <v>1000</v>
      </c>
      <c r="I8891">
        <v>115</v>
      </c>
      <c r="J8891">
        <v>39</v>
      </c>
      <c r="K8891">
        <v>0</v>
      </c>
      <c r="L8891">
        <v>1200</v>
      </c>
      <c r="M8891" t="str">
        <f t="shared" si="812"/>
        <v xml:space="preserve">N35DC   </v>
      </c>
      <c r="N8891">
        <v>1</v>
      </c>
      <c r="O8891">
        <v>1075</v>
      </c>
    </row>
    <row r="8892" spans="1:15" x14ac:dyDescent="0.25">
      <c r="A8892" t="str">
        <f>"10/21/2020 19:15:55.586"</f>
        <v>10/21/2020 19:15:55.586</v>
      </c>
      <c r="B8892" t="str">
        <f>"19:16:03.547"</f>
        <v>19:16:03.547</v>
      </c>
      <c r="C8892" t="str">
        <f>"19:16:03.147"</f>
        <v>19:16:03.147</v>
      </c>
      <c r="D8892" t="s">
        <v>3428</v>
      </c>
      <c r="E8892">
        <v>30.438416</v>
      </c>
      <c r="F8892" t="s">
        <v>3429</v>
      </c>
      <c r="G8892">
        <v>-89.777805999999998</v>
      </c>
      <c r="H8892">
        <v>1000</v>
      </c>
      <c r="I8892">
        <v>115</v>
      </c>
      <c r="J8892">
        <v>39</v>
      </c>
      <c r="K8892">
        <v>0</v>
      </c>
      <c r="L8892">
        <v>1200</v>
      </c>
      <c r="M8892" t="str">
        <f t="shared" si="812"/>
        <v xml:space="preserve">N35DC   </v>
      </c>
      <c r="N8892">
        <v>1</v>
      </c>
      <c r="O8892">
        <v>1075</v>
      </c>
    </row>
    <row r="8893" spans="1:15" x14ac:dyDescent="0.25">
      <c r="A8893" t="str">
        <f>"10/21/2020 19:15:55.586"</f>
        <v>10/21/2020 19:15:55.586</v>
      </c>
      <c r="B8893" t="str">
        <f>"19:16:03.547"</f>
        <v>19:16:03.547</v>
      </c>
      <c r="C8893" t="str">
        <f>"19:16:03.147"</f>
        <v>19:16:03.147</v>
      </c>
      <c r="D8893" t="s">
        <v>3428</v>
      </c>
      <c r="E8893">
        <v>30.438416</v>
      </c>
      <c r="F8893" t="s">
        <v>3429</v>
      </c>
      <c r="G8893">
        <v>-89.777805999999998</v>
      </c>
      <c r="H8893">
        <v>1000</v>
      </c>
      <c r="I8893">
        <v>115</v>
      </c>
      <c r="J8893">
        <v>39</v>
      </c>
      <c r="K8893">
        <v>0</v>
      </c>
      <c r="L8893">
        <v>1200</v>
      </c>
      <c r="M8893" t="str">
        <f t="shared" si="812"/>
        <v xml:space="preserve">N35DC   </v>
      </c>
      <c r="N8893">
        <v>1</v>
      </c>
      <c r="O8893">
        <v>1075</v>
      </c>
    </row>
    <row r="8894" spans="1:15" x14ac:dyDescent="0.25">
      <c r="A8894" t="str">
        <f>"10/21/2020 19:15:58.618"</f>
        <v>10/21/2020 19:15:58.618</v>
      </c>
      <c r="B8894" t="str">
        <f>"19:16:06.570"</f>
        <v>19:16:06.570</v>
      </c>
      <c r="C8894" t="str">
        <f>"19:16:06.170"</f>
        <v>19:16:06.170</v>
      </c>
      <c r="D8894" t="s">
        <v>3430</v>
      </c>
      <c r="E8894">
        <v>30.438974000000002</v>
      </c>
      <c r="F8894" t="s">
        <v>195</v>
      </c>
      <c r="G8894">
        <v>-89.775981999999999</v>
      </c>
      <c r="H8894">
        <v>1000</v>
      </c>
      <c r="I8894">
        <v>114</v>
      </c>
      <c r="J8894">
        <v>39</v>
      </c>
      <c r="K8894">
        <v>64</v>
      </c>
      <c r="L8894">
        <v>1200</v>
      </c>
      <c r="M8894" t="str">
        <f t="shared" si="812"/>
        <v xml:space="preserve">N35DC   </v>
      </c>
      <c r="N8894">
        <v>1</v>
      </c>
      <c r="O8894">
        <v>1075</v>
      </c>
    </row>
    <row r="8895" spans="1:15" x14ac:dyDescent="0.25">
      <c r="A8895" t="str">
        <f>"10/21/2020 19:15:58.618"</f>
        <v>10/21/2020 19:15:58.618</v>
      </c>
      <c r="B8895" t="str">
        <f>"19:16:06.570"</f>
        <v>19:16:06.570</v>
      </c>
      <c r="C8895" t="str">
        <f>"19:16:06.170"</f>
        <v>19:16:06.170</v>
      </c>
      <c r="D8895" t="s">
        <v>3430</v>
      </c>
      <c r="E8895">
        <v>30.438974000000002</v>
      </c>
      <c r="F8895" t="s">
        <v>195</v>
      </c>
      <c r="G8895">
        <v>-89.775981999999999</v>
      </c>
      <c r="H8895">
        <v>1000</v>
      </c>
      <c r="I8895">
        <v>114</v>
      </c>
      <c r="J8895">
        <v>39</v>
      </c>
      <c r="K8895">
        <v>64</v>
      </c>
      <c r="L8895">
        <v>1200</v>
      </c>
      <c r="M8895" t="str">
        <f t="shared" si="812"/>
        <v xml:space="preserve">N35DC   </v>
      </c>
      <c r="N8895">
        <v>1</v>
      </c>
      <c r="O8895">
        <v>1075</v>
      </c>
    </row>
    <row r="8896" spans="1:15" x14ac:dyDescent="0.25">
      <c r="A8896" t="str">
        <f>"10/21/2020 19:15:58.618"</f>
        <v>10/21/2020 19:15:58.618</v>
      </c>
      <c r="B8896" t="str">
        <f>"19:16:06.570"</f>
        <v>19:16:06.570</v>
      </c>
      <c r="C8896" t="str">
        <f>"19:16:06.170"</f>
        <v>19:16:06.170</v>
      </c>
      <c r="D8896" t="s">
        <v>3430</v>
      </c>
      <c r="E8896">
        <v>30.438974000000002</v>
      </c>
      <c r="F8896" t="s">
        <v>195</v>
      </c>
      <c r="G8896">
        <v>-89.775981999999999</v>
      </c>
      <c r="H8896">
        <v>1000</v>
      </c>
      <c r="I8896">
        <v>114</v>
      </c>
      <c r="J8896">
        <v>39</v>
      </c>
      <c r="K8896">
        <v>64</v>
      </c>
      <c r="L8896">
        <v>1200</v>
      </c>
      <c r="M8896" t="str">
        <f t="shared" si="812"/>
        <v xml:space="preserve">N35DC   </v>
      </c>
      <c r="N8896">
        <v>1</v>
      </c>
      <c r="O8896">
        <v>1075</v>
      </c>
    </row>
    <row r="8897" spans="1:15" x14ac:dyDescent="0.25">
      <c r="A8897" t="str">
        <f>"10/21/2020 19:15:58.618"</f>
        <v>10/21/2020 19:15:58.618</v>
      </c>
      <c r="B8897" t="str">
        <f>"19:16:06.570"</f>
        <v>19:16:06.570</v>
      </c>
      <c r="C8897" t="str">
        <f>"19:16:06.170"</f>
        <v>19:16:06.170</v>
      </c>
      <c r="D8897" t="s">
        <v>3430</v>
      </c>
      <c r="E8897">
        <v>30.438974000000002</v>
      </c>
      <c r="F8897" t="s">
        <v>195</v>
      </c>
      <c r="G8897">
        <v>-89.775981999999999</v>
      </c>
      <c r="H8897">
        <v>1000</v>
      </c>
      <c r="I8897">
        <v>114</v>
      </c>
      <c r="J8897">
        <v>39</v>
      </c>
      <c r="K8897">
        <v>64</v>
      </c>
      <c r="L8897">
        <v>1200</v>
      </c>
      <c r="M8897" t="str">
        <f t="shared" si="812"/>
        <v xml:space="preserve">N35DC   </v>
      </c>
      <c r="N8897">
        <v>1</v>
      </c>
      <c r="O8897">
        <v>1075</v>
      </c>
    </row>
    <row r="8898" spans="1:15" x14ac:dyDescent="0.25">
      <c r="A8898" t="str">
        <f>"10/21/2020 19:15:58.618"</f>
        <v>10/21/2020 19:15:58.618</v>
      </c>
      <c r="B8898" t="str">
        <f>"19:16:06.570"</f>
        <v>19:16:06.570</v>
      </c>
      <c r="C8898" t="str">
        <f>"19:16:06.170"</f>
        <v>19:16:06.170</v>
      </c>
      <c r="D8898" t="s">
        <v>3430</v>
      </c>
      <c r="E8898">
        <v>30.438974000000002</v>
      </c>
      <c r="F8898" t="s">
        <v>195</v>
      </c>
      <c r="G8898">
        <v>-89.775981999999999</v>
      </c>
      <c r="H8898">
        <v>1000</v>
      </c>
      <c r="I8898">
        <v>114</v>
      </c>
      <c r="J8898">
        <v>39</v>
      </c>
      <c r="K8898">
        <v>64</v>
      </c>
      <c r="L8898">
        <v>1200</v>
      </c>
      <c r="M8898" t="str">
        <f t="shared" si="812"/>
        <v xml:space="preserve">N35DC   </v>
      </c>
      <c r="N8898">
        <v>1</v>
      </c>
      <c r="O8898">
        <v>1075</v>
      </c>
    </row>
    <row r="8899" spans="1:15" x14ac:dyDescent="0.25">
      <c r="A8899" t="str">
        <f>"10/21/2020 19:15:59.497"</f>
        <v>10/21/2020 19:15:59.497</v>
      </c>
      <c r="B8899" t="str">
        <f>"19:16:07.461"</f>
        <v>19:16:07.461</v>
      </c>
      <c r="C8899" t="str">
        <f>"19:16:07.061"</f>
        <v>19:16:07.061</v>
      </c>
      <c r="D8899" t="s">
        <v>3431</v>
      </c>
      <c r="E8899">
        <v>30.439102999999999</v>
      </c>
      <c r="F8899" t="s">
        <v>3432</v>
      </c>
      <c r="G8899">
        <v>-89.775445000000005</v>
      </c>
      <c r="H8899">
        <v>1100</v>
      </c>
      <c r="I8899">
        <v>114</v>
      </c>
      <c r="J8899">
        <v>39</v>
      </c>
      <c r="K8899">
        <v>192</v>
      </c>
      <c r="L8899">
        <v>1200</v>
      </c>
      <c r="M8899" t="str">
        <f t="shared" si="812"/>
        <v xml:space="preserve">N35DC   </v>
      </c>
      <c r="N8899">
        <v>1</v>
      </c>
      <c r="O8899">
        <v>1075</v>
      </c>
    </row>
    <row r="8900" spans="1:15" x14ac:dyDescent="0.25">
      <c r="A8900" t="str">
        <f>"10/21/2020 19:15:59.497"</f>
        <v>10/21/2020 19:15:59.497</v>
      </c>
      <c r="B8900" t="str">
        <f>"19:16:07.461"</f>
        <v>19:16:07.461</v>
      </c>
      <c r="C8900" t="str">
        <f>"19:16:07.061"</f>
        <v>19:16:07.061</v>
      </c>
      <c r="D8900" t="s">
        <v>3431</v>
      </c>
      <c r="E8900">
        <v>30.439102999999999</v>
      </c>
      <c r="F8900" t="s">
        <v>3432</v>
      </c>
      <c r="G8900">
        <v>-89.775445000000005</v>
      </c>
      <c r="H8900">
        <v>1100</v>
      </c>
      <c r="I8900">
        <v>114</v>
      </c>
      <c r="J8900">
        <v>39</v>
      </c>
      <c r="K8900">
        <v>192</v>
      </c>
      <c r="L8900">
        <v>1200</v>
      </c>
      <c r="M8900" t="str">
        <f t="shared" si="812"/>
        <v xml:space="preserve">N35DC   </v>
      </c>
      <c r="N8900">
        <v>1</v>
      </c>
      <c r="O8900">
        <v>1075</v>
      </c>
    </row>
    <row r="8901" spans="1:15" x14ac:dyDescent="0.25">
      <c r="A8901" t="str">
        <f>"10/21/2020 19:15:59.497"</f>
        <v>10/21/2020 19:15:59.497</v>
      </c>
      <c r="B8901" t="str">
        <f>"19:16:07.461"</f>
        <v>19:16:07.461</v>
      </c>
      <c r="C8901" t="str">
        <f>"19:16:07.061"</f>
        <v>19:16:07.061</v>
      </c>
      <c r="D8901" t="s">
        <v>3431</v>
      </c>
      <c r="E8901">
        <v>30.439102999999999</v>
      </c>
      <c r="F8901" t="s">
        <v>3432</v>
      </c>
      <c r="G8901">
        <v>-89.775445000000005</v>
      </c>
      <c r="H8901">
        <v>1100</v>
      </c>
      <c r="I8901">
        <v>114</v>
      </c>
      <c r="J8901">
        <v>39</v>
      </c>
      <c r="K8901">
        <v>192</v>
      </c>
      <c r="L8901">
        <v>1200</v>
      </c>
      <c r="M8901" t="str">
        <f t="shared" si="812"/>
        <v xml:space="preserve">N35DC   </v>
      </c>
      <c r="N8901">
        <v>1</v>
      </c>
      <c r="O8901">
        <v>1075</v>
      </c>
    </row>
    <row r="8902" spans="1:15" x14ac:dyDescent="0.25">
      <c r="A8902" t="str">
        <f>"10/21/2020 19:15:59.497"</f>
        <v>10/21/2020 19:15:59.497</v>
      </c>
      <c r="B8902" t="str">
        <f>"19:16:07.461"</f>
        <v>19:16:07.461</v>
      </c>
      <c r="C8902" t="str">
        <f>"19:16:07.061"</f>
        <v>19:16:07.061</v>
      </c>
      <c r="D8902" t="s">
        <v>3431</v>
      </c>
      <c r="E8902">
        <v>30.439102999999999</v>
      </c>
      <c r="F8902" t="s">
        <v>3432</v>
      </c>
      <c r="G8902">
        <v>-89.775445000000005</v>
      </c>
      <c r="H8902">
        <v>1100</v>
      </c>
      <c r="I8902">
        <v>114</v>
      </c>
      <c r="J8902">
        <v>39</v>
      </c>
      <c r="K8902">
        <v>192</v>
      </c>
      <c r="L8902">
        <v>1200</v>
      </c>
      <c r="M8902" t="str">
        <f t="shared" si="812"/>
        <v xml:space="preserve">N35DC   </v>
      </c>
      <c r="N8902">
        <v>1</v>
      </c>
      <c r="O8902">
        <v>1075</v>
      </c>
    </row>
    <row r="8903" spans="1:15" x14ac:dyDescent="0.25">
      <c r="A8903" t="str">
        <f>"10/21/2020 19:15:59.497"</f>
        <v>10/21/2020 19:15:59.497</v>
      </c>
      <c r="B8903" t="str">
        <f>"19:16:07.461"</f>
        <v>19:16:07.461</v>
      </c>
      <c r="C8903" t="str">
        <f>"19:16:07.061"</f>
        <v>19:16:07.061</v>
      </c>
      <c r="D8903" t="s">
        <v>3431</v>
      </c>
      <c r="E8903">
        <v>30.439102999999999</v>
      </c>
      <c r="F8903" t="s">
        <v>3432</v>
      </c>
      <c r="G8903">
        <v>-89.775445000000005</v>
      </c>
      <c r="H8903">
        <v>1100</v>
      </c>
      <c r="I8903">
        <v>114</v>
      </c>
      <c r="J8903">
        <v>39</v>
      </c>
      <c r="K8903">
        <v>192</v>
      </c>
      <c r="L8903">
        <v>1200</v>
      </c>
      <c r="M8903" t="str">
        <f t="shared" ref="M8903:M8966" si="816">"N35DC   "</f>
        <v xml:space="preserve">N35DC   </v>
      </c>
      <c r="N8903">
        <v>1</v>
      </c>
      <c r="O8903">
        <v>1075</v>
      </c>
    </row>
    <row r="8904" spans="1:15" x14ac:dyDescent="0.25">
      <c r="A8904" t="str">
        <f>"10/21/2020 19:16:02.460"</f>
        <v>10/21/2020 19:16:02.460</v>
      </c>
      <c r="B8904" t="str">
        <f>"19:16:10.430"</f>
        <v>19:16:10.430</v>
      </c>
      <c r="C8904" t="str">
        <f>"19:16:10.330"</f>
        <v>19:16:10.330</v>
      </c>
      <c r="D8904" t="s">
        <v>3433</v>
      </c>
      <c r="E8904">
        <v>30.439682000000001</v>
      </c>
      <c r="F8904" t="s">
        <v>2453</v>
      </c>
      <c r="G8904">
        <v>-89.773600000000002</v>
      </c>
      <c r="H8904">
        <v>1100</v>
      </c>
      <c r="I8904">
        <v>113</v>
      </c>
      <c r="J8904">
        <v>40</v>
      </c>
      <c r="K8904">
        <v>64</v>
      </c>
      <c r="L8904">
        <v>1200</v>
      </c>
      <c r="M8904" t="str">
        <f t="shared" si="816"/>
        <v xml:space="preserve">N35DC   </v>
      </c>
      <c r="N8904">
        <v>1</v>
      </c>
      <c r="O8904">
        <v>1100</v>
      </c>
    </row>
    <row r="8905" spans="1:15" x14ac:dyDescent="0.25">
      <c r="A8905" t="str">
        <f>"10/21/2020 19:16:02.460"</f>
        <v>10/21/2020 19:16:02.460</v>
      </c>
      <c r="B8905" t="str">
        <f>"19:16:10.430"</f>
        <v>19:16:10.430</v>
      </c>
      <c r="C8905" t="str">
        <f>"19:16:10.330"</f>
        <v>19:16:10.330</v>
      </c>
      <c r="D8905" t="s">
        <v>3433</v>
      </c>
      <c r="E8905">
        <v>30.439682000000001</v>
      </c>
      <c r="F8905" t="s">
        <v>2453</v>
      </c>
      <c r="G8905">
        <v>-89.773600000000002</v>
      </c>
      <c r="H8905">
        <v>1100</v>
      </c>
      <c r="I8905">
        <v>113</v>
      </c>
      <c r="J8905">
        <v>40</v>
      </c>
      <c r="K8905">
        <v>64</v>
      </c>
      <c r="L8905">
        <v>1200</v>
      </c>
      <c r="M8905" t="str">
        <f t="shared" si="816"/>
        <v xml:space="preserve">N35DC   </v>
      </c>
      <c r="N8905">
        <v>1</v>
      </c>
      <c r="O8905">
        <v>1100</v>
      </c>
    </row>
    <row r="8906" spans="1:15" x14ac:dyDescent="0.25">
      <c r="A8906" t="str">
        <f>"10/21/2020 19:16:02.460"</f>
        <v>10/21/2020 19:16:02.460</v>
      </c>
      <c r="B8906" t="str">
        <f>"19:16:10.430"</f>
        <v>19:16:10.430</v>
      </c>
      <c r="C8906" t="str">
        <f>"19:16:10.330"</f>
        <v>19:16:10.330</v>
      </c>
      <c r="D8906" t="s">
        <v>3433</v>
      </c>
      <c r="E8906">
        <v>30.439682000000001</v>
      </c>
      <c r="F8906" t="s">
        <v>2453</v>
      </c>
      <c r="G8906">
        <v>-89.773600000000002</v>
      </c>
      <c r="H8906">
        <v>1100</v>
      </c>
      <c r="I8906">
        <v>113</v>
      </c>
      <c r="J8906">
        <v>40</v>
      </c>
      <c r="K8906">
        <v>64</v>
      </c>
      <c r="L8906">
        <v>1200</v>
      </c>
      <c r="M8906" t="str">
        <f t="shared" si="816"/>
        <v xml:space="preserve">N35DC   </v>
      </c>
      <c r="N8906">
        <v>1</v>
      </c>
      <c r="O8906">
        <v>1100</v>
      </c>
    </row>
    <row r="8907" spans="1:15" x14ac:dyDescent="0.25">
      <c r="A8907" t="str">
        <f>"10/21/2020 19:16:02.460"</f>
        <v>10/21/2020 19:16:02.460</v>
      </c>
      <c r="B8907" t="str">
        <f>"19:16:10.430"</f>
        <v>19:16:10.430</v>
      </c>
      <c r="C8907" t="str">
        <f>"19:16:10.330"</f>
        <v>19:16:10.330</v>
      </c>
      <c r="D8907" t="s">
        <v>3433</v>
      </c>
      <c r="E8907">
        <v>30.439682000000001</v>
      </c>
      <c r="F8907" t="s">
        <v>2453</v>
      </c>
      <c r="G8907">
        <v>-89.773600000000002</v>
      </c>
      <c r="H8907">
        <v>1100</v>
      </c>
      <c r="I8907">
        <v>113</v>
      </c>
      <c r="J8907">
        <v>40</v>
      </c>
      <c r="K8907">
        <v>64</v>
      </c>
      <c r="L8907">
        <v>1200</v>
      </c>
      <c r="M8907" t="str">
        <f t="shared" si="816"/>
        <v xml:space="preserve">N35DC   </v>
      </c>
      <c r="N8907">
        <v>1</v>
      </c>
      <c r="O8907">
        <v>1100</v>
      </c>
    </row>
    <row r="8908" spans="1:15" x14ac:dyDescent="0.25">
      <c r="A8908" t="str">
        <f>"10/21/2020 19:16:02.460"</f>
        <v>10/21/2020 19:16:02.460</v>
      </c>
      <c r="B8908" t="str">
        <f>"19:16:10.430"</f>
        <v>19:16:10.430</v>
      </c>
      <c r="C8908" t="str">
        <f>"19:16:10.330"</f>
        <v>19:16:10.330</v>
      </c>
      <c r="D8908" t="s">
        <v>3433</v>
      </c>
      <c r="E8908">
        <v>30.439682000000001</v>
      </c>
      <c r="F8908" t="s">
        <v>2453</v>
      </c>
      <c r="G8908">
        <v>-89.773600000000002</v>
      </c>
      <c r="H8908">
        <v>1100</v>
      </c>
      <c r="I8908">
        <v>113</v>
      </c>
      <c r="J8908">
        <v>40</v>
      </c>
      <c r="K8908">
        <v>64</v>
      </c>
      <c r="L8908">
        <v>1200</v>
      </c>
      <c r="M8908" t="str">
        <f t="shared" si="816"/>
        <v xml:space="preserve">N35DC   </v>
      </c>
      <c r="N8908">
        <v>1</v>
      </c>
      <c r="O8908">
        <v>1100</v>
      </c>
    </row>
    <row r="8909" spans="1:15" x14ac:dyDescent="0.25">
      <c r="A8909" t="str">
        <f>"10/21/2020 19:16:03.596"</f>
        <v>10/21/2020 19:16:03.596</v>
      </c>
      <c r="B8909" t="str">
        <f>"19:16:11.555"</f>
        <v>19:16:11.555</v>
      </c>
      <c r="C8909" t="str">
        <f>"19:16:11.255"</f>
        <v>19:16:11.255</v>
      </c>
      <c r="D8909" t="s">
        <v>3434</v>
      </c>
      <c r="E8909">
        <v>30.439896999999998</v>
      </c>
      <c r="F8909" t="s">
        <v>3435</v>
      </c>
      <c r="G8909">
        <v>-89.772977999999995</v>
      </c>
      <c r="H8909">
        <v>1100</v>
      </c>
      <c r="I8909">
        <v>114</v>
      </c>
      <c r="J8909">
        <v>40</v>
      </c>
      <c r="K8909">
        <v>-128</v>
      </c>
      <c r="L8909">
        <v>1200</v>
      </c>
      <c r="M8909" t="str">
        <f t="shared" si="816"/>
        <v xml:space="preserve">N35DC   </v>
      </c>
      <c r="N8909">
        <v>1</v>
      </c>
      <c r="O8909">
        <v>1000</v>
      </c>
    </row>
    <row r="8910" spans="1:15" x14ac:dyDescent="0.25">
      <c r="A8910" t="str">
        <f>"10/21/2020 19:16:03.596"</f>
        <v>10/21/2020 19:16:03.596</v>
      </c>
      <c r="B8910" t="str">
        <f>"19:16:11.555"</f>
        <v>19:16:11.555</v>
      </c>
      <c r="C8910" t="str">
        <f>"19:16:11.255"</f>
        <v>19:16:11.255</v>
      </c>
      <c r="D8910" t="s">
        <v>3434</v>
      </c>
      <c r="E8910">
        <v>30.439896999999998</v>
      </c>
      <c r="F8910" t="s">
        <v>3435</v>
      </c>
      <c r="G8910">
        <v>-89.772977999999995</v>
      </c>
      <c r="H8910">
        <v>1100</v>
      </c>
      <c r="I8910">
        <v>114</v>
      </c>
      <c r="J8910">
        <v>40</v>
      </c>
      <c r="K8910">
        <v>-128</v>
      </c>
      <c r="L8910">
        <v>1200</v>
      </c>
      <c r="M8910" t="str">
        <f t="shared" si="816"/>
        <v xml:space="preserve">N35DC   </v>
      </c>
      <c r="N8910">
        <v>1</v>
      </c>
      <c r="O8910">
        <v>1000</v>
      </c>
    </row>
    <row r="8911" spans="1:15" x14ac:dyDescent="0.25">
      <c r="A8911" t="str">
        <f>"10/21/2020 19:16:03.596"</f>
        <v>10/21/2020 19:16:03.596</v>
      </c>
      <c r="B8911" t="str">
        <f>"19:16:11.555"</f>
        <v>19:16:11.555</v>
      </c>
      <c r="C8911" t="str">
        <f>"19:16:11.255"</f>
        <v>19:16:11.255</v>
      </c>
      <c r="D8911" t="s">
        <v>3434</v>
      </c>
      <c r="E8911">
        <v>30.439896999999998</v>
      </c>
      <c r="F8911" t="s">
        <v>3435</v>
      </c>
      <c r="G8911">
        <v>-89.772977999999995</v>
      </c>
      <c r="H8911">
        <v>1100</v>
      </c>
      <c r="I8911">
        <v>114</v>
      </c>
      <c r="J8911">
        <v>40</v>
      </c>
      <c r="K8911">
        <v>-128</v>
      </c>
      <c r="L8911">
        <v>1200</v>
      </c>
      <c r="M8911" t="str">
        <f t="shared" si="816"/>
        <v xml:space="preserve">N35DC   </v>
      </c>
      <c r="N8911">
        <v>1</v>
      </c>
      <c r="O8911">
        <v>1000</v>
      </c>
    </row>
    <row r="8912" spans="1:15" x14ac:dyDescent="0.25">
      <c r="A8912" t="str">
        <f>"10/21/2020 19:16:03.596"</f>
        <v>10/21/2020 19:16:03.596</v>
      </c>
      <c r="B8912" t="str">
        <f>"19:16:11.555"</f>
        <v>19:16:11.555</v>
      </c>
      <c r="C8912" t="str">
        <f>"19:16:11.255"</f>
        <v>19:16:11.255</v>
      </c>
      <c r="D8912" t="s">
        <v>3434</v>
      </c>
      <c r="E8912">
        <v>30.439896999999998</v>
      </c>
      <c r="F8912" t="s">
        <v>3435</v>
      </c>
      <c r="G8912">
        <v>-89.772977999999995</v>
      </c>
      <c r="H8912">
        <v>1100</v>
      </c>
      <c r="I8912">
        <v>114</v>
      </c>
      <c r="J8912">
        <v>40</v>
      </c>
      <c r="K8912">
        <v>-128</v>
      </c>
      <c r="L8912">
        <v>1200</v>
      </c>
      <c r="M8912" t="str">
        <f t="shared" si="816"/>
        <v xml:space="preserve">N35DC   </v>
      </c>
      <c r="N8912">
        <v>1</v>
      </c>
      <c r="O8912">
        <v>1000</v>
      </c>
    </row>
    <row r="8913" spans="1:15" x14ac:dyDescent="0.25">
      <c r="A8913" t="str">
        <f>"10/21/2020 19:16:03.596"</f>
        <v>10/21/2020 19:16:03.596</v>
      </c>
      <c r="B8913" t="str">
        <f>"19:16:11.555"</f>
        <v>19:16:11.555</v>
      </c>
      <c r="C8913" t="str">
        <f>"19:16:11.255"</f>
        <v>19:16:11.255</v>
      </c>
      <c r="D8913" t="s">
        <v>3434</v>
      </c>
      <c r="E8913">
        <v>30.439896999999998</v>
      </c>
      <c r="F8913" t="s">
        <v>3435</v>
      </c>
      <c r="G8913">
        <v>-89.772977999999995</v>
      </c>
      <c r="H8913">
        <v>1100</v>
      </c>
      <c r="I8913">
        <v>114</v>
      </c>
      <c r="J8913">
        <v>40</v>
      </c>
      <c r="K8913">
        <v>-128</v>
      </c>
      <c r="L8913">
        <v>1200</v>
      </c>
      <c r="M8913" t="str">
        <f t="shared" si="816"/>
        <v xml:space="preserve">N35DC   </v>
      </c>
      <c r="N8913">
        <v>1</v>
      </c>
      <c r="O8913">
        <v>1000</v>
      </c>
    </row>
    <row r="8914" spans="1:15" x14ac:dyDescent="0.25">
      <c r="A8914" t="str">
        <f>"10/21/2020 19:16:06.604"</f>
        <v>10/21/2020 19:16:06.604</v>
      </c>
      <c r="B8914" t="str">
        <f>"19:16:14.570"</f>
        <v>19:16:14.570</v>
      </c>
      <c r="C8914" t="str">
        <f>"19:16:14.370"</f>
        <v>19:16:14.370</v>
      </c>
      <c r="D8914" t="s">
        <v>3436</v>
      </c>
      <c r="E8914">
        <v>30.440453999999999</v>
      </c>
      <c r="F8914" t="s">
        <v>3437</v>
      </c>
      <c r="G8914">
        <v>-89.771068</v>
      </c>
      <c r="H8914">
        <v>1000</v>
      </c>
      <c r="I8914">
        <v>114</v>
      </c>
      <c r="J8914">
        <v>41</v>
      </c>
      <c r="K8914">
        <v>-384</v>
      </c>
      <c r="L8914">
        <v>1200</v>
      </c>
      <c r="M8914" t="str">
        <f t="shared" si="816"/>
        <v xml:space="preserve">N35DC   </v>
      </c>
      <c r="N8914">
        <v>1</v>
      </c>
      <c r="O8914">
        <v>1075</v>
      </c>
    </row>
    <row r="8915" spans="1:15" x14ac:dyDescent="0.25">
      <c r="A8915" t="str">
        <f>"10/21/2020 19:16:06.604"</f>
        <v>10/21/2020 19:16:06.604</v>
      </c>
      <c r="B8915" t="str">
        <f>"19:16:14.570"</f>
        <v>19:16:14.570</v>
      </c>
      <c r="C8915" t="str">
        <f>"19:16:14.370"</f>
        <v>19:16:14.370</v>
      </c>
      <c r="D8915" t="s">
        <v>3436</v>
      </c>
      <c r="E8915">
        <v>30.440453999999999</v>
      </c>
      <c r="F8915" t="s">
        <v>3437</v>
      </c>
      <c r="G8915">
        <v>-89.771068</v>
      </c>
      <c r="H8915">
        <v>1000</v>
      </c>
      <c r="I8915">
        <v>114</v>
      </c>
      <c r="J8915">
        <v>41</v>
      </c>
      <c r="K8915">
        <v>-384</v>
      </c>
      <c r="L8915">
        <v>1200</v>
      </c>
      <c r="M8915" t="str">
        <f t="shared" si="816"/>
        <v xml:space="preserve">N35DC   </v>
      </c>
      <c r="N8915">
        <v>1</v>
      </c>
      <c r="O8915">
        <v>1075</v>
      </c>
    </row>
    <row r="8916" spans="1:15" x14ac:dyDescent="0.25">
      <c r="A8916" t="str">
        <f>"10/21/2020 19:16:06.604"</f>
        <v>10/21/2020 19:16:06.604</v>
      </c>
      <c r="B8916" t="str">
        <f>"19:16:14.570"</f>
        <v>19:16:14.570</v>
      </c>
      <c r="C8916" t="str">
        <f>"19:16:14.370"</f>
        <v>19:16:14.370</v>
      </c>
      <c r="D8916" t="s">
        <v>3436</v>
      </c>
      <c r="E8916">
        <v>30.440453999999999</v>
      </c>
      <c r="F8916" t="s">
        <v>3437</v>
      </c>
      <c r="G8916">
        <v>-89.771068</v>
      </c>
      <c r="H8916">
        <v>1000</v>
      </c>
      <c r="I8916">
        <v>114</v>
      </c>
      <c r="J8916">
        <v>41</v>
      </c>
      <c r="K8916">
        <v>-384</v>
      </c>
      <c r="L8916">
        <v>1200</v>
      </c>
      <c r="M8916" t="str">
        <f t="shared" si="816"/>
        <v xml:space="preserve">N35DC   </v>
      </c>
      <c r="N8916">
        <v>1</v>
      </c>
      <c r="O8916">
        <v>1075</v>
      </c>
    </row>
    <row r="8917" spans="1:15" x14ac:dyDescent="0.25">
      <c r="A8917" t="str">
        <f>"10/21/2020 19:16:06.604"</f>
        <v>10/21/2020 19:16:06.604</v>
      </c>
      <c r="B8917" t="str">
        <f>"19:16:14.570"</f>
        <v>19:16:14.570</v>
      </c>
      <c r="C8917" t="str">
        <f>"19:16:14.370"</f>
        <v>19:16:14.370</v>
      </c>
      <c r="D8917" t="s">
        <v>3436</v>
      </c>
      <c r="E8917">
        <v>30.440453999999999</v>
      </c>
      <c r="F8917" t="s">
        <v>3437</v>
      </c>
      <c r="G8917">
        <v>-89.771068</v>
      </c>
      <c r="H8917">
        <v>1000</v>
      </c>
      <c r="I8917">
        <v>114</v>
      </c>
      <c r="J8917">
        <v>41</v>
      </c>
      <c r="K8917">
        <v>-384</v>
      </c>
      <c r="L8917">
        <v>1200</v>
      </c>
      <c r="M8917" t="str">
        <f t="shared" si="816"/>
        <v xml:space="preserve">N35DC   </v>
      </c>
      <c r="N8917">
        <v>1</v>
      </c>
      <c r="O8917">
        <v>1075</v>
      </c>
    </row>
    <row r="8918" spans="1:15" x14ac:dyDescent="0.25">
      <c r="A8918" t="str">
        <f>"10/21/2020 19:16:06.604"</f>
        <v>10/21/2020 19:16:06.604</v>
      </c>
      <c r="B8918" t="str">
        <f>"19:16:14.570"</f>
        <v>19:16:14.570</v>
      </c>
      <c r="C8918" t="str">
        <f>"19:16:14.370"</f>
        <v>19:16:14.370</v>
      </c>
      <c r="D8918" t="s">
        <v>3436</v>
      </c>
      <c r="E8918">
        <v>30.440453999999999</v>
      </c>
      <c r="F8918" t="s">
        <v>3437</v>
      </c>
      <c r="G8918">
        <v>-89.771068</v>
      </c>
      <c r="H8918">
        <v>1000</v>
      </c>
      <c r="I8918">
        <v>114</v>
      </c>
      <c r="J8918">
        <v>41</v>
      </c>
      <c r="K8918">
        <v>-384</v>
      </c>
      <c r="L8918">
        <v>1200</v>
      </c>
      <c r="M8918" t="str">
        <f t="shared" si="816"/>
        <v xml:space="preserve">N35DC   </v>
      </c>
      <c r="N8918">
        <v>1</v>
      </c>
      <c r="O8918">
        <v>1075</v>
      </c>
    </row>
    <row r="8919" spans="1:15" x14ac:dyDescent="0.25">
      <c r="A8919" t="str">
        <f>"10/21/2020 19:16:09.564"</f>
        <v>10/21/2020 19:16:09.564</v>
      </c>
      <c r="B8919" t="str">
        <f>"19:16:17.523"</f>
        <v>19:16:17.523</v>
      </c>
      <c r="C8919" t="str">
        <f>"19:16:17.223"</f>
        <v>19:16:17.223</v>
      </c>
      <c r="D8919" t="s">
        <v>3438</v>
      </c>
      <c r="E8919">
        <v>30.441012000000001</v>
      </c>
      <c r="F8919" t="s">
        <v>3439</v>
      </c>
      <c r="G8919">
        <v>-89.769287000000006</v>
      </c>
      <c r="H8919">
        <v>1000</v>
      </c>
      <c r="I8919">
        <v>115</v>
      </c>
      <c r="J8919">
        <v>42</v>
      </c>
      <c r="K8919">
        <v>-128</v>
      </c>
      <c r="L8919">
        <v>1200</v>
      </c>
      <c r="M8919" t="str">
        <f t="shared" si="816"/>
        <v xml:space="preserve">N35DC   </v>
      </c>
      <c r="N8919">
        <v>1</v>
      </c>
      <c r="O8919">
        <v>1075</v>
      </c>
    </row>
    <row r="8920" spans="1:15" x14ac:dyDescent="0.25">
      <c r="A8920" t="str">
        <f>"10/21/2020 19:16:09.564"</f>
        <v>10/21/2020 19:16:09.564</v>
      </c>
      <c r="B8920" t="str">
        <f>"19:16:17.523"</f>
        <v>19:16:17.523</v>
      </c>
      <c r="C8920" t="str">
        <f>"19:16:17.223"</f>
        <v>19:16:17.223</v>
      </c>
      <c r="D8920" t="s">
        <v>3438</v>
      </c>
      <c r="E8920">
        <v>30.441012000000001</v>
      </c>
      <c r="F8920" t="s">
        <v>3439</v>
      </c>
      <c r="G8920">
        <v>-89.769287000000006</v>
      </c>
      <c r="H8920">
        <v>1000</v>
      </c>
      <c r="I8920">
        <v>115</v>
      </c>
      <c r="J8920">
        <v>42</v>
      </c>
      <c r="K8920">
        <v>-128</v>
      </c>
      <c r="L8920">
        <v>1200</v>
      </c>
      <c r="M8920" t="str">
        <f t="shared" si="816"/>
        <v xml:space="preserve">N35DC   </v>
      </c>
      <c r="N8920">
        <v>1</v>
      </c>
      <c r="O8920">
        <v>1075</v>
      </c>
    </row>
    <row r="8921" spans="1:15" x14ac:dyDescent="0.25">
      <c r="A8921" t="str">
        <f>"10/21/2020 19:16:09.564"</f>
        <v>10/21/2020 19:16:09.564</v>
      </c>
      <c r="B8921" t="str">
        <f>"19:16:17.523"</f>
        <v>19:16:17.523</v>
      </c>
      <c r="C8921" t="str">
        <f>"19:16:17.223"</f>
        <v>19:16:17.223</v>
      </c>
      <c r="D8921" t="s">
        <v>3438</v>
      </c>
      <c r="E8921">
        <v>30.441012000000001</v>
      </c>
      <c r="F8921" t="s">
        <v>3439</v>
      </c>
      <c r="G8921">
        <v>-89.769287000000006</v>
      </c>
      <c r="H8921">
        <v>1000</v>
      </c>
      <c r="I8921">
        <v>115</v>
      </c>
      <c r="J8921">
        <v>42</v>
      </c>
      <c r="K8921">
        <v>-128</v>
      </c>
      <c r="L8921">
        <v>1200</v>
      </c>
      <c r="M8921" t="str">
        <f t="shared" si="816"/>
        <v xml:space="preserve">N35DC   </v>
      </c>
      <c r="N8921">
        <v>1</v>
      </c>
      <c r="O8921">
        <v>1075</v>
      </c>
    </row>
    <row r="8922" spans="1:15" x14ac:dyDescent="0.25">
      <c r="A8922" t="str">
        <f>"10/21/2020 19:16:09.564"</f>
        <v>10/21/2020 19:16:09.564</v>
      </c>
      <c r="B8922" t="str">
        <f>"19:16:17.523"</f>
        <v>19:16:17.523</v>
      </c>
      <c r="C8922" t="str">
        <f>"19:16:17.223"</f>
        <v>19:16:17.223</v>
      </c>
      <c r="D8922" t="s">
        <v>3438</v>
      </c>
      <c r="E8922">
        <v>30.441012000000001</v>
      </c>
      <c r="F8922" t="s">
        <v>3439</v>
      </c>
      <c r="G8922">
        <v>-89.769287000000006</v>
      </c>
      <c r="H8922">
        <v>1000</v>
      </c>
      <c r="I8922">
        <v>115</v>
      </c>
      <c r="J8922">
        <v>42</v>
      </c>
      <c r="K8922">
        <v>-128</v>
      </c>
      <c r="L8922">
        <v>1200</v>
      </c>
      <c r="M8922" t="str">
        <f t="shared" si="816"/>
        <v xml:space="preserve">N35DC   </v>
      </c>
      <c r="N8922">
        <v>1</v>
      </c>
      <c r="O8922">
        <v>1075</v>
      </c>
    </row>
    <row r="8923" spans="1:15" x14ac:dyDescent="0.25">
      <c r="A8923" t="str">
        <f>"10/21/2020 19:16:09.564"</f>
        <v>10/21/2020 19:16:09.564</v>
      </c>
      <c r="B8923" t="str">
        <f>"19:16:17.523"</f>
        <v>19:16:17.523</v>
      </c>
      <c r="C8923" t="str">
        <f>"19:16:17.223"</f>
        <v>19:16:17.223</v>
      </c>
      <c r="D8923" t="s">
        <v>3438</v>
      </c>
      <c r="E8923">
        <v>30.441012000000001</v>
      </c>
      <c r="F8923" t="s">
        <v>3439</v>
      </c>
      <c r="G8923">
        <v>-89.769287000000006</v>
      </c>
      <c r="H8923">
        <v>1000</v>
      </c>
      <c r="I8923">
        <v>115</v>
      </c>
      <c r="J8923">
        <v>42</v>
      </c>
      <c r="K8923">
        <v>-128</v>
      </c>
      <c r="L8923">
        <v>1200</v>
      </c>
      <c r="M8923" t="str">
        <f t="shared" si="816"/>
        <v xml:space="preserve">N35DC   </v>
      </c>
      <c r="N8923">
        <v>1</v>
      </c>
      <c r="O8923">
        <v>1075</v>
      </c>
    </row>
    <row r="8924" spans="1:15" x14ac:dyDescent="0.25">
      <c r="A8924" t="str">
        <f>"10/21/2020 19:16:12.594"</f>
        <v>10/21/2020 19:16:12.594</v>
      </c>
      <c r="B8924" t="str">
        <f>"19:16:20.555"</f>
        <v>19:16:20.555</v>
      </c>
      <c r="C8924" t="str">
        <f>"19:16:20.255"</f>
        <v>19:16:20.255</v>
      </c>
      <c r="D8924" t="s">
        <v>3440</v>
      </c>
      <c r="E8924">
        <v>30.441548999999998</v>
      </c>
      <c r="F8924" t="s">
        <v>2660</v>
      </c>
      <c r="G8924">
        <v>-89.767398999999997</v>
      </c>
      <c r="H8924">
        <v>1000</v>
      </c>
      <c r="I8924">
        <v>117</v>
      </c>
      <c r="J8924">
        <v>36</v>
      </c>
      <c r="K8924">
        <v>-320</v>
      </c>
      <c r="L8924">
        <v>1200</v>
      </c>
      <c r="M8924" t="str">
        <f t="shared" si="816"/>
        <v xml:space="preserve">N35DC   </v>
      </c>
      <c r="N8924">
        <v>1</v>
      </c>
      <c r="O8924">
        <v>1075</v>
      </c>
    </row>
    <row r="8925" spans="1:15" x14ac:dyDescent="0.25">
      <c r="A8925" t="str">
        <f>"10/21/2020 19:16:12.594"</f>
        <v>10/21/2020 19:16:12.594</v>
      </c>
      <c r="B8925" t="str">
        <f>"19:16:20.555"</f>
        <v>19:16:20.555</v>
      </c>
      <c r="C8925" t="str">
        <f>"19:16:20.255"</f>
        <v>19:16:20.255</v>
      </c>
      <c r="D8925" t="s">
        <v>3440</v>
      </c>
      <c r="E8925">
        <v>30.441548999999998</v>
      </c>
      <c r="F8925" t="s">
        <v>2660</v>
      </c>
      <c r="G8925">
        <v>-89.767398999999997</v>
      </c>
      <c r="H8925">
        <v>1000</v>
      </c>
      <c r="I8925">
        <v>117</v>
      </c>
      <c r="J8925">
        <v>36</v>
      </c>
      <c r="K8925">
        <v>-320</v>
      </c>
      <c r="L8925">
        <v>1200</v>
      </c>
      <c r="M8925" t="str">
        <f t="shared" si="816"/>
        <v xml:space="preserve">N35DC   </v>
      </c>
      <c r="N8925">
        <v>1</v>
      </c>
      <c r="O8925">
        <v>1075</v>
      </c>
    </row>
    <row r="8926" spans="1:15" x14ac:dyDescent="0.25">
      <c r="A8926" t="str">
        <f>"10/21/2020 19:16:12.594"</f>
        <v>10/21/2020 19:16:12.594</v>
      </c>
      <c r="B8926" t="str">
        <f>"19:16:20.555"</f>
        <v>19:16:20.555</v>
      </c>
      <c r="C8926" t="str">
        <f>"19:16:20.255"</f>
        <v>19:16:20.255</v>
      </c>
      <c r="D8926" t="s">
        <v>3440</v>
      </c>
      <c r="E8926">
        <v>30.441548999999998</v>
      </c>
      <c r="F8926" t="s">
        <v>2660</v>
      </c>
      <c r="G8926">
        <v>-89.767398999999997</v>
      </c>
      <c r="H8926">
        <v>1000</v>
      </c>
      <c r="I8926">
        <v>117</v>
      </c>
      <c r="J8926">
        <v>36</v>
      </c>
      <c r="K8926">
        <v>-320</v>
      </c>
      <c r="L8926">
        <v>1200</v>
      </c>
      <c r="M8926" t="str">
        <f t="shared" si="816"/>
        <v xml:space="preserve">N35DC   </v>
      </c>
      <c r="N8926">
        <v>1</v>
      </c>
      <c r="O8926">
        <v>1075</v>
      </c>
    </row>
    <row r="8927" spans="1:15" x14ac:dyDescent="0.25">
      <c r="A8927" t="str">
        <f>"10/21/2020 19:16:12.594"</f>
        <v>10/21/2020 19:16:12.594</v>
      </c>
      <c r="B8927" t="str">
        <f>"19:16:20.555"</f>
        <v>19:16:20.555</v>
      </c>
      <c r="C8927" t="str">
        <f>"19:16:20.255"</f>
        <v>19:16:20.255</v>
      </c>
      <c r="D8927" t="s">
        <v>3440</v>
      </c>
      <c r="E8927">
        <v>30.441548999999998</v>
      </c>
      <c r="F8927" t="s">
        <v>2660</v>
      </c>
      <c r="G8927">
        <v>-89.767398999999997</v>
      </c>
      <c r="H8927">
        <v>1000</v>
      </c>
      <c r="I8927">
        <v>117</v>
      </c>
      <c r="J8927">
        <v>36</v>
      </c>
      <c r="K8927">
        <v>-320</v>
      </c>
      <c r="L8927">
        <v>1200</v>
      </c>
      <c r="M8927" t="str">
        <f t="shared" si="816"/>
        <v xml:space="preserve">N35DC   </v>
      </c>
      <c r="N8927">
        <v>1</v>
      </c>
      <c r="O8927">
        <v>1075</v>
      </c>
    </row>
    <row r="8928" spans="1:15" x14ac:dyDescent="0.25">
      <c r="A8928" t="str">
        <f>"10/21/2020 19:16:12.594"</f>
        <v>10/21/2020 19:16:12.594</v>
      </c>
      <c r="B8928" t="str">
        <f>"19:16:20.555"</f>
        <v>19:16:20.555</v>
      </c>
      <c r="C8928" t="str">
        <f>"19:16:20.255"</f>
        <v>19:16:20.255</v>
      </c>
      <c r="D8928" t="s">
        <v>3440</v>
      </c>
      <c r="E8928">
        <v>30.441548999999998</v>
      </c>
      <c r="F8928" t="s">
        <v>2660</v>
      </c>
      <c r="G8928">
        <v>-89.767398999999997</v>
      </c>
      <c r="H8928">
        <v>1000</v>
      </c>
      <c r="I8928">
        <v>117</v>
      </c>
      <c r="J8928">
        <v>36</v>
      </c>
      <c r="K8928">
        <v>-320</v>
      </c>
      <c r="L8928">
        <v>1200</v>
      </c>
      <c r="M8928" t="str">
        <f t="shared" si="816"/>
        <v xml:space="preserve">N35DC   </v>
      </c>
      <c r="N8928">
        <v>1</v>
      </c>
      <c r="O8928">
        <v>1075</v>
      </c>
    </row>
    <row r="8929" spans="1:15" x14ac:dyDescent="0.25">
      <c r="A8929" t="str">
        <f>"10/21/2020 19:16:13.517"</f>
        <v>10/21/2020 19:16:13.517</v>
      </c>
      <c r="B8929" t="str">
        <f>"19:16:21.484"</f>
        <v>19:16:21.484</v>
      </c>
      <c r="C8929" t="str">
        <f>"19:16:21.084"</f>
        <v>19:16:21.084</v>
      </c>
      <c r="D8929" t="s">
        <v>3441</v>
      </c>
      <c r="E8929">
        <v>30.44172</v>
      </c>
      <c r="F8929" t="s">
        <v>3442</v>
      </c>
      <c r="G8929">
        <v>-89.766818999999998</v>
      </c>
      <c r="H8929">
        <v>1000</v>
      </c>
      <c r="I8929">
        <v>119</v>
      </c>
      <c r="J8929">
        <v>34</v>
      </c>
      <c r="K8929">
        <v>-448</v>
      </c>
      <c r="L8929">
        <v>1200</v>
      </c>
      <c r="M8929" t="str">
        <f t="shared" si="816"/>
        <v xml:space="preserve">N35DC   </v>
      </c>
      <c r="N8929">
        <v>1</v>
      </c>
      <c r="O8929">
        <v>1050</v>
      </c>
    </row>
    <row r="8930" spans="1:15" x14ac:dyDescent="0.25">
      <c r="A8930" t="str">
        <f>"10/21/2020 19:16:13.517"</f>
        <v>10/21/2020 19:16:13.517</v>
      </c>
      <c r="B8930" t="str">
        <f>"19:16:21.484"</f>
        <v>19:16:21.484</v>
      </c>
      <c r="C8930" t="str">
        <f>"19:16:21.084"</f>
        <v>19:16:21.084</v>
      </c>
      <c r="D8930" t="s">
        <v>3441</v>
      </c>
      <c r="E8930">
        <v>30.44172</v>
      </c>
      <c r="F8930" t="s">
        <v>3442</v>
      </c>
      <c r="G8930">
        <v>-89.766818999999998</v>
      </c>
      <c r="H8930">
        <v>1000</v>
      </c>
      <c r="I8930">
        <v>119</v>
      </c>
      <c r="J8930">
        <v>34</v>
      </c>
      <c r="K8930">
        <v>-448</v>
      </c>
      <c r="L8930">
        <v>1200</v>
      </c>
      <c r="M8930" t="str">
        <f t="shared" si="816"/>
        <v xml:space="preserve">N35DC   </v>
      </c>
      <c r="N8930">
        <v>1</v>
      </c>
      <c r="O8930">
        <v>1050</v>
      </c>
    </row>
    <row r="8931" spans="1:15" x14ac:dyDescent="0.25">
      <c r="A8931" t="str">
        <f>"10/21/2020 19:16:13.517"</f>
        <v>10/21/2020 19:16:13.517</v>
      </c>
      <c r="B8931" t="str">
        <f>"19:16:21.484"</f>
        <v>19:16:21.484</v>
      </c>
      <c r="C8931" t="str">
        <f>"19:16:21.084"</f>
        <v>19:16:21.084</v>
      </c>
      <c r="D8931" t="s">
        <v>3441</v>
      </c>
      <c r="E8931">
        <v>30.44172</v>
      </c>
      <c r="F8931" t="s">
        <v>3442</v>
      </c>
      <c r="G8931">
        <v>-89.766818999999998</v>
      </c>
      <c r="H8931">
        <v>1000</v>
      </c>
      <c r="I8931">
        <v>119</v>
      </c>
      <c r="J8931">
        <v>34</v>
      </c>
      <c r="K8931">
        <v>-448</v>
      </c>
      <c r="L8931">
        <v>1200</v>
      </c>
      <c r="M8931" t="str">
        <f t="shared" si="816"/>
        <v xml:space="preserve">N35DC   </v>
      </c>
      <c r="N8931">
        <v>1</v>
      </c>
      <c r="O8931">
        <v>1050</v>
      </c>
    </row>
    <row r="8932" spans="1:15" x14ac:dyDescent="0.25">
      <c r="A8932" t="str">
        <f>"10/21/2020 19:16:13.517"</f>
        <v>10/21/2020 19:16:13.517</v>
      </c>
      <c r="B8932" t="str">
        <f>"19:16:21.484"</f>
        <v>19:16:21.484</v>
      </c>
      <c r="C8932" t="str">
        <f>"19:16:21.084"</f>
        <v>19:16:21.084</v>
      </c>
      <c r="D8932" t="s">
        <v>3441</v>
      </c>
      <c r="E8932">
        <v>30.44172</v>
      </c>
      <c r="F8932" t="s">
        <v>3442</v>
      </c>
      <c r="G8932">
        <v>-89.766818999999998</v>
      </c>
      <c r="H8932">
        <v>1000</v>
      </c>
      <c r="I8932">
        <v>119</v>
      </c>
      <c r="J8932">
        <v>34</v>
      </c>
      <c r="K8932">
        <v>-448</v>
      </c>
      <c r="L8932">
        <v>1200</v>
      </c>
      <c r="M8932" t="str">
        <f t="shared" si="816"/>
        <v xml:space="preserve">N35DC   </v>
      </c>
      <c r="N8932">
        <v>1</v>
      </c>
      <c r="O8932">
        <v>1050</v>
      </c>
    </row>
    <row r="8933" spans="1:15" x14ac:dyDescent="0.25">
      <c r="A8933" t="str">
        <f>"10/21/2020 19:16:13.517"</f>
        <v>10/21/2020 19:16:13.517</v>
      </c>
      <c r="B8933" t="str">
        <f>"19:16:21.484"</f>
        <v>19:16:21.484</v>
      </c>
      <c r="C8933" t="str">
        <f>"19:16:21.084"</f>
        <v>19:16:21.084</v>
      </c>
      <c r="D8933" t="s">
        <v>3441</v>
      </c>
      <c r="E8933">
        <v>30.44172</v>
      </c>
      <c r="F8933" t="s">
        <v>3442</v>
      </c>
      <c r="G8933">
        <v>-89.766818999999998</v>
      </c>
      <c r="H8933">
        <v>1000</v>
      </c>
      <c r="I8933">
        <v>119</v>
      </c>
      <c r="J8933">
        <v>34</v>
      </c>
      <c r="K8933">
        <v>-448</v>
      </c>
      <c r="L8933">
        <v>1200</v>
      </c>
      <c r="M8933" t="str">
        <f t="shared" si="816"/>
        <v xml:space="preserve">N35DC   </v>
      </c>
      <c r="N8933">
        <v>1</v>
      </c>
      <c r="O8933">
        <v>1050</v>
      </c>
    </row>
    <row r="8934" spans="1:15" x14ac:dyDescent="0.25">
      <c r="A8934" t="str">
        <f>"10/21/2020 19:16:16.705"</f>
        <v>10/21/2020 19:16:16.705</v>
      </c>
      <c r="B8934" t="str">
        <f>"19:16:24.648"</f>
        <v>19:16:24.648</v>
      </c>
      <c r="C8934" t="str">
        <f>"19:16:24.248"</f>
        <v>19:16:24.248</v>
      </c>
      <c r="D8934" t="s">
        <v>3443</v>
      </c>
      <c r="E8934">
        <v>30.442084999999999</v>
      </c>
      <c r="F8934" t="s">
        <v>3444</v>
      </c>
      <c r="G8934">
        <v>-89.764737999999994</v>
      </c>
      <c r="H8934">
        <v>1000</v>
      </c>
      <c r="I8934">
        <v>124</v>
      </c>
      <c r="J8934">
        <v>22</v>
      </c>
      <c r="K8934">
        <v>-448</v>
      </c>
      <c r="L8934">
        <v>1200</v>
      </c>
      <c r="M8934" t="str">
        <f t="shared" si="816"/>
        <v xml:space="preserve">N35DC   </v>
      </c>
      <c r="N8934">
        <v>1</v>
      </c>
      <c r="O8934">
        <v>1025</v>
      </c>
    </row>
    <row r="8935" spans="1:15" x14ac:dyDescent="0.25">
      <c r="A8935" t="str">
        <f>"10/21/2020 19:16:16.705"</f>
        <v>10/21/2020 19:16:16.705</v>
      </c>
      <c r="B8935" t="str">
        <f>"19:16:24.648"</f>
        <v>19:16:24.648</v>
      </c>
      <c r="C8935" t="str">
        <f>"19:16:24.248"</f>
        <v>19:16:24.248</v>
      </c>
      <c r="D8935" t="s">
        <v>3443</v>
      </c>
      <c r="E8935">
        <v>30.442084999999999</v>
      </c>
      <c r="F8935" t="s">
        <v>3444</v>
      </c>
      <c r="G8935">
        <v>-89.764737999999994</v>
      </c>
      <c r="H8935">
        <v>1000</v>
      </c>
      <c r="I8935">
        <v>124</v>
      </c>
      <c r="J8935">
        <v>22</v>
      </c>
      <c r="K8935">
        <v>-448</v>
      </c>
      <c r="L8935">
        <v>1200</v>
      </c>
      <c r="M8935" t="str">
        <f t="shared" si="816"/>
        <v xml:space="preserve">N35DC   </v>
      </c>
      <c r="N8935">
        <v>1</v>
      </c>
      <c r="O8935">
        <v>1025</v>
      </c>
    </row>
    <row r="8936" spans="1:15" x14ac:dyDescent="0.25">
      <c r="A8936" t="str">
        <f>"10/21/2020 19:16:16.705"</f>
        <v>10/21/2020 19:16:16.705</v>
      </c>
      <c r="B8936" t="str">
        <f>"19:16:24.648"</f>
        <v>19:16:24.648</v>
      </c>
      <c r="C8936" t="str">
        <f>"19:16:24.248"</f>
        <v>19:16:24.248</v>
      </c>
      <c r="D8936" t="s">
        <v>3443</v>
      </c>
      <c r="E8936">
        <v>30.442084999999999</v>
      </c>
      <c r="F8936" t="s">
        <v>3444</v>
      </c>
      <c r="G8936">
        <v>-89.764737999999994</v>
      </c>
      <c r="H8936">
        <v>1000</v>
      </c>
      <c r="I8936">
        <v>124</v>
      </c>
      <c r="J8936">
        <v>22</v>
      </c>
      <c r="K8936">
        <v>-448</v>
      </c>
      <c r="L8936">
        <v>1200</v>
      </c>
      <c r="M8936" t="str">
        <f t="shared" si="816"/>
        <v xml:space="preserve">N35DC   </v>
      </c>
      <c r="N8936">
        <v>1</v>
      </c>
      <c r="O8936">
        <v>1025</v>
      </c>
    </row>
    <row r="8937" spans="1:15" x14ac:dyDescent="0.25">
      <c r="A8937" t="str">
        <f>"10/21/2020 19:16:16.705"</f>
        <v>10/21/2020 19:16:16.705</v>
      </c>
      <c r="B8937" t="str">
        <f>"19:16:24.648"</f>
        <v>19:16:24.648</v>
      </c>
      <c r="C8937" t="str">
        <f>"19:16:24.248"</f>
        <v>19:16:24.248</v>
      </c>
      <c r="D8937" t="s">
        <v>3443</v>
      </c>
      <c r="E8937">
        <v>30.442084999999999</v>
      </c>
      <c r="F8937" t="s">
        <v>3444</v>
      </c>
      <c r="G8937">
        <v>-89.764737999999994</v>
      </c>
      <c r="H8937">
        <v>1000</v>
      </c>
      <c r="I8937">
        <v>124</v>
      </c>
      <c r="J8937">
        <v>22</v>
      </c>
      <c r="K8937">
        <v>-448</v>
      </c>
      <c r="L8937">
        <v>1200</v>
      </c>
      <c r="M8937" t="str">
        <f t="shared" si="816"/>
        <v xml:space="preserve">N35DC   </v>
      </c>
      <c r="N8937">
        <v>1</v>
      </c>
      <c r="O8937">
        <v>1025</v>
      </c>
    </row>
    <row r="8938" spans="1:15" x14ac:dyDescent="0.25">
      <c r="A8938" t="str">
        <f>"10/21/2020 19:16:16.705"</f>
        <v>10/21/2020 19:16:16.705</v>
      </c>
      <c r="B8938" t="str">
        <f>"19:16:24.648"</f>
        <v>19:16:24.648</v>
      </c>
      <c r="C8938" t="str">
        <f>"19:16:24.248"</f>
        <v>19:16:24.248</v>
      </c>
      <c r="D8938" t="s">
        <v>3443</v>
      </c>
      <c r="E8938">
        <v>30.442084999999999</v>
      </c>
      <c r="F8938" t="s">
        <v>3444</v>
      </c>
      <c r="G8938">
        <v>-89.764737999999994</v>
      </c>
      <c r="H8938">
        <v>1000</v>
      </c>
      <c r="I8938">
        <v>124</v>
      </c>
      <c r="J8938">
        <v>22</v>
      </c>
      <c r="K8938">
        <v>-448</v>
      </c>
      <c r="L8938">
        <v>1200</v>
      </c>
      <c r="M8938" t="str">
        <f t="shared" si="816"/>
        <v xml:space="preserve">N35DC   </v>
      </c>
      <c r="N8938">
        <v>1</v>
      </c>
      <c r="O8938">
        <v>1025</v>
      </c>
    </row>
    <row r="8939" spans="1:15" x14ac:dyDescent="0.25">
      <c r="A8939" t="str">
        <f>"10/21/2020 19:16:19.684"</f>
        <v>10/21/2020 19:16:19.684</v>
      </c>
      <c r="B8939" t="str">
        <f>"19:16:27.648"</f>
        <v>19:16:27.648</v>
      </c>
      <c r="C8939" t="str">
        <f>"19:16:27.348"</f>
        <v>19:16:27.348</v>
      </c>
      <c r="D8939" t="s">
        <v>3445</v>
      </c>
      <c r="E8939">
        <v>30.442235</v>
      </c>
      <c r="F8939" t="s">
        <v>2484</v>
      </c>
      <c r="G8939">
        <v>-89.762720999999999</v>
      </c>
      <c r="H8939">
        <v>1000</v>
      </c>
      <c r="I8939">
        <v>127</v>
      </c>
      <c r="J8939">
        <v>8</v>
      </c>
      <c r="K8939">
        <v>-128</v>
      </c>
      <c r="L8939">
        <v>1200</v>
      </c>
      <c r="M8939" t="str">
        <f t="shared" si="816"/>
        <v xml:space="preserve">N35DC   </v>
      </c>
      <c r="N8939">
        <v>1</v>
      </c>
      <c r="O8939">
        <v>1025</v>
      </c>
    </row>
    <row r="8940" spans="1:15" x14ac:dyDescent="0.25">
      <c r="A8940" t="str">
        <f>"10/21/2020 19:16:19.684"</f>
        <v>10/21/2020 19:16:19.684</v>
      </c>
      <c r="B8940" t="str">
        <f>"19:16:27.648"</f>
        <v>19:16:27.648</v>
      </c>
      <c r="C8940" t="str">
        <f>"19:16:27.348"</f>
        <v>19:16:27.348</v>
      </c>
      <c r="D8940" t="s">
        <v>3445</v>
      </c>
      <c r="E8940">
        <v>30.442235</v>
      </c>
      <c r="F8940" t="s">
        <v>2484</v>
      </c>
      <c r="G8940">
        <v>-89.762720999999999</v>
      </c>
      <c r="H8940">
        <v>1000</v>
      </c>
      <c r="I8940">
        <v>127</v>
      </c>
      <c r="J8940">
        <v>8</v>
      </c>
      <c r="K8940">
        <v>-128</v>
      </c>
      <c r="L8940">
        <v>1200</v>
      </c>
      <c r="M8940" t="str">
        <f t="shared" si="816"/>
        <v xml:space="preserve">N35DC   </v>
      </c>
      <c r="N8940">
        <v>1</v>
      </c>
      <c r="O8940">
        <v>1025</v>
      </c>
    </row>
    <row r="8941" spans="1:15" x14ac:dyDescent="0.25">
      <c r="A8941" t="str">
        <f>"10/21/2020 19:16:19.684"</f>
        <v>10/21/2020 19:16:19.684</v>
      </c>
      <c r="B8941" t="str">
        <f>"19:16:27.648"</f>
        <v>19:16:27.648</v>
      </c>
      <c r="C8941" t="str">
        <f>"19:16:27.348"</f>
        <v>19:16:27.348</v>
      </c>
      <c r="D8941" t="s">
        <v>3445</v>
      </c>
      <c r="E8941">
        <v>30.442235</v>
      </c>
      <c r="F8941" t="s">
        <v>2484</v>
      </c>
      <c r="G8941">
        <v>-89.762720999999999</v>
      </c>
      <c r="H8941">
        <v>1000</v>
      </c>
      <c r="I8941">
        <v>127</v>
      </c>
      <c r="J8941">
        <v>8</v>
      </c>
      <c r="K8941">
        <v>-128</v>
      </c>
      <c r="L8941">
        <v>1200</v>
      </c>
      <c r="M8941" t="str">
        <f t="shared" si="816"/>
        <v xml:space="preserve">N35DC   </v>
      </c>
      <c r="N8941">
        <v>1</v>
      </c>
      <c r="O8941">
        <v>1025</v>
      </c>
    </row>
    <row r="8942" spans="1:15" x14ac:dyDescent="0.25">
      <c r="A8942" t="str">
        <f>"10/21/2020 19:16:19.684"</f>
        <v>10/21/2020 19:16:19.684</v>
      </c>
      <c r="B8942" t="str">
        <f>"19:16:27.648"</f>
        <v>19:16:27.648</v>
      </c>
      <c r="C8942" t="str">
        <f>"19:16:27.348"</f>
        <v>19:16:27.348</v>
      </c>
      <c r="D8942" t="s">
        <v>3445</v>
      </c>
      <c r="E8942">
        <v>30.442235</v>
      </c>
      <c r="F8942" t="s">
        <v>2484</v>
      </c>
      <c r="G8942">
        <v>-89.762720999999999</v>
      </c>
      <c r="H8942">
        <v>1000</v>
      </c>
      <c r="I8942">
        <v>127</v>
      </c>
      <c r="J8942">
        <v>8</v>
      </c>
      <c r="K8942">
        <v>-128</v>
      </c>
      <c r="L8942">
        <v>1200</v>
      </c>
      <c r="M8942" t="str">
        <f t="shared" si="816"/>
        <v xml:space="preserve">N35DC   </v>
      </c>
      <c r="N8942">
        <v>1</v>
      </c>
      <c r="O8942">
        <v>1025</v>
      </c>
    </row>
    <row r="8943" spans="1:15" x14ac:dyDescent="0.25">
      <c r="A8943" t="str">
        <f>"10/21/2020 19:16:19.684"</f>
        <v>10/21/2020 19:16:19.684</v>
      </c>
      <c r="B8943" t="str">
        <f>"19:16:27.648"</f>
        <v>19:16:27.648</v>
      </c>
      <c r="C8943" t="str">
        <f>"19:16:27.348"</f>
        <v>19:16:27.348</v>
      </c>
      <c r="D8943" t="s">
        <v>3445</v>
      </c>
      <c r="E8943">
        <v>30.442235</v>
      </c>
      <c r="F8943" t="s">
        <v>2484</v>
      </c>
      <c r="G8943">
        <v>-89.762720999999999</v>
      </c>
      <c r="H8943">
        <v>1000</v>
      </c>
      <c r="I8943">
        <v>127</v>
      </c>
      <c r="J8943">
        <v>8</v>
      </c>
      <c r="K8943">
        <v>-128</v>
      </c>
      <c r="L8943">
        <v>1200</v>
      </c>
      <c r="M8943" t="str">
        <f t="shared" si="816"/>
        <v xml:space="preserve">N35DC   </v>
      </c>
      <c r="N8943">
        <v>1</v>
      </c>
      <c r="O8943">
        <v>1025</v>
      </c>
    </row>
    <row r="8944" spans="1:15" x14ac:dyDescent="0.25">
      <c r="A8944" t="str">
        <f>"10/21/2020 19:16:20.507"</f>
        <v>10/21/2020 19:16:20.507</v>
      </c>
      <c r="B8944" t="str">
        <f>"19:16:28.469"</f>
        <v>19:16:28.469</v>
      </c>
      <c r="C8944" t="str">
        <f>"19:16:28.269"</f>
        <v>19:16:28.269</v>
      </c>
      <c r="D8944" t="s">
        <v>3446</v>
      </c>
      <c r="E8944">
        <v>30.442299999999999</v>
      </c>
      <c r="F8944" t="s">
        <v>3447</v>
      </c>
      <c r="G8944">
        <v>-89.762119999999996</v>
      </c>
      <c r="H8944">
        <v>1000</v>
      </c>
      <c r="I8944">
        <v>127</v>
      </c>
      <c r="J8944">
        <v>3</v>
      </c>
      <c r="K8944">
        <v>0</v>
      </c>
      <c r="L8944">
        <v>1200</v>
      </c>
      <c r="M8944" t="str">
        <f t="shared" si="816"/>
        <v xml:space="preserve">N35DC   </v>
      </c>
      <c r="N8944">
        <v>1</v>
      </c>
      <c r="O8944">
        <v>1025</v>
      </c>
    </row>
    <row r="8945" spans="1:15" x14ac:dyDescent="0.25">
      <c r="A8945" t="str">
        <f>"10/21/2020 19:16:20.507"</f>
        <v>10/21/2020 19:16:20.507</v>
      </c>
      <c r="B8945" t="str">
        <f>"19:16:28.469"</f>
        <v>19:16:28.469</v>
      </c>
      <c r="C8945" t="str">
        <f>"19:16:28.269"</f>
        <v>19:16:28.269</v>
      </c>
      <c r="D8945" t="s">
        <v>3446</v>
      </c>
      <c r="E8945">
        <v>30.442299999999999</v>
      </c>
      <c r="F8945" t="s">
        <v>3447</v>
      </c>
      <c r="G8945">
        <v>-89.762119999999996</v>
      </c>
      <c r="H8945">
        <v>1000</v>
      </c>
      <c r="I8945">
        <v>127</v>
      </c>
      <c r="J8945">
        <v>3</v>
      </c>
      <c r="K8945">
        <v>0</v>
      </c>
      <c r="L8945">
        <v>1200</v>
      </c>
      <c r="M8945" t="str">
        <f t="shared" si="816"/>
        <v xml:space="preserve">N35DC   </v>
      </c>
      <c r="N8945">
        <v>1</v>
      </c>
      <c r="O8945">
        <v>1025</v>
      </c>
    </row>
    <row r="8946" spans="1:15" x14ac:dyDescent="0.25">
      <c r="A8946" t="str">
        <f>"10/21/2020 19:16:20.507"</f>
        <v>10/21/2020 19:16:20.507</v>
      </c>
      <c r="B8946" t="str">
        <f>"19:16:28.469"</f>
        <v>19:16:28.469</v>
      </c>
      <c r="C8946" t="str">
        <f>"19:16:28.269"</f>
        <v>19:16:28.269</v>
      </c>
      <c r="D8946" t="s">
        <v>3446</v>
      </c>
      <c r="E8946">
        <v>30.442299999999999</v>
      </c>
      <c r="F8946" t="s">
        <v>3447</v>
      </c>
      <c r="G8946">
        <v>-89.762119999999996</v>
      </c>
      <c r="H8946">
        <v>1000</v>
      </c>
      <c r="I8946">
        <v>127</v>
      </c>
      <c r="J8946">
        <v>3</v>
      </c>
      <c r="K8946">
        <v>0</v>
      </c>
      <c r="L8946">
        <v>1200</v>
      </c>
      <c r="M8946" t="str">
        <f t="shared" si="816"/>
        <v xml:space="preserve">N35DC   </v>
      </c>
      <c r="N8946">
        <v>1</v>
      </c>
      <c r="O8946">
        <v>1025</v>
      </c>
    </row>
    <row r="8947" spans="1:15" x14ac:dyDescent="0.25">
      <c r="A8947" t="str">
        <f>"10/21/2020 19:16:20.507"</f>
        <v>10/21/2020 19:16:20.507</v>
      </c>
      <c r="B8947" t="str">
        <f>"19:16:28.469"</f>
        <v>19:16:28.469</v>
      </c>
      <c r="C8947" t="str">
        <f>"19:16:28.269"</f>
        <v>19:16:28.269</v>
      </c>
      <c r="D8947" t="s">
        <v>3446</v>
      </c>
      <c r="E8947">
        <v>30.442299999999999</v>
      </c>
      <c r="F8947" t="s">
        <v>3447</v>
      </c>
      <c r="G8947">
        <v>-89.762119999999996</v>
      </c>
      <c r="H8947">
        <v>1000</v>
      </c>
      <c r="I8947">
        <v>127</v>
      </c>
      <c r="J8947">
        <v>3</v>
      </c>
      <c r="K8947">
        <v>0</v>
      </c>
      <c r="L8947">
        <v>1200</v>
      </c>
      <c r="M8947" t="str">
        <f t="shared" si="816"/>
        <v xml:space="preserve">N35DC   </v>
      </c>
      <c r="N8947">
        <v>1</v>
      </c>
      <c r="O8947">
        <v>1025</v>
      </c>
    </row>
    <row r="8948" spans="1:15" x14ac:dyDescent="0.25">
      <c r="A8948" t="str">
        <f>"10/21/2020 19:16:20.507"</f>
        <v>10/21/2020 19:16:20.507</v>
      </c>
      <c r="B8948" t="str">
        <f>"19:16:28.469"</f>
        <v>19:16:28.469</v>
      </c>
      <c r="C8948" t="str">
        <f>"19:16:28.269"</f>
        <v>19:16:28.269</v>
      </c>
      <c r="D8948" t="s">
        <v>3446</v>
      </c>
      <c r="E8948">
        <v>30.442299999999999</v>
      </c>
      <c r="F8948" t="s">
        <v>3447</v>
      </c>
      <c r="G8948">
        <v>-89.762119999999996</v>
      </c>
      <c r="H8948">
        <v>1000</v>
      </c>
      <c r="I8948">
        <v>127</v>
      </c>
      <c r="J8948">
        <v>3</v>
      </c>
      <c r="K8948">
        <v>0</v>
      </c>
      <c r="L8948">
        <v>1200</v>
      </c>
      <c r="M8948" t="str">
        <f t="shared" si="816"/>
        <v xml:space="preserve">N35DC   </v>
      </c>
      <c r="N8948">
        <v>1</v>
      </c>
      <c r="O8948">
        <v>1025</v>
      </c>
    </row>
    <row r="8949" spans="1:15" x14ac:dyDescent="0.25">
      <c r="A8949" t="str">
        <f>"10/21/2020 19:16:23.609"</f>
        <v>10/21/2020 19:16:23.609</v>
      </c>
      <c r="B8949" t="str">
        <f>"19:16:31.563"</f>
        <v>19:16:31.563</v>
      </c>
      <c r="C8949" t="str">
        <f>"19:16:31.163"</f>
        <v>19:16:31.163</v>
      </c>
      <c r="D8949" t="s">
        <v>3448</v>
      </c>
      <c r="E8949">
        <v>30.442193</v>
      </c>
      <c r="F8949" t="s">
        <v>3449</v>
      </c>
      <c r="G8949">
        <v>-89.760059999999996</v>
      </c>
      <c r="H8949">
        <v>1000</v>
      </c>
      <c r="I8949">
        <v>127</v>
      </c>
      <c r="J8949">
        <v>-9</v>
      </c>
      <c r="K8949">
        <v>64</v>
      </c>
      <c r="L8949">
        <v>1200</v>
      </c>
      <c r="M8949" t="str">
        <f t="shared" si="816"/>
        <v xml:space="preserve">N35DC   </v>
      </c>
      <c r="N8949">
        <v>1</v>
      </c>
      <c r="O8949">
        <v>1025</v>
      </c>
    </row>
    <row r="8950" spans="1:15" x14ac:dyDescent="0.25">
      <c r="A8950" t="str">
        <f>"10/21/2020 19:16:23.609"</f>
        <v>10/21/2020 19:16:23.609</v>
      </c>
      <c r="B8950" t="str">
        <f>"19:16:31.563"</f>
        <v>19:16:31.563</v>
      </c>
      <c r="C8950" t="str">
        <f>"19:16:31.163"</f>
        <v>19:16:31.163</v>
      </c>
      <c r="D8950" t="s">
        <v>3448</v>
      </c>
      <c r="E8950">
        <v>30.442193</v>
      </c>
      <c r="F8950" t="s">
        <v>3449</v>
      </c>
      <c r="G8950">
        <v>-89.760059999999996</v>
      </c>
      <c r="H8950">
        <v>1000</v>
      </c>
      <c r="I8950">
        <v>127</v>
      </c>
      <c r="J8950">
        <v>-9</v>
      </c>
      <c r="K8950">
        <v>64</v>
      </c>
      <c r="L8950">
        <v>1200</v>
      </c>
      <c r="M8950" t="str">
        <f t="shared" si="816"/>
        <v xml:space="preserve">N35DC   </v>
      </c>
      <c r="N8950">
        <v>1</v>
      </c>
      <c r="O8950">
        <v>1025</v>
      </c>
    </row>
    <row r="8951" spans="1:15" x14ac:dyDescent="0.25">
      <c r="A8951" t="str">
        <f>"10/21/2020 19:16:23.609"</f>
        <v>10/21/2020 19:16:23.609</v>
      </c>
      <c r="B8951" t="str">
        <f>"19:16:31.563"</f>
        <v>19:16:31.563</v>
      </c>
      <c r="C8951" t="str">
        <f>"19:16:31.163"</f>
        <v>19:16:31.163</v>
      </c>
      <c r="D8951" t="s">
        <v>3448</v>
      </c>
      <c r="E8951">
        <v>30.442193</v>
      </c>
      <c r="F8951" t="s">
        <v>3449</v>
      </c>
      <c r="G8951">
        <v>-89.760059999999996</v>
      </c>
      <c r="H8951">
        <v>1000</v>
      </c>
      <c r="I8951">
        <v>127</v>
      </c>
      <c r="J8951">
        <v>-9</v>
      </c>
      <c r="K8951">
        <v>64</v>
      </c>
      <c r="L8951">
        <v>1200</v>
      </c>
      <c r="M8951" t="str">
        <f t="shared" si="816"/>
        <v xml:space="preserve">N35DC   </v>
      </c>
      <c r="N8951">
        <v>1</v>
      </c>
      <c r="O8951">
        <v>1025</v>
      </c>
    </row>
    <row r="8952" spans="1:15" x14ac:dyDescent="0.25">
      <c r="A8952" t="str">
        <f>"10/21/2020 19:16:23.609"</f>
        <v>10/21/2020 19:16:23.609</v>
      </c>
      <c r="B8952" t="str">
        <f>"19:16:31.563"</f>
        <v>19:16:31.563</v>
      </c>
      <c r="C8952" t="str">
        <f>"19:16:31.163"</f>
        <v>19:16:31.163</v>
      </c>
      <c r="D8952" t="s">
        <v>3448</v>
      </c>
      <c r="E8952">
        <v>30.442193</v>
      </c>
      <c r="F8952" t="s">
        <v>3449</v>
      </c>
      <c r="G8952">
        <v>-89.760059999999996</v>
      </c>
      <c r="H8952">
        <v>1000</v>
      </c>
      <c r="I8952">
        <v>127</v>
      </c>
      <c r="J8952">
        <v>-9</v>
      </c>
      <c r="K8952">
        <v>64</v>
      </c>
      <c r="L8952">
        <v>1200</v>
      </c>
      <c r="M8952" t="str">
        <f t="shared" si="816"/>
        <v xml:space="preserve">N35DC   </v>
      </c>
      <c r="N8952">
        <v>1</v>
      </c>
      <c r="O8952">
        <v>1025</v>
      </c>
    </row>
    <row r="8953" spans="1:15" x14ac:dyDescent="0.25">
      <c r="A8953" t="str">
        <f>"10/21/2020 19:16:23.609"</f>
        <v>10/21/2020 19:16:23.609</v>
      </c>
      <c r="B8953" t="str">
        <f>"19:16:31.563"</f>
        <v>19:16:31.563</v>
      </c>
      <c r="C8953" t="str">
        <f>"19:16:31.163"</f>
        <v>19:16:31.163</v>
      </c>
      <c r="D8953" t="s">
        <v>3448</v>
      </c>
      <c r="E8953">
        <v>30.442193</v>
      </c>
      <c r="F8953" t="s">
        <v>3449</v>
      </c>
      <c r="G8953">
        <v>-89.760059999999996</v>
      </c>
      <c r="H8953">
        <v>1000</v>
      </c>
      <c r="I8953">
        <v>127</v>
      </c>
      <c r="J8953">
        <v>-9</v>
      </c>
      <c r="K8953">
        <v>64</v>
      </c>
      <c r="L8953">
        <v>1200</v>
      </c>
      <c r="M8953" t="str">
        <f t="shared" si="816"/>
        <v xml:space="preserve">N35DC   </v>
      </c>
      <c r="N8953">
        <v>1</v>
      </c>
      <c r="O8953">
        <v>1025</v>
      </c>
    </row>
    <row r="8954" spans="1:15" x14ac:dyDescent="0.25">
      <c r="A8954" t="str">
        <f>"10/21/2020 19:16:26.656"</f>
        <v>10/21/2020 19:16:26.656</v>
      </c>
      <c r="B8954" t="str">
        <f>"19:16:34.617"</f>
        <v>19:16:34.617</v>
      </c>
      <c r="C8954" t="str">
        <f>"19:16:34.317"</f>
        <v>19:16:34.317</v>
      </c>
      <c r="D8954" t="s">
        <v>3450</v>
      </c>
      <c r="E8954">
        <v>30.441914000000001</v>
      </c>
      <c r="F8954" t="s">
        <v>3451</v>
      </c>
      <c r="G8954">
        <v>-89.757979000000006</v>
      </c>
      <c r="H8954">
        <v>1000</v>
      </c>
      <c r="I8954">
        <v>126</v>
      </c>
      <c r="J8954">
        <v>-24</v>
      </c>
      <c r="K8954">
        <v>-128</v>
      </c>
      <c r="L8954">
        <v>1200</v>
      </c>
      <c r="M8954" t="str">
        <f t="shared" si="816"/>
        <v xml:space="preserve">N35DC   </v>
      </c>
      <c r="N8954">
        <v>1</v>
      </c>
      <c r="O8954">
        <v>1000</v>
      </c>
    </row>
    <row r="8955" spans="1:15" x14ac:dyDescent="0.25">
      <c r="A8955" t="str">
        <f>"10/21/2020 19:16:26.656"</f>
        <v>10/21/2020 19:16:26.656</v>
      </c>
      <c r="B8955" t="str">
        <f>"19:16:34.617"</f>
        <v>19:16:34.617</v>
      </c>
      <c r="C8955" t="str">
        <f>"19:16:34.317"</f>
        <v>19:16:34.317</v>
      </c>
      <c r="D8955" t="s">
        <v>3450</v>
      </c>
      <c r="E8955">
        <v>30.441914000000001</v>
      </c>
      <c r="F8955" t="s">
        <v>3451</v>
      </c>
      <c r="G8955">
        <v>-89.757979000000006</v>
      </c>
      <c r="H8955">
        <v>1000</v>
      </c>
      <c r="I8955">
        <v>126</v>
      </c>
      <c r="J8955">
        <v>-24</v>
      </c>
      <c r="K8955">
        <v>-128</v>
      </c>
      <c r="L8955">
        <v>1200</v>
      </c>
      <c r="M8955" t="str">
        <f t="shared" si="816"/>
        <v xml:space="preserve">N35DC   </v>
      </c>
      <c r="N8955">
        <v>1</v>
      </c>
      <c r="O8955">
        <v>1000</v>
      </c>
    </row>
    <row r="8956" spans="1:15" x14ac:dyDescent="0.25">
      <c r="A8956" t="str">
        <f>"10/21/2020 19:16:26.656"</f>
        <v>10/21/2020 19:16:26.656</v>
      </c>
      <c r="B8956" t="str">
        <f>"19:16:34.617"</f>
        <v>19:16:34.617</v>
      </c>
      <c r="C8956" t="str">
        <f>"19:16:34.317"</f>
        <v>19:16:34.317</v>
      </c>
      <c r="D8956" t="s">
        <v>3450</v>
      </c>
      <c r="E8956">
        <v>30.441914000000001</v>
      </c>
      <c r="F8956" t="s">
        <v>3451</v>
      </c>
      <c r="G8956">
        <v>-89.757979000000006</v>
      </c>
      <c r="H8956">
        <v>1000</v>
      </c>
      <c r="I8956">
        <v>126</v>
      </c>
      <c r="J8956">
        <v>-24</v>
      </c>
      <c r="K8956">
        <v>-128</v>
      </c>
      <c r="L8956">
        <v>1200</v>
      </c>
      <c r="M8956" t="str">
        <f t="shared" si="816"/>
        <v xml:space="preserve">N35DC   </v>
      </c>
      <c r="N8956">
        <v>1</v>
      </c>
      <c r="O8956">
        <v>1000</v>
      </c>
    </row>
    <row r="8957" spans="1:15" x14ac:dyDescent="0.25">
      <c r="A8957" t="str">
        <f>"10/21/2020 19:16:26.656"</f>
        <v>10/21/2020 19:16:26.656</v>
      </c>
      <c r="B8957" t="str">
        <f>"19:16:34.617"</f>
        <v>19:16:34.617</v>
      </c>
      <c r="C8957" t="str">
        <f>"19:16:34.317"</f>
        <v>19:16:34.317</v>
      </c>
      <c r="D8957" t="s">
        <v>3450</v>
      </c>
      <c r="E8957">
        <v>30.441914000000001</v>
      </c>
      <c r="F8957" t="s">
        <v>3451</v>
      </c>
      <c r="G8957">
        <v>-89.757979000000006</v>
      </c>
      <c r="H8957">
        <v>1000</v>
      </c>
      <c r="I8957">
        <v>126</v>
      </c>
      <c r="J8957">
        <v>-24</v>
      </c>
      <c r="K8957">
        <v>-128</v>
      </c>
      <c r="L8957">
        <v>1200</v>
      </c>
      <c r="M8957" t="str">
        <f t="shared" si="816"/>
        <v xml:space="preserve">N35DC   </v>
      </c>
      <c r="N8957">
        <v>1</v>
      </c>
      <c r="O8957">
        <v>1000</v>
      </c>
    </row>
    <row r="8958" spans="1:15" x14ac:dyDescent="0.25">
      <c r="A8958" t="str">
        <f>"10/21/2020 19:16:26.656"</f>
        <v>10/21/2020 19:16:26.656</v>
      </c>
      <c r="B8958" t="str">
        <f>"19:16:34.617"</f>
        <v>19:16:34.617</v>
      </c>
      <c r="C8958" t="str">
        <f>"19:16:34.317"</f>
        <v>19:16:34.317</v>
      </c>
      <c r="D8958" t="s">
        <v>3450</v>
      </c>
      <c r="E8958">
        <v>30.441914000000001</v>
      </c>
      <c r="F8958" t="s">
        <v>3451</v>
      </c>
      <c r="G8958">
        <v>-89.757979000000006</v>
      </c>
      <c r="H8958">
        <v>1000</v>
      </c>
      <c r="I8958">
        <v>126</v>
      </c>
      <c r="J8958">
        <v>-24</v>
      </c>
      <c r="K8958">
        <v>-128</v>
      </c>
      <c r="L8958">
        <v>1200</v>
      </c>
      <c r="M8958" t="str">
        <f t="shared" si="816"/>
        <v xml:space="preserve">N35DC   </v>
      </c>
      <c r="N8958">
        <v>1</v>
      </c>
      <c r="O8958">
        <v>1000</v>
      </c>
    </row>
    <row r="8959" spans="1:15" x14ac:dyDescent="0.25">
      <c r="A8959" t="str">
        <f>"10/21/2020 19:16:27.635"</f>
        <v>10/21/2020 19:16:27.635</v>
      </c>
      <c r="B8959" t="str">
        <f>"19:16:35.578"</f>
        <v>19:16:35.578</v>
      </c>
      <c r="C8959" t="str">
        <f>"19:16:35.278"</f>
        <v>19:16:35.278</v>
      </c>
      <c r="D8959" t="s">
        <v>3452</v>
      </c>
      <c r="E8959">
        <v>30.441784999999999</v>
      </c>
      <c r="F8959" t="s">
        <v>3453</v>
      </c>
      <c r="G8959">
        <v>-89.757334999999998</v>
      </c>
      <c r="H8959">
        <v>1000</v>
      </c>
      <c r="I8959">
        <v>125</v>
      </c>
      <c r="J8959">
        <v>-29</v>
      </c>
      <c r="K8959">
        <v>-192</v>
      </c>
      <c r="L8959">
        <v>1200</v>
      </c>
      <c r="M8959" t="str">
        <f t="shared" si="816"/>
        <v xml:space="preserve">N35DC   </v>
      </c>
      <c r="N8959">
        <v>1</v>
      </c>
      <c r="O8959">
        <v>1000</v>
      </c>
    </row>
    <row r="8960" spans="1:15" x14ac:dyDescent="0.25">
      <c r="A8960" t="str">
        <f>"10/21/2020 19:16:27.635"</f>
        <v>10/21/2020 19:16:27.635</v>
      </c>
      <c r="B8960" t="str">
        <f>"19:16:35.578"</f>
        <v>19:16:35.578</v>
      </c>
      <c r="C8960" t="str">
        <f>"19:16:35.278"</f>
        <v>19:16:35.278</v>
      </c>
      <c r="D8960" t="s">
        <v>3452</v>
      </c>
      <c r="E8960">
        <v>30.441784999999999</v>
      </c>
      <c r="F8960" t="s">
        <v>3453</v>
      </c>
      <c r="G8960">
        <v>-89.757334999999998</v>
      </c>
      <c r="H8960">
        <v>1000</v>
      </c>
      <c r="I8960">
        <v>125</v>
      </c>
      <c r="J8960">
        <v>-29</v>
      </c>
      <c r="K8960">
        <v>-192</v>
      </c>
      <c r="L8960">
        <v>1200</v>
      </c>
      <c r="M8960" t="str">
        <f t="shared" si="816"/>
        <v xml:space="preserve">N35DC   </v>
      </c>
      <c r="N8960">
        <v>1</v>
      </c>
      <c r="O8960">
        <v>1000</v>
      </c>
    </row>
    <row r="8961" spans="1:15" x14ac:dyDescent="0.25">
      <c r="A8961" t="str">
        <f>"10/21/2020 19:16:27.635"</f>
        <v>10/21/2020 19:16:27.635</v>
      </c>
      <c r="B8961" t="str">
        <f>"19:16:35.578"</f>
        <v>19:16:35.578</v>
      </c>
      <c r="C8961" t="str">
        <f>"19:16:35.278"</f>
        <v>19:16:35.278</v>
      </c>
      <c r="D8961" t="s">
        <v>3452</v>
      </c>
      <c r="E8961">
        <v>30.441784999999999</v>
      </c>
      <c r="F8961" t="s">
        <v>3453</v>
      </c>
      <c r="G8961">
        <v>-89.757334999999998</v>
      </c>
      <c r="H8961">
        <v>1000</v>
      </c>
      <c r="I8961">
        <v>125</v>
      </c>
      <c r="J8961">
        <v>-29</v>
      </c>
      <c r="K8961">
        <v>-192</v>
      </c>
      <c r="L8961">
        <v>1200</v>
      </c>
      <c r="M8961" t="str">
        <f t="shared" si="816"/>
        <v xml:space="preserve">N35DC   </v>
      </c>
      <c r="N8961">
        <v>1</v>
      </c>
      <c r="O8961">
        <v>1000</v>
      </c>
    </row>
    <row r="8962" spans="1:15" x14ac:dyDescent="0.25">
      <c r="A8962" t="str">
        <f>"10/21/2020 19:16:27.635"</f>
        <v>10/21/2020 19:16:27.635</v>
      </c>
      <c r="B8962" t="str">
        <f>"19:16:35.578"</f>
        <v>19:16:35.578</v>
      </c>
      <c r="C8962" t="str">
        <f>"19:16:35.278"</f>
        <v>19:16:35.278</v>
      </c>
      <c r="D8962" t="s">
        <v>3452</v>
      </c>
      <c r="E8962">
        <v>30.441784999999999</v>
      </c>
      <c r="F8962" t="s">
        <v>3453</v>
      </c>
      <c r="G8962">
        <v>-89.757334999999998</v>
      </c>
      <c r="H8962">
        <v>1000</v>
      </c>
      <c r="I8962">
        <v>125</v>
      </c>
      <c r="J8962">
        <v>-29</v>
      </c>
      <c r="K8962">
        <v>-192</v>
      </c>
      <c r="L8962">
        <v>1200</v>
      </c>
      <c r="M8962" t="str">
        <f t="shared" si="816"/>
        <v xml:space="preserve">N35DC   </v>
      </c>
      <c r="N8962">
        <v>1</v>
      </c>
      <c r="O8962">
        <v>1000</v>
      </c>
    </row>
    <row r="8963" spans="1:15" x14ac:dyDescent="0.25">
      <c r="A8963" t="str">
        <f>"10/21/2020 19:16:27.635"</f>
        <v>10/21/2020 19:16:27.635</v>
      </c>
      <c r="B8963" t="str">
        <f>"19:16:35.578"</f>
        <v>19:16:35.578</v>
      </c>
      <c r="C8963" t="str">
        <f>"19:16:35.278"</f>
        <v>19:16:35.278</v>
      </c>
      <c r="D8963" t="s">
        <v>3452</v>
      </c>
      <c r="E8963">
        <v>30.441784999999999</v>
      </c>
      <c r="F8963" t="s">
        <v>3453</v>
      </c>
      <c r="G8963">
        <v>-89.757334999999998</v>
      </c>
      <c r="H8963">
        <v>1000</v>
      </c>
      <c r="I8963">
        <v>125</v>
      </c>
      <c r="J8963">
        <v>-29</v>
      </c>
      <c r="K8963">
        <v>-192</v>
      </c>
      <c r="L8963">
        <v>1200</v>
      </c>
      <c r="M8963" t="str">
        <f t="shared" si="816"/>
        <v xml:space="preserve">N35DC   </v>
      </c>
      <c r="N8963">
        <v>1</v>
      </c>
      <c r="O8963">
        <v>1000</v>
      </c>
    </row>
    <row r="8964" spans="1:15" x14ac:dyDescent="0.25">
      <c r="A8964" t="str">
        <f>"10/21/2020 19:16:30.620"</f>
        <v>10/21/2020 19:16:30.620</v>
      </c>
      <c r="B8964" t="str">
        <f>"19:16:38.578"</f>
        <v>19:16:38.578</v>
      </c>
      <c r="C8964" t="str">
        <f>"19:16:38.178"</f>
        <v>19:16:38.178</v>
      </c>
      <c r="D8964" t="s">
        <v>3060</v>
      </c>
      <c r="E8964">
        <v>30.441248000000002</v>
      </c>
      <c r="F8964" t="s">
        <v>2642</v>
      </c>
      <c r="G8964">
        <v>-89.755382999999995</v>
      </c>
      <c r="H8964">
        <v>1000</v>
      </c>
      <c r="I8964">
        <v>122</v>
      </c>
      <c r="J8964">
        <v>-43</v>
      </c>
      <c r="K8964">
        <v>64</v>
      </c>
      <c r="L8964">
        <v>1200</v>
      </c>
      <c r="M8964" t="str">
        <f t="shared" si="816"/>
        <v xml:space="preserve">N35DC   </v>
      </c>
      <c r="N8964">
        <v>1</v>
      </c>
      <c r="O8964">
        <v>1000</v>
      </c>
    </row>
    <row r="8965" spans="1:15" x14ac:dyDescent="0.25">
      <c r="A8965" t="str">
        <f>"10/21/2020 19:16:30.620"</f>
        <v>10/21/2020 19:16:30.620</v>
      </c>
      <c r="B8965" t="str">
        <f>"19:16:38.578"</f>
        <v>19:16:38.578</v>
      </c>
      <c r="C8965" t="str">
        <f>"19:16:38.178"</f>
        <v>19:16:38.178</v>
      </c>
      <c r="D8965" t="s">
        <v>3060</v>
      </c>
      <c r="E8965">
        <v>30.441248000000002</v>
      </c>
      <c r="F8965" t="s">
        <v>2642</v>
      </c>
      <c r="G8965">
        <v>-89.755382999999995</v>
      </c>
      <c r="H8965">
        <v>1000</v>
      </c>
      <c r="I8965">
        <v>122</v>
      </c>
      <c r="J8965">
        <v>-43</v>
      </c>
      <c r="K8965">
        <v>64</v>
      </c>
      <c r="L8965">
        <v>1200</v>
      </c>
      <c r="M8965" t="str">
        <f t="shared" si="816"/>
        <v xml:space="preserve">N35DC   </v>
      </c>
      <c r="N8965">
        <v>1</v>
      </c>
      <c r="O8965">
        <v>1000</v>
      </c>
    </row>
    <row r="8966" spans="1:15" x14ac:dyDescent="0.25">
      <c r="A8966" t="str">
        <f>"10/21/2020 19:16:30.620"</f>
        <v>10/21/2020 19:16:30.620</v>
      </c>
      <c r="B8966" t="str">
        <f>"19:16:38.578"</f>
        <v>19:16:38.578</v>
      </c>
      <c r="C8966" t="str">
        <f>"19:16:38.178"</f>
        <v>19:16:38.178</v>
      </c>
      <c r="D8966" t="s">
        <v>3060</v>
      </c>
      <c r="E8966">
        <v>30.441248000000002</v>
      </c>
      <c r="F8966" t="s">
        <v>2642</v>
      </c>
      <c r="G8966">
        <v>-89.755382999999995</v>
      </c>
      <c r="H8966">
        <v>1000</v>
      </c>
      <c r="I8966">
        <v>122</v>
      </c>
      <c r="J8966">
        <v>-43</v>
      </c>
      <c r="K8966">
        <v>64</v>
      </c>
      <c r="L8966">
        <v>1200</v>
      </c>
      <c r="M8966" t="str">
        <f t="shared" si="816"/>
        <v xml:space="preserve">N35DC   </v>
      </c>
      <c r="N8966">
        <v>1</v>
      </c>
      <c r="O8966">
        <v>1000</v>
      </c>
    </row>
    <row r="8967" spans="1:15" x14ac:dyDescent="0.25">
      <c r="A8967" t="str">
        <f>"10/21/2020 19:16:30.620"</f>
        <v>10/21/2020 19:16:30.620</v>
      </c>
      <c r="B8967" t="str">
        <f>"19:16:38.578"</f>
        <v>19:16:38.578</v>
      </c>
      <c r="C8967" t="str">
        <f>"19:16:38.178"</f>
        <v>19:16:38.178</v>
      </c>
      <c r="D8967" t="s">
        <v>3060</v>
      </c>
      <c r="E8967">
        <v>30.441248000000002</v>
      </c>
      <c r="F8967" t="s">
        <v>2642</v>
      </c>
      <c r="G8967">
        <v>-89.755382999999995</v>
      </c>
      <c r="H8967">
        <v>1000</v>
      </c>
      <c r="I8967">
        <v>122</v>
      </c>
      <c r="J8967">
        <v>-43</v>
      </c>
      <c r="K8967">
        <v>64</v>
      </c>
      <c r="L8967">
        <v>1200</v>
      </c>
      <c r="M8967" t="str">
        <f t="shared" ref="M8967:M9030" si="817">"N35DC   "</f>
        <v xml:space="preserve">N35DC   </v>
      </c>
      <c r="N8967">
        <v>1</v>
      </c>
      <c r="O8967">
        <v>1000</v>
      </c>
    </row>
    <row r="8968" spans="1:15" x14ac:dyDescent="0.25">
      <c r="A8968" t="str">
        <f>"10/21/2020 19:16:30.620"</f>
        <v>10/21/2020 19:16:30.620</v>
      </c>
      <c r="B8968" t="str">
        <f>"19:16:38.578"</f>
        <v>19:16:38.578</v>
      </c>
      <c r="C8968" t="str">
        <f>"19:16:38.178"</f>
        <v>19:16:38.178</v>
      </c>
      <c r="D8968" t="s">
        <v>3060</v>
      </c>
      <c r="E8968">
        <v>30.441248000000002</v>
      </c>
      <c r="F8968" t="s">
        <v>2642</v>
      </c>
      <c r="G8968">
        <v>-89.755382999999995</v>
      </c>
      <c r="H8968">
        <v>1000</v>
      </c>
      <c r="I8968">
        <v>122</v>
      </c>
      <c r="J8968">
        <v>-43</v>
      </c>
      <c r="K8968">
        <v>64</v>
      </c>
      <c r="L8968">
        <v>1200</v>
      </c>
      <c r="M8968" t="str">
        <f t="shared" si="817"/>
        <v xml:space="preserve">N35DC   </v>
      </c>
      <c r="N8968">
        <v>1</v>
      </c>
      <c r="O8968">
        <v>1000</v>
      </c>
    </row>
    <row r="8969" spans="1:15" x14ac:dyDescent="0.25">
      <c r="A8969" t="str">
        <f>"10/21/2020 19:16:31.742"</f>
        <v>10/21/2020 19:16:31.742</v>
      </c>
      <c r="B8969" t="str">
        <f>"19:16:39.703"</f>
        <v>19:16:39.703</v>
      </c>
      <c r="C8969" t="str">
        <f>"19:16:39.303"</f>
        <v>19:16:39.303</v>
      </c>
      <c r="D8969" t="s">
        <v>3454</v>
      </c>
      <c r="E8969">
        <v>30.440968999999999</v>
      </c>
      <c r="F8969" t="s">
        <v>3455</v>
      </c>
      <c r="G8969">
        <v>-89.754632000000001</v>
      </c>
      <c r="H8969">
        <v>1000</v>
      </c>
      <c r="I8969">
        <v>120</v>
      </c>
      <c r="J8969">
        <v>-48</v>
      </c>
      <c r="K8969">
        <v>0</v>
      </c>
      <c r="L8969">
        <v>1200</v>
      </c>
      <c r="M8969" t="str">
        <f t="shared" si="817"/>
        <v xml:space="preserve">N35DC   </v>
      </c>
      <c r="N8969">
        <v>1</v>
      </c>
      <c r="O8969">
        <v>1000</v>
      </c>
    </row>
    <row r="8970" spans="1:15" x14ac:dyDescent="0.25">
      <c r="A8970" t="str">
        <f>"10/21/2020 19:16:31.742"</f>
        <v>10/21/2020 19:16:31.742</v>
      </c>
      <c r="B8970" t="str">
        <f>"19:16:39.703"</f>
        <v>19:16:39.703</v>
      </c>
      <c r="C8970" t="str">
        <f>"19:16:39.303"</f>
        <v>19:16:39.303</v>
      </c>
      <c r="D8970" t="s">
        <v>3454</v>
      </c>
      <c r="E8970">
        <v>30.440968999999999</v>
      </c>
      <c r="F8970" t="s">
        <v>3455</v>
      </c>
      <c r="G8970">
        <v>-89.754632000000001</v>
      </c>
      <c r="H8970">
        <v>1000</v>
      </c>
      <c r="I8970">
        <v>120</v>
      </c>
      <c r="J8970">
        <v>-48</v>
      </c>
      <c r="K8970">
        <v>0</v>
      </c>
      <c r="L8970">
        <v>1200</v>
      </c>
      <c r="M8970" t="str">
        <f t="shared" si="817"/>
        <v xml:space="preserve">N35DC   </v>
      </c>
      <c r="N8970">
        <v>1</v>
      </c>
      <c r="O8970">
        <v>1000</v>
      </c>
    </row>
    <row r="8971" spans="1:15" x14ac:dyDescent="0.25">
      <c r="A8971" t="str">
        <f>"10/21/2020 19:16:31.742"</f>
        <v>10/21/2020 19:16:31.742</v>
      </c>
      <c r="B8971" t="str">
        <f>"19:16:39.703"</f>
        <v>19:16:39.703</v>
      </c>
      <c r="C8971" t="str">
        <f>"19:16:39.303"</f>
        <v>19:16:39.303</v>
      </c>
      <c r="D8971" t="s">
        <v>3454</v>
      </c>
      <c r="E8971">
        <v>30.440968999999999</v>
      </c>
      <c r="F8971" t="s">
        <v>3455</v>
      </c>
      <c r="G8971">
        <v>-89.754632000000001</v>
      </c>
      <c r="H8971">
        <v>1000</v>
      </c>
      <c r="I8971">
        <v>120</v>
      </c>
      <c r="J8971">
        <v>-48</v>
      </c>
      <c r="K8971">
        <v>0</v>
      </c>
      <c r="L8971">
        <v>1200</v>
      </c>
      <c r="M8971" t="str">
        <f t="shared" si="817"/>
        <v xml:space="preserve">N35DC   </v>
      </c>
      <c r="N8971">
        <v>1</v>
      </c>
      <c r="O8971">
        <v>1000</v>
      </c>
    </row>
    <row r="8972" spans="1:15" x14ac:dyDescent="0.25">
      <c r="A8972" t="str">
        <f>"10/21/2020 19:16:31.742"</f>
        <v>10/21/2020 19:16:31.742</v>
      </c>
      <c r="B8972" t="str">
        <f>"19:16:39.703"</f>
        <v>19:16:39.703</v>
      </c>
      <c r="C8972" t="str">
        <f>"19:16:39.303"</f>
        <v>19:16:39.303</v>
      </c>
      <c r="D8972" t="s">
        <v>3454</v>
      </c>
      <c r="E8972">
        <v>30.440968999999999</v>
      </c>
      <c r="F8972" t="s">
        <v>3455</v>
      </c>
      <c r="G8972">
        <v>-89.754632000000001</v>
      </c>
      <c r="H8972">
        <v>1000</v>
      </c>
      <c r="I8972">
        <v>120</v>
      </c>
      <c r="J8972">
        <v>-48</v>
      </c>
      <c r="K8972">
        <v>0</v>
      </c>
      <c r="L8972">
        <v>1200</v>
      </c>
      <c r="M8972" t="str">
        <f t="shared" si="817"/>
        <v xml:space="preserve">N35DC   </v>
      </c>
      <c r="N8972">
        <v>1</v>
      </c>
      <c r="O8972">
        <v>1000</v>
      </c>
    </row>
    <row r="8973" spans="1:15" x14ac:dyDescent="0.25">
      <c r="A8973" t="str">
        <f>"10/21/2020 19:16:31.742"</f>
        <v>10/21/2020 19:16:31.742</v>
      </c>
      <c r="B8973" t="str">
        <f>"19:16:39.703"</f>
        <v>19:16:39.703</v>
      </c>
      <c r="C8973" t="str">
        <f>"19:16:39.303"</f>
        <v>19:16:39.303</v>
      </c>
      <c r="D8973" t="s">
        <v>3454</v>
      </c>
      <c r="E8973">
        <v>30.440968999999999</v>
      </c>
      <c r="F8973" t="s">
        <v>3455</v>
      </c>
      <c r="G8973">
        <v>-89.754632000000001</v>
      </c>
      <c r="H8973">
        <v>1000</v>
      </c>
      <c r="I8973">
        <v>120</v>
      </c>
      <c r="J8973">
        <v>-48</v>
      </c>
      <c r="K8973">
        <v>0</v>
      </c>
      <c r="L8973">
        <v>1200</v>
      </c>
      <c r="M8973" t="str">
        <f t="shared" si="817"/>
        <v xml:space="preserve">N35DC   </v>
      </c>
      <c r="N8973">
        <v>1</v>
      </c>
      <c r="O8973">
        <v>1000</v>
      </c>
    </row>
    <row r="8974" spans="1:15" x14ac:dyDescent="0.25">
      <c r="A8974" t="str">
        <f>"10/21/2020 19:16:34.750"</f>
        <v>10/21/2020 19:16:34.750</v>
      </c>
      <c r="B8974" t="str">
        <f t="shared" ref="B8974:C8978" si="818">"19:16:42.703"</f>
        <v>19:16:42.703</v>
      </c>
      <c r="C8974" t="str">
        <f t="shared" si="818"/>
        <v>19:16:42.703</v>
      </c>
      <c r="D8974" t="s">
        <v>2850</v>
      </c>
      <c r="E8974">
        <v>30.440176000000001</v>
      </c>
      <c r="F8974" t="s">
        <v>3456</v>
      </c>
      <c r="G8974">
        <v>-89.752742999999995</v>
      </c>
      <c r="H8974">
        <v>1000</v>
      </c>
      <c r="I8974">
        <v>115</v>
      </c>
      <c r="J8974">
        <v>-61</v>
      </c>
      <c r="K8974">
        <v>-192</v>
      </c>
      <c r="L8974">
        <v>1200</v>
      </c>
      <c r="M8974" t="str">
        <f t="shared" si="817"/>
        <v xml:space="preserve">N35DC   </v>
      </c>
      <c r="N8974">
        <v>1</v>
      </c>
      <c r="O8974">
        <v>1000</v>
      </c>
    </row>
    <row r="8975" spans="1:15" x14ac:dyDescent="0.25">
      <c r="A8975" t="str">
        <f>"10/21/2020 19:16:34.750"</f>
        <v>10/21/2020 19:16:34.750</v>
      </c>
      <c r="B8975" t="str">
        <f t="shared" si="818"/>
        <v>19:16:42.703</v>
      </c>
      <c r="C8975" t="str">
        <f t="shared" si="818"/>
        <v>19:16:42.703</v>
      </c>
      <c r="D8975" t="s">
        <v>2850</v>
      </c>
      <c r="E8975">
        <v>30.440176000000001</v>
      </c>
      <c r="F8975" t="s">
        <v>3456</v>
      </c>
      <c r="G8975">
        <v>-89.752742999999995</v>
      </c>
      <c r="H8975">
        <v>1000</v>
      </c>
      <c r="I8975">
        <v>115</v>
      </c>
      <c r="J8975">
        <v>-61</v>
      </c>
      <c r="K8975">
        <v>-192</v>
      </c>
      <c r="L8975">
        <v>1200</v>
      </c>
      <c r="M8975" t="str">
        <f t="shared" si="817"/>
        <v xml:space="preserve">N35DC   </v>
      </c>
      <c r="N8975">
        <v>1</v>
      </c>
      <c r="O8975">
        <v>1000</v>
      </c>
    </row>
    <row r="8976" spans="1:15" x14ac:dyDescent="0.25">
      <c r="A8976" t="str">
        <f>"10/21/2020 19:16:34.750"</f>
        <v>10/21/2020 19:16:34.750</v>
      </c>
      <c r="B8976" t="str">
        <f t="shared" si="818"/>
        <v>19:16:42.703</v>
      </c>
      <c r="C8976" t="str">
        <f t="shared" si="818"/>
        <v>19:16:42.703</v>
      </c>
      <c r="D8976" t="s">
        <v>2850</v>
      </c>
      <c r="E8976">
        <v>30.440176000000001</v>
      </c>
      <c r="F8976" t="s">
        <v>3456</v>
      </c>
      <c r="G8976">
        <v>-89.752742999999995</v>
      </c>
      <c r="H8976">
        <v>1000</v>
      </c>
      <c r="I8976">
        <v>115</v>
      </c>
      <c r="J8976">
        <v>-61</v>
      </c>
      <c r="K8976">
        <v>-192</v>
      </c>
      <c r="L8976">
        <v>1200</v>
      </c>
      <c r="M8976" t="str">
        <f t="shared" si="817"/>
        <v xml:space="preserve">N35DC   </v>
      </c>
      <c r="N8976">
        <v>1</v>
      </c>
      <c r="O8976">
        <v>1000</v>
      </c>
    </row>
    <row r="8977" spans="1:15" x14ac:dyDescent="0.25">
      <c r="A8977" t="str">
        <f>"10/21/2020 19:16:34.750"</f>
        <v>10/21/2020 19:16:34.750</v>
      </c>
      <c r="B8977" t="str">
        <f t="shared" si="818"/>
        <v>19:16:42.703</v>
      </c>
      <c r="C8977" t="str">
        <f t="shared" si="818"/>
        <v>19:16:42.703</v>
      </c>
      <c r="D8977" t="s">
        <v>2850</v>
      </c>
      <c r="E8977">
        <v>30.440176000000001</v>
      </c>
      <c r="F8977" t="s">
        <v>3456</v>
      </c>
      <c r="G8977">
        <v>-89.752742999999995</v>
      </c>
      <c r="H8977">
        <v>1000</v>
      </c>
      <c r="I8977">
        <v>115</v>
      </c>
      <c r="J8977">
        <v>-61</v>
      </c>
      <c r="K8977">
        <v>-192</v>
      </c>
      <c r="L8977">
        <v>1200</v>
      </c>
      <c r="M8977" t="str">
        <f t="shared" si="817"/>
        <v xml:space="preserve">N35DC   </v>
      </c>
      <c r="N8977">
        <v>1</v>
      </c>
      <c r="O8977">
        <v>1000</v>
      </c>
    </row>
    <row r="8978" spans="1:15" x14ac:dyDescent="0.25">
      <c r="A8978" t="str">
        <f>"10/21/2020 19:16:34.750"</f>
        <v>10/21/2020 19:16:34.750</v>
      </c>
      <c r="B8978" t="str">
        <f t="shared" si="818"/>
        <v>19:16:42.703</v>
      </c>
      <c r="C8978" t="str">
        <f t="shared" si="818"/>
        <v>19:16:42.703</v>
      </c>
      <c r="D8978" t="s">
        <v>2850</v>
      </c>
      <c r="E8978">
        <v>30.440176000000001</v>
      </c>
      <c r="F8978" t="s">
        <v>3456</v>
      </c>
      <c r="G8978">
        <v>-89.752742999999995</v>
      </c>
      <c r="H8978">
        <v>1000</v>
      </c>
      <c r="I8978">
        <v>115</v>
      </c>
      <c r="J8978">
        <v>-61</v>
      </c>
      <c r="K8978">
        <v>-192</v>
      </c>
      <c r="L8978">
        <v>1200</v>
      </c>
      <c r="M8978" t="str">
        <f t="shared" si="817"/>
        <v xml:space="preserve">N35DC   </v>
      </c>
      <c r="N8978">
        <v>1</v>
      </c>
      <c r="O8978">
        <v>1000</v>
      </c>
    </row>
    <row r="8979" spans="1:15" x14ac:dyDescent="0.25">
      <c r="A8979" t="str">
        <f>"10/21/2020 19:16:35.620"</f>
        <v>10/21/2020 19:16:35.620</v>
      </c>
      <c r="B8979" t="str">
        <f>"19:16:43.563"</f>
        <v>19:16:43.563</v>
      </c>
      <c r="C8979" t="str">
        <f>"19:16:43.163"</f>
        <v>19:16:43.163</v>
      </c>
      <c r="D8979" t="s">
        <v>3457</v>
      </c>
      <c r="E8979">
        <v>30.439938999999999</v>
      </c>
      <c r="F8979" t="s">
        <v>3458</v>
      </c>
      <c r="G8979">
        <v>-89.752250000000004</v>
      </c>
      <c r="H8979">
        <v>1000</v>
      </c>
      <c r="I8979">
        <v>114</v>
      </c>
      <c r="J8979">
        <v>-63</v>
      </c>
      <c r="K8979">
        <v>-128</v>
      </c>
      <c r="L8979">
        <v>1200</v>
      </c>
      <c r="M8979" t="str">
        <f t="shared" si="817"/>
        <v xml:space="preserve">N35DC   </v>
      </c>
      <c r="N8979">
        <v>1</v>
      </c>
      <c r="O8979">
        <v>1000</v>
      </c>
    </row>
    <row r="8980" spans="1:15" x14ac:dyDescent="0.25">
      <c r="A8980" t="str">
        <f>"10/21/2020 19:16:35.620"</f>
        <v>10/21/2020 19:16:35.620</v>
      </c>
      <c r="B8980" t="str">
        <f>"19:16:43.563"</f>
        <v>19:16:43.563</v>
      </c>
      <c r="C8980" t="str">
        <f>"19:16:43.163"</f>
        <v>19:16:43.163</v>
      </c>
      <c r="D8980" t="s">
        <v>3457</v>
      </c>
      <c r="E8980">
        <v>30.439938999999999</v>
      </c>
      <c r="F8980" t="s">
        <v>3458</v>
      </c>
      <c r="G8980">
        <v>-89.752250000000004</v>
      </c>
      <c r="H8980">
        <v>1000</v>
      </c>
      <c r="I8980">
        <v>114</v>
      </c>
      <c r="J8980">
        <v>-63</v>
      </c>
      <c r="K8980">
        <v>-128</v>
      </c>
      <c r="L8980">
        <v>1200</v>
      </c>
      <c r="M8980" t="str">
        <f t="shared" si="817"/>
        <v xml:space="preserve">N35DC   </v>
      </c>
      <c r="N8980">
        <v>1</v>
      </c>
      <c r="O8980">
        <v>1000</v>
      </c>
    </row>
    <row r="8981" spans="1:15" x14ac:dyDescent="0.25">
      <c r="A8981" t="str">
        <f>"10/21/2020 19:16:35.620"</f>
        <v>10/21/2020 19:16:35.620</v>
      </c>
      <c r="B8981" t="str">
        <f>"19:16:43.563"</f>
        <v>19:16:43.563</v>
      </c>
      <c r="C8981" t="str">
        <f>"19:16:43.163"</f>
        <v>19:16:43.163</v>
      </c>
      <c r="D8981" t="s">
        <v>3457</v>
      </c>
      <c r="E8981">
        <v>30.439938999999999</v>
      </c>
      <c r="F8981" t="s">
        <v>3458</v>
      </c>
      <c r="G8981">
        <v>-89.752250000000004</v>
      </c>
      <c r="H8981">
        <v>1000</v>
      </c>
      <c r="I8981">
        <v>114</v>
      </c>
      <c r="J8981">
        <v>-63</v>
      </c>
      <c r="K8981">
        <v>-128</v>
      </c>
      <c r="L8981">
        <v>1200</v>
      </c>
      <c r="M8981" t="str">
        <f t="shared" si="817"/>
        <v xml:space="preserve">N35DC   </v>
      </c>
      <c r="N8981">
        <v>1</v>
      </c>
      <c r="O8981">
        <v>1000</v>
      </c>
    </row>
    <row r="8982" spans="1:15" x14ac:dyDescent="0.25">
      <c r="A8982" t="str">
        <f>"10/21/2020 19:16:35.620"</f>
        <v>10/21/2020 19:16:35.620</v>
      </c>
      <c r="B8982" t="str">
        <f>"19:16:43.563"</f>
        <v>19:16:43.563</v>
      </c>
      <c r="C8982" t="str">
        <f>"19:16:43.163"</f>
        <v>19:16:43.163</v>
      </c>
      <c r="D8982" t="s">
        <v>3457</v>
      </c>
      <c r="E8982">
        <v>30.439938999999999</v>
      </c>
      <c r="F8982" t="s">
        <v>3458</v>
      </c>
      <c r="G8982">
        <v>-89.752250000000004</v>
      </c>
      <c r="H8982">
        <v>1000</v>
      </c>
      <c r="I8982">
        <v>114</v>
      </c>
      <c r="J8982">
        <v>-63</v>
      </c>
      <c r="K8982">
        <v>-128</v>
      </c>
      <c r="L8982">
        <v>1200</v>
      </c>
      <c r="M8982" t="str">
        <f t="shared" si="817"/>
        <v xml:space="preserve">N35DC   </v>
      </c>
      <c r="N8982">
        <v>1</v>
      </c>
      <c r="O8982">
        <v>1000</v>
      </c>
    </row>
    <row r="8983" spans="1:15" x14ac:dyDescent="0.25">
      <c r="A8983" t="str">
        <f>"10/21/2020 19:16:35.620"</f>
        <v>10/21/2020 19:16:35.620</v>
      </c>
      <c r="B8983" t="str">
        <f>"19:16:43.563"</f>
        <v>19:16:43.563</v>
      </c>
      <c r="C8983" t="str">
        <f>"19:16:43.163"</f>
        <v>19:16:43.163</v>
      </c>
      <c r="D8983" t="s">
        <v>3457</v>
      </c>
      <c r="E8983">
        <v>30.439938999999999</v>
      </c>
      <c r="F8983" t="s">
        <v>3458</v>
      </c>
      <c r="G8983">
        <v>-89.752250000000004</v>
      </c>
      <c r="H8983">
        <v>1000</v>
      </c>
      <c r="I8983">
        <v>114</v>
      </c>
      <c r="J8983">
        <v>-63</v>
      </c>
      <c r="K8983">
        <v>-128</v>
      </c>
      <c r="L8983">
        <v>1200</v>
      </c>
      <c r="M8983" t="str">
        <f t="shared" si="817"/>
        <v xml:space="preserve">N35DC   </v>
      </c>
      <c r="N8983">
        <v>1</v>
      </c>
      <c r="O8983">
        <v>1000</v>
      </c>
    </row>
    <row r="8984" spans="1:15" x14ac:dyDescent="0.25">
      <c r="A8984" t="str">
        <f>"10/21/2020 19:16:36.612"</f>
        <v>10/21/2020 19:16:36.612</v>
      </c>
      <c r="B8984" t="str">
        <f>"19:16:44.578"</f>
        <v>19:16:44.578</v>
      </c>
      <c r="C8984" t="str">
        <f>"19:16:44.278"</f>
        <v>19:16:44.278</v>
      </c>
      <c r="D8984" t="s">
        <v>3459</v>
      </c>
      <c r="E8984">
        <v>30.439639</v>
      </c>
      <c r="F8984" t="s">
        <v>3460</v>
      </c>
      <c r="G8984">
        <v>-89.751626999999999</v>
      </c>
      <c r="H8984">
        <v>1000</v>
      </c>
      <c r="I8984">
        <v>112</v>
      </c>
      <c r="J8984">
        <v>-68</v>
      </c>
      <c r="K8984">
        <v>-128</v>
      </c>
      <c r="L8984">
        <v>1200</v>
      </c>
      <c r="M8984" t="str">
        <f t="shared" si="817"/>
        <v xml:space="preserve">N35DC   </v>
      </c>
      <c r="N8984">
        <v>1</v>
      </c>
      <c r="O8984">
        <v>1000</v>
      </c>
    </row>
    <row r="8985" spans="1:15" x14ac:dyDescent="0.25">
      <c r="A8985" t="str">
        <f>"10/21/2020 19:16:36.612"</f>
        <v>10/21/2020 19:16:36.612</v>
      </c>
      <c r="B8985" t="str">
        <f>"19:16:44.578"</f>
        <v>19:16:44.578</v>
      </c>
      <c r="C8985" t="str">
        <f>"19:16:44.278"</f>
        <v>19:16:44.278</v>
      </c>
      <c r="D8985" t="s">
        <v>3459</v>
      </c>
      <c r="E8985">
        <v>30.439639</v>
      </c>
      <c r="F8985" t="s">
        <v>3460</v>
      </c>
      <c r="G8985">
        <v>-89.751626999999999</v>
      </c>
      <c r="H8985">
        <v>1000</v>
      </c>
      <c r="I8985">
        <v>112</v>
      </c>
      <c r="J8985">
        <v>-68</v>
      </c>
      <c r="K8985">
        <v>-128</v>
      </c>
      <c r="L8985">
        <v>1200</v>
      </c>
      <c r="M8985" t="str">
        <f t="shared" si="817"/>
        <v xml:space="preserve">N35DC   </v>
      </c>
      <c r="N8985">
        <v>1</v>
      </c>
      <c r="O8985">
        <v>1000</v>
      </c>
    </row>
    <row r="8986" spans="1:15" x14ac:dyDescent="0.25">
      <c r="A8986" t="str">
        <f>"10/21/2020 19:16:36.612"</f>
        <v>10/21/2020 19:16:36.612</v>
      </c>
      <c r="B8986" t="str">
        <f>"19:16:44.578"</f>
        <v>19:16:44.578</v>
      </c>
      <c r="C8986" t="str">
        <f>"19:16:44.278"</f>
        <v>19:16:44.278</v>
      </c>
      <c r="D8986" t="s">
        <v>3459</v>
      </c>
      <c r="E8986">
        <v>30.439639</v>
      </c>
      <c r="F8986" t="s">
        <v>3460</v>
      </c>
      <c r="G8986">
        <v>-89.751626999999999</v>
      </c>
      <c r="H8986">
        <v>1000</v>
      </c>
      <c r="I8986">
        <v>112</v>
      </c>
      <c r="J8986">
        <v>-68</v>
      </c>
      <c r="K8986">
        <v>-128</v>
      </c>
      <c r="L8986">
        <v>1200</v>
      </c>
      <c r="M8986" t="str">
        <f t="shared" si="817"/>
        <v xml:space="preserve">N35DC   </v>
      </c>
      <c r="N8986">
        <v>1</v>
      </c>
      <c r="O8986">
        <v>1000</v>
      </c>
    </row>
    <row r="8987" spans="1:15" x14ac:dyDescent="0.25">
      <c r="A8987" t="str">
        <f>"10/21/2020 19:16:36.612"</f>
        <v>10/21/2020 19:16:36.612</v>
      </c>
      <c r="B8987" t="str">
        <f>"19:16:44.578"</f>
        <v>19:16:44.578</v>
      </c>
      <c r="C8987" t="str">
        <f>"19:16:44.278"</f>
        <v>19:16:44.278</v>
      </c>
      <c r="D8987" t="s">
        <v>3459</v>
      </c>
      <c r="E8987">
        <v>30.439639</v>
      </c>
      <c r="F8987" t="s">
        <v>3460</v>
      </c>
      <c r="G8987">
        <v>-89.751626999999999</v>
      </c>
      <c r="H8987">
        <v>1000</v>
      </c>
      <c r="I8987">
        <v>112</v>
      </c>
      <c r="J8987">
        <v>-68</v>
      </c>
      <c r="K8987">
        <v>-128</v>
      </c>
      <c r="L8987">
        <v>1200</v>
      </c>
      <c r="M8987" t="str">
        <f t="shared" si="817"/>
        <v xml:space="preserve">N35DC   </v>
      </c>
      <c r="N8987">
        <v>1</v>
      </c>
      <c r="O8987">
        <v>1000</v>
      </c>
    </row>
    <row r="8988" spans="1:15" x14ac:dyDescent="0.25">
      <c r="A8988" t="str">
        <f>"10/21/2020 19:16:36.612"</f>
        <v>10/21/2020 19:16:36.612</v>
      </c>
      <c r="B8988" t="str">
        <f>"19:16:44.578"</f>
        <v>19:16:44.578</v>
      </c>
      <c r="C8988" t="str">
        <f>"19:16:44.278"</f>
        <v>19:16:44.278</v>
      </c>
      <c r="D8988" t="s">
        <v>3459</v>
      </c>
      <c r="E8988">
        <v>30.439639</v>
      </c>
      <c r="F8988" t="s">
        <v>3460</v>
      </c>
      <c r="G8988">
        <v>-89.751626999999999</v>
      </c>
      <c r="H8988">
        <v>1000</v>
      </c>
      <c r="I8988">
        <v>112</v>
      </c>
      <c r="J8988">
        <v>-68</v>
      </c>
      <c r="K8988">
        <v>-128</v>
      </c>
      <c r="L8988">
        <v>1200</v>
      </c>
      <c r="M8988" t="str">
        <f t="shared" si="817"/>
        <v xml:space="preserve">N35DC   </v>
      </c>
      <c r="N8988">
        <v>1</v>
      </c>
      <c r="O8988">
        <v>1000</v>
      </c>
    </row>
    <row r="8989" spans="1:15" x14ac:dyDescent="0.25">
      <c r="A8989" t="str">
        <f>"10/21/2020 19:16:39.766"</f>
        <v>10/21/2020 19:16:39.766</v>
      </c>
      <c r="B8989" t="str">
        <f>"19:16:47.727"</f>
        <v>19:16:47.727</v>
      </c>
      <c r="C8989" t="str">
        <f>"19:16:47.527"</f>
        <v>19:16:47.527</v>
      </c>
      <c r="D8989" t="s">
        <v>3057</v>
      </c>
      <c r="E8989">
        <v>30.438502</v>
      </c>
      <c r="F8989" t="s">
        <v>3461</v>
      </c>
      <c r="G8989">
        <v>-89.749846000000005</v>
      </c>
      <c r="H8989">
        <v>1000</v>
      </c>
      <c r="I8989">
        <v>103</v>
      </c>
      <c r="J8989">
        <v>-81</v>
      </c>
      <c r="K8989">
        <v>192</v>
      </c>
      <c r="L8989">
        <v>1200</v>
      </c>
      <c r="M8989" t="str">
        <f t="shared" si="817"/>
        <v xml:space="preserve">N35DC   </v>
      </c>
      <c r="N8989">
        <v>1</v>
      </c>
      <c r="O8989">
        <v>1000</v>
      </c>
    </row>
    <row r="8990" spans="1:15" x14ac:dyDescent="0.25">
      <c r="A8990" t="str">
        <f>"10/21/2020 19:16:39.766"</f>
        <v>10/21/2020 19:16:39.766</v>
      </c>
      <c r="B8990" t="str">
        <f>"19:16:47.727"</f>
        <v>19:16:47.727</v>
      </c>
      <c r="C8990" t="str">
        <f>"19:16:47.527"</f>
        <v>19:16:47.527</v>
      </c>
      <c r="D8990" t="s">
        <v>3057</v>
      </c>
      <c r="E8990">
        <v>30.438502</v>
      </c>
      <c r="F8990" t="s">
        <v>3461</v>
      </c>
      <c r="G8990">
        <v>-89.749846000000005</v>
      </c>
      <c r="H8990">
        <v>1000</v>
      </c>
      <c r="I8990">
        <v>103</v>
      </c>
      <c r="J8990">
        <v>-81</v>
      </c>
      <c r="K8990">
        <v>192</v>
      </c>
      <c r="L8990">
        <v>1200</v>
      </c>
      <c r="M8990" t="str">
        <f t="shared" si="817"/>
        <v xml:space="preserve">N35DC   </v>
      </c>
      <c r="N8990">
        <v>1</v>
      </c>
      <c r="O8990">
        <v>1000</v>
      </c>
    </row>
    <row r="8991" spans="1:15" x14ac:dyDescent="0.25">
      <c r="A8991" t="str">
        <f>"10/21/2020 19:16:39.766"</f>
        <v>10/21/2020 19:16:39.766</v>
      </c>
      <c r="B8991" t="str">
        <f>"19:16:47.727"</f>
        <v>19:16:47.727</v>
      </c>
      <c r="C8991" t="str">
        <f>"19:16:47.527"</f>
        <v>19:16:47.527</v>
      </c>
      <c r="D8991" t="s">
        <v>3057</v>
      </c>
      <c r="E8991">
        <v>30.438502</v>
      </c>
      <c r="F8991" t="s">
        <v>3461</v>
      </c>
      <c r="G8991">
        <v>-89.749846000000005</v>
      </c>
      <c r="H8991">
        <v>1000</v>
      </c>
      <c r="I8991">
        <v>103</v>
      </c>
      <c r="J8991">
        <v>-81</v>
      </c>
      <c r="K8991">
        <v>192</v>
      </c>
      <c r="L8991">
        <v>1200</v>
      </c>
      <c r="M8991" t="str">
        <f t="shared" si="817"/>
        <v xml:space="preserve">N35DC   </v>
      </c>
      <c r="N8991">
        <v>1</v>
      </c>
      <c r="O8991">
        <v>1000</v>
      </c>
    </row>
    <row r="8992" spans="1:15" x14ac:dyDescent="0.25">
      <c r="A8992" t="str">
        <f>"10/21/2020 19:16:39.766"</f>
        <v>10/21/2020 19:16:39.766</v>
      </c>
      <c r="B8992" t="str">
        <f>"19:16:47.727"</f>
        <v>19:16:47.727</v>
      </c>
      <c r="C8992" t="str">
        <f>"19:16:47.527"</f>
        <v>19:16:47.527</v>
      </c>
      <c r="D8992" t="s">
        <v>3057</v>
      </c>
      <c r="E8992">
        <v>30.438502</v>
      </c>
      <c r="F8992" t="s">
        <v>3461</v>
      </c>
      <c r="G8992">
        <v>-89.749846000000005</v>
      </c>
      <c r="H8992">
        <v>1000</v>
      </c>
      <c r="I8992">
        <v>103</v>
      </c>
      <c r="J8992">
        <v>-81</v>
      </c>
      <c r="K8992">
        <v>192</v>
      </c>
      <c r="L8992">
        <v>1200</v>
      </c>
      <c r="M8992" t="str">
        <f t="shared" si="817"/>
        <v xml:space="preserve">N35DC   </v>
      </c>
      <c r="N8992">
        <v>1</v>
      </c>
      <c r="O8992">
        <v>1000</v>
      </c>
    </row>
    <row r="8993" spans="1:15" x14ac:dyDescent="0.25">
      <c r="A8993" t="str">
        <f>"10/21/2020 19:16:39.766"</f>
        <v>10/21/2020 19:16:39.766</v>
      </c>
      <c r="B8993" t="str">
        <f>"19:16:47.727"</f>
        <v>19:16:47.727</v>
      </c>
      <c r="C8993" t="str">
        <f>"19:16:47.527"</f>
        <v>19:16:47.527</v>
      </c>
      <c r="D8993" t="s">
        <v>3057</v>
      </c>
      <c r="E8993">
        <v>30.438502</v>
      </c>
      <c r="F8993" t="s">
        <v>3461</v>
      </c>
      <c r="G8993">
        <v>-89.749846000000005</v>
      </c>
      <c r="H8993">
        <v>1000</v>
      </c>
      <c r="I8993">
        <v>103</v>
      </c>
      <c r="J8993">
        <v>-81</v>
      </c>
      <c r="K8993">
        <v>192</v>
      </c>
      <c r="L8993">
        <v>1200</v>
      </c>
      <c r="M8993" t="str">
        <f t="shared" si="817"/>
        <v xml:space="preserve">N35DC   </v>
      </c>
      <c r="N8993">
        <v>1</v>
      </c>
      <c r="O8993">
        <v>1000</v>
      </c>
    </row>
    <row r="8994" spans="1:15" x14ac:dyDescent="0.25">
      <c r="A8994" t="str">
        <f>"10/21/2020 19:16:40.846"</f>
        <v>10/21/2020 19:16:40.846</v>
      </c>
      <c r="B8994" t="str">
        <f>"19:16:48.797"</f>
        <v>19:16:48.797</v>
      </c>
      <c r="C8994" t="str">
        <f>"19:16:48.397"</f>
        <v>19:16:48.397</v>
      </c>
      <c r="D8994" t="s">
        <v>3462</v>
      </c>
      <c r="E8994">
        <v>30.438072999999999</v>
      </c>
      <c r="F8994" t="s">
        <v>3463</v>
      </c>
      <c r="G8994">
        <v>-89.749245999999999</v>
      </c>
      <c r="H8994">
        <v>1000</v>
      </c>
      <c r="I8994">
        <v>101</v>
      </c>
      <c r="J8994">
        <v>-84</v>
      </c>
      <c r="K8994">
        <v>192</v>
      </c>
      <c r="L8994">
        <v>1200</v>
      </c>
      <c r="M8994" t="str">
        <f t="shared" si="817"/>
        <v xml:space="preserve">N35DC   </v>
      </c>
      <c r="N8994">
        <v>1</v>
      </c>
      <c r="O8994">
        <v>1000</v>
      </c>
    </row>
    <row r="8995" spans="1:15" x14ac:dyDescent="0.25">
      <c r="A8995" t="str">
        <f>"10/21/2020 19:16:40.846"</f>
        <v>10/21/2020 19:16:40.846</v>
      </c>
      <c r="B8995" t="str">
        <f>"19:16:48.797"</f>
        <v>19:16:48.797</v>
      </c>
      <c r="C8995" t="str">
        <f>"19:16:48.397"</f>
        <v>19:16:48.397</v>
      </c>
      <c r="D8995" t="s">
        <v>3462</v>
      </c>
      <c r="E8995">
        <v>30.438072999999999</v>
      </c>
      <c r="F8995" t="s">
        <v>3463</v>
      </c>
      <c r="G8995">
        <v>-89.749245999999999</v>
      </c>
      <c r="H8995">
        <v>1000</v>
      </c>
      <c r="I8995">
        <v>101</v>
      </c>
      <c r="J8995">
        <v>-84</v>
      </c>
      <c r="K8995">
        <v>192</v>
      </c>
      <c r="L8995">
        <v>1200</v>
      </c>
      <c r="M8995" t="str">
        <f t="shared" si="817"/>
        <v xml:space="preserve">N35DC   </v>
      </c>
      <c r="N8995">
        <v>1</v>
      </c>
      <c r="O8995">
        <v>1000</v>
      </c>
    </row>
    <row r="8996" spans="1:15" x14ac:dyDescent="0.25">
      <c r="A8996" t="str">
        <f>"10/21/2020 19:16:40.846"</f>
        <v>10/21/2020 19:16:40.846</v>
      </c>
      <c r="B8996" t="str">
        <f>"19:16:48.797"</f>
        <v>19:16:48.797</v>
      </c>
      <c r="C8996" t="str">
        <f>"19:16:48.397"</f>
        <v>19:16:48.397</v>
      </c>
      <c r="D8996" t="s">
        <v>3462</v>
      </c>
      <c r="E8996">
        <v>30.438072999999999</v>
      </c>
      <c r="F8996" t="s">
        <v>3463</v>
      </c>
      <c r="G8996">
        <v>-89.749245999999999</v>
      </c>
      <c r="H8996">
        <v>1000</v>
      </c>
      <c r="I8996">
        <v>101</v>
      </c>
      <c r="J8996">
        <v>-84</v>
      </c>
      <c r="K8996">
        <v>192</v>
      </c>
      <c r="L8996">
        <v>1200</v>
      </c>
      <c r="M8996" t="str">
        <f t="shared" si="817"/>
        <v xml:space="preserve">N35DC   </v>
      </c>
      <c r="N8996">
        <v>1</v>
      </c>
      <c r="O8996">
        <v>1000</v>
      </c>
    </row>
    <row r="8997" spans="1:15" x14ac:dyDescent="0.25">
      <c r="A8997" t="str">
        <f>"10/21/2020 19:16:40.846"</f>
        <v>10/21/2020 19:16:40.846</v>
      </c>
      <c r="B8997" t="str">
        <f>"19:16:48.797"</f>
        <v>19:16:48.797</v>
      </c>
      <c r="C8997" t="str">
        <f>"19:16:48.397"</f>
        <v>19:16:48.397</v>
      </c>
      <c r="D8997" t="s">
        <v>3462</v>
      </c>
      <c r="E8997">
        <v>30.438072999999999</v>
      </c>
      <c r="F8997" t="s">
        <v>3463</v>
      </c>
      <c r="G8997">
        <v>-89.749245999999999</v>
      </c>
      <c r="H8997">
        <v>1000</v>
      </c>
      <c r="I8997">
        <v>101</v>
      </c>
      <c r="J8997">
        <v>-84</v>
      </c>
      <c r="K8997">
        <v>192</v>
      </c>
      <c r="L8997">
        <v>1200</v>
      </c>
      <c r="M8997" t="str">
        <f t="shared" si="817"/>
        <v xml:space="preserve">N35DC   </v>
      </c>
      <c r="N8997">
        <v>1</v>
      </c>
      <c r="O8997">
        <v>1000</v>
      </c>
    </row>
    <row r="8998" spans="1:15" x14ac:dyDescent="0.25">
      <c r="A8998" t="str">
        <f>"10/21/2020 19:16:40.846"</f>
        <v>10/21/2020 19:16:40.846</v>
      </c>
      <c r="B8998" t="str">
        <f>"19:16:48.797"</f>
        <v>19:16:48.797</v>
      </c>
      <c r="C8998" t="str">
        <f>"19:16:48.397"</f>
        <v>19:16:48.397</v>
      </c>
      <c r="D8998" t="s">
        <v>3462</v>
      </c>
      <c r="E8998">
        <v>30.438072999999999</v>
      </c>
      <c r="F8998" t="s">
        <v>3463</v>
      </c>
      <c r="G8998">
        <v>-89.749245999999999</v>
      </c>
      <c r="H8998">
        <v>1000</v>
      </c>
      <c r="I8998">
        <v>101</v>
      </c>
      <c r="J8998">
        <v>-84</v>
      </c>
      <c r="K8998">
        <v>192</v>
      </c>
      <c r="L8998">
        <v>1200</v>
      </c>
      <c r="M8998" t="str">
        <f t="shared" si="817"/>
        <v xml:space="preserve">N35DC   </v>
      </c>
      <c r="N8998">
        <v>1</v>
      </c>
      <c r="O8998">
        <v>1000</v>
      </c>
    </row>
    <row r="8999" spans="1:15" x14ac:dyDescent="0.25">
      <c r="A8999" t="str">
        <f>"10/21/2020 19:16:41.712"</f>
        <v>10/21/2020 19:16:41.712</v>
      </c>
      <c r="B8999" t="str">
        <f>"19:16:49.664"</f>
        <v>19:16:49.664</v>
      </c>
      <c r="C8999" t="str">
        <f>"19:16:49.464"</f>
        <v>19:16:49.464</v>
      </c>
      <c r="D8999" t="s">
        <v>3422</v>
      </c>
      <c r="E8999">
        <v>30.437708000000001</v>
      </c>
      <c r="F8999" t="s">
        <v>3464</v>
      </c>
      <c r="G8999">
        <v>-89.748816000000005</v>
      </c>
      <c r="H8999">
        <v>1000</v>
      </c>
      <c r="I8999">
        <v>98</v>
      </c>
      <c r="J8999">
        <v>-88</v>
      </c>
      <c r="K8999">
        <v>128</v>
      </c>
      <c r="L8999">
        <v>1200</v>
      </c>
      <c r="M8999" t="str">
        <f t="shared" si="817"/>
        <v xml:space="preserve">N35DC   </v>
      </c>
      <c r="N8999">
        <v>1</v>
      </c>
      <c r="O8999">
        <v>1025</v>
      </c>
    </row>
    <row r="9000" spans="1:15" x14ac:dyDescent="0.25">
      <c r="A9000" t="str">
        <f>"10/21/2020 19:16:41.712"</f>
        <v>10/21/2020 19:16:41.712</v>
      </c>
      <c r="B9000" t="str">
        <f>"19:16:49.664"</f>
        <v>19:16:49.664</v>
      </c>
      <c r="C9000" t="str">
        <f>"19:16:49.464"</f>
        <v>19:16:49.464</v>
      </c>
      <c r="D9000" t="s">
        <v>3422</v>
      </c>
      <c r="E9000">
        <v>30.437708000000001</v>
      </c>
      <c r="F9000" t="s">
        <v>3464</v>
      </c>
      <c r="G9000">
        <v>-89.748816000000005</v>
      </c>
      <c r="H9000">
        <v>1000</v>
      </c>
      <c r="I9000">
        <v>98</v>
      </c>
      <c r="J9000">
        <v>-88</v>
      </c>
      <c r="K9000">
        <v>128</v>
      </c>
      <c r="L9000">
        <v>1200</v>
      </c>
      <c r="M9000" t="str">
        <f t="shared" si="817"/>
        <v xml:space="preserve">N35DC   </v>
      </c>
      <c r="N9000">
        <v>1</v>
      </c>
      <c r="O9000">
        <v>1025</v>
      </c>
    </row>
    <row r="9001" spans="1:15" x14ac:dyDescent="0.25">
      <c r="A9001" t="str">
        <f>"10/21/2020 19:16:41.712"</f>
        <v>10/21/2020 19:16:41.712</v>
      </c>
      <c r="B9001" t="str">
        <f>"19:16:49.664"</f>
        <v>19:16:49.664</v>
      </c>
      <c r="C9001" t="str">
        <f>"19:16:49.464"</f>
        <v>19:16:49.464</v>
      </c>
      <c r="D9001" t="s">
        <v>3422</v>
      </c>
      <c r="E9001">
        <v>30.437708000000001</v>
      </c>
      <c r="F9001" t="s">
        <v>3464</v>
      </c>
      <c r="G9001">
        <v>-89.748816000000005</v>
      </c>
      <c r="H9001">
        <v>1000</v>
      </c>
      <c r="I9001">
        <v>98</v>
      </c>
      <c r="J9001">
        <v>-88</v>
      </c>
      <c r="K9001">
        <v>128</v>
      </c>
      <c r="L9001">
        <v>1200</v>
      </c>
      <c r="M9001" t="str">
        <f t="shared" si="817"/>
        <v xml:space="preserve">N35DC   </v>
      </c>
      <c r="N9001">
        <v>1</v>
      </c>
      <c r="O9001">
        <v>1025</v>
      </c>
    </row>
    <row r="9002" spans="1:15" x14ac:dyDescent="0.25">
      <c r="A9002" t="str">
        <f>"10/21/2020 19:16:41.712"</f>
        <v>10/21/2020 19:16:41.712</v>
      </c>
      <c r="B9002" t="str">
        <f>"19:16:49.664"</f>
        <v>19:16:49.664</v>
      </c>
      <c r="C9002" t="str">
        <f>"19:16:49.464"</f>
        <v>19:16:49.464</v>
      </c>
      <c r="D9002" t="s">
        <v>3422</v>
      </c>
      <c r="E9002">
        <v>30.437708000000001</v>
      </c>
      <c r="F9002" t="s">
        <v>3464</v>
      </c>
      <c r="G9002">
        <v>-89.748816000000005</v>
      </c>
      <c r="H9002">
        <v>1000</v>
      </c>
      <c r="I9002">
        <v>98</v>
      </c>
      <c r="J9002">
        <v>-88</v>
      </c>
      <c r="K9002">
        <v>128</v>
      </c>
      <c r="L9002">
        <v>1200</v>
      </c>
      <c r="M9002" t="str">
        <f t="shared" si="817"/>
        <v xml:space="preserve">N35DC   </v>
      </c>
      <c r="N9002">
        <v>1</v>
      </c>
      <c r="O9002">
        <v>1025</v>
      </c>
    </row>
    <row r="9003" spans="1:15" x14ac:dyDescent="0.25">
      <c r="A9003" t="str">
        <f>"10/21/2020 19:16:41.712"</f>
        <v>10/21/2020 19:16:41.712</v>
      </c>
      <c r="B9003" t="str">
        <f>"19:16:49.664"</f>
        <v>19:16:49.664</v>
      </c>
      <c r="C9003" t="str">
        <f>"19:16:49.464"</f>
        <v>19:16:49.464</v>
      </c>
      <c r="D9003" t="s">
        <v>3422</v>
      </c>
      <c r="E9003">
        <v>30.437708000000001</v>
      </c>
      <c r="F9003" t="s">
        <v>3464</v>
      </c>
      <c r="G9003">
        <v>-89.748816000000005</v>
      </c>
      <c r="H9003">
        <v>1000</v>
      </c>
      <c r="I9003">
        <v>98</v>
      </c>
      <c r="J9003">
        <v>-88</v>
      </c>
      <c r="K9003">
        <v>128</v>
      </c>
      <c r="L9003">
        <v>1200</v>
      </c>
      <c r="M9003" t="str">
        <f t="shared" si="817"/>
        <v xml:space="preserve">N35DC   </v>
      </c>
      <c r="N9003">
        <v>1</v>
      </c>
      <c r="O9003">
        <v>1025</v>
      </c>
    </row>
    <row r="9004" spans="1:15" x14ac:dyDescent="0.25">
      <c r="A9004" t="str">
        <f>"10/21/2020 19:16:44.696"</f>
        <v>10/21/2020 19:16:44.696</v>
      </c>
      <c r="B9004" t="str">
        <f>"19:16:52.664"</f>
        <v>19:16:52.664</v>
      </c>
      <c r="C9004" t="str">
        <f>"19:16:52.364"</f>
        <v>19:16:52.364</v>
      </c>
      <c r="D9004" t="s">
        <v>3465</v>
      </c>
      <c r="E9004">
        <v>30.436419999999998</v>
      </c>
      <c r="F9004" t="s">
        <v>2632</v>
      </c>
      <c r="G9004">
        <v>-89.747314000000003</v>
      </c>
      <c r="H9004">
        <v>1000</v>
      </c>
      <c r="I9004">
        <v>87</v>
      </c>
      <c r="J9004">
        <v>-98</v>
      </c>
      <c r="K9004">
        <v>512</v>
      </c>
      <c r="L9004">
        <v>1200</v>
      </c>
      <c r="M9004" t="str">
        <f t="shared" si="817"/>
        <v xml:space="preserve">N35DC   </v>
      </c>
      <c r="N9004">
        <v>1</v>
      </c>
      <c r="O9004">
        <v>1025</v>
      </c>
    </row>
    <row r="9005" spans="1:15" x14ac:dyDescent="0.25">
      <c r="A9005" t="str">
        <f>"10/21/2020 19:16:44.696"</f>
        <v>10/21/2020 19:16:44.696</v>
      </c>
      <c r="B9005" t="str">
        <f>"19:16:52.664"</f>
        <v>19:16:52.664</v>
      </c>
      <c r="C9005" t="str">
        <f>"19:16:52.364"</f>
        <v>19:16:52.364</v>
      </c>
      <c r="D9005" t="s">
        <v>3465</v>
      </c>
      <c r="E9005">
        <v>30.436419999999998</v>
      </c>
      <c r="F9005" t="s">
        <v>2632</v>
      </c>
      <c r="G9005">
        <v>-89.747314000000003</v>
      </c>
      <c r="H9005">
        <v>1000</v>
      </c>
      <c r="I9005">
        <v>87</v>
      </c>
      <c r="J9005">
        <v>-98</v>
      </c>
      <c r="K9005">
        <v>512</v>
      </c>
      <c r="L9005">
        <v>1200</v>
      </c>
      <c r="M9005" t="str">
        <f t="shared" si="817"/>
        <v xml:space="preserve">N35DC   </v>
      </c>
      <c r="N9005">
        <v>1</v>
      </c>
      <c r="O9005">
        <v>1025</v>
      </c>
    </row>
    <row r="9006" spans="1:15" x14ac:dyDescent="0.25">
      <c r="A9006" t="str">
        <f>"10/21/2020 19:16:44.696"</f>
        <v>10/21/2020 19:16:44.696</v>
      </c>
      <c r="B9006" t="str">
        <f>"19:16:52.664"</f>
        <v>19:16:52.664</v>
      </c>
      <c r="C9006" t="str">
        <f>"19:16:52.364"</f>
        <v>19:16:52.364</v>
      </c>
      <c r="D9006" t="s">
        <v>3465</v>
      </c>
      <c r="E9006">
        <v>30.436419999999998</v>
      </c>
      <c r="F9006" t="s">
        <v>2632</v>
      </c>
      <c r="G9006">
        <v>-89.747314000000003</v>
      </c>
      <c r="H9006">
        <v>1000</v>
      </c>
      <c r="I9006">
        <v>87</v>
      </c>
      <c r="J9006">
        <v>-98</v>
      </c>
      <c r="K9006">
        <v>512</v>
      </c>
      <c r="L9006">
        <v>1200</v>
      </c>
      <c r="M9006" t="str">
        <f t="shared" si="817"/>
        <v xml:space="preserve">N35DC   </v>
      </c>
      <c r="N9006">
        <v>1</v>
      </c>
      <c r="O9006">
        <v>1025</v>
      </c>
    </row>
    <row r="9007" spans="1:15" x14ac:dyDescent="0.25">
      <c r="A9007" t="str">
        <f>"10/21/2020 19:16:44.696"</f>
        <v>10/21/2020 19:16:44.696</v>
      </c>
      <c r="B9007" t="str">
        <f>"19:16:52.664"</f>
        <v>19:16:52.664</v>
      </c>
      <c r="C9007" t="str">
        <f>"19:16:52.364"</f>
        <v>19:16:52.364</v>
      </c>
      <c r="D9007" t="s">
        <v>3465</v>
      </c>
      <c r="E9007">
        <v>30.436419999999998</v>
      </c>
      <c r="F9007" t="s">
        <v>2632</v>
      </c>
      <c r="G9007">
        <v>-89.747314000000003</v>
      </c>
      <c r="H9007">
        <v>1000</v>
      </c>
      <c r="I9007">
        <v>87</v>
      </c>
      <c r="J9007">
        <v>-98</v>
      </c>
      <c r="K9007">
        <v>512</v>
      </c>
      <c r="L9007">
        <v>1200</v>
      </c>
      <c r="M9007" t="str">
        <f t="shared" si="817"/>
        <v xml:space="preserve">N35DC   </v>
      </c>
      <c r="N9007">
        <v>1</v>
      </c>
      <c r="O9007">
        <v>1025</v>
      </c>
    </row>
    <row r="9008" spans="1:15" x14ac:dyDescent="0.25">
      <c r="A9008" t="str">
        <f>"10/21/2020 19:16:44.696"</f>
        <v>10/21/2020 19:16:44.696</v>
      </c>
      <c r="B9008" t="str">
        <f>"19:16:52.664"</f>
        <v>19:16:52.664</v>
      </c>
      <c r="C9008" t="str">
        <f>"19:16:52.364"</f>
        <v>19:16:52.364</v>
      </c>
      <c r="D9008" t="s">
        <v>3465</v>
      </c>
      <c r="E9008">
        <v>30.436419999999998</v>
      </c>
      <c r="F9008" t="s">
        <v>2632</v>
      </c>
      <c r="G9008">
        <v>-89.747314000000003</v>
      </c>
      <c r="H9008">
        <v>1000</v>
      </c>
      <c r="I9008">
        <v>87</v>
      </c>
      <c r="J9008">
        <v>-98</v>
      </c>
      <c r="K9008">
        <v>512</v>
      </c>
      <c r="L9008">
        <v>1200</v>
      </c>
      <c r="M9008" t="str">
        <f t="shared" si="817"/>
        <v xml:space="preserve">N35DC   </v>
      </c>
      <c r="N9008">
        <v>1</v>
      </c>
      <c r="O9008">
        <v>1025</v>
      </c>
    </row>
    <row r="9009" spans="1:15" x14ac:dyDescent="0.25">
      <c r="A9009" t="str">
        <f>"10/21/2020 19:16:45.677"</f>
        <v>10/21/2020 19:16:45.677</v>
      </c>
      <c r="B9009" t="str">
        <f>"19:16:53.641"</f>
        <v>19:16:53.641</v>
      </c>
      <c r="C9009" t="str">
        <f>"19:16:53.341"</f>
        <v>19:16:53.341</v>
      </c>
      <c r="D9009" t="s">
        <v>3416</v>
      </c>
      <c r="E9009">
        <v>30.435927</v>
      </c>
      <c r="F9009" t="s">
        <v>3466</v>
      </c>
      <c r="G9009">
        <v>-89.746927999999997</v>
      </c>
      <c r="H9009">
        <v>1000</v>
      </c>
      <c r="I9009">
        <v>82</v>
      </c>
      <c r="J9009">
        <v>-102</v>
      </c>
      <c r="K9009">
        <v>640</v>
      </c>
      <c r="L9009">
        <v>1200</v>
      </c>
      <c r="M9009" t="str">
        <f t="shared" si="817"/>
        <v xml:space="preserve">N35DC   </v>
      </c>
      <c r="N9009">
        <v>1</v>
      </c>
      <c r="O9009">
        <v>1050</v>
      </c>
    </row>
    <row r="9010" spans="1:15" x14ac:dyDescent="0.25">
      <c r="A9010" t="str">
        <f>"10/21/2020 19:16:45.677"</f>
        <v>10/21/2020 19:16:45.677</v>
      </c>
      <c r="B9010" t="str">
        <f>"19:16:53.641"</f>
        <v>19:16:53.641</v>
      </c>
      <c r="C9010" t="str">
        <f>"19:16:53.341"</f>
        <v>19:16:53.341</v>
      </c>
      <c r="D9010" t="s">
        <v>3416</v>
      </c>
      <c r="E9010">
        <v>30.435927</v>
      </c>
      <c r="F9010" t="s">
        <v>3466</v>
      </c>
      <c r="G9010">
        <v>-89.746927999999997</v>
      </c>
      <c r="H9010">
        <v>1000</v>
      </c>
      <c r="I9010">
        <v>82</v>
      </c>
      <c r="J9010">
        <v>-102</v>
      </c>
      <c r="K9010">
        <v>640</v>
      </c>
      <c r="L9010">
        <v>1200</v>
      </c>
      <c r="M9010" t="str">
        <f t="shared" si="817"/>
        <v xml:space="preserve">N35DC   </v>
      </c>
      <c r="N9010">
        <v>1</v>
      </c>
      <c r="O9010">
        <v>1050</v>
      </c>
    </row>
    <row r="9011" spans="1:15" x14ac:dyDescent="0.25">
      <c r="A9011" t="str">
        <f>"10/21/2020 19:16:45.677"</f>
        <v>10/21/2020 19:16:45.677</v>
      </c>
      <c r="B9011" t="str">
        <f>"19:16:53.641"</f>
        <v>19:16:53.641</v>
      </c>
      <c r="C9011" t="str">
        <f>"19:16:53.341"</f>
        <v>19:16:53.341</v>
      </c>
      <c r="D9011" t="s">
        <v>3416</v>
      </c>
      <c r="E9011">
        <v>30.435927</v>
      </c>
      <c r="F9011" t="s">
        <v>3466</v>
      </c>
      <c r="G9011">
        <v>-89.746927999999997</v>
      </c>
      <c r="H9011">
        <v>1000</v>
      </c>
      <c r="I9011">
        <v>82</v>
      </c>
      <c r="J9011">
        <v>-102</v>
      </c>
      <c r="K9011">
        <v>640</v>
      </c>
      <c r="L9011">
        <v>1200</v>
      </c>
      <c r="M9011" t="str">
        <f t="shared" si="817"/>
        <v xml:space="preserve">N35DC   </v>
      </c>
      <c r="N9011">
        <v>1</v>
      </c>
      <c r="O9011">
        <v>1050</v>
      </c>
    </row>
    <row r="9012" spans="1:15" x14ac:dyDescent="0.25">
      <c r="A9012" t="str">
        <f>"10/21/2020 19:16:45.677"</f>
        <v>10/21/2020 19:16:45.677</v>
      </c>
      <c r="B9012" t="str">
        <f>"19:16:53.641"</f>
        <v>19:16:53.641</v>
      </c>
      <c r="C9012" t="str">
        <f>"19:16:53.341"</f>
        <v>19:16:53.341</v>
      </c>
      <c r="D9012" t="s">
        <v>3416</v>
      </c>
      <c r="E9012">
        <v>30.435927</v>
      </c>
      <c r="F9012" t="s">
        <v>3466</v>
      </c>
      <c r="G9012">
        <v>-89.746927999999997</v>
      </c>
      <c r="H9012">
        <v>1000</v>
      </c>
      <c r="I9012">
        <v>82</v>
      </c>
      <c r="J9012">
        <v>-102</v>
      </c>
      <c r="K9012">
        <v>640</v>
      </c>
      <c r="L9012">
        <v>1200</v>
      </c>
      <c r="M9012" t="str">
        <f t="shared" si="817"/>
        <v xml:space="preserve">N35DC   </v>
      </c>
      <c r="N9012">
        <v>1</v>
      </c>
      <c r="O9012">
        <v>1050</v>
      </c>
    </row>
    <row r="9013" spans="1:15" x14ac:dyDescent="0.25">
      <c r="A9013" t="str">
        <f>"10/21/2020 19:16:45.677"</f>
        <v>10/21/2020 19:16:45.677</v>
      </c>
      <c r="B9013" t="str">
        <f>"19:16:53.641"</f>
        <v>19:16:53.641</v>
      </c>
      <c r="C9013" t="str">
        <f>"19:16:53.341"</f>
        <v>19:16:53.341</v>
      </c>
      <c r="D9013" t="s">
        <v>3416</v>
      </c>
      <c r="E9013">
        <v>30.435927</v>
      </c>
      <c r="F9013" t="s">
        <v>3466</v>
      </c>
      <c r="G9013">
        <v>-89.746927999999997</v>
      </c>
      <c r="H9013">
        <v>1000</v>
      </c>
      <c r="I9013">
        <v>82</v>
      </c>
      <c r="J9013">
        <v>-102</v>
      </c>
      <c r="K9013">
        <v>640</v>
      </c>
      <c r="L9013">
        <v>1200</v>
      </c>
      <c r="M9013" t="str">
        <f t="shared" si="817"/>
        <v xml:space="preserve">N35DC   </v>
      </c>
      <c r="N9013">
        <v>1</v>
      </c>
      <c r="O9013">
        <v>1050</v>
      </c>
    </row>
    <row r="9014" spans="1:15" x14ac:dyDescent="0.25">
      <c r="A9014" t="str">
        <f>"10/21/2020 19:16:47.812"</f>
        <v>10/21/2020 19:16:47.812</v>
      </c>
      <c r="B9014" t="str">
        <f>"19:16:55.766"</f>
        <v>19:16:55.766</v>
      </c>
      <c r="C9014" t="str">
        <f>"19:16:55.466"</f>
        <v>19:16:55.466</v>
      </c>
      <c r="D9014" t="s">
        <v>3467</v>
      </c>
      <c r="E9014">
        <v>30.434875000000002</v>
      </c>
      <c r="F9014" t="s">
        <v>3468</v>
      </c>
      <c r="G9014">
        <v>-89.746070000000003</v>
      </c>
      <c r="H9014">
        <v>1000</v>
      </c>
      <c r="I9014">
        <v>73</v>
      </c>
      <c r="J9014">
        <v>-110</v>
      </c>
      <c r="K9014">
        <v>640</v>
      </c>
      <c r="L9014">
        <v>1200</v>
      </c>
      <c r="M9014" t="str">
        <f t="shared" si="817"/>
        <v xml:space="preserve">N35DC   </v>
      </c>
      <c r="N9014">
        <v>1</v>
      </c>
      <c r="O9014">
        <v>1075</v>
      </c>
    </row>
    <row r="9015" spans="1:15" x14ac:dyDescent="0.25">
      <c r="A9015" t="str">
        <f>"10/21/2020 19:16:47.812"</f>
        <v>10/21/2020 19:16:47.812</v>
      </c>
      <c r="B9015" t="str">
        <f>"19:16:55.766"</f>
        <v>19:16:55.766</v>
      </c>
      <c r="C9015" t="str">
        <f>"19:16:55.466"</f>
        <v>19:16:55.466</v>
      </c>
      <c r="D9015" t="s">
        <v>3467</v>
      </c>
      <c r="E9015">
        <v>30.434875000000002</v>
      </c>
      <c r="F9015" t="s">
        <v>3468</v>
      </c>
      <c r="G9015">
        <v>-89.746070000000003</v>
      </c>
      <c r="H9015">
        <v>1000</v>
      </c>
      <c r="I9015">
        <v>73</v>
      </c>
      <c r="J9015">
        <v>-110</v>
      </c>
      <c r="K9015">
        <v>640</v>
      </c>
      <c r="L9015">
        <v>1200</v>
      </c>
      <c r="M9015" t="str">
        <f t="shared" si="817"/>
        <v xml:space="preserve">N35DC   </v>
      </c>
      <c r="N9015">
        <v>1</v>
      </c>
      <c r="O9015">
        <v>1075</v>
      </c>
    </row>
    <row r="9016" spans="1:15" x14ac:dyDescent="0.25">
      <c r="A9016" t="str">
        <f>"10/21/2020 19:16:47.812"</f>
        <v>10/21/2020 19:16:47.812</v>
      </c>
      <c r="B9016" t="str">
        <f>"19:16:55.766"</f>
        <v>19:16:55.766</v>
      </c>
      <c r="C9016" t="str">
        <f>"19:16:55.466"</f>
        <v>19:16:55.466</v>
      </c>
      <c r="D9016" t="s">
        <v>3467</v>
      </c>
      <c r="E9016">
        <v>30.434875000000002</v>
      </c>
      <c r="F9016" t="s">
        <v>3468</v>
      </c>
      <c r="G9016">
        <v>-89.746070000000003</v>
      </c>
      <c r="H9016">
        <v>1000</v>
      </c>
      <c r="I9016">
        <v>73</v>
      </c>
      <c r="J9016">
        <v>-110</v>
      </c>
      <c r="K9016">
        <v>640</v>
      </c>
      <c r="L9016">
        <v>1200</v>
      </c>
      <c r="M9016" t="str">
        <f t="shared" si="817"/>
        <v xml:space="preserve">N35DC   </v>
      </c>
      <c r="N9016">
        <v>1</v>
      </c>
      <c r="O9016">
        <v>1075</v>
      </c>
    </row>
    <row r="9017" spans="1:15" x14ac:dyDescent="0.25">
      <c r="A9017" t="str">
        <f>"10/21/2020 19:16:47.812"</f>
        <v>10/21/2020 19:16:47.812</v>
      </c>
      <c r="B9017" t="str">
        <f>"19:16:55.766"</f>
        <v>19:16:55.766</v>
      </c>
      <c r="C9017" t="str">
        <f>"19:16:55.466"</f>
        <v>19:16:55.466</v>
      </c>
      <c r="D9017" t="s">
        <v>3467</v>
      </c>
      <c r="E9017">
        <v>30.434875000000002</v>
      </c>
      <c r="F9017" t="s">
        <v>3468</v>
      </c>
      <c r="G9017">
        <v>-89.746070000000003</v>
      </c>
      <c r="H9017">
        <v>1000</v>
      </c>
      <c r="I9017">
        <v>73</v>
      </c>
      <c r="J9017">
        <v>-110</v>
      </c>
      <c r="K9017">
        <v>640</v>
      </c>
      <c r="L9017">
        <v>1200</v>
      </c>
      <c r="M9017" t="str">
        <f t="shared" si="817"/>
        <v xml:space="preserve">N35DC   </v>
      </c>
      <c r="N9017">
        <v>1</v>
      </c>
      <c r="O9017">
        <v>1075</v>
      </c>
    </row>
    <row r="9018" spans="1:15" x14ac:dyDescent="0.25">
      <c r="A9018" t="str">
        <f>"10/21/2020 19:16:47.812"</f>
        <v>10/21/2020 19:16:47.812</v>
      </c>
      <c r="B9018" t="str">
        <f>"19:16:55.766"</f>
        <v>19:16:55.766</v>
      </c>
      <c r="C9018" t="str">
        <f>"19:16:55.466"</f>
        <v>19:16:55.466</v>
      </c>
      <c r="D9018" t="s">
        <v>3467</v>
      </c>
      <c r="E9018">
        <v>30.434875000000002</v>
      </c>
      <c r="F9018" t="s">
        <v>3468</v>
      </c>
      <c r="G9018">
        <v>-89.746070000000003</v>
      </c>
      <c r="H9018">
        <v>1000</v>
      </c>
      <c r="I9018">
        <v>73</v>
      </c>
      <c r="J9018">
        <v>-110</v>
      </c>
      <c r="K9018">
        <v>640</v>
      </c>
      <c r="L9018">
        <v>1200</v>
      </c>
      <c r="M9018" t="str">
        <f t="shared" si="817"/>
        <v xml:space="preserve">N35DC   </v>
      </c>
      <c r="N9018">
        <v>1</v>
      </c>
      <c r="O9018">
        <v>1075</v>
      </c>
    </row>
    <row r="9019" spans="1:15" x14ac:dyDescent="0.25">
      <c r="A9019" t="str">
        <f>"10/21/2020 19:16:48.691"</f>
        <v>10/21/2020 19:16:48.691</v>
      </c>
      <c r="B9019" t="str">
        <f>"19:16:56.656"</f>
        <v>19:16:56.656</v>
      </c>
      <c r="C9019" t="str">
        <f>"19:16:56.456"</f>
        <v>19:16:56.456</v>
      </c>
      <c r="D9019" t="s">
        <v>3469</v>
      </c>
      <c r="E9019">
        <v>30.434403</v>
      </c>
      <c r="F9019" t="s">
        <v>3470</v>
      </c>
      <c r="G9019">
        <v>-89.745769999999993</v>
      </c>
      <c r="H9019">
        <v>1000</v>
      </c>
      <c r="I9019">
        <v>69</v>
      </c>
      <c r="J9019">
        <v>-113</v>
      </c>
      <c r="K9019">
        <v>448</v>
      </c>
      <c r="L9019">
        <v>1200</v>
      </c>
      <c r="M9019" t="str">
        <f t="shared" si="817"/>
        <v xml:space="preserve">N35DC   </v>
      </c>
      <c r="N9019">
        <v>1</v>
      </c>
      <c r="O9019">
        <v>1075</v>
      </c>
    </row>
    <row r="9020" spans="1:15" x14ac:dyDescent="0.25">
      <c r="A9020" t="str">
        <f>"10/21/2020 19:16:48.691"</f>
        <v>10/21/2020 19:16:48.691</v>
      </c>
      <c r="B9020" t="str">
        <f>"19:16:56.656"</f>
        <v>19:16:56.656</v>
      </c>
      <c r="C9020" t="str">
        <f>"19:16:56.456"</f>
        <v>19:16:56.456</v>
      </c>
      <c r="D9020" t="s">
        <v>3469</v>
      </c>
      <c r="E9020">
        <v>30.434403</v>
      </c>
      <c r="F9020" t="s">
        <v>3470</v>
      </c>
      <c r="G9020">
        <v>-89.745769999999993</v>
      </c>
      <c r="H9020">
        <v>1000</v>
      </c>
      <c r="I9020">
        <v>69</v>
      </c>
      <c r="J9020">
        <v>-113</v>
      </c>
      <c r="K9020">
        <v>448</v>
      </c>
      <c r="L9020">
        <v>1200</v>
      </c>
      <c r="M9020" t="str">
        <f t="shared" si="817"/>
        <v xml:space="preserve">N35DC   </v>
      </c>
      <c r="N9020">
        <v>1</v>
      </c>
      <c r="O9020">
        <v>1075</v>
      </c>
    </row>
    <row r="9021" spans="1:15" x14ac:dyDescent="0.25">
      <c r="A9021" t="str">
        <f>"10/21/2020 19:16:48.691"</f>
        <v>10/21/2020 19:16:48.691</v>
      </c>
      <c r="B9021" t="str">
        <f>"19:16:56.656"</f>
        <v>19:16:56.656</v>
      </c>
      <c r="C9021" t="str">
        <f>"19:16:56.456"</f>
        <v>19:16:56.456</v>
      </c>
      <c r="D9021" t="s">
        <v>3469</v>
      </c>
      <c r="E9021">
        <v>30.434403</v>
      </c>
      <c r="F9021" t="s">
        <v>3470</v>
      </c>
      <c r="G9021">
        <v>-89.745769999999993</v>
      </c>
      <c r="H9021">
        <v>1000</v>
      </c>
      <c r="I9021">
        <v>69</v>
      </c>
      <c r="J9021">
        <v>-113</v>
      </c>
      <c r="K9021">
        <v>448</v>
      </c>
      <c r="L9021">
        <v>1200</v>
      </c>
      <c r="M9021" t="str">
        <f t="shared" si="817"/>
        <v xml:space="preserve">N35DC   </v>
      </c>
      <c r="N9021">
        <v>1</v>
      </c>
      <c r="O9021">
        <v>1075</v>
      </c>
    </row>
    <row r="9022" spans="1:15" x14ac:dyDescent="0.25">
      <c r="A9022" t="str">
        <f>"10/21/2020 19:16:48.691"</f>
        <v>10/21/2020 19:16:48.691</v>
      </c>
      <c r="B9022" t="str">
        <f>"19:16:56.656"</f>
        <v>19:16:56.656</v>
      </c>
      <c r="C9022" t="str">
        <f>"19:16:56.456"</f>
        <v>19:16:56.456</v>
      </c>
      <c r="D9022" t="s">
        <v>3469</v>
      </c>
      <c r="E9022">
        <v>30.434403</v>
      </c>
      <c r="F9022" t="s">
        <v>3470</v>
      </c>
      <c r="G9022">
        <v>-89.745769999999993</v>
      </c>
      <c r="H9022">
        <v>1000</v>
      </c>
      <c r="I9022">
        <v>69</v>
      </c>
      <c r="J9022">
        <v>-113</v>
      </c>
      <c r="K9022">
        <v>448</v>
      </c>
      <c r="L9022">
        <v>1200</v>
      </c>
      <c r="M9022" t="str">
        <f t="shared" si="817"/>
        <v xml:space="preserve">N35DC   </v>
      </c>
      <c r="N9022">
        <v>1</v>
      </c>
      <c r="O9022">
        <v>1075</v>
      </c>
    </row>
    <row r="9023" spans="1:15" x14ac:dyDescent="0.25">
      <c r="A9023" t="str">
        <f>"10/21/2020 19:16:48.691"</f>
        <v>10/21/2020 19:16:48.691</v>
      </c>
      <c r="B9023" t="str">
        <f>"19:16:56.656"</f>
        <v>19:16:56.656</v>
      </c>
      <c r="C9023" t="str">
        <f>"19:16:56.456"</f>
        <v>19:16:56.456</v>
      </c>
      <c r="D9023" t="s">
        <v>3469</v>
      </c>
      <c r="E9023">
        <v>30.434403</v>
      </c>
      <c r="F9023" t="s">
        <v>3470</v>
      </c>
      <c r="G9023">
        <v>-89.745769999999993</v>
      </c>
      <c r="H9023">
        <v>1000</v>
      </c>
      <c r="I9023">
        <v>69</v>
      </c>
      <c r="J9023">
        <v>-113</v>
      </c>
      <c r="K9023">
        <v>448</v>
      </c>
      <c r="L9023">
        <v>1200</v>
      </c>
      <c r="M9023" t="str">
        <f t="shared" si="817"/>
        <v xml:space="preserve">N35DC   </v>
      </c>
      <c r="N9023">
        <v>1</v>
      </c>
      <c r="O9023">
        <v>1075</v>
      </c>
    </row>
    <row r="9024" spans="1:15" x14ac:dyDescent="0.25">
      <c r="A9024" t="str">
        <f>"10/21/2020 19:16:51.849"</f>
        <v>10/21/2020 19:16:51.849</v>
      </c>
      <c r="B9024" t="str">
        <f t="shared" ref="B9024:C9028" si="819">"19:16:59.805"</f>
        <v>19:16:59.805</v>
      </c>
      <c r="C9024" t="str">
        <f t="shared" si="819"/>
        <v>19:16:59.805</v>
      </c>
      <c r="D9024" t="s">
        <v>3471</v>
      </c>
      <c r="E9024">
        <v>30.432687000000001</v>
      </c>
      <c r="F9024" t="s">
        <v>3472</v>
      </c>
      <c r="G9024">
        <v>-89.744739999999993</v>
      </c>
      <c r="H9024">
        <v>1100</v>
      </c>
      <c r="I9024">
        <v>57</v>
      </c>
      <c r="J9024">
        <v>-122</v>
      </c>
      <c r="K9024">
        <v>128</v>
      </c>
      <c r="L9024">
        <v>1200</v>
      </c>
      <c r="M9024" t="str">
        <f t="shared" si="817"/>
        <v xml:space="preserve">N35DC   </v>
      </c>
      <c r="N9024">
        <v>1</v>
      </c>
      <c r="O9024">
        <v>1100</v>
      </c>
    </row>
    <row r="9025" spans="1:15" x14ac:dyDescent="0.25">
      <c r="A9025" t="str">
        <f>"10/21/2020 19:16:51.849"</f>
        <v>10/21/2020 19:16:51.849</v>
      </c>
      <c r="B9025" t="str">
        <f t="shared" si="819"/>
        <v>19:16:59.805</v>
      </c>
      <c r="C9025" t="str">
        <f t="shared" si="819"/>
        <v>19:16:59.805</v>
      </c>
      <c r="D9025" t="s">
        <v>3471</v>
      </c>
      <c r="E9025">
        <v>30.432687000000001</v>
      </c>
      <c r="F9025" t="s">
        <v>3472</v>
      </c>
      <c r="G9025">
        <v>-89.744739999999993</v>
      </c>
      <c r="H9025">
        <v>1100</v>
      </c>
      <c r="I9025">
        <v>57</v>
      </c>
      <c r="J9025">
        <v>-122</v>
      </c>
      <c r="K9025">
        <v>128</v>
      </c>
      <c r="L9025">
        <v>1200</v>
      </c>
      <c r="M9025" t="str">
        <f t="shared" si="817"/>
        <v xml:space="preserve">N35DC   </v>
      </c>
      <c r="N9025">
        <v>1</v>
      </c>
      <c r="O9025">
        <v>1100</v>
      </c>
    </row>
    <row r="9026" spans="1:15" x14ac:dyDescent="0.25">
      <c r="A9026" t="str">
        <f>"10/21/2020 19:16:51.849"</f>
        <v>10/21/2020 19:16:51.849</v>
      </c>
      <c r="B9026" t="str">
        <f t="shared" si="819"/>
        <v>19:16:59.805</v>
      </c>
      <c r="C9026" t="str">
        <f t="shared" si="819"/>
        <v>19:16:59.805</v>
      </c>
      <c r="D9026" t="s">
        <v>3471</v>
      </c>
      <c r="E9026">
        <v>30.432687000000001</v>
      </c>
      <c r="F9026" t="s">
        <v>3472</v>
      </c>
      <c r="G9026">
        <v>-89.744739999999993</v>
      </c>
      <c r="H9026">
        <v>1100</v>
      </c>
      <c r="I9026">
        <v>57</v>
      </c>
      <c r="J9026">
        <v>-122</v>
      </c>
      <c r="K9026">
        <v>128</v>
      </c>
      <c r="L9026">
        <v>1200</v>
      </c>
      <c r="M9026" t="str">
        <f t="shared" si="817"/>
        <v xml:space="preserve">N35DC   </v>
      </c>
      <c r="N9026">
        <v>1</v>
      </c>
      <c r="O9026">
        <v>1100</v>
      </c>
    </row>
    <row r="9027" spans="1:15" x14ac:dyDescent="0.25">
      <c r="A9027" t="str">
        <f>"10/21/2020 19:16:51.849"</f>
        <v>10/21/2020 19:16:51.849</v>
      </c>
      <c r="B9027" t="str">
        <f t="shared" si="819"/>
        <v>19:16:59.805</v>
      </c>
      <c r="C9027" t="str">
        <f t="shared" si="819"/>
        <v>19:16:59.805</v>
      </c>
      <c r="D9027" t="s">
        <v>3471</v>
      </c>
      <c r="E9027">
        <v>30.432687000000001</v>
      </c>
      <c r="F9027" t="s">
        <v>3472</v>
      </c>
      <c r="G9027">
        <v>-89.744739999999993</v>
      </c>
      <c r="H9027">
        <v>1100</v>
      </c>
      <c r="I9027">
        <v>57</v>
      </c>
      <c r="J9027">
        <v>-122</v>
      </c>
      <c r="K9027">
        <v>128</v>
      </c>
      <c r="L9027">
        <v>1200</v>
      </c>
      <c r="M9027" t="str">
        <f t="shared" si="817"/>
        <v xml:space="preserve">N35DC   </v>
      </c>
      <c r="N9027">
        <v>1</v>
      </c>
      <c r="O9027">
        <v>1100</v>
      </c>
    </row>
    <row r="9028" spans="1:15" x14ac:dyDescent="0.25">
      <c r="A9028" t="str">
        <f>"10/21/2020 19:16:51.849"</f>
        <v>10/21/2020 19:16:51.849</v>
      </c>
      <c r="B9028" t="str">
        <f t="shared" si="819"/>
        <v>19:16:59.805</v>
      </c>
      <c r="C9028" t="str">
        <f t="shared" si="819"/>
        <v>19:16:59.805</v>
      </c>
      <c r="D9028" t="s">
        <v>3471</v>
      </c>
      <c r="E9028">
        <v>30.432687000000001</v>
      </c>
      <c r="F9028" t="s">
        <v>3472</v>
      </c>
      <c r="G9028">
        <v>-89.744739999999993</v>
      </c>
      <c r="H9028">
        <v>1100</v>
      </c>
      <c r="I9028">
        <v>57</v>
      </c>
      <c r="J9028">
        <v>-122</v>
      </c>
      <c r="K9028">
        <v>128</v>
      </c>
      <c r="L9028">
        <v>1200</v>
      </c>
      <c r="M9028" t="str">
        <f t="shared" si="817"/>
        <v xml:space="preserve">N35DC   </v>
      </c>
      <c r="N9028">
        <v>1</v>
      </c>
      <c r="O9028">
        <v>1100</v>
      </c>
    </row>
    <row r="9029" spans="1:15" x14ac:dyDescent="0.25">
      <c r="A9029" t="str">
        <f>"10/21/2020 19:16:54.859"</f>
        <v>10/21/2020 19:16:54.859</v>
      </c>
      <c r="B9029" t="str">
        <f>"19:17:02.836"</f>
        <v>19:17:02.836</v>
      </c>
      <c r="C9029" t="str">
        <f>"19:17:02.536"</f>
        <v>19:17:02.536</v>
      </c>
      <c r="D9029" t="s">
        <v>3473</v>
      </c>
      <c r="E9029">
        <v>30.430883999999999</v>
      </c>
      <c r="F9029" t="s">
        <v>3474</v>
      </c>
      <c r="G9029">
        <v>-89.743966999999998</v>
      </c>
      <c r="H9029">
        <v>1100</v>
      </c>
      <c r="I9029">
        <v>44</v>
      </c>
      <c r="J9029">
        <v>-130</v>
      </c>
      <c r="K9029">
        <v>256</v>
      </c>
      <c r="L9029">
        <v>1200</v>
      </c>
      <c r="M9029" t="str">
        <f t="shared" si="817"/>
        <v xml:space="preserve">N35DC   </v>
      </c>
      <c r="N9029">
        <v>1</v>
      </c>
      <c r="O9029">
        <v>1100</v>
      </c>
    </row>
    <row r="9030" spans="1:15" x14ac:dyDescent="0.25">
      <c r="A9030" t="str">
        <f>"10/21/2020 19:16:54.859"</f>
        <v>10/21/2020 19:16:54.859</v>
      </c>
      <c r="B9030" t="str">
        <f>"19:17:02.836"</f>
        <v>19:17:02.836</v>
      </c>
      <c r="C9030" t="str">
        <f>"19:17:02.536"</f>
        <v>19:17:02.536</v>
      </c>
      <c r="D9030" t="s">
        <v>3473</v>
      </c>
      <c r="E9030">
        <v>30.430883999999999</v>
      </c>
      <c r="F9030" t="s">
        <v>3474</v>
      </c>
      <c r="G9030">
        <v>-89.743966999999998</v>
      </c>
      <c r="H9030">
        <v>1100</v>
      </c>
      <c r="I9030">
        <v>44</v>
      </c>
      <c r="J9030">
        <v>-130</v>
      </c>
      <c r="K9030">
        <v>256</v>
      </c>
      <c r="L9030">
        <v>1200</v>
      </c>
      <c r="M9030" t="str">
        <f t="shared" si="817"/>
        <v xml:space="preserve">N35DC   </v>
      </c>
      <c r="N9030">
        <v>1</v>
      </c>
      <c r="O9030">
        <v>1100</v>
      </c>
    </row>
    <row r="9031" spans="1:15" x14ac:dyDescent="0.25">
      <c r="A9031" t="str">
        <f>"10/21/2020 19:16:54.859"</f>
        <v>10/21/2020 19:16:54.859</v>
      </c>
      <c r="B9031" t="str">
        <f>"19:17:02.836"</f>
        <v>19:17:02.836</v>
      </c>
      <c r="C9031" t="str">
        <f>"19:17:02.536"</f>
        <v>19:17:02.536</v>
      </c>
      <c r="D9031" t="s">
        <v>3473</v>
      </c>
      <c r="E9031">
        <v>30.430883999999999</v>
      </c>
      <c r="F9031" t="s">
        <v>3474</v>
      </c>
      <c r="G9031">
        <v>-89.743966999999998</v>
      </c>
      <c r="H9031">
        <v>1100</v>
      </c>
      <c r="I9031">
        <v>44</v>
      </c>
      <c r="J9031">
        <v>-130</v>
      </c>
      <c r="K9031">
        <v>256</v>
      </c>
      <c r="L9031">
        <v>1200</v>
      </c>
      <c r="M9031" t="str">
        <f t="shared" ref="M9031:M9094" si="820">"N35DC   "</f>
        <v xml:space="preserve">N35DC   </v>
      </c>
      <c r="N9031">
        <v>1</v>
      </c>
      <c r="O9031">
        <v>1100</v>
      </c>
    </row>
    <row r="9032" spans="1:15" x14ac:dyDescent="0.25">
      <c r="A9032" t="str">
        <f>"10/21/2020 19:16:54.859"</f>
        <v>10/21/2020 19:16:54.859</v>
      </c>
      <c r="B9032" t="str">
        <f>"19:17:02.836"</f>
        <v>19:17:02.836</v>
      </c>
      <c r="C9032" t="str">
        <f>"19:17:02.536"</f>
        <v>19:17:02.536</v>
      </c>
      <c r="D9032" t="s">
        <v>3473</v>
      </c>
      <c r="E9032">
        <v>30.430883999999999</v>
      </c>
      <c r="F9032" t="s">
        <v>3474</v>
      </c>
      <c r="G9032">
        <v>-89.743966999999998</v>
      </c>
      <c r="H9032">
        <v>1100</v>
      </c>
      <c r="I9032">
        <v>44</v>
      </c>
      <c r="J9032">
        <v>-130</v>
      </c>
      <c r="K9032">
        <v>256</v>
      </c>
      <c r="L9032">
        <v>1200</v>
      </c>
      <c r="M9032" t="str">
        <f t="shared" si="820"/>
        <v xml:space="preserve">N35DC   </v>
      </c>
      <c r="N9032">
        <v>1</v>
      </c>
      <c r="O9032">
        <v>1100</v>
      </c>
    </row>
    <row r="9033" spans="1:15" x14ac:dyDescent="0.25">
      <c r="A9033" t="str">
        <f>"10/21/2020 19:16:54.859"</f>
        <v>10/21/2020 19:16:54.859</v>
      </c>
      <c r="B9033" t="str">
        <f>"19:17:02.836"</f>
        <v>19:17:02.836</v>
      </c>
      <c r="C9033" t="str">
        <f>"19:17:02.536"</f>
        <v>19:17:02.536</v>
      </c>
      <c r="D9033" t="s">
        <v>3473</v>
      </c>
      <c r="E9033">
        <v>30.430883999999999</v>
      </c>
      <c r="F9033" t="s">
        <v>3474</v>
      </c>
      <c r="G9033">
        <v>-89.743966999999998</v>
      </c>
      <c r="H9033">
        <v>1100</v>
      </c>
      <c r="I9033">
        <v>44</v>
      </c>
      <c r="J9033">
        <v>-130</v>
      </c>
      <c r="K9033">
        <v>256</v>
      </c>
      <c r="L9033">
        <v>1200</v>
      </c>
      <c r="M9033" t="str">
        <f t="shared" si="820"/>
        <v xml:space="preserve">N35DC   </v>
      </c>
      <c r="N9033">
        <v>1</v>
      </c>
      <c r="O9033">
        <v>1100</v>
      </c>
    </row>
    <row r="9034" spans="1:15" x14ac:dyDescent="0.25">
      <c r="A9034" t="str">
        <f>"10/21/2020 19:16:56.044"</f>
        <v>10/21/2020 19:16:56.044</v>
      </c>
      <c r="B9034" t="str">
        <f t="shared" ref="B9034:C9038" si="821">"19:17:03.969"</f>
        <v>19:17:03.969</v>
      </c>
      <c r="C9034" t="str">
        <f t="shared" si="821"/>
        <v>19:17:03.969</v>
      </c>
      <c r="D9034" t="s">
        <v>3475</v>
      </c>
      <c r="E9034">
        <v>30.430154999999999</v>
      </c>
      <c r="F9034" t="s">
        <v>3476</v>
      </c>
      <c r="G9034">
        <v>-89.743709999999993</v>
      </c>
      <c r="H9034">
        <v>1100</v>
      </c>
      <c r="I9034">
        <v>38</v>
      </c>
      <c r="J9034">
        <v>-133</v>
      </c>
      <c r="K9034">
        <v>128</v>
      </c>
      <c r="L9034">
        <v>1200</v>
      </c>
      <c r="M9034" t="str">
        <f t="shared" si="820"/>
        <v xml:space="preserve">N35DC   </v>
      </c>
      <c r="N9034">
        <v>1</v>
      </c>
      <c r="O9034">
        <v>1100</v>
      </c>
    </row>
    <row r="9035" spans="1:15" x14ac:dyDescent="0.25">
      <c r="A9035" t="str">
        <f>"10/21/2020 19:16:56.044"</f>
        <v>10/21/2020 19:16:56.044</v>
      </c>
      <c r="B9035" t="str">
        <f t="shared" si="821"/>
        <v>19:17:03.969</v>
      </c>
      <c r="C9035" t="str">
        <f t="shared" si="821"/>
        <v>19:17:03.969</v>
      </c>
      <c r="D9035" t="s">
        <v>3475</v>
      </c>
      <c r="E9035">
        <v>30.430154999999999</v>
      </c>
      <c r="F9035" t="s">
        <v>3476</v>
      </c>
      <c r="G9035">
        <v>-89.743709999999993</v>
      </c>
      <c r="H9035">
        <v>1100</v>
      </c>
      <c r="I9035">
        <v>38</v>
      </c>
      <c r="J9035">
        <v>-133</v>
      </c>
      <c r="K9035">
        <v>128</v>
      </c>
      <c r="L9035">
        <v>1200</v>
      </c>
      <c r="M9035" t="str">
        <f t="shared" si="820"/>
        <v xml:space="preserve">N35DC   </v>
      </c>
      <c r="N9035">
        <v>1</v>
      </c>
      <c r="O9035">
        <v>1100</v>
      </c>
    </row>
    <row r="9036" spans="1:15" x14ac:dyDescent="0.25">
      <c r="A9036" t="str">
        <f>"10/21/2020 19:16:56.044"</f>
        <v>10/21/2020 19:16:56.044</v>
      </c>
      <c r="B9036" t="str">
        <f t="shared" si="821"/>
        <v>19:17:03.969</v>
      </c>
      <c r="C9036" t="str">
        <f t="shared" si="821"/>
        <v>19:17:03.969</v>
      </c>
      <c r="D9036" t="s">
        <v>3475</v>
      </c>
      <c r="E9036">
        <v>30.430154999999999</v>
      </c>
      <c r="F9036" t="s">
        <v>3476</v>
      </c>
      <c r="G9036">
        <v>-89.743709999999993</v>
      </c>
      <c r="H9036">
        <v>1100</v>
      </c>
      <c r="I9036">
        <v>38</v>
      </c>
      <c r="J9036">
        <v>-133</v>
      </c>
      <c r="K9036">
        <v>128</v>
      </c>
      <c r="L9036">
        <v>1200</v>
      </c>
      <c r="M9036" t="str">
        <f t="shared" si="820"/>
        <v xml:space="preserve">N35DC   </v>
      </c>
      <c r="N9036">
        <v>1</v>
      </c>
      <c r="O9036">
        <v>1100</v>
      </c>
    </row>
    <row r="9037" spans="1:15" x14ac:dyDescent="0.25">
      <c r="A9037" t="str">
        <f>"10/21/2020 19:16:56.044"</f>
        <v>10/21/2020 19:16:56.044</v>
      </c>
      <c r="B9037" t="str">
        <f t="shared" si="821"/>
        <v>19:17:03.969</v>
      </c>
      <c r="C9037" t="str">
        <f t="shared" si="821"/>
        <v>19:17:03.969</v>
      </c>
      <c r="D9037" t="s">
        <v>3475</v>
      </c>
      <c r="E9037">
        <v>30.430154999999999</v>
      </c>
      <c r="F9037" t="s">
        <v>3476</v>
      </c>
      <c r="G9037">
        <v>-89.743709999999993</v>
      </c>
      <c r="H9037">
        <v>1100</v>
      </c>
      <c r="I9037">
        <v>38</v>
      </c>
      <c r="J9037">
        <v>-133</v>
      </c>
      <c r="K9037">
        <v>128</v>
      </c>
      <c r="L9037">
        <v>1200</v>
      </c>
      <c r="M9037" t="str">
        <f t="shared" si="820"/>
        <v xml:space="preserve">N35DC   </v>
      </c>
      <c r="N9037">
        <v>1</v>
      </c>
      <c r="O9037">
        <v>1100</v>
      </c>
    </row>
    <row r="9038" spans="1:15" x14ac:dyDescent="0.25">
      <c r="A9038" t="str">
        <f>"10/21/2020 19:16:56.044"</f>
        <v>10/21/2020 19:16:56.044</v>
      </c>
      <c r="B9038" t="str">
        <f t="shared" si="821"/>
        <v>19:17:03.969</v>
      </c>
      <c r="C9038" t="str">
        <f t="shared" si="821"/>
        <v>19:17:03.969</v>
      </c>
      <c r="D9038" t="s">
        <v>3475</v>
      </c>
      <c r="E9038">
        <v>30.430154999999999</v>
      </c>
      <c r="F9038" t="s">
        <v>3476</v>
      </c>
      <c r="G9038">
        <v>-89.743709999999993</v>
      </c>
      <c r="H9038">
        <v>1100</v>
      </c>
      <c r="I9038">
        <v>38</v>
      </c>
      <c r="J9038">
        <v>-133</v>
      </c>
      <c r="K9038">
        <v>128</v>
      </c>
      <c r="L9038">
        <v>1200</v>
      </c>
      <c r="M9038" t="str">
        <f t="shared" si="820"/>
        <v xml:space="preserve">N35DC   </v>
      </c>
      <c r="N9038">
        <v>1</v>
      </c>
      <c r="O9038">
        <v>1100</v>
      </c>
    </row>
    <row r="9039" spans="1:15" x14ac:dyDescent="0.25">
      <c r="A9039" t="str">
        <f>"10/21/2020 19:16:56.924"</f>
        <v>10/21/2020 19:16:56.924</v>
      </c>
      <c r="B9039" t="str">
        <f>"19:17:04.891"</f>
        <v>19:17:04.891</v>
      </c>
      <c r="C9039" t="str">
        <f>"19:17:04.791"</f>
        <v>19:17:04.791</v>
      </c>
      <c r="D9039" t="s">
        <v>3477</v>
      </c>
      <c r="E9039">
        <v>30.429618000000001</v>
      </c>
      <c r="F9039" t="s">
        <v>3478</v>
      </c>
      <c r="G9039">
        <v>-89.743538000000001</v>
      </c>
      <c r="H9039">
        <v>1100</v>
      </c>
      <c r="I9039">
        <v>34</v>
      </c>
      <c r="J9039">
        <v>-135</v>
      </c>
      <c r="K9039">
        <v>128</v>
      </c>
      <c r="L9039">
        <v>1200</v>
      </c>
      <c r="M9039" t="str">
        <f t="shared" si="820"/>
        <v xml:space="preserve">N35DC   </v>
      </c>
      <c r="N9039">
        <v>1</v>
      </c>
      <c r="O9039">
        <v>1100</v>
      </c>
    </row>
    <row r="9040" spans="1:15" x14ac:dyDescent="0.25">
      <c r="A9040" t="str">
        <f>"10/21/2020 19:16:56.924"</f>
        <v>10/21/2020 19:16:56.924</v>
      </c>
      <c r="B9040" t="str">
        <f>"19:17:04.891"</f>
        <v>19:17:04.891</v>
      </c>
      <c r="C9040" t="str">
        <f>"19:17:04.791"</f>
        <v>19:17:04.791</v>
      </c>
      <c r="D9040" t="s">
        <v>3477</v>
      </c>
      <c r="E9040">
        <v>30.429618000000001</v>
      </c>
      <c r="F9040" t="s">
        <v>3478</v>
      </c>
      <c r="G9040">
        <v>-89.743538000000001</v>
      </c>
      <c r="H9040">
        <v>1100</v>
      </c>
      <c r="I9040">
        <v>34</v>
      </c>
      <c r="J9040">
        <v>-135</v>
      </c>
      <c r="K9040">
        <v>128</v>
      </c>
      <c r="L9040">
        <v>1200</v>
      </c>
      <c r="M9040" t="str">
        <f t="shared" si="820"/>
        <v xml:space="preserve">N35DC   </v>
      </c>
      <c r="N9040">
        <v>1</v>
      </c>
      <c r="O9040">
        <v>1100</v>
      </c>
    </row>
    <row r="9041" spans="1:15" x14ac:dyDescent="0.25">
      <c r="A9041" t="str">
        <f>"10/21/2020 19:16:56.924"</f>
        <v>10/21/2020 19:16:56.924</v>
      </c>
      <c r="B9041" t="str">
        <f>"19:17:04.891"</f>
        <v>19:17:04.891</v>
      </c>
      <c r="C9041" t="str">
        <f>"19:17:04.791"</f>
        <v>19:17:04.791</v>
      </c>
      <c r="D9041" t="s">
        <v>3477</v>
      </c>
      <c r="E9041">
        <v>30.429618000000001</v>
      </c>
      <c r="F9041" t="s">
        <v>3478</v>
      </c>
      <c r="G9041">
        <v>-89.743538000000001</v>
      </c>
      <c r="H9041">
        <v>1100</v>
      </c>
      <c r="I9041">
        <v>34</v>
      </c>
      <c r="J9041">
        <v>-135</v>
      </c>
      <c r="K9041">
        <v>128</v>
      </c>
      <c r="L9041">
        <v>1200</v>
      </c>
      <c r="M9041" t="str">
        <f t="shared" si="820"/>
        <v xml:space="preserve">N35DC   </v>
      </c>
      <c r="N9041">
        <v>1</v>
      </c>
      <c r="O9041">
        <v>1100</v>
      </c>
    </row>
    <row r="9042" spans="1:15" x14ac:dyDescent="0.25">
      <c r="A9042" t="str">
        <f>"10/21/2020 19:16:56.924"</f>
        <v>10/21/2020 19:16:56.924</v>
      </c>
      <c r="B9042" t="str">
        <f>"19:17:04.891"</f>
        <v>19:17:04.891</v>
      </c>
      <c r="C9042" t="str">
        <f>"19:17:04.791"</f>
        <v>19:17:04.791</v>
      </c>
      <c r="D9042" t="s">
        <v>3477</v>
      </c>
      <c r="E9042">
        <v>30.429618000000001</v>
      </c>
      <c r="F9042" t="s">
        <v>3478</v>
      </c>
      <c r="G9042">
        <v>-89.743538000000001</v>
      </c>
      <c r="H9042">
        <v>1100</v>
      </c>
      <c r="I9042">
        <v>34</v>
      </c>
      <c r="J9042">
        <v>-135</v>
      </c>
      <c r="K9042">
        <v>128</v>
      </c>
      <c r="L9042">
        <v>1200</v>
      </c>
      <c r="M9042" t="str">
        <f t="shared" si="820"/>
        <v xml:space="preserve">N35DC   </v>
      </c>
      <c r="N9042">
        <v>1</v>
      </c>
      <c r="O9042">
        <v>1100</v>
      </c>
    </row>
    <row r="9043" spans="1:15" x14ac:dyDescent="0.25">
      <c r="A9043" t="str">
        <f>"10/21/2020 19:16:56.924"</f>
        <v>10/21/2020 19:16:56.924</v>
      </c>
      <c r="B9043" t="str">
        <f>"19:17:04.891"</f>
        <v>19:17:04.891</v>
      </c>
      <c r="C9043" t="str">
        <f>"19:17:04.791"</f>
        <v>19:17:04.791</v>
      </c>
      <c r="D9043" t="s">
        <v>3477</v>
      </c>
      <c r="E9043">
        <v>30.429618000000001</v>
      </c>
      <c r="F9043" t="s">
        <v>3478</v>
      </c>
      <c r="G9043">
        <v>-89.743538000000001</v>
      </c>
      <c r="H9043">
        <v>1100</v>
      </c>
      <c r="I9043">
        <v>34</v>
      </c>
      <c r="J9043">
        <v>-135</v>
      </c>
      <c r="K9043">
        <v>128</v>
      </c>
      <c r="L9043">
        <v>1200</v>
      </c>
      <c r="M9043" t="str">
        <f t="shared" si="820"/>
        <v xml:space="preserve">N35DC   </v>
      </c>
      <c r="N9043">
        <v>1</v>
      </c>
      <c r="O9043">
        <v>1100</v>
      </c>
    </row>
    <row r="9044" spans="1:15" x14ac:dyDescent="0.25">
      <c r="A9044" t="str">
        <f>"10/21/2020 19:16:59.791"</f>
        <v>10/21/2020 19:16:59.791</v>
      </c>
      <c r="B9044" t="str">
        <f>"19:17:07.719"</f>
        <v>19:17:07.719</v>
      </c>
      <c r="C9044" t="str">
        <f>"19:17:07.419"</f>
        <v>19:17:07.419</v>
      </c>
      <c r="D9044" t="s">
        <v>3479</v>
      </c>
      <c r="E9044">
        <v>30.427772999999998</v>
      </c>
      <c r="F9044" t="s">
        <v>3480</v>
      </c>
      <c r="G9044">
        <v>-89.743172999999999</v>
      </c>
      <c r="H9044">
        <v>1100</v>
      </c>
      <c r="I9044">
        <v>21</v>
      </c>
      <c r="J9044">
        <v>-140</v>
      </c>
      <c r="K9044">
        <v>0</v>
      </c>
      <c r="L9044">
        <v>1200</v>
      </c>
      <c r="M9044" t="str">
        <f t="shared" si="820"/>
        <v xml:space="preserve">N35DC   </v>
      </c>
      <c r="N9044">
        <v>1</v>
      </c>
      <c r="O9044">
        <v>1100</v>
      </c>
    </row>
    <row r="9045" spans="1:15" x14ac:dyDescent="0.25">
      <c r="A9045" t="str">
        <f>"10/21/2020 19:16:59.791"</f>
        <v>10/21/2020 19:16:59.791</v>
      </c>
      <c r="B9045" t="str">
        <f>"19:17:07.719"</f>
        <v>19:17:07.719</v>
      </c>
      <c r="C9045" t="str">
        <f>"19:17:07.419"</f>
        <v>19:17:07.419</v>
      </c>
      <c r="D9045" t="s">
        <v>3479</v>
      </c>
      <c r="E9045">
        <v>30.427772999999998</v>
      </c>
      <c r="F9045" t="s">
        <v>3480</v>
      </c>
      <c r="G9045">
        <v>-89.743172999999999</v>
      </c>
      <c r="H9045">
        <v>1100</v>
      </c>
      <c r="I9045">
        <v>21</v>
      </c>
      <c r="J9045">
        <v>-140</v>
      </c>
      <c r="K9045">
        <v>0</v>
      </c>
      <c r="L9045">
        <v>1200</v>
      </c>
      <c r="M9045" t="str">
        <f t="shared" si="820"/>
        <v xml:space="preserve">N35DC   </v>
      </c>
      <c r="N9045">
        <v>1</v>
      </c>
      <c r="O9045">
        <v>1100</v>
      </c>
    </row>
    <row r="9046" spans="1:15" x14ac:dyDescent="0.25">
      <c r="A9046" t="str">
        <f>"10/21/2020 19:16:59.791"</f>
        <v>10/21/2020 19:16:59.791</v>
      </c>
      <c r="B9046" t="str">
        <f>"19:17:07.719"</f>
        <v>19:17:07.719</v>
      </c>
      <c r="C9046" t="str">
        <f>"19:17:07.419"</f>
        <v>19:17:07.419</v>
      </c>
      <c r="D9046" t="s">
        <v>3479</v>
      </c>
      <c r="E9046">
        <v>30.427772999999998</v>
      </c>
      <c r="F9046" t="s">
        <v>3480</v>
      </c>
      <c r="G9046">
        <v>-89.743172999999999</v>
      </c>
      <c r="H9046">
        <v>1100</v>
      </c>
      <c r="I9046">
        <v>21</v>
      </c>
      <c r="J9046">
        <v>-140</v>
      </c>
      <c r="K9046">
        <v>0</v>
      </c>
      <c r="L9046">
        <v>1200</v>
      </c>
      <c r="M9046" t="str">
        <f t="shared" si="820"/>
        <v xml:space="preserve">N35DC   </v>
      </c>
      <c r="N9046">
        <v>1</v>
      </c>
      <c r="O9046">
        <v>1100</v>
      </c>
    </row>
    <row r="9047" spans="1:15" x14ac:dyDescent="0.25">
      <c r="A9047" t="str">
        <f>"10/21/2020 19:16:59.791"</f>
        <v>10/21/2020 19:16:59.791</v>
      </c>
      <c r="B9047" t="str">
        <f>"19:17:07.719"</f>
        <v>19:17:07.719</v>
      </c>
      <c r="C9047" t="str">
        <f>"19:17:07.419"</f>
        <v>19:17:07.419</v>
      </c>
      <c r="D9047" t="s">
        <v>3479</v>
      </c>
      <c r="E9047">
        <v>30.427772999999998</v>
      </c>
      <c r="F9047" t="s">
        <v>3480</v>
      </c>
      <c r="G9047">
        <v>-89.743172999999999</v>
      </c>
      <c r="H9047">
        <v>1100</v>
      </c>
      <c r="I9047">
        <v>21</v>
      </c>
      <c r="J9047">
        <v>-140</v>
      </c>
      <c r="K9047">
        <v>0</v>
      </c>
      <c r="L9047">
        <v>1200</v>
      </c>
      <c r="M9047" t="str">
        <f t="shared" si="820"/>
        <v xml:space="preserve">N35DC   </v>
      </c>
      <c r="N9047">
        <v>1</v>
      </c>
      <c r="O9047">
        <v>1100</v>
      </c>
    </row>
    <row r="9048" spans="1:15" x14ac:dyDescent="0.25">
      <c r="A9048" t="str">
        <f>"10/21/2020 19:16:59.791"</f>
        <v>10/21/2020 19:16:59.791</v>
      </c>
      <c r="B9048" t="str">
        <f>"19:17:07.719"</f>
        <v>19:17:07.719</v>
      </c>
      <c r="C9048" t="str">
        <f>"19:17:07.419"</f>
        <v>19:17:07.419</v>
      </c>
      <c r="D9048" t="s">
        <v>3479</v>
      </c>
      <c r="E9048">
        <v>30.427772999999998</v>
      </c>
      <c r="F9048" t="s">
        <v>3480</v>
      </c>
      <c r="G9048">
        <v>-89.743172999999999</v>
      </c>
      <c r="H9048">
        <v>1100</v>
      </c>
      <c r="I9048">
        <v>21</v>
      </c>
      <c r="J9048">
        <v>-140</v>
      </c>
      <c r="K9048">
        <v>0</v>
      </c>
      <c r="L9048">
        <v>1200</v>
      </c>
      <c r="M9048" t="str">
        <f t="shared" si="820"/>
        <v xml:space="preserve">N35DC   </v>
      </c>
      <c r="N9048">
        <v>1</v>
      </c>
      <c r="O9048">
        <v>1100</v>
      </c>
    </row>
    <row r="9049" spans="1:15" x14ac:dyDescent="0.25">
      <c r="A9049" t="str">
        <f>"10/21/2020 19:17:00.926"</f>
        <v>10/21/2020 19:17:00.926</v>
      </c>
      <c r="B9049" t="str">
        <f>"19:17:08.891"</f>
        <v>19:17:08.891</v>
      </c>
      <c r="C9049" t="str">
        <f>"19:17:08.491"</f>
        <v>19:17:08.491</v>
      </c>
      <c r="D9049" t="s">
        <v>3481</v>
      </c>
      <c r="E9049">
        <v>30.427001000000001</v>
      </c>
      <c r="F9049" t="s">
        <v>3482</v>
      </c>
      <c r="G9049">
        <v>-89.743065999999999</v>
      </c>
      <c r="H9049">
        <v>1100</v>
      </c>
      <c r="I9049">
        <v>16</v>
      </c>
      <c r="J9049">
        <v>-142</v>
      </c>
      <c r="K9049">
        <v>0</v>
      </c>
      <c r="L9049">
        <v>1200</v>
      </c>
      <c r="M9049" t="str">
        <f t="shared" si="820"/>
        <v xml:space="preserve">N35DC   </v>
      </c>
      <c r="N9049">
        <v>1</v>
      </c>
      <c r="O9049">
        <v>1100</v>
      </c>
    </row>
    <row r="9050" spans="1:15" x14ac:dyDescent="0.25">
      <c r="A9050" t="str">
        <f>"10/21/2020 19:17:00.926"</f>
        <v>10/21/2020 19:17:00.926</v>
      </c>
      <c r="B9050" t="str">
        <f>"19:17:08.891"</f>
        <v>19:17:08.891</v>
      </c>
      <c r="C9050" t="str">
        <f>"19:17:08.491"</f>
        <v>19:17:08.491</v>
      </c>
      <c r="D9050" t="s">
        <v>3481</v>
      </c>
      <c r="E9050">
        <v>30.427001000000001</v>
      </c>
      <c r="F9050" t="s">
        <v>3482</v>
      </c>
      <c r="G9050">
        <v>-89.743065999999999</v>
      </c>
      <c r="H9050">
        <v>1100</v>
      </c>
      <c r="I9050">
        <v>16</v>
      </c>
      <c r="J9050">
        <v>-142</v>
      </c>
      <c r="K9050">
        <v>0</v>
      </c>
      <c r="L9050">
        <v>1200</v>
      </c>
      <c r="M9050" t="str">
        <f t="shared" si="820"/>
        <v xml:space="preserve">N35DC   </v>
      </c>
      <c r="N9050">
        <v>1</v>
      </c>
      <c r="O9050">
        <v>1100</v>
      </c>
    </row>
    <row r="9051" spans="1:15" x14ac:dyDescent="0.25">
      <c r="A9051" t="str">
        <f>"10/21/2020 19:17:00.926"</f>
        <v>10/21/2020 19:17:00.926</v>
      </c>
      <c r="B9051" t="str">
        <f>"19:17:08.891"</f>
        <v>19:17:08.891</v>
      </c>
      <c r="C9051" t="str">
        <f>"19:17:08.491"</f>
        <v>19:17:08.491</v>
      </c>
      <c r="D9051" t="s">
        <v>3481</v>
      </c>
      <c r="E9051">
        <v>30.427001000000001</v>
      </c>
      <c r="F9051" t="s">
        <v>3482</v>
      </c>
      <c r="G9051">
        <v>-89.743065999999999</v>
      </c>
      <c r="H9051">
        <v>1100</v>
      </c>
      <c r="I9051">
        <v>16</v>
      </c>
      <c r="J9051">
        <v>-142</v>
      </c>
      <c r="K9051">
        <v>0</v>
      </c>
      <c r="L9051">
        <v>1200</v>
      </c>
      <c r="M9051" t="str">
        <f t="shared" si="820"/>
        <v xml:space="preserve">N35DC   </v>
      </c>
      <c r="N9051">
        <v>1</v>
      </c>
      <c r="O9051">
        <v>1100</v>
      </c>
    </row>
    <row r="9052" spans="1:15" x14ac:dyDescent="0.25">
      <c r="A9052" t="str">
        <f>"10/21/2020 19:17:00.926"</f>
        <v>10/21/2020 19:17:00.926</v>
      </c>
      <c r="B9052" t="str">
        <f>"19:17:08.891"</f>
        <v>19:17:08.891</v>
      </c>
      <c r="C9052" t="str">
        <f>"19:17:08.491"</f>
        <v>19:17:08.491</v>
      </c>
      <c r="D9052" t="s">
        <v>3481</v>
      </c>
      <c r="E9052">
        <v>30.427001000000001</v>
      </c>
      <c r="F9052" t="s">
        <v>3482</v>
      </c>
      <c r="G9052">
        <v>-89.743065999999999</v>
      </c>
      <c r="H9052">
        <v>1100</v>
      </c>
      <c r="I9052">
        <v>16</v>
      </c>
      <c r="J9052">
        <v>-142</v>
      </c>
      <c r="K9052">
        <v>0</v>
      </c>
      <c r="L9052">
        <v>1200</v>
      </c>
      <c r="M9052" t="str">
        <f t="shared" si="820"/>
        <v xml:space="preserve">N35DC   </v>
      </c>
      <c r="N9052">
        <v>1</v>
      </c>
      <c r="O9052">
        <v>1100</v>
      </c>
    </row>
    <row r="9053" spans="1:15" x14ac:dyDescent="0.25">
      <c r="A9053" t="str">
        <f>"10/21/2020 19:17:00.926"</f>
        <v>10/21/2020 19:17:00.926</v>
      </c>
      <c r="B9053" t="str">
        <f>"19:17:08.891"</f>
        <v>19:17:08.891</v>
      </c>
      <c r="C9053" t="str">
        <f>"19:17:08.491"</f>
        <v>19:17:08.491</v>
      </c>
      <c r="D9053" t="s">
        <v>3481</v>
      </c>
      <c r="E9053">
        <v>30.427001000000001</v>
      </c>
      <c r="F9053" t="s">
        <v>3482</v>
      </c>
      <c r="G9053">
        <v>-89.743065999999999</v>
      </c>
      <c r="H9053">
        <v>1100</v>
      </c>
      <c r="I9053">
        <v>16</v>
      </c>
      <c r="J9053">
        <v>-142</v>
      </c>
      <c r="K9053">
        <v>0</v>
      </c>
      <c r="L9053">
        <v>1200</v>
      </c>
      <c r="M9053" t="str">
        <f t="shared" si="820"/>
        <v xml:space="preserve">N35DC   </v>
      </c>
      <c r="N9053">
        <v>1</v>
      </c>
      <c r="O9053">
        <v>1100</v>
      </c>
    </row>
    <row r="9054" spans="1:15" x14ac:dyDescent="0.25">
      <c r="A9054" t="str">
        <f>"10/21/2020 19:17:03.858"</f>
        <v>10/21/2020 19:17:03.858</v>
      </c>
      <c r="B9054" t="str">
        <f>"19:17:11.805"</f>
        <v>19:17:11.805</v>
      </c>
      <c r="C9054" t="str">
        <f>"19:17:11.505"</f>
        <v>19:17:11.505</v>
      </c>
      <c r="D9054" t="s">
        <v>3483</v>
      </c>
      <c r="E9054">
        <v>30.425048</v>
      </c>
      <c r="F9054" t="s">
        <v>3484</v>
      </c>
      <c r="G9054">
        <v>-89.742980000000003</v>
      </c>
      <c r="H9054">
        <v>1100</v>
      </c>
      <c r="I9054">
        <v>2</v>
      </c>
      <c r="J9054">
        <v>-145</v>
      </c>
      <c r="K9054">
        <v>64</v>
      </c>
      <c r="L9054">
        <v>1200</v>
      </c>
      <c r="M9054" t="str">
        <f t="shared" si="820"/>
        <v xml:space="preserve">N35DC   </v>
      </c>
      <c r="N9054">
        <v>1</v>
      </c>
      <c r="O9054">
        <v>1125</v>
      </c>
    </row>
    <row r="9055" spans="1:15" x14ac:dyDescent="0.25">
      <c r="A9055" t="str">
        <f>"10/21/2020 19:17:03.858"</f>
        <v>10/21/2020 19:17:03.858</v>
      </c>
      <c r="B9055" t="str">
        <f>"19:17:11.805"</f>
        <v>19:17:11.805</v>
      </c>
      <c r="C9055" t="str">
        <f>"19:17:11.505"</f>
        <v>19:17:11.505</v>
      </c>
      <c r="D9055" t="s">
        <v>3483</v>
      </c>
      <c r="E9055">
        <v>30.425048</v>
      </c>
      <c r="F9055" t="s">
        <v>3484</v>
      </c>
      <c r="G9055">
        <v>-89.742980000000003</v>
      </c>
      <c r="H9055">
        <v>1100</v>
      </c>
      <c r="I9055">
        <v>2</v>
      </c>
      <c r="J9055">
        <v>-145</v>
      </c>
      <c r="K9055">
        <v>64</v>
      </c>
      <c r="L9055">
        <v>1200</v>
      </c>
      <c r="M9055" t="str">
        <f t="shared" si="820"/>
        <v xml:space="preserve">N35DC   </v>
      </c>
      <c r="N9055">
        <v>1</v>
      </c>
      <c r="O9055">
        <v>1125</v>
      </c>
    </row>
    <row r="9056" spans="1:15" x14ac:dyDescent="0.25">
      <c r="A9056" t="str">
        <f>"10/21/2020 19:17:03.858"</f>
        <v>10/21/2020 19:17:03.858</v>
      </c>
      <c r="B9056" t="str">
        <f>"19:17:11.805"</f>
        <v>19:17:11.805</v>
      </c>
      <c r="C9056" t="str">
        <f>"19:17:11.505"</f>
        <v>19:17:11.505</v>
      </c>
      <c r="D9056" t="s">
        <v>3483</v>
      </c>
      <c r="E9056">
        <v>30.425048</v>
      </c>
      <c r="F9056" t="s">
        <v>3484</v>
      </c>
      <c r="G9056">
        <v>-89.742980000000003</v>
      </c>
      <c r="H9056">
        <v>1100</v>
      </c>
      <c r="I9056">
        <v>2</v>
      </c>
      <c r="J9056">
        <v>-145</v>
      </c>
      <c r="K9056">
        <v>64</v>
      </c>
      <c r="L9056">
        <v>1200</v>
      </c>
      <c r="M9056" t="str">
        <f t="shared" si="820"/>
        <v xml:space="preserve">N35DC   </v>
      </c>
      <c r="N9056">
        <v>1</v>
      </c>
      <c r="O9056">
        <v>1125</v>
      </c>
    </row>
    <row r="9057" spans="1:15" x14ac:dyDescent="0.25">
      <c r="A9057" t="str">
        <f>"10/21/2020 19:17:03.858"</f>
        <v>10/21/2020 19:17:03.858</v>
      </c>
      <c r="B9057" t="str">
        <f>"19:17:11.805"</f>
        <v>19:17:11.805</v>
      </c>
      <c r="C9057" t="str">
        <f>"19:17:11.505"</f>
        <v>19:17:11.505</v>
      </c>
      <c r="D9057" t="s">
        <v>3483</v>
      </c>
      <c r="E9057">
        <v>30.425048</v>
      </c>
      <c r="F9057" t="s">
        <v>3484</v>
      </c>
      <c r="G9057">
        <v>-89.742980000000003</v>
      </c>
      <c r="H9057">
        <v>1100</v>
      </c>
      <c r="I9057">
        <v>2</v>
      </c>
      <c r="J9057">
        <v>-145</v>
      </c>
      <c r="K9057">
        <v>64</v>
      </c>
      <c r="L9057">
        <v>1200</v>
      </c>
      <c r="M9057" t="str">
        <f t="shared" si="820"/>
        <v xml:space="preserve">N35DC   </v>
      </c>
      <c r="N9057">
        <v>1</v>
      </c>
      <c r="O9057">
        <v>1125</v>
      </c>
    </row>
    <row r="9058" spans="1:15" x14ac:dyDescent="0.25">
      <c r="A9058" t="str">
        <f>"10/21/2020 19:17:03.858"</f>
        <v>10/21/2020 19:17:03.858</v>
      </c>
      <c r="B9058" t="str">
        <f>"19:17:11.805"</f>
        <v>19:17:11.805</v>
      </c>
      <c r="C9058" t="str">
        <f>"19:17:11.505"</f>
        <v>19:17:11.505</v>
      </c>
      <c r="D9058" t="s">
        <v>3483</v>
      </c>
      <c r="E9058">
        <v>30.425048</v>
      </c>
      <c r="F9058" t="s">
        <v>3484</v>
      </c>
      <c r="G9058">
        <v>-89.742980000000003</v>
      </c>
      <c r="H9058">
        <v>1100</v>
      </c>
      <c r="I9058">
        <v>2</v>
      </c>
      <c r="J9058">
        <v>-145</v>
      </c>
      <c r="K9058">
        <v>64</v>
      </c>
      <c r="L9058">
        <v>1200</v>
      </c>
      <c r="M9058" t="str">
        <f t="shared" si="820"/>
        <v xml:space="preserve">N35DC   </v>
      </c>
      <c r="N9058">
        <v>1</v>
      </c>
      <c r="O9058">
        <v>1125</v>
      </c>
    </row>
    <row r="9059" spans="1:15" x14ac:dyDescent="0.25">
      <c r="A9059" t="str">
        <f>"10/21/2020 19:17:05.017"</f>
        <v>10/21/2020 19:17:05.017</v>
      </c>
      <c r="B9059" t="str">
        <f>"19:17:12.953"</f>
        <v>19:17:12.953</v>
      </c>
      <c r="C9059" t="str">
        <f>"19:17:12.553"</f>
        <v>19:17:12.553</v>
      </c>
      <c r="D9059" t="s">
        <v>2869</v>
      </c>
      <c r="E9059">
        <v>30.424254000000001</v>
      </c>
      <c r="F9059" t="s">
        <v>3485</v>
      </c>
      <c r="G9059">
        <v>-89.742958999999999</v>
      </c>
      <c r="H9059">
        <v>1100</v>
      </c>
      <c r="I9059">
        <v>-3</v>
      </c>
      <c r="J9059">
        <v>-146</v>
      </c>
      <c r="K9059">
        <v>192</v>
      </c>
      <c r="L9059">
        <v>1200</v>
      </c>
      <c r="M9059" t="str">
        <f t="shared" si="820"/>
        <v xml:space="preserve">N35DC   </v>
      </c>
      <c r="N9059">
        <v>1</v>
      </c>
      <c r="O9059">
        <v>1125</v>
      </c>
    </row>
    <row r="9060" spans="1:15" x14ac:dyDescent="0.25">
      <c r="A9060" t="str">
        <f>"10/21/2020 19:17:05.017"</f>
        <v>10/21/2020 19:17:05.017</v>
      </c>
      <c r="B9060" t="str">
        <f>"19:17:12.953"</f>
        <v>19:17:12.953</v>
      </c>
      <c r="C9060" t="str">
        <f>"19:17:12.553"</f>
        <v>19:17:12.553</v>
      </c>
      <c r="D9060" t="s">
        <v>2869</v>
      </c>
      <c r="E9060">
        <v>30.424254000000001</v>
      </c>
      <c r="F9060" t="s">
        <v>3485</v>
      </c>
      <c r="G9060">
        <v>-89.742958999999999</v>
      </c>
      <c r="H9060">
        <v>1100</v>
      </c>
      <c r="I9060">
        <v>-3</v>
      </c>
      <c r="J9060">
        <v>-146</v>
      </c>
      <c r="K9060">
        <v>192</v>
      </c>
      <c r="L9060">
        <v>1200</v>
      </c>
      <c r="M9060" t="str">
        <f t="shared" si="820"/>
        <v xml:space="preserve">N35DC   </v>
      </c>
      <c r="N9060">
        <v>1</v>
      </c>
      <c r="O9060">
        <v>1125</v>
      </c>
    </row>
    <row r="9061" spans="1:15" x14ac:dyDescent="0.25">
      <c r="A9061" t="str">
        <f>"10/21/2020 19:17:05.017"</f>
        <v>10/21/2020 19:17:05.017</v>
      </c>
      <c r="B9061" t="str">
        <f>"19:17:12.953"</f>
        <v>19:17:12.953</v>
      </c>
      <c r="C9061" t="str">
        <f>"19:17:12.553"</f>
        <v>19:17:12.553</v>
      </c>
      <c r="D9061" t="s">
        <v>2869</v>
      </c>
      <c r="E9061">
        <v>30.424254000000001</v>
      </c>
      <c r="F9061" t="s">
        <v>3485</v>
      </c>
      <c r="G9061">
        <v>-89.742958999999999</v>
      </c>
      <c r="H9061">
        <v>1100</v>
      </c>
      <c r="I9061">
        <v>-3</v>
      </c>
      <c r="J9061">
        <v>-146</v>
      </c>
      <c r="K9061">
        <v>192</v>
      </c>
      <c r="L9061">
        <v>1200</v>
      </c>
      <c r="M9061" t="str">
        <f t="shared" si="820"/>
        <v xml:space="preserve">N35DC   </v>
      </c>
      <c r="N9061">
        <v>1</v>
      </c>
      <c r="O9061">
        <v>1125</v>
      </c>
    </row>
    <row r="9062" spans="1:15" x14ac:dyDescent="0.25">
      <c r="A9062" t="str">
        <f>"10/21/2020 19:17:05.017"</f>
        <v>10/21/2020 19:17:05.017</v>
      </c>
      <c r="B9062" t="str">
        <f>"19:17:12.953"</f>
        <v>19:17:12.953</v>
      </c>
      <c r="C9062" t="str">
        <f>"19:17:12.553"</f>
        <v>19:17:12.553</v>
      </c>
      <c r="D9062" t="s">
        <v>2869</v>
      </c>
      <c r="E9062">
        <v>30.424254000000001</v>
      </c>
      <c r="F9062" t="s">
        <v>3485</v>
      </c>
      <c r="G9062">
        <v>-89.742958999999999</v>
      </c>
      <c r="H9062">
        <v>1100</v>
      </c>
      <c r="I9062">
        <v>-3</v>
      </c>
      <c r="J9062">
        <v>-146</v>
      </c>
      <c r="K9062">
        <v>192</v>
      </c>
      <c r="L9062">
        <v>1200</v>
      </c>
      <c r="M9062" t="str">
        <f t="shared" si="820"/>
        <v xml:space="preserve">N35DC   </v>
      </c>
      <c r="N9062">
        <v>1</v>
      </c>
      <c r="O9062">
        <v>1125</v>
      </c>
    </row>
    <row r="9063" spans="1:15" x14ac:dyDescent="0.25">
      <c r="A9063" t="str">
        <f>"10/21/2020 19:17:05.017"</f>
        <v>10/21/2020 19:17:05.017</v>
      </c>
      <c r="B9063" t="str">
        <f>"19:17:12.953"</f>
        <v>19:17:12.953</v>
      </c>
      <c r="C9063" t="str">
        <f>"19:17:12.553"</f>
        <v>19:17:12.553</v>
      </c>
      <c r="D9063" t="s">
        <v>2869</v>
      </c>
      <c r="E9063">
        <v>30.424254000000001</v>
      </c>
      <c r="F9063" t="s">
        <v>3485</v>
      </c>
      <c r="G9063">
        <v>-89.742958999999999</v>
      </c>
      <c r="H9063">
        <v>1100</v>
      </c>
      <c r="I9063">
        <v>-3</v>
      </c>
      <c r="J9063">
        <v>-146</v>
      </c>
      <c r="K9063">
        <v>192</v>
      </c>
      <c r="L9063">
        <v>1200</v>
      </c>
      <c r="M9063" t="str">
        <f t="shared" si="820"/>
        <v xml:space="preserve">N35DC   </v>
      </c>
      <c r="N9063">
        <v>1</v>
      </c>
      <c r="O9063">
        <v>1125</v>
      </c>
    </row>
    <row r="9064" spans="1:15" x14ac:dyDescent="0.25">
      <c r="A9064" t="str">
        <f>"10/21/2020 19:17:07.939"</f>
        <v>10/21/2020 19:17:07.939</v>
      </c>
      <c r="B9064" t="str">
        <f>"19:17:15.898"</f>
        <v>19:17:15.898</v>
      </c>
      <c r="C9064" t="str">
        <f>"19:17:15.498"</f>
        <v>19:17:15.498</v>
      </c>
      <c r="D9064" t="s">
        <v>3486</v>
      </c>
      <c r="E9064">
        <v>30.422257999999999</v>
      </c>
      <c r="F9064" t="s">
        <v>3487</v>
      </c>
      <c r="G9064">
        <v>-89.743195</v>
      </c>
      <c r="H9064">
        <v>1100</v>
      </c>
      <c r="I9064">
        <v>-19</v>
      </c>
      <c r="J9064">
        <v>-147</v>
      </c>
      <c r="K9064">
        <v>448</v>
      </c>
      <c r="L9064">
        <v>1200</v>
      </c>
      <c r="M9064" t="str">
        <f t="shared" si="820"/>
        <v xml:space="preserve">N35DC   </v>
      </c>
      <c r="N9064">
        <v>1</v>
      </c>
      <c r="O9064">
        <v>1125</v>
      </c>
    </row>
    <row r="9065" spans="1:15" x14ac:dyDescent="0.25">
      <c r="A9065" t="str">
        <f>"10/21/2020 19:17:07.939"</f>
        <v>10/21/2020 19:17:07.939</v>
      </c>
      <c r="B9065" t="str">
        <f>"19:17:15.898"</f>
        <v>19:17:15.898</v>
      </c>
      <c r="C9065" t="str">
        <f>"19:17:15.498"</f>
        <v>19:17:15.498</v>
      </c>
      <c r="D9065" t="s">
        <v>3486</v>
      </c>
      <c r="E9065">
        <v>30.422257999999999</v>
      </c>
      <c r="F9065" t="s">
        <v>3487</v>
      </c>
      <c r="G9065">
        <v>-89.743195</v>
      </c>
      <c r="H9065">
        <v>1100</v>
      </c>
      <c r="I9065">
        <v>-19</v>
      </c>
      <c r="J9065">
        <v>-147</v>
      </c>
      <c r="K9065">
        <v>448</v>
      </c>
      <c r="L9065">
        <v>1200</v>
      </c>
      <c r="M9065" t="str">
        <f t="shared" si="820"/>
        <v xml:space="preserve">N35DC   </v>
      </c>
      <c r="N9065">
        <v>1</v>
      </c>
      <c r="O9065">
        <v>1125</v>
      </c>
    </row>
    <row r="9066" spans="1:15" x14ac:dyDescent="0.25">
      <c r="A9066" t="str">
        <f>"10/21/2020 19:17:07.939"</f>
        <v>10/21/2020 19:17:07.939</v>
      </c>
      <c r="B9066" t="str">
        <f>"19:17:15.898"</f>
        <v>19:17:15.898</v>
      </c>
      <c r="C9066" t="str">
        <f>"19:17:15.498"</f>
        <v>19:17:15.498</v>
      </c>
      <c r="D9066" t="s">
        <v>3486</v>
      </c>
      <c r="E9066">
        <v>30.422257999999999</v>
      </c>
      <c r="F9066" t="s">
        <v>3487</v>
      </c>
      <c r="G9066">
        <v>-89.743195</v>
      </c>
      <c r="H9066">
        <v>1100</v>
      </c>
      <c r="I9066">
        <v>-19</v>
      </c>
      <c r="J9066">
        <v>-147</v>
      </c>
      <c r="K9066">
        <v>448</v>
      </c>
      <c r="L9066">
        <v>1200</v>
      </c>
      <c r="M9066" t="str">
        <f t="shared" si="820"/>
        <v xml:space="preserve">N35DC   </v>
      </c>
      <c r="N9066">
        <v>1</v>
      </c>
      <c r="O9066">
        <v>1125</v>
      </c>
    </row>
    <row r="9067" spans="1:15" x14ac:dyDescent="0.25">
      <c r="A9067" t="str">
        <f>"10/21/2020 19:17:07.939"</f>
        <v>10/21/2020 19:17:07.939</v>
      </c>
      <c r="B9067" t="str">
        <f>"19:17:15.898"</f>
        <v>19:17:15.898</v>
      </c>
      <c r="C9067" t="str">
        <f>"19:17:15.498"</f>
        <v>19:17:15.498</v>
      </c>
      <c r="D9067" t="s">
        <v>3486</v>
      </c>
      <c r="E9067">
        <v>30.422257999999999</v>
      </c>
      <c r="F9067" t="s">
        <v>3487</v>
      </c>
      <c r="G9067">
        <v>-89.743195</v>
      </c>
      <c r="H9067">
        <v>1100</v>
      </c>
      <c r="I9067">
        <v>-19</v>
      </c>
      <c r="J9067">
        <v>-147</v>
      </c>
      <c r="K9067">
        <v>448</v>
      </c>
      <c r="L9067">
        <v>1200</v>
      </c>
      <c r="M9067" t="str">
        <f t="shared" si="820"/>
        <v xml:space="preserve">N35DC   </v>
      </c>
      <c r="N9067">
        <v>1</v>
      </c>
      <c r="O9067">
        <v>1125</v>
      </c>
    </row>
    <row r="9068" spans="1:15" x14ac:dyDescent="0.25">
      <c r="A9068" t="str">
        <f>"10/21/2020 19:17:07.939"</f>
        <v>10/21/2020 19:17:07.939</v>
      </c>
      <c r="B9068" t="str">
        <f>"19:17:15.898"</f>
        <v>19:17:15.898</v>
      </c>
      <c r="C9068" t="str">
        <f>"19:17:15.498"</f>
        <v>19:17:15.498</v>
      </c>
      <c r="D9068" t="s">
        <v>3486</v>
      </c>
      <c r="E9068">
        <v>30.422257999999999</v>
      </c>
      <c r="F9068" t="s">
        <v>3487</v>
      </c>
      <c r="G9068">
        <v>-89.743195</v>
      </c>
      <c r="H9068">
        <v>1100</v>
      </c>
      <c r="I9068">
        <v>-19</v>
      </c>
      <c r="J9068">
        <v>-147</v>
      </c>
      <c r="K9068">
        <v>448</v>
      </c>
      <c r="L9068">
        <v>1200</v>
      </c>
      <c r="M9068" t="str">
        <f t="shared" si="820"/>
        <v xml:space="preserve">N35DC   </v>
      </c>
      <c r="N9068">
        <v>1</v>
      </c>
      <c r="O9068">
        <v>1125</v>
      </c>
    </row>
    <row r="9069" spans="1:15" x14ac:dyDescent="0.25">
      <c r="A9069" t="str">
        <f>"10/21/2020 19:17:08.942"</f>
        <v>10/21/2020 19:17:08.942</v>
      </c>
      <c r="B9069" t="str">
        <f>"19:17:16.883"</f>
        <v>19:17:16.883</v>
      </c>
      <c r="C9069" t="str">
        <f>"19:17:16.583"</f>
        <v>19:17:16.583</v>
      </c>
      <c r="D9069" t="s">
        <v>2873</v>
      </c>
      <c r="E9069">
        <v>30.421593000000001</v>
      </c>
      <c r="F9069" t="s">
        <v>3488</v>
      </c>
      <c r="G9069">
        <v>-89.743323000000004</v>
      </c>
      <c r="H9069">
        <v>1100</v>
      </c>
      <c r="I9069">
        <v>-24</v>
      </c>
      <c r="J9069">
        <v>-146</v>
      </c>
      <c r="K9069">
        <v>768</v>
      </c>
      <c r="L9069">
        <v>1200</v>
      </c>
      <c r="M9069" t="str">
        <f t="shared" si="820"/>
        <v xml:space="preserve">N35DC   </v>
      </c>
      <c r="N9069">
        <v>1</v>
      </c>
      <c r="O9069">
        <v>1150</v>
      </c>
    </row>
    <row r="9070" spans="1:15" x14ac:dyDescent="0.25">
      <c r="A9070" t="str">
        <f>"10/21/2020 19:17:08.942"</f>
        <v>10/21/2020 19:17:08.942</v>
      </c>
      <c r="B9070" t="str">
        <f>"19:17:16.883"</f>
        <v>19:17:16.883</v>
      </c>
      <c r="C9070" t="str">
        <f>"19:17:16.583"</f>
        <v>19:17:16.583</v>
      </c>
      <c r="D9070" t="s">
        <v>2873</v>
      </c>
      <c r="E9070">
        <v>30.421593000000001</v>
      </c>
      <c r="F9070" t="s">
        <v>3488</v>
      </c>
      <c r="G9070">
        <v>-89.743323000000004</v>
      </c>
      <c r="H9070">
        <v>1100</v>
      </c>
      <c r="I9070">
        <v>-24</v>
      </c>
      <c r="J9070">
        <v>-146</v>
      </c>
      <c r="K9070">
        <v>768</v>
      </c>
      <c r="L9070">
        <v>1200</v>
      </c>
      <c r="M9070" t="str">
        <f t="shared" si="820"/>
        <v xml:space="preserve">N35DC   </v>
      </c>
      <c r="N9070">
        <v>1</v>
      </c>
      <c r="O9070">
        <v>1150</v>
      </c>
    </row>
    <row r="9071" spans="1:15" x14ac:dyDescent="0.25">
      <c r="A9071" t="str">
        <f>"10/21/2020 19:17:08.942"</f>
        <v>10/21/2020 19:17:08.942</v>
      </c>
      <c r="B9071" t="str">
        <f>"19:17:16.883"</f>
        <v>19:17:16.883</v>
      </c>
      <c r="C9071" t="str">
        <f>"19:17:16.583"</f>
        <v>19:17:16.583</v>
      </c>
      <c r="D9071" t="s">
        <v>2873</v>
      </c>
      <c r="E9071">
        <v>30.421593000000001</v>
      </c>
      <c r="F9071" t="s">
        <v>3488</v>
      </c>
      <c r="G9071">
        <v>-89.743323000000004</v>
      </c>
      <c r="H9071">
        <v>1100</v>
      </c>
      <c r="I9071">
        <v>-24</v>
      </c>
      <c r="J9071">
        <v>-146</v>
      </c>
      <c r="K9071">
        <v>768</v>
      </c>
      <c r="L9071">
        <v>1200</v>
      </c>
      <c r="M9071" t="str">
        <f t="shared" si="820"/>
        <v xml:space="preserve">N35DC   </v>
      </c>
      <c r="N9071">
        <v>1</v>
      </c>
      <c r="O9071">
        <v>1150</v>
      </c>
    </row>
    <row r="9072" spans="1:15" x14ac:dyDescent="0.25">
      <c r="A9072" t="str">
        <f>"10/21/2020 19:17:08.942"</f>
        <v>10/21/2020 19:17:08.942</v>
      </c>
      <c r="B9072" t="str">
        <f>"19:17:16.883"</f>
        <v>19:17:16.883</v>
      </c>
      <c r="C9072" t="str">
        <f>"19:17:16.583"</f>
        <v>19:17:16.583</v>
      </c>
      <c r="D9072" t="s">
        <v>2873</v>
      </c>
      <c r="E9072">
        <v>30.421593000000001</v>
      </c>
      <c r="F9072" t="s">
        <v>3488</v>
      </c>
      <c r="G9072">
        <v>-89.743323000000004</v>
      </c>
      <c r="H9072">
        <v>1100</v>
      </c>
      <c r="I9072">
        <v>-24</v>
      </c>
      <c r="J9072">
        <v>-146</v>
      </c>
      <c r="K9072">
        <v>768</v>
      </c>
      <c r="L9072">
        <v>1200</v>
      </c>
      <c r="M9072" t="str">
        <f t="shared" si="820"/>
        <v xml:space="preserve">N35DC   </v>
      </c>
      <c r="N9072">
        <v>1</v>
      </c>
      <c r="O9072">
        <v>1150</v>
      </c>
    </row>
    <row r="9073" spans="1:15" x14ac:dyDescent="0.25">
      <c r="A9073" t="str">
        <f>"10/21/2020 19:17:08.942"</f>
        <v>10/21/2020 19:17:08.942</v>
      </c>
      <c r="B9073" t="str">
        <f>"19:17:16.883"</f>
        <v>19:17:16.883</v>
      </c>
      <c r="C9073" t="str">
        <f>"19:17:16.583"</f>
        <v>19:17:16.583</v>
      </c>
      <c r="D9073" t="s">
        <v>2873</v>
      </c>
      <c r="E9073">
        <v>30.421593000000001</v>
      </c>
      <c r="F9073" t="s">
        <v>3488</v>
      </c>
      <c r="G9073">
        <v>-89.743323000000004</v>
      </c>
      <c r="H9073">
        <v>1100</v>
      </c>
      <c r="I9073">
        <v>-24</v>
      </c>
      <c r="J9073">
        <v>-146</v>
      </c>
      <c r="K9073">
        <v>768</v>
      </c>
      <c r="L9073">
        <v>1200</v>
      </c>
      <c r="M9073" t="str">
        <f t="shared" si="820"/>
        <v xml:space="preserve">N35DC   </v>
      </c>
      <c r="N9073">
        <v>1</v>
      </c>
      <c r="O9073">
        <v>1150</v>
      </c>
    </row>
    <row r="9074" spans="1:15" x14ac:dyDescent="0.25">
      <c r="A9074" t="str">
        <f>"10/21/2020 19:17:11.843"</f>
        <v>10/21/2020 19:17:11.843</v>
      </c>
      <c r="B9074" t="str">
        <f>"19:17:19.797"</f>
        <v>19:17:19.797</v>
      </c>
      <c r="C9074" t="str">
        <f>"19:17:19.597"</f>
        <v>19:17:19.597</v>
      </c>
      <c r="D9074" t="s">
        <v>3489</v>
      </c>
      <c r="E9074">
        <v>30.419705</v>
      </c>
      <c r="F9074" t="s">
        <v>3490</v>
      </c>
      <c r="G9074">
        <v>-89.743903000000003</v>
      </c>
      <c r="H9074">
        <v>1200</v>
      </c>
      <c r="I9074">
        <v>-42</v>
      </c>
      <c r="J9074">
        <v>-140</v>
      </c>
      <c r="K9074">
        <v>1024</v>
      </c>
      <c r="L9074">
        <v>1200</v>
      </c>
      <c r="M9074" t="str">
        <f t="shared" si="820"/>
        <v xml:space="preserve">N35DC   </v>
      </c>
      <c r="N9074">
        <v>1</v>
      </c>
      <c r="O9074">
        <v>1200</v>
      </c>
    </row>
    <row r="9075" spans="1:15" x14ac:dyDescent="0.25">
      <c r="A9075" t="str">
        <f>"10/21/2020 19:17:11.843"</f>
        <v>10/21/2020 19:17:11.843</v>
      </c>
      <c r="B9075" t="str">
        <f>"19:17:19.797"</f>
        <v>19:17:19.797</v>
      </c>
      <c r="C9075" t="str">
        <f>"19:17:19.597"</f>
        <v>19:17:19.597</v>
      </c>
      <c r="D9075" t="s">
        <v>3489</v>
      </c>
      <c r="E9075">
        <v>30.419705</v>
      </c>
      <c r="F9075" t="s">
        <v>3490</v>
      </c>
      <c r="G9075">
        <v>-89.743903000000003</v>
      </c>
      <c r="H9075">
        <v>1200</v>
      </c>
      <c r="I9075">
        <v>-42</v>
      </c>
      <c r="J9075">
        <v>-140</v>
      </c>
      <c r="K9075">
        <v>1024</v>
      </c>
      <c r="L9075">
        <v>1200</v>
      </c>
      <c r="M9075" t="str">
        <f t="shared" si="820"/>
        <v xml:space="preserve">N35DC   </v>
      </c>
      <c r="N9075">
        <v>1</v>
      </c>
      <c r="O9075">
        <v>1200</v>
      </c>
    </row>
    <row r="9076" spans="1:15" x14ac:dyDescent="0.25">
      <c r="A9076" t="str">
        <f>"10/21/2020 19:17:11.843"</f>
        <v>10/21/2020 19:17:11.843</v>
      </c>
      <c r="B9076" t="str">
        <f>"19:17:19.797"</f>
        <v>19:17:19.797</v>
      </c>
      <c r="C9076" t="str">
        <f>"19:17:19.597"</f>
        <v>19:17:19.597</v>
      </c>
      <c r="D9076" t="s">
        <v>3489</v>
      </c>
      <c r="E9076">
        <v>30.419705</v>
      </c>
      <c r="F9076" t="s">
        <v>3490</v>
      </c>
      <c r="G9076">
        <v>-89.743903000000003</v>
      </c>
      <c r="H9076">
        <v>1200</v>
      </c>
      <c r="I9076">
        <v>-42</v>
      </c>
      <c r="J9076">
        <v>-140</v>
      </c>
      <c r="K9076">
        <v>1024</v>
      </c>
      <c r="L9076">
        <v>1200</v>
      </c>
      <c r="M9076" t="str">
        <f t="shared" si="820"/>
        <v xml:space="preserve">N35DC   </v>
      </c>
      <c r="N9076">
        <v>1</v>
      </c>
      <c r="O9076">
        <v>1200</v>
      </c>
    </row>
    <row r="9077" spans="1:15" x14ac:dyDescent="0.25">
      <c r="A9077" t="str">
        <f>"10/21/2020 19:17:11.843"</f>
        <v>10/21/2020 19:17:11.843</v>
      </c>
      <c r="B9077" t="str">
        <f>"19:17:19.797"</f>
        <v>19:17:19.797</v>
      </c>
      <c r="C9077" t="str">
        <f>"19:17:19.597"</f>
        <v>19:17:19.597</v>
      </c>
      <c r="D9077" t="s">
        <v>3489</v>
      </c>
      <c r="E9077">
        <v>30.419705</v>
      </c>
      <c r="F9077" t="s">
        <v>3490</v>
      </c>
      <c r="G9077">
        <v>-89.743903000000003</v>
      </c>
      <c r="H9077">
        <v>1200</v>
      </c>
      <c r="I9077">
        <v>-42</v>
      </c>
      <c r="J9077">
        <v>-140</v>
      </c>
      <c r="K9077">
        <v>1024</v>
      </c>
      <c r="L9077">
        <v>1200</v>
      </c>
      <c r="M9077" t="str">
        <f t="shared" si="820"/>
        <v xml:space="preserve">N35DC   </v>
      </c>
      <c r="N9077">
        <v>1</v>
      </c>
      <c r="O9077">
        <v>1200</v>
      </c>
    </row>
    <row r="9078" spans="1:15" x14ac:dyDescent="0.25">
      <c r="A9078" t="str">
        <f>"10/21/2020 19:17:11.843"</f>
        <v>10/21/2020 19:17:11.843</v>
      </c>
      <c r="B9078" t="str">
        <f>"19:17:19.797"</f>
        <v>19:17:19.797</v>
      </c>
      <c r="C9078" t="str">
        <f>"19:17:19.597"</f>
        <v>19:17:19.597</v>
      </c>
      <c r="D9078" t="s">
        <v>3489</v>
      </c>
      <c r="E9078">
        <v>30.419705</v>
      </c>
      <c r="F9078" t="s">
        <v>3490</v>
      </c>
      <c r="G9078">
        <v>-89.743903000000003</v>
      </c>
      <c r="H9078">
        <v>1200</v>
      </c>
      <c r="I9078">
        <v>-42</v>
      </c>
      <c r="J9078">
        <v>-140</v>
      </c>
      <c r="K9078">
        <v>1024</v>
      </c>
      <c r="L9078">
        <v>1200</v>
      </c>
      <c r="M9078" t="str">
        <f t="shared" si="820"/>
        <v xml:space="preserve">N35DC   </v>
      </c>
      <c r="N9078">
        <v>1</v>
      </c>
      <c r="O9078">
        <v>1200</v>
      </c>
    </row>
    <row r="9079" spans="1:15" x14ac:dyDescent="0.25">
      <c r="A9079" t="str">
        <f>"10/21/2020 19:17:14.879"</f>
        <v>10/21/2020 19:17:14.879</v>
      </c>
      <c r="B9079" t="str">
        <f>"19:17:22.844"</f>
        <v>19:17:22.844</v>
      </c>
      <c r="C9079" t="str">
        <f>"19:17:22.544"</f>
        <v>19:17:22.544</v>
      </c>
      <c r="D9079" t="s">
        <v>3491</v>
      </c>
      <c r="E9079">
        <v>30.417795000000002</v>
      </c>
      <c r="F9079" t="s">
        <v>3492</v>
      </c>
      <c r="G9079">
        <v>-89.744782000000001</v>
      </c>
      <c r="H9079">
        <v>1200</v>
      </c>
      <c r="I9079">
        <v>-61</v>
      </c>
      <c r="J9079">
        <v>-130</v>
      </c>
      <c r="K9079">
        <v>1216</v>
      </c>
      <c r="L9079">
        <v>1200</v>
      </c>
      <c r="M9079" t="str">
        <f t="shared" si="820"/>
        <v xml:space="preserve">N35DC   </v>
      </c>
      <c r="N9079">
        <v>1</v>
      </c>
      <c r="O9079">
        <v>1250</v>
      </c>
    </row>
    <row r="9080" spans="1:15" x14ac:dyDescent="0.25">
      <c r="A9080" t="str">
        <f>"10/21/2020 19:17:14.879"</f>
        <v>10/21/2020 19:17:14.879</v>
      </c>
      <c r="B9080" t="str">
        <f>"19:17:22.844"</f>
        <v>19:17:22.844</v>
      </c>
      <c r="C9080" t="str">
        <f>"19:17:22.544"</f>
        <v>19:17:22.544</v>
      </c>
      <c r="D9080" t="s">
        <v>3491</v>
      </c>
      <c r="E9080">
        <v>30.417795000000002</v>
      </c>
      <c r="F9080" t="s">
        <v>3492</v>
      </c>
      <c r="G9080">
        <v>-89.744782000000001</v>
      </c>
      <c r="H9080">
        <v>1200</v>
      </c>
      <c r="I9080">
        <v>-61</v>
      </c>
      <c r="J9080">
        <v>-130</v>
      </c>
      <c r="K9080">
        <v>1216</v>
      </c>
      <c r="L9080">
        <v>1200</v>
      </c>
      <c r="M9080" t="str">
        <f t="shared" si="820"/>
        <v xml:space="preserve">N35DC   </v>
      </c>
      <c r="N9080">
        <v>1</v>
      </c>
      <c r="O9080">
        <v>1250</v>
      </c>
    </row>
    <row r="9081" spans="1:15" x14ac:dyDescent="0.25">
      <c r="A9081" t="str">
        <f>"10/21/2020 19:17:14.879"</f>
        <v>10/21/2020 19:17:14.879</v>
      </c>
      <c r="B9081" t="str">
        <f>"19:17:22.844"</f>
        <v>19:17:22.844</v>
      </c>
      <c r="C9081" t="str">
        <f>"19:17:22.544"</f>
        <v>19:17:22.544</v>
      </c>
      <c r="D9081" t="s">
        <v>3491</v>
      </c>
      <c r="E9081">
        <v>30.417795000000002</v>
      </c>
      <c r="F9081" t="s">
        <v>3492</v>
      </c>
      <c r="G9081">
        <v>-89.744782000000001</v>
      </c>
      <c r="H9081">
        <v>1200</v>
      </c>
      <c r="I9081">
        <v>-61</v>
      </c>
      <c r="J9081">
        <v>-130</v>
      </c>
      <c r="K9081">
        <v>1216</v>
      </c>
      <c r="L9081">
        <v>1200</v>
      </c>
      <c r="M9081" t="str">
        <f t="shared" si="820"/>
        <v xml:space="preserve">N35DC   </v>
      </c>
      <c r="N9081">
        <v>1</v>
      </c>
      <c r="O9081">
        <v>1250</v>
      </c>
    </row>
    <row r="9082" spans="1:15" x14ac:dyDescent="0.25">
      <c r="A9082" t="str">
        <f>"10/21/2020 19:17:14.879"</f>
        <v>10/21/2020 19:17:14.879</v>
      </c>
      <c r="B9082" t="str">
        <f>"19:17:22.844"</f>
        <v>19:17:22.844</v>
      </c>
      <c r="C9082" t="str">
        <f>"19:17:22.544"</f>
        <v>19:17:22.544</v>
      </c>
      <c r="D9082" t="s">
        <v>3491</v>
      </c>
      <c r="E9082">
        <v>30.417795000000002</v>
      </c>
      <c r="F9082" t="s">
        <v>3492</v>
      </c>
      <c r="G9082">
        <v>-89.744782000000001</v>
      </c>
      <c r="H9082">
        <v>1200</v>
      </c>
      <c r="I9082">
        <v>-61</v>
      </c>
      <c r="J9082">
        <v>-130</v>
      </c>
      <c r="K9082">
        <v>1216</v>
      </c>
      <c r="L9082">
        <v>1200</v>
      </c>
      <c r="M9082" t="str">
        <f t="shared" si="820"/>
        <v xml:space="preserve">N35DC   </v>
      </c>
      <c r="N9082">
        <v>1</v>
      </c>
      <c r="O9082">
        <v>1250</v>
      </c>
    </row>
    <row r="9083" spans="1:15" x14ac:dyDescent="0.25">
      <c r="A9083" t="str">
        <f>"10/21/2020 19:17:14.879"</f>
        <v>10/21/2020 19:17:14.879</v>
      </c>
      <c r="B9083" t="str">
        <f>"19:17:22.844"</f>
        <v>19:17:22.844</v>
      </c>
      <c r="C9083" t="str">
        <f>"19:17:22.544"</f>
        <v>19:17:22.544</v>
      </c>
      <c r="D9083" t="s">
        <v>3491</v>
      </c>
      <c r="E9083">
        <v>30.417795000000002</v>
      </c>
      <c r="F9083" t="s">
        <v>3492</v>
      </c>
      <c r="G9083">
        <v>-89.744782000000001</v>
      </c>
      <c r="H9083">
        <v>1200</v>
      </c>
      <c r="I9083">
        <v>-61</v>
      </c>
      <c r="J9083">
        <v>-130</v>
      </c>
      <c r="K9083">
        <v>1216</v>
      </c>
      <c r="L9083">
        <v>1200</v>
      </c>
      <c r="M9083" t="str">
        <f t="shared" si="820"/>
        <v xml:space="preserve">N35DC   </v>
      </c>
      <c r="N9083">
        <v>1</v>
      </c>
      <c r="O9083">
        <v>1250</v>
      </c>
    </row>
    <row r="9084" spans="1:15" x14ac:dyDescent="0.25">
      <c r="A9084" t="str">
        <f>"10/21/2020 19:17:15.965"</f>
        <v>10/21/2020 19:17:15.965</v>
      </c>
      <c r="B9084" t="str">
        <f>"19:17:23.938"</f>
        <v>19:17:23.938</v>
      </c>
      <c r="C9084" t="str">
        <f>"19:17:23.637"</f>
        <v>19:17:23.637</v>
      </c>
      <c r="D9084" t="s">
        <v>3493</v>
      </c>
      <c r="E9084">
        <v>30.41713</v>
      </c>
      <c r="F9084" t="s">
        <v>3494</v>
      </c>
      <c r="G9084">
        <v>-89.745232999999999</v>
      </c>
      <c r="H9084">
        <v>1300</v>
      </c>
      <c r="I9084">
        <v>-69</v>
      </c>
      <c r="J9084">
        <v>-126</v>
      </c>
      <c r="K9084">
        <v>1536</v>
      </c>
      <c r="L9084">
        <v>1200</v>
      </c>
      <c r="M9084" t="str">
        <f t="shared" si="820"/>
        <v xml:space="preserve">N35DC   </v>
      </c>
      <c r="N9084">
        <v>1</v>
      </c>
      <c r="O9084">
        <v>1275</v>
      </c>
    </row>
    <row r="9085" spans="1:15" x14ac:dyDescent="0.25">
      <c r="A9085" t="str">
        <f>"10/21/2020 19:17:15.965"</f>
        <v>10/21/2020 19:17:15.965</v>
      </c>
      <c r="B9085" t="str">
        <f>"19:17:23.938"</f>
        <v>19:17:23.938</v>
      </c>
      <c r="C9085" t="str">
        <f>"19:17:23.637"</f>
        <v>19:17:23.637</v>
      </c>
      <c r="D9085" t="s">
        <v>3493</v>
      </c>
      <c r="E9085">
        <v>30.41713</v>
      </c>
      <c r="F9085" t="s">
        <v>3494</v>
      </c>
      <c r="G9085">
        <v>-89.745232999999999</v>
      </c>
      <c r="H9085">
        <v>1300</v>
      </c>
      <c r="I9085">
        <v>-69</v>
      </c>
      <c r="J9085">
        <v>-126</v>
      </c>
      <c r="K9085">
        <v>1536</v>
      </c>
      <c r="L9085">
        <v>1200</v>
      </c>
      <c r="M9085" t="str">
        <f t="shared" si="820"/>
        <v xml:space="preserve">N35DC   </v>
      </c>
      <c r="N9085">
        <v>1</v>
      </c>
      <c r="O9085">
        <v>1275</v>
      </c>
    </row>
    <row r="9086" spans="1:15" x14ac:dyDescent="0.25">
      <c r="A9086" t="str">
        <f>"10/21/2020 19:17:15.965"</f>
        <v>10/21/2020 19:17:15.965</v>
      </c>
      <c r="B9086" t="str">
        <f>"19:17:23.938"</f>
        <v>19:17:23.938</v>
      </c>
      <c r="C9086" t="str">
        <f>"19:17:23.637"</f>
        <v>19:17:23.637</v>
      </c>
      <c r="D9086" t="s">
        <v>3493</v>
      </c>
      <c r="E9086">
        <v>30.41713</v>
      </c>
      <c r="F9086" t="s">
        <v>3494</v>
      </c>
      <c r="G9086">
        <v>-89.745232999999999</v>
      </c>
      <c r="H9086">
        <v>1300</v>
      </c>
      <c r="I9086">
        <v>-69</v>
      </c>
      <c r="J9086">
        <v>-126</v>
      </c>
      <c r="K9086">
        <v>1536</v>
      </c>
      <c r="L9086">
        <v>1200</v>
      </c>
      <c r="M9086" t="str">
        <f t="shared" si="820"/>
        <v xml:space="preserve">N35DC   </v>
      </c>
      <c r="N9086">
        <v>1</v>
      </c>
      <c r="O9086">
        <v>1275</v>
      </c>
    </row>
    <row r="9087" spans="1:15" x14ac:dyDescent="0.25">
      <c r="A9087" t="str">
        <f>"10/21/2020 19:17:15.965"</f>
        <v>10/21/2020 19:17:15.965</v>
      </c>
      <c r="B9087" t="str">
        <f>"19:17:23.938"</f>
        <v>19:17:23.938</v>
      </c>
      <c r="C9087" t="str">
        <f>"19:17:23.637"</f>
        <v>19:17:23.637</v>
      </c>
      <c r="D9087" t="s">
        <v>3493</v>
      </c>
      <c r="E9087">
        <v>30.41713</v>
      </c>
      <c r="F9087" t="s">
        <v>3494</v>
      </c>
      <c r="G9087">
        <v>-89.745232999999999</v>
      </c>
      <c r="H9087">
        <v>1300</v>
      </c>
      <c r="I9087">
        <v>-69</v>
      </c>
      <c r="J9087">
        <v>-126</v>
      </c>
      <c r="K9087">
        <v>1536</v>
      </c>
      <c r="L9087">
        <v>1200</v>
      </c>
      <c r="M9087" t="str">
        <f t="shared" si="820"/>
        <v xml:space="preserve">N35DC   </v>
      </c>
      <c r="N9087">
        <v>1</v>
      </c>
      <c r="O9087">
        <v>1275</v>
      </c>
    </row>
    <row r="9088" spans="1:15" x14ac:dyDescent="0.25">
      <c r="A9088" t="str">
        <f>"10/21/2020 19:17:15.965"</f>
        <v>10/21/2020 19:17:15.965</v>
      </c>
      <c r="B9088" t="str">
        <f>"19:17:23.938"</f>
        <v>19:17:23.938</v>
      </c>
      <c r="C9088" t="str">
        <f>"19:17:23.637"</f>
        <v>19:17:23.637</v>
      </c>
      <c r="D9088" t="s">
        <v>3493</v>
      </c>
      <c r="E9088">
        <v>30.41713</v>
      </c>
      <c r="F9088" t="s">
        <v>3494</v>
      </c>
      <c r="G9088">
        <v>-89.745232999999999</v>
      </c>
      <c r="H9088">
        <v>1300</v>
      </c>
      <c r="I9088">
        <v>-69</v>
      </c>
      <c r="J9088">
        <v>-126</v>
      </c>
      <c r="K9088">
        <v>1536</v>
      </c>
      <c r="L9088">
        <v>1200</v>
      </c>
      <c r="M9088" t="str">
        <f t="shared" si="820"/>
        <v xml:space="preserve">N35DC   </v>
      </c>
      <c r="N9088">
        <v>1</v>
      </c>
      <c r="O9088">
        <v>1275</v>
      </c>
    </row>
    <row r="9089" spans="1:15" x14ac:dyDescent="0.25">
      <c r="A9089" t="str">
        <f>"10/21/2020 19:17:19.100"</f>
        <v>10/21/2020 19:17:19.100</v>
      </c>
      <c r="B9089" t="str">
        <f>"19:17:27.055"</f>
        <v>19:17:27.055</v>
      </c>
      <c r="C9089" t="str">
        <f>"19:17:26.955"</f>
        <v>19:17:26.955</v>
      </c>
      <c r="D9089" t="s">
        <v>3495</v>
      </c>
      <c r="E9089">
        <v>30.415499000000001</v>
      </c>
      <c r="F9089" t="s">
        <v>3496</v>
      </c>
      <c r="G9089">
        <v>-89.746606</v>
      </c>
      <c r="H9089">
        <v>1300</v>
      </c>
      <c r="I9089">
        <v>-90</v>
      </c>
      <c r="J9089">
        <v>-108</v>
      </c>
      <c r="K9089">
        <v>1728</v>
      </c>
      <c r="L9089">
        <v>1200</v>
      </c>
      <c r="M9089" t="str">
        <f t="shared" si="820"/>
        <v xml:space="preserve">N35DC   </v>
      </c>
      <c r="N9089">
        <v>1</v>
      </c>
      <c r="O9089">
        <v>1375</v>
      </c>
    </row>
    <row r="9090" spans="1:15" x14ac:dyDescent="0.25">
      <c r="A9090" t="str">
        <f>"10/21/2020 19:17:19.100"</f>
        <v>10/21/2020 19:17:19.100</v>
      </c>
      <c r="B9090" t="str">
        <f>"19:17:27.055"</f>
        <v>19:17:27.055</v>
      </c>
      <c r="C9090" t="str">
        <f>"19:17:26.955"</f>
        <v>19:17:26.955</v>
      </c>
      <c r="D9090" t="s">
        <v>3495</v>
      </c>
      <c r="E9090">
        <v>30.415499000000001</v>
      </c>
      <c r="F9090" t="s">
        <v>3496</v>
      </c>
      <c r="G9090">
        <v>-89.746606</v>
      </c>
      <c r="H9090">
        <v>1300</v>
      </c>
      <c r="I9090">
        <v>-90</v>
      </c>
      <c r="J9090">
        <v>-108</v>
      </c>
      <c r="K9090">
        <v>1728</v>
      </c>
      <c r="L9090">
        <v>1200</v>
      </c>
      <c r="M9090" t="str">
        <f t="shared" si="820"/>
        <v xml:space="preserve">N35DC   </v>
      </c>
      <c r="N9090">
        <v>1</v>
      </c>
      <c r="O9090">
        <v>1375</v>
      </c>
    </row>
    <row r="9091" spans="1:15" x14ac:dyDescent="0.25">
      <c r="A9091" t="str">
        <f>"10/21/2020 19:17:19.100"</f>
        <v>10/21/2020 19:17:19.100</v>
      </c>
      <c r="B9091" t="str">
        <f>"19:17:27.055"</f>
        <v>19:17:27.055</v>
      </c>
      <c r="C9091" t="str">
        <f>"19:17:26.955"</f>
        <v>19:17:26.955</v>
      </c>
      <c r="D9091" t="s">
        <v>3495</v>
      </c>
      <c r="E9091">
        <v>30.415499000000001</v>
      </c>
      <c r="F9091" t="s">
        <v>3496</v>
      </c>
      <c r="G9091">
        <v>-89.746606</v>
      </c>
      <c r="H9091">
        <v>1300</v>
      </c>
      <c r="I9091">
        <v>-90</v>
      </c>
      <c r="J9091">
        <v>-108</v>
      </c>
      <c r="K9091">
        <v>1728</v>
      </c>
      <c r="L9091">
        <v>1200</v>
      </c>
      <c r="M9091" t="str">
        <f t="shared" si="820"/>
        <v xml:space="preserve">N35DC   </v>
      </c>
      <c r="N9091">
        <v>1</v>
      </c>
      <c r="O9091">
        <v>1375</v>
      </c>
    </row>
    <row r="9092" spans="1:15" x14ac:dyDescent="0.25">
      <c r="A9092" t="str">
        <f>"10/21/2020 19:17:19.100"</f>
        <v>10/21/2020 19:17:19.100</v>
      </c>
      <c r="B9092" t="str">
        <f>"19:17:27.055"</f>
        <v>19:17:27.055</v>
      </c>
      <c r="C9092" t="str">
        <f>"19:17:26.955"</f>
        <v>19:17:26.955</v>
      </c>
      <c r="D9092" t="s">
        <v>3495</v>
      </c>
      <c r="E9092">
        <v>30.415499000000001</v>
      </c>
      <c r="F9092" t="s">
        <v>3496</v>
      </c>
      <c r="G9092">
        <v>-89.746606</v>
      </c>
      <c r="H9092">
        <v>1300</v>
      </c>
      <c r="I9092">
        <v>-90</v>
      </c>
      <c r="J9092">
        <v>-108</v>
      </c>
      <c r="K9092">
        <v>1728</v>
      </c>
      <c r="L9092">
        <v>1200</v>
      </c>
      <c r="M9092" t="str">
        <f t="shared" si="820"/>
        <v xml:space="preserve">N35DC   </v>
      </c>
      <c r="N9092">
        <v>1</v>
      </c>
      <c r="O9092">
        <v>1375</v>
      </c>
    </row>
    <row r="9093" spans="1:15" x14ac:dyDescent="0.25">
      <c r="A9093" t="str">
        <f>"10/21/2020 19:17:19.100"</f>
        <v>10/21/2020 19:17:19.100</v>
      </c>
      <c r="B9093" t="str">
        <f>"19:17:27.055"</f>
        <v>19:17:27.055</v>
      </c>
      <c r="C9093" t="str">
        <f>"19:17:26.955"</f>
        <v>19:17:26.955</v>
      </c>
      <c r="D9093" t="s">
        <v>3495</v>
      </c>
      <c r="E9093">
        <v>30.415499000000001</v>
      </c>
      <c r="F9093" t="s">
        <v>3496</v>
      </c>
      <c r="G9093">
        <v>-89.746606</v>
      </c>
      <c r="H9093">
        <v>1300</v>
      </c>
      <c r="I9093">
        <v>-90</v>
      </c>
      <c r="J9093">
        <v>-108</v>
      </c>
      <c r="K9093">
        <v>1728</v>
      </c>
      <c r="L9093">
        <v>1200</v>
      </c>
      <c r="M9093" t="str">
        <f t="shared" si="820"/>
        <v xml:space="preserve">N35DC   </v>
      </c>
      <c r="N9093">
        <v>1</v>
      </c>
      <c r="O9093">
        <v>1375</v>
      </c>
    </row>
    <row r="9094" spans="1:15" x14ac:dyDescent="0.25">
      <c r="A9094" t="str">
        <f>"10/21/2020 19:17:21.956"</f>
        <v>10/21/2020 19:17:21.956</v>
      </c>
      <c r="B9094" t="str">
        <f>"19:17:29.906"</f>
        <v>19:17:29.906</v>
      </c>
      <c r="C9094" t="str">
        <f>"19:17:29.706"</f>
        <v>19:17:29.706</v>
      </c>
      <c r="D9094" t="s">
        <v>3497</v>
      </c>
      <c r="E9094">
        <v>30.414211999999999</v>
      </c>
      <c r="F9094" t="s">
        <v>3498</v>
      </c>
      <c r="G9094">
        <v>-89.748130000000003</v>
      </c>
      <c r="H9094">
        <v>1400</v>
      </c>
      <c r="I9094">
        <v>-105</v>
      </c>
      <c r="J9094">
        <v>-92</v>
      </c>
      <c r="K9094">
        <v>1024</v>
      </c>
      <c r="L9094">
        <v>1200</v>
      </c>
      <c r="M9094" t="str">
        <f t="shared" si="820"/>
        <v xml:space="preserve">N35DC   </v>
      </c>
      <c r="N9094">
        <v>1</v>
      </c>
      <c r="O9094">
        <v>1450</v>
      </c>
    </row>
    <row r="9095" spans="1:15" x14ac:dyDescent="0.25">
      <c r="A9095" t="str">
        <f>"10/21/2020 19:17:21.956"</f>
        <v>10/21/2020 19:17:21.956</v>
      </c>
      <c r="B9095" t="str">
        <f>"19:17:29.906"</f>
        <v>19:17:29.906</v>
      </c>
      <c r="C9095" t="str">
        <f>"19:17:29.706"</f>
        <v>19:17:29.706</v>
      </c>
      <c r="D9095" t="s">
        <v>3497</v>
      </c>
      <c r="E9095">
        <v>30.414211999999999</v>
      </c>
      <c r="F9095" t="s">
        <v>3498</v>
      </c>
      <c r="G9095">
        <v>-89.748130000000003</v>
      </c>
      <c r="H9095">
        <v>1400</v>
      </c>
      <c r="I9095">
        <v>-105</v>
      </c>
      <c r="J9095">
        <v>-92</v>
      </c>
      <c r="K9095">
        <v>1024</v>
      </c>
      <c r="L9095">
        <v>1200</v>
      </c>
      <c r="M9095" t="str">
        <f t="shared" ref="M9095:M9158" si="822">"N35DC   "</f>
        <v xml:space="preserve">N35DC   </v>
      </c>
      <c r="N9095">
        <v>1</v>
      </c>
      <c r="O9095">
        <v>1450</v>
      </c>
    </row>
    <row r="9096" spans="1:15" x14ac:dyDescent="0.25">
      <c r="A9096" t="str">
        <f>"10/21/2020 19:17:21.956"</f>
        <v>10/21/2020 19:17:21.956</v>
      </c>
      <c r="B9096" t="str">
        <f>"19:17:29.906"</f>
        <v>19:17:29.906</v>
      </c>
      <c r="C9096" t="str">
        <f>"19:17:29.706"</f>
        <v>19:17:29.706</v>
      </c>
      <c r="D9096" t="s">
        <v>3497</v>
      </c>
      <c r="E9096">
        <v>30.414211999999999</v>
      </c>
      <c r="F9096" t="s">
        <v>3498</v>
      </c>
      <c r="G9096">
        <v>-89.748130000000003</v>
      </c>
      <c r="H9096">
        <v>1400</v>
      </c>
      <c r="I9096">
        <v>-105</v>
      </c>
      <c r="J9096">
        <v>-92</v>
      </c>
      <c r="K9096">
        <v>1024</v>
      </c>
      <c r="L9096">
        <v>1200</v>
      </c>
      <c r="M9096" t="str">
        <f t="shared" si="822"/>
        <v xml:space="preserve">N35DC   </v>
      </c>
      <c r="N9096">
        <v>1</v>
      </c>
      <c r="O9096">
        <v>1450</v>
      </c>
    </row>
    <row r="9097" spans="1:15" x14ac:dyDescent="0.25">
      <c r="A9097" t="str">
        <f>"10/21/2020 19:17:21.956"</f>
        <v>10/21/2020 19:17:21.956</v>
      </c>
      <c r="B9097" t="str">
        <f>"19:17:29.906"</f>
        <v>19:17:29.906</v>
      </c>
      <c r="C9097" t="str">
        <f>"19:17:29.706"</f>
        <v>19:17:29.706</v>
      </c>
      <c r="D9097" t="s">
        <v>3497</v>
      </c>
      <c r="E9097">
        <v>30.414211999999999</v>
      </c>
      <c r="F9097" t="s">
        <v>3498</v>
      </c>
      <c r="G9097">
        <v>-89.748130000000003</v>
      </c>
      <c r="H9097">
        <v>1400</v>
      </c>
      <c r="I9097">
        <v>-105</v>
      </c>
      <c r="J9097">
        <v>-92</v>
      </c>
      <c r="K9097">
        <v>1024</v>
      </c>
      <c r="L9097">
        <v>1200</v>
      </c>
      <c r="M9097" t="str">
        <f t="shared" si="822"/>
        <v xml:space="preserve">N35DC   </v>
      </c>
      <c r="N9097">
        <v>1</v>
      </c>
      <c r="O9097">
        <v>1450</v>
      </c>
    </row>
    <row r="9098" spans="1:15" x14ac:dyDescent="0.25">
      <c r="A9098" t="str">
        <f>"10/21/2020 19:17:21.956"</f>
        <v>10/21/2020 19:17:21.956</v>
      </c>
      <c r="B9098" t="str">
        <f>"19:17:29.906"</f>
        <v>19:17:29.906</v>
      </c>
      <c r="C9098" t="str">
        <f>"19:17:29.706"</f>
        <v>19:17:29.706</v>
      </c>
      <c r="D9098" t="s">
        <v>3497</v>
      </c>
      <c r="E9098">
        <v>30.414211999999999</v>
      </c>
      <c r="F9098" t="s">
        <v>3498</v>
      </c>
      <c r="G9098">
        <v>-89.748130000000003</v>
      </c>
      <c r="H9098">
        <v>1400</v>
      </c>
      <c r="I9098">
        <v>-105</v>
      </c>
      <c r="J9098">
        <v>-92</v>
      </c>
      <c r="K9098">
        <v>1024</v>
      </c>
      <c r="L9098">
        <v>1200</v>
      </c>
      <c r="M9098" t="str">
        <f t="shared" si="822"/>
        <v xml:space="preserve">N35DC   </v>
      </c>
      <c r="N9098">
        <v>1</v>
      </c>
      <c r="O9098">
        <v>1450</v>
      </c>
    </row>
    <row r="9099" spans="1:15" x14ac:dyDescent="0.25">
      <c r="A9099" t="str">
        <f>"10/21/2020 19:17:26.976"</f>
        <v>10/21/2020 19:17:26.976</v>
      </c>
      <c r="B9099" t="str">
        <f>"19:17:34.945"</f>
        <v>19:17:34.945</v>
      </c>
      <c r="C9099" t="str">
        <f>"19:17:34.545"</f>
        <v>19:17:34.545</v>
      </c>
      <c r="D9099" t="s">
        <v>3499</v>
      </c>
      <c r="E9099">
        <v>30.412451999999998</v>
      </c>
      <c r="F9099" t="s">
        <v>3500</v>
      </c>
      <c r="G9099">
        <v>-89.751347999999993</v>
      </c>
      <c r="H9099">
        <v>1400</v>
      </c>
      <c r="I9099">
        <v>-125</v>
      </c>
      <c r="J9099">
        <v>-66</v>
      </c>
      <c r="K9099">
        <v>512</v>
      </c>
      <c r="L9099">
        <v>1200</v>
      </c>
      <c r="M9099" t="str">
        <f t="shared" si="822"/>
        <v xml:space="preserve">N35DC   </v>
      </c>
      <c r="N9099">
        <v>1</v>
      </c>
      <c r="O9099">
        <v>1475</v>
      </c>
    </row>
    <row r="9100" spans="1:15" x14ac:dyDescent="0.25">
      <c r="A9100" t="str">
        <f>"10/21/2020 19:17:26.976"</f>
        <v>10/21/2020 19:17:26.976</v>
      </c>
      <c r="B9100" t="str">
        <f>"19:17:34.945"</f>
        <v>19:17:34.945</v>
      </c>
      <c r="C9100" t="str">
        <f>"19:17:34.545"</f>
        <v>19:17:34.545</v>
      </c>
      <c r="D9100" t="s">
        <v>3499</v>
      </c>
      <c r="E9100">
        <v>30.412451999999998</v>
      </c>
      <c r="F9100" t="s">
        <v>3500</v>
      </c>
      <c r="G9100">
        <v>-89.751347999999993</v>
      </c>
      <c r="H9100">
        <v>1400</v>
      </c>
      <c r="I9100">
        <v>-125</v>
      </c>
      <c r="J9100">
        <v>-66</v>
      </c>
      <c r="K9100">
        <v>512</v>
      </c>
      <c r="L9100">
        <v>1200</v>
      </c>
      <c r="M9100" t="str">
        <f t="shared" si="822"/>
        <v xml:space="preserve">N35DC   </v>
      </c>
      <c r="N9100">
        <v>1</v>
      </c>
      <c r="O9100">
        <v>1475</v>
      </c>
    </row>
    <row r="9101" spans="1:15" x14ac:dyDescent="0.25">
      <c r="A9101" t="str">
        <f>"10/21/2020 19:17:26.976"</f>
        <v>10/21/2020 19:17:26.976</v>
      </c>
      <c r="B9101" t="str">
        <f>"19:17:34.945"</f>
        <v>19:17:34.945</v>
      </c>
      <c r="C9101" t="str">
        <f>"19:17:34.545"</f>
        <v>19:17:34.545</v>
      </c>
      <c r="D9101" t="s">
        <v>3499</v>
      </c>
      <c r="E9101">
        <v>30.412451999999998</v>
      </c>
      <c r="F9101" t="s">
        <v>3500</v>
      </c>
      <c r="G9101">
        <v>-89.751347999999993</v>
      </c>
      <c r="H9101">
        <v>1400</v>
      </c>
      <c r="I9101">
        <v>-125</v>
      </c>
      <c r="J9101">
        <v>-66</v>
      </c>
      <c r="K9101">
        <v>512</v>
      </c>
      <c r="L9101">
        <v>1200</v>
      </c>
      <c r="M9101" t="str">
        <f t="shared" si="822"/>
        <v xml:space="preserve">N35DC   </v>
      </c>
      <c r="N9101">
        <v>1</v>
      </c>
      <c r="O9101">
        <v>1475</v>
      </c>
    </row>
    <row r="9102" spans="1:15" x14ac:dyDescent="0.25">
      <c r="A9102" t="str">
        <f>"10/21/2020 19:17:26.976"</f>
        <v>10/21/2020 19:17:26.976</v>
      </c>
      <c r="B9102" t="str">
        <f>"19:17:34.945"</f>
        <v>19:17:34.945</v>
      </c>
      <c r="C9102" t="str">
        <f>"19:17:34.545"</f>
        <v>19:17:34.545</v>
      </c>
      <c r="D9102" t="s">
        <v>3499</v>
      </c>
      <c r="E9102">
        <v>30.412451999999998</v>
      </c>
      <c r="F9102" t="s">
        <v>3500</v>
      </c>
      <c r="G9102">
        <v>-89.751347999999993</v>
      </c>
      <c r="H9102">
        <v>1400</v>
      </c>
      <c r="I9102">
        <v>-125</v>
      </c>
      <c r="J9102">
        <v>-66</v>
      </c>
      <c r="K9102">
        <v>512</v>
      </c>
      <c r="L9102">
        <v>1200</v>
      </c>
      <c r="M9102" t="str">
        <f t="shared" si="822"/>
        <v xml:space="preserve">N35DC   </v>
      </c>
      <c r="N9102">
        <v>1</v>
      </c>
      <c r="O9102">
        <v>1475</v>
      </c>
    </row>
    <row r="9103" spans="1:15" x14ac:dyDescent="0.25">
      <c r="A9103" t="str">
        <f>"10/21/2020 19:17:26.976"</f>
        <v>10/21/2020 19:17:26.976</v>
      </c>
      <c r="B9103" t="str">
        <f>"19:17:34.945"</f>
        <v>19:17:34.945</v>
      </c>
      <c r="C9103" t="str">
        <f>"19:17:34.545"</f>
        <v>19:17:34.545</v>
      </c>
      <c r="D9103" t="s">
        <v>3499</v>
      </c>
      <c r="E9103">
        <v>30.412451999999998</v>
      </c>
      <c r="F9103" t="s">
        <v>3500</v>
      </c>
      <c r="G9103">
        <v>-89.751347999999993</v>
      </c>
      <c r="H9103">
        <v>1400</v>
      </c>
      <c r="I9103">
        <v>-125</v>
      </c>
      <c r="J9103">
        <v>-66</v>
      </c>
      <c r="K9103">
        <v>512</v>
      </c>
      <c r="L9103">
        <v>1200</v>
      </c>
      <c r="M9103" t="str">
        <f t="shared" si="822"/>
        <v xml:space="preserve">N35DC   </v>
      </c>
      <c r="N9103">
        <v>1</v>
      </c>
      <c r="O9103">
        <v>1475</v>
      </c>
    </row>
    <row r="9104" spans="1:15" x14ac:dyDescent="0.25">
      <c r="A9104" t="str">
        <f>"10/21/2020 19:17:30.045"</f>
        <v>10/21/2020 19:17:30.045</v>
      </c>
      <c r="B9104" t="str">
        <f>"19:17:38.008"</f>
        <v>19:17:38.008</v>
      </c>
      <c r="C9104" t="str">
        <f>"19:17:37.208"</f>
        <v>19:17:37.208</v>
      </c>
      <c r="D9104" t="s">
        <v>3501</v>
      </c>
      <c r="E9104">
        <v>30.411657999999999</v>
      </c>
      <c r="F9104" t="s">
        <v>3502</v>
      </c>
      <c r="G9104">
        <v>-89.753450999999998</v>
      </c>
      <c r="H9104">
        <v>1500</v>
      </c>
      <c r="I9104">
        <v>-133</v>
      </c>
      <c r="J9104">
        <v>-50</v>
      </c>
      <c r="K9104">
        <v>576</v>
      </c>
      <c r="L9104">
        <v>1200</v>
      </c>
      <c r="M9104" t="str">
        <f t="shared" si="822"/>
        <v xml:space="preserve">N35DC   </v>
      </c>
      <c r="N9104">
        <v>1</v>
      </c>
      <c r="O9104">
        <v>1500</v>
      </c>
    </row>
    <row r="9105" spans="1:15" x14ac:dyDescent="0.25">
      <c r="A9105" t="str">
        <f>"10/21/2020 19:17:30.045"</f>
        <v>10/21/2020 19:17:30.045</v>
      </c>
      <c r="B9105" t="str">
        <f>"19:17:38.008"</f>
        <v>19:17:38.008</v>
      </c>
      <c r="C9105" t="str">
        <f>"19:17:37.208"</f>
        <v>19:17:37.208</v>
      </c>
      <c r="D9105" t="s">
        <v>3501</v>
      </c>
      <c r="E9105">
        <v>30.411657999999999</v>
      </c>
      <c r="F9105" t="s">
        <v>3502</v>
      </c>
      <c r="G9105">
        <v>-89.753450999999998</v>
      </c>
      <c r="H9105">
        <v>1500</v>
      </c>
      <c r="I9105">
        <v>-133</v>
      </c>
      <c r="J9105">
        <v>-50</v>
      </c>
      <c r="K9105">
        <v>576</v>
      </c>
      <c r="L9105">
        <v>1200</v>
      </c>
      <c r="M9105" t="str">
        <f t="shared" si="822"/>
        <v xml:space="preserve">N35DC   </v>
      </c>
      <c r="N9105">
        <v>1</v>
      </c>
      <c r="O9105">
        <v>1500</v>
      </c>
    </row>
    <row r="9106" spans="1:15" x14ac:dyDescent="0.25">
      <c r="A9106" t="str">
        <f>"10/21/2020 19:17:30.045"</f>
        <v>10/21/2020 19:17:30.045</v>
      </c>
      <c r="B9106" t="str">
        <f>"19:17:38.008"</f>
        <v>19:17:38.008</v>
      </c>
      <c r="C9106" t="str">
        <f>"19:17:37.208"</f>
        <v>19:17:37.208</v>
      </c>
      <c r="D9106" t="s">
        <v>3501</v>
      </c>
      <c r="E9106">
        <v>30.411657999999999</v>
      </c>
      <c r="F9106" t="s">
        <v>3502</v>
      </c>
      <c r="G9106">
        <v>-89.753450999999998</v>
      </c>
      <c r="H9106">
        <v>1500</v>
      </c>
      <c r="I9106">
        <v>-133</v>
      </c>
      <c r="J9106">
        <v>-50</v>
      </c>
      <c r="K9106">
        <v>576</v>
      </c>
      <c r="L9106">
        <v>1200</v>
      </c>
      <c r="M9106" t="str">
        <f t="shared" si="822"/>
        <v xml:space="preserve">N35DC   </v>
      </c>
      <c r="N9106">
        <v>1</v>
      </c>
      <c r="O9106">
        <v>1500</v>
      </c>
    </row>
    <row r="9107" spans="1:15" x14ac:dyDescent="0.25">
      <c r="A9107" t="str">
        <f>"10/21/2020 19:17:30.045"</f>
        <v>10/21/2020 19:17:30.045</v>
      </c>
      <c r="B9107" t="str">
        <f>"19:17:38.008"</f>
        <v>19:17:38.008</v>
      </c>
      <c r="C9107" t="str">
        <f>"19:17:37.208"</f>
        <v>19:17:37.208</v>
      </c>
      <c r="D9107" t="s">
        <v>3501</v>
      </c>
      <c r="E9107">
        <v>30.411657999999999</v>
      </c>
      <c r="F9107" t="s">
        <v>3502</v>
      </c>
      <c r="G9107">
        <v>-89.753450999999998</v>
      </c>
      <c r="H9107">
        <v>1500</v>
      </c>
      <c r="I9107">
        <v>-133</v>
      </c>
      <c r="J9107">
        <v>-50</v>
      </c>
      <c r="K9107">
        <v>576</v>
      </c>
      <c r="L9107">
        <v>1200</v>
      </c>
      <c r="M9107" t="str">
        <f t="shared" si="822"/>
        <v xml:space="preserve">N35DC   </v>
      </c>
      <c r="N9107">
        <v>1</v>
      </c>
      <c r="O9107">
        <v>1500</v>
      </c>
    </row>
    <row r="9108" spans="1:15" x14ac:dyDescent="0.25">
      <c r="A9108" t="str">
        <f>"10/21/2020 19:17:30.045"</f>
        <v>10/21/2020 19:17:30.045</v>
      </c>
      <c r="B9108" t="str">
        <f>"19:17:38.008"</f>
        <v>19:17:38.008</v>
      </c>
      <c r="C9108" t="str">
        <f>"19:17:37.208"</f>
        <v>19:17:37.208</v>
      </c>
      <c r="D9108" t="s">
        <v>3501</v>
      </c>
      <c r="E9108">
        <v>30.411657999999999</v>
      </c>
      <c r="F9108" t="s">
        <v>3502</v>
      </c>
      <c r="G9108">
        <v>-89.753450999999998</v>
      </c>
      <c r="H9108">
        <v>1500</v>
      </c>
      <c r="I9108">
        <v>-133</v>
      </c>
      <c r="J9108">
        <v>-50</v>
      </c>
      <c r="K9108">
        <v>576</v>
      </c>
      <c r="L9108">
        <v>1200</v>
      </c>
      <c r="M9108" t="str">
        <f t="shared" si="822"/>
        <v xml:space="preserve">N35DC   </v>
      </c>
      <c r="N9108">
        <v>1</v>
      </c>
      <c r="O9108">
        <v>1500</v>
      </c>
    </row>
    <row r="9109" spans="1:15" x14ac:dyDescent="0.25">
      <c r="A9109" t="str">
        <f>"10/21/2020 19:17:30.926"</f>
        <v>10/21/2020 19:17:30.926</v>
      </c>
      <c r="B9109" t="str">
        <f>"19:17:38.875"</f>
        <v>19:17:38.875</v>
      </c>
      <c r="C9109" t="str">
        <f>"19:17:38.675"</f>
        <v>19:17:38.675</v>
      </c>
      <c r="D9109" t="s">
        <v>3503</v>
      </c>
      <c r="E9109">
        <v>30.411529999999999</v>
      </c>
      <c r="F9109" t="s">
        <v>3504</v>
      </c>
      <c r="G9109">
        <v>-89.754095000000007</v>
      </c>
      <c r="H9109">
        <v>1500</v>
      </c>
      <c r="I9109">
        <v>-136</v>
      </c>
      <c r="J9109">
        <v>-41</v>
      </c>
      <c r="K9109">
        <v>576</v>
      </c>
      <c r="L9109">
        <v>1200</v>
      </c>
      <c r="M9109" t="str">
        <f t="shared" si="822"/>
        <v xml:space="preserve">N35DC   </v>
      </c>
      <c r="N9109">
        <v>1</v>
      </c>
      <c r="O9109">
        <v>1525</v>
      </c>
    </row>
    <row r="9110" spans="1:15" x14ac:dyDescent="0.25">
      <c r="A9110" t="str">
        <f>"10/21/2020 19:17:30.926"</f>
        <v>10/21/2020 19:17:30.926</v>
      </c>
      <c r="B9110" t="str">
        <f>"19:17:38.875"</f>
        <v>19:17:38.875</v>
      </c>
      <c r="C9110" t="str">
        <f>"19:17:38.675"</f>
        <v>19:17:38.675</v>
      </c>
      <c r="D9110" t="s">
        <v>3503</v>
      </c>
      <c r="E9110">
        <v>30.411529999999999</v>
      </c>
      <c r="F9110" t="s">
        <v>3504</v>
      </c>
      <c r="G9110">
        <v>-89.754095000000007</v>
      </c>
      <c r="H9110">
        <v>1500</v>
      </c>
      <c r="I9110">
        <v>-136</v>
      </c>
      <c r="J9110">
        <v>-41</v>
      </c>
      <c r="K9110">
        <v>576</v>
      </c>
      <c r="L9110">
        <v>1200</v>
      </c>
      <c r="M9110" t="str">
        <f t="shared" si="822"/>
        <v xml:space="preserve">N35DC   </v>
      </c>
      <c r="N9110">
        <v>1</v>
      </c>
      <c r="O9110">
        <v>1525</v>
      </c>
    </row>
    <row r="9111" spans="1:15" x14ac:dyDescent="0.25">
      <c r="A9111" t="str">
        <f>"10/21/2020 19:17:30.926"</f>
        <v>10/21/2020 19:17:30.926</v>
      </c>
      <c r="B9111" t="str">
        <f>"19:17:38.875"</f>
        <v>19:17:38.875</v>
      </c>
      <c r="C9111" t="str">
        <f>"19:17:38.675"</f>
        <v>19:17:38.675</v>
      </c>
      <c r="D9111" t="s">
        <v>3503</v>
      </c>
      <c r="E9111">
        <v>30.411529999999999</v>
      </c>
      <c r="F9111" t="s">
        <v>3504</v>
      </c>
      <c r="G9111">
        <v>-89.754095000000007</v>
      </c>
      <c r="H9111">
        <v>1500</v>
      </c>
      <c r="I9111">
        <v>-136</v>
      </c>
      <c r="J9111">
        <v>-41</v>
      </c>
      <c r="K9111">
        <v>576</v>
      </c>
      <c r="L9111">
        <v>1200</v>
      </c>
      <c r="M9111" t="str">
        <f t="shared" si="822"/>
        <v xml:space="preserve">N35DC   </v>
      </c>
      <c r="N9111">
        <v>1</v>
      </c>
      <c r="O9111">
        <v>1525</v>
      </c>
    </row>
    <row r="9112" spans="1:15" x14ac:dyDescent="0.25">
      <c r="A9112" t="str">
        <f>"10/21/2020 19:17:30.926"</f>
        <v>10/21/2020 19:17:30.926</v>
      </c>
      <c r="B9112" t="str">
        <f>"19:17:38.875"</f>
        <v>19:17:38.875</v>
      </c>
      <c r="C9112" t="str">
        <f>"19:17:38.675"</f>
        <v>19:17:38.675</v>
      </c>
      <c r="D9112" t="s">
        <v>3503</v>
      </c>
      <c r="E9112">
        <v>30.411529999999999</v>
      </c>
      <c r="F9112" t="s">
        <v>3504</v>
      </c>
      <c r="G9112">
        <v>-89.754095000000007</v>
      </c>
      <c r="H9112">
        <v>1500</v>
      </c>
      <c r="I9112">
        <v>-136</v>
      </c>
      <c r="J9112">
        <v>-41</v>
      </c>
      <c r="K9112">
        <v>576</v>
      </c>
      <c r="L9112">
        <v>1200</v>
      </c>
      <c r="M9112" t="str">
        <f t="shared" si="822"/>
        <v xml:space="preserve">N35DC   </v>
      </c>
      <c r="N9112">
        <v>1</v>
      </c>
      <c r="O9112">
        <v>1525</v>
      </c>
    </row>
    <row r="9113" spans="1:15" x14ac:dyDescent="0.25">
      <c r="A9113" t="str">
        <f>"10/21/2020 19:17:30.926"</f>
        <v>10/21/2020 19:17:30.926</v>
      </c>
      <c r="B9113" t="str">
        <f>"19:17:38.875"</f>
        <v>19:17:38.875</v>
      </c>
      <c r="C9113" t="str">
        <f>"19:17:38.675"</f>
        <v>19:17:38.675</v>
      </c>
      <c r="D9113" t="s">
        <v>3503</v>
      </c>
      <c r="E9113">
        <v>30.411529999999999</v>
      </c>
      <c r="F9113" t="s">
        <v>3504</v>
      </c>
      <c r="G9113">
        <v>-89.754095000000007</v>
      </c>
      <c r="H9113">
        <v>1500</v>
      </c>
      <c r="I9113">
        <v>-136</v>
      </c>
      <c r="J9113">
        <v>-41</v>
      </c>
      <c r="K9113">
        <v>576</v>
      </c>
      <c r="L9113">
        <v>1200</v>
      </c>
      <c r="M9113" t="str">
        <f t="shared" si="822"/>
        <v xml:space="preserve">N35DC   </v>
      </c>
      <c r="N9113">
        <v>1</v>
      </c>
      <c r="O9113">
        <v>1525</v>
      </c>
    </row>
    <row r="9114" spans="1:15" x14ac:dyDescent="0.25">
      <c r="A9114" t="str">
        <f>"10/21/2020 19:17:31.915"</f>
        <v>10/21/2020 19:17:31.915</v>
      </c>
      <c r="B9114" t="str">
        <f>"19:17:39.852"</f>
        <v>19:17:39.852</v>
      </c>
      <c r="C9114" t="str">
        <f>"19:17:39.552"</f>
        <v>19:17:39.552</v>
      </c>
      <c r="D9114" t="s">
        <v>2884</v>
      </c>
      <c r="E9114">
        <v>30.411358</v>
      </c>
      <c r="F9114" t="s">
        <v>3505</v>
      </c>
      <c r="G9114">
        <v>-89.754846000000001</v>
      </c>
      <c r="H9114">
        <v>1500</v>
      </c>
      <c r="I9114">
        <v>-138</v>
      </c>
      <c r="J9114">
        <v>-36</v>
      </c>
      <c r="K9114">
        <v>576</v>
      </c>
      <c r="L9114">
        <v>1200</v>
      </c>
      <c r="M9114" t="str">
        <f t="shared" si="822"/>
        <v xml:space="preserve">N35DC   </v>
      </c>
      <c r="N9114">
        <v>1</v>
      </c>
      <c r="O9114">
        <v>1525</v>
      </c>
    </row>
    <row r="9115" spans="1:15" x14ac:dyDescent="0.25">
      <c r="A9115" t="str">
        <f>"10/21/2020 19:17:31.915"</f>
        <v>10/21/2020 19:17:31.915</v>
      </c>
      <c r="B9115" t="str">
        <f>"19:17:39.852"</f>
        <v>19:17:39.852</v>
      </c>
      <c r="C9115" t="str">
        <f>"19:17:39.552"</f>
        <v>19:17:39.552</v>
      </c>
      <c r="D9115" t="s">
        <v>2884</v>
      </c>
      <c r="E9115">
        <v>30.411358</v>
      </c>
      <c r="F9115" t="s">
        <v>3505</v>
      </c>
      <c r="G9115">
        <v>-89.754846000000001</v>
      </c>
      <c r="H9115">
        <v>1500</v>
      </c>
      <c r="I9115">
        <v>-138</v>
      </c>
      <c r="J9115">
        <v>-36</v>
      </c>
      <c r="K9115">
        <v>576</v>
      </c>
      <c r="L9115">
        <v>1200</v>
      </c>
      <c r="M9115" t="str">
        <f t="shared" si="822"/>
        <v xml:space="preserve">N35DC   </v>
      </c>
      <c r="N9115">
        <v>1</v>
      </c>
      <c r="O9115">
        <v>1525</v>
      </c>
    </row>
    <row r="9116" spans="1:15" x14ac:dyDescent="0.25">
      <c r="A9116" t="str">
        <f>"10/21/2020 19:17:31.915"</f>
        <v>10/21/2020 19:17:31.915</v>
      </c>
      <c r="B9116" t="str">
        <f>"19:17:39.852"</f>
        <v>19:17:39.852</v>
      </c>
      <c r="C9116" t="str">
        <f>"19:17:39.552"</f>
        <v>19:17:39.552</v>
      </c>
      <c r="D9116" t="s">
        <v>2884</v>
      </c>
      <c r="E9116">
        <v>30.411358</v>
      </c>
      <c r="F9116" t="s">
        <v>3505</v>
      </c>
      <c r="G9116">
        <v>-89.754846000000001</v>
      </c>
      <c r="H9116">
        <v>1500</v>
      </c>
      <c r="I9116">
        <v>-138</v>
      </c>
      <c r="J9116">
        <v>-36</v>
      </c>
      <c r="K9116">
        <v>576</v>
      </c>
      <c r="L9116">
        <v>1200</v>
      </c>
      <c r="M9116" t="str">
        <f t="shared" si="822"/>
        <v xml:space="preserve">N35DC   </v>
      </c>
      <c r="N9116">
        <v>1</v>
      </c>
      <c r="O9116">
        <v>1525</v>
      </c>
    </row>
    <row r="9117" spans="1:15" x14ac:dyDescent="0.25">
      <c r="A9117" t="str">
        <f>"10/21/2020 19:17:31.915"</f>
        <v>10/21/2020 19:17:31.915</v>
      </c>
      <c r="B9117" t="str">
        <f>"19:17:39.852"</f>
        <v>19:17:39.852</v>
      </c>
      <c r="C9117" t="str">
        <f>"19:17:39.552"</f>
        <v>19:17:39.552</v>
      </c>
      <c r="D9117" t="s">
        <v>2884</v>
      </c>
      <c r="E9117">
        <v>30.411358</v>
      </c>
      <c r="F9117" t="s">
        <v>3505</v>
      </c>
      <c r="G9117">
        <v>-89.754846000000001</v>
      </c>
      <c r="H9117">
        <v>1500</v>
      </c>
      <c r="I9117">
        <v>-138</v>
      </c>
      <c r="J9117">
        <v>-36</v>
      </c>
      <c r="K9117">
        <v>576</v>
      </c>
      <c r="L9117">
        <v>1200</v>
      </c>
      <c r="M9117" t="str">
        <f t="shared" si="822"/>
        <v xml:space="preserve">N35DC   </v>
      </c>
      <c r="N9117">
        <v>1</v>
      </c>
      <c r="O9117">
        <v>1525</v>
      </c>
    </row>
    <row r="9118" spans="1:15" x14ac:dyDescent="0.25">
      <c r="A9118" t="str">
        <f>"10/21/2020 19:17:31.915"</f>
        <v>10/21/2020 19:17:31.915</v>
      </c>
      <c r="B9118" t="str">
        <f>"19:17:39.852"</f>
        <v>19:17:39.852</v>
      </c>
      <c r="C9118" t="str">
        <f>"19:17:39.552"</f>
        <v>19:17:39.552</v>
      </c>
      <c r="D9118" t="s">
        <v>2884</v>
      </c>
      <c r="E9118">
        <v>30.411358</v>
      </c>
      <c r="F9118" t="s">
        <v>3505</v>
      </c>
      <c r="G9118">
        <v>-89.754846000000001</v>
      </c>
      <c r="H9118">
        <v>1500</v>
      </c>
      <c r="I9118">
        <v>-138</v>
      </c>
      <c r="J9118">
        <v>-36</v>
      </c>
      <c r="K9118">
        <v>576</v>
      </c>
      <c r="L9118">
        <v>1200</v>
      </c>
      <c r="M9118" t="str">
        <f t="shared" si="822"/>
        <v xml:space="preserve">N35DC   </v>
      </c>
      <c r="N9118">
        <v>1</v>
      </c>
      <c r="O9118">
        <v>1525</v>
      </c>
    </row>
    <row r="9119" spans="1:15" x14ac:dyDescent="0.25">
      <c r="A9119" t="str">
        <f>"10/21/2020 19:17:35.121"</f>
        <v>10/21/2020 19:17:35.121</v>
      </c>
      <c r="B9119" t="str">
        <f t="shared" ref="B9119:C9123" si="823">"19:17:43.070"</f>
        <v>19:17:43.070</v>
      </c>
      <c r="C9119" t="str">
        <f t="shared" si="823"/>
        <v>19:17:43.070</v>
      </c>
      <c r="D9119" t="s">
        <v>3506</v>
      </c>
      <c r="E9119">
        <v>30.410993000000001</v>
      </c>
      <c r="F9119" t="s">
        <v>3507</v>
      </c>
      <c r="G9119">
        <v>-89.757249000000002</v>
      </c>
      <c r="H9119">
        <v>1500</v>
      </c>
      <c r="I9119">
        <v>-141</v>
      </c>
      <c r="J9119">
        <v>-18</v>
      </c>
      <c r="K9119">
        <v>960</v>
      </c>
      <c r="L9119">
        <v>1200</v>
      </c>
      <c r="M9119" t="str">
        <f t="shared" si="822"/>
        <v xml:space="preserve">N35DC   </v>
      </c>
      <c r="N9119">
        <v>1</v>
      </c>
      <c r="O9119">
        <v>1575</v>
      </c>
    </row>
    <row r="9120" spans="1:15" x14ac:dyDescent="0.25">
      <c r="A9120" t="str">
        <f>"10/21/2020 19:17:35.121"</f>
        <v>10/21/2020 19:17:35.121</v>
      </c>
      <c r="B9120" t="str">
        <f t="shared" si="823"/>
        <v>19:17:43.070</v>
      </c>
      <c r="C9120" t="str">
        <f t="shared" si="823"/>
        <v>19:17:43.070</v>
      </c>
      <c r="D9120" t="s">
        <v>3506</v>
      </c>
      <c r="E9120">
        <v>30.410993000000001</v>
      </c>
      <c r="F9120" t="s">
        <v>3507</v>
      </c>
      <c r="G9120">
        <v>-89.757249000000002</v>
      </c>
      <c r="H9120">
        <v>1500</v>
      </c>
      <c r="I9120">
        <v>-141</v>
      </c>
      <c r="J9120">
        <v>-18</v>
      </c>
      <c r="K9120">
        <v>960</v>
      </c>
      <c r="L9120">
        <v>1200</v>
      </c>
      <c r="M9120" t="str">
        <f t="shared" si="822"/>
        <v xml:space="preserve">N35DC   </v>
      </c>
      <c r="N9120">
        <v>1</v>
      </c>
      <c r="O9120">
        <v>1575</v>
      </c>
    </row>
    <row r="9121" spans="1:15" x14ac:dyDescent="0.25">
      <c r="A9121" t="str">
        <f>"10/21/2020 19:17:35.121"</f>
        <v>10/21/2020 19:17:35.121</v>
      </c>
      <c r="B9121" t="str">
        <f t="shared" si="823"/>
        <v>19:17:43.070</v>
      </c>
      <c r="C9121" t="str">
        <f t="shared" si="823"/>
        <v>19:17:43.070</v>
      </c>
      <c r="D9121" t="s">
        <v>3506</v>
      </c>
      <c r="E9121">
        <v>30.410993000000001</v>
      </c>
      <c r="F9121" t="s">
        <v>3507</v>
      </c>
      <c r="G9121">
        <v>-89.757249000000002</v>
      </c>
      <c r="H9121">
        <v>1500</v>
      </c>
      <c r="I9121">
        <v>-141</v>
      </c>
      <c r="J9121">
        <v>-18</v>
      </c>
      <c r="K9121">
        <v>960</v>
      </c>
      <c r="L9121">
        <v>1200</v>
      </c>
      <c r="M9121" t="str">
        <f t="shared" si="822"/>
        <v xml:space="preserve">N35DC   </v>
      </c>
      <c r="N9121">
        <v>1</v>
      </c>
      <c r="O9121">
        <v>1575</v>
      </c>
    </row>
    <row r="9122" spans="1:15" x14ac:dyDescent="0.25">
      <c r="A9122" t="str">
        <f>"10/21/2020 19:17:35.121"</f>
        <v>10/21/2020 19:17:35.121</v>
      </c>
      <c r="B9122" t="str">
        <f t="shared" si="823"/>
        <v>19:17:43.070</v>
      </c>
      <c r="C9122" t="str">
        <f t="shared" si="823"/>
        <v>19:17:43.070</v>
      </c>
      <c r="D9122" t="s">
        <v>3506</v>
      </c>
      <c r="E9122">
        <v>30.410993000000001</v>
      </c>
      <c r="F9122" t="s">
        <v>3507</v>
      </c>
      <c r="G9122">
        <v>-89.757249000000002</v>
      </c>
      <c r="H9122">
        <v>1500</v>
      </c>
      <c r="I9122">
        <v>-141</v>
      </c>
      <c r="J9122">
        <v>-18</v>
      </c>
      <c r="K9122">
        <v>960</v>
      </c>
      <c r="L9122">
        <v>1200</v>
      </c>
      <c r="M9122" t="str">
        <f t="shared" si="822"/>
        <v xml:space="preserve">N35DC   </v>
      </c>
      <c r="N9122">
        <v>1</v>
      </c>
      <c r="O9122">
        <v>1575</v>
      </c>
    </row>
    <row r="9123" spans="1:15" x14ac:dyDescent="0.25">
      <c r="A9123" t="str">
        <f>"10/21/2020 19:17:35.121"</f>
        <v>10/21/2020 19:17:35.121</v>
      </c>
      <c r="B9123" t="str">
        <f t="shared" si="823"/>
        <v>19:17:43.070</v>
      </c>
      <c r="C9123" t="str">
        <f t="shared" si="823"/>
        <v>19:17:43.070</v>
      </c>
      <c r="D9123" t="s">
        <v>3506</v>
      </c>
      <c r="E9123">
        <v>30.410993000000001</v>
      </c>
      <c r="F9123" t="s">
        <v>3507</v>
      </c>
      <c r="G9123">
        <v>-89.757249000000002</v>
      </c>
      <c r="H9123">
        <v>1500</v>
      </c>
      <c r="I9123">
        <v>-141</v>
      </c>
      <c r="J9123">
        <v>-18</v>
      </c>
      <c r="K9123">
        <v>960</v>
      </c>
      <c r="L9123">
        <v>1200</v>
      </c>
      <c r="M9123" t="str">
        <f t="shared" si="822"/>
        <v xml:space="preserve">N35DC   </v>
      </c>
      <c r="N9123">
        <v>1</v>
      </c>
      <c r="O9123">
        <v>1575</v>
      </c>
    </row>
    <row r="9124" spans="1:15" x14ac:dyDescent="0.25">
      <c r="A9124" t="str">
        <f>"10/21/2020 19:17:36.106"</f>
        <v>10/21/2020 19:17:36.106</v>
      </c>
      <c r="B9124" t="str">
        <f t="shared" ref="B9124:C9128" si="824">"19:17:44.063"</f>
        <v>19:17:44.063</v>
      </c>
      <c r="C9124" t="str">
        <f t="shared" si="824"/>
        <v>19:17:44.063</v>
      </c>
      <c r="D9124" t="s">
        <v>3508</v>
      </c>
      <c r="E9124">
        <v>30.410928999999999</v>
      </c>
      <c r="F9124" t="s">
        <v>3509</v>
      </c>
      <c r="G9124">
        <v>-89.758021999999997</v>
      </c>
      <c r="H9124">
        <v>1500</v>
      </c>
      <c r="I9124">
        <v>-141</v>
      </c>
      <c r="J9124">
        <v>-18</v>
      </c>
      <c r="K9124">
        <v>768</v>
      </c>
      <c r="L9124">
        <v>1200</v>
      </c>
      <c r="M9124" t="str">
        <f t="shared" si="822"/>
        <v xml:space="preserve">N35DC   </v>
      </c>
      <c r="N9124">
        <v>1</v>
      </c>
      <c r="O9124">
        <v>1600</v>
      </c>
    </row>
    <row r="9125" spans="1:15" x14ac:dyDescent="0.25">
      <c r="A9125" t="str">
        <f>"10/21/2020 19:17:36.106"</f>
        <v>10/21/2020 19:17:36.106</v>
      </c>
      <c r="B9125" t="str">
        <f t="shared" si="824"/>
        <v>19:17:44.063</v>
      </c>
      <c r="C9125" t="str">
        <f t="shared" si="824"/>
        <v>19:17:44.063</v>
      </c>
      <c r="D9125" t="s">
        <v>3508</v>
      </c>
      <c r="E9125">
        <v>30.410928999999999</v>
      </c>
      <c r="F9125" t="s">
        <v>3509</v>
      </c>
      <c r="G9125">
        <v>-89.758021999999997</v>
      </c>
      <c r="H9125">
        <v>1500</v>
      </c>
      <c r="I9125">
        <v>-141</v>
      </c>
      <c r="J9125">
        <v>-18</v>
      </c>
      <c r="K9125">
        <v>768</v>
      </c>
      <c r="L9125">
        <v>1200</v>
      </c>
      <c r="M9125" t="str">
        <f t="shared" si="822"/>
        <v xml:space="preserve">N35DC   </v>
      </c>
      <c r="N9125">
        <v>1</v>
      </c>
      <c r="O9125">
        <v>1600</v>
      </c>
    </row>
    <row r="9126" spans="1:15" x14ac:dyDescent="0.25">
      <c r="A9126" t="str">
        <f>"10/21/2020 19:17:36.106"</f>
        <v>10/21/2020 19:17:36.106</v>
      </c>
      <c r="B9126" t="str">
        <f t="shared" si="824"/>
        <v>19:17:44.063</v>
      </c>
      <c r="C9126" t="str">
        <f t="shared" si="824"/>
        <v>19:17:44.063</v>
      </c>
      <c r="D9126" t="s">
        <v>3508</v>
      </c>
      <c r="E9126">
        <v>30.410928999999999</v>
      </c>
      <c r="F9126" t="s">
        <v>3509</v>
      </c>
      <c r="G9126">
        <v>-89.758021999999997</v>
      </c>
      <c r="H9126">
        <v>1500</v>
      </c>
      <c r="I9126">
        <v>-141</v>
      </c>
      <c r="J9126">
        <v>-18</v>
      </c>
      <c r="K9126">
        <v>768</v>
      </c>
      <c r="L9126">
        <v>1200</v>
      </c>
      <c r="M9126" t="str">
        <f t="shared" si="822"/>
        <v xml:space="preserve">N35DC   </v>
      </c>
      <c r="N9126">
        <v>1</v>
      </c>
      <c r="O9126">
        <v>1600</v>
      </c>
    </row>
    <row r="9127" spans="1:15" x14ac:dyDescent="0.25">
      <c r="A9127" t="str">
        <f>"10/21/2020 19:17:36.106"</f>
        <v>10/21/2020 19:17:36.106</v>
      </c>
      <c r="B9127" t="str">
        <f t="shared" si="824"/>
        <v>19:17:44.063</v>
      </c>
      <c r="C9127" t="str">
        <f t="shared" si="824"/>
        <v>19:17:44.063</v>
      </c>
      <c r="D9127" t="s">
        <v>3508</v>
      </c>
      <c r="E9127">
        <v>30.410928999999999</v>
      </c>
      <c r="F9127" t="s">
        <v>3509</v>
      </c>
      <c r="G9127">
        <v>-89.758021999999997</v>
      </c>
      <c r="H9127">
        <v>1500</v>
      </c>
      <c r="I9127">
        <v>-141</v>
      </c>
      <c r="J9127">
        <v>-18</v>
      </c>
      <c r="K9127">
        <v>768</v>
      </c>
      <c r="L9127">
        <v>1200</v>
      </c>
      <c r="M9127" t="str">
        <f t="shared" si="822"/>
        <v xml:space="preserve">N35DC   </v>
      </c>
      <c r="N9127">
        <v>1</v>
      </c>
      <c r="O9127">
        <v>1600</v>
      </c>
    </row>
    <row r="9128" spans="1:15" x14ac:dyDescent="0.25">
      <c r="A9128" t="str">
        <f>"10/21/2020 19:17:36.106"</f>
        <v>10/21/2020 19:17:36.106</v>
      </c>
      <c r="B9128" t="str">
        <f t="shared" si="824"/>
        <v>19:17:44.063</v>
      </c>
      <c r="C9128" t="str">
        <f t="shared" si="824"/>
        <v>19:17:44.063</v>
      </c>
      <c r="D9128" t="s">
        <v>3508</v>
      </c>
      <c r="E9128">
        <v>30.410928999999999</v>
      </c>
      <c r="F9128" t="s">
        <v>3509</v>
      </c>
      <c r="G9128">
        <v>-89.758021999999997</v>
      </c>
      <c r="H9128">
        <v>1500</v>
      </c>
      <c r="I9128">
        <v>-141</v>
      </c>
      <c r="J9128">
        <v>-18</v>
      </c>
      <c r="K9128">
        <v>768</v>
      </c>
      <c r="L9128">
        <v>1200</v>
      </c>
      <c r="M9128" t="str">
        <f t="shared" si="822"/>
        <v xml:space="preserve">N35DC   </v>
      </c>
      <c r="N9128">
        <v>1</v>
      </c>
      <c r="O9128">
        <v>1600</v>
      </c>
    </row>
    <row r="9129" spans="1:15" x14ac:dyDescent="0.25">
      <c r="A9129" t="str">
        <f>"10/21/2020 19:17:39.116"</f>
        <v>10/21/2020 19:17:39.116</v>
      </c>
      <c r="B9129" t="str">
        <f>"19:17:47.078"</f>
        <v>19:17:47.078</v>
      </c>
      <c r="C9129" t="str">
        <f>"19:17:46.978"</f>
        <v>19:17:46.978</v>
      </c>
      <c r="D9129" t="s">
        <v>3510</v>
      </c>
      <c r="E9129">
        <v>30.410627999999999</v>
      </c>
      <c r="F9129" t="s">
        <v>3511</v>
      </c>
      <c r="G9129">
        <v>-89.760339000000002</v>
      </c>
      <c r="H9129">
        <v>1600</v>
      </c>
      <c r="I9129">
        <v>-141</v>
      </c>
      <c r="J9129">
        <v>-24</v>
      </c>
      <c r="K9129">
        <v>192</v>
      </c>
      <c r="L9129">
        <v>1200</v>
      </c>
      <c r="M9129" t="str">
        <f t="shared" si="822"/>
        <v xml:space="preserve">N35DC   </v>
      </c>
      <c r="N9129">
        <v>1</v>
      </c>
      <c r="O9129">
        <v>1600</v>
      </c>
    </row>
    <row r="9130" spans="1:15" x14ac:dyDescent="0.25">
      <c r="A9130" t="str">
        <f>"10/21/2020 19:17:39.116"</f>
        <v>10/21/2020 19:17:39.116</v>
      </c>
      <c r="B9130" t="str">
        <f>"19:17:47.078"</f>
        <v>19:17:47.078</v>
      </c>
      <c r="C9130" t="str">
        <f>"19:17:46.978"</f>
        <v>19:17:46.978</v>
      </c>
      <c r="D9130" t="s">
        <v>3510</v>
      </c>
      <c r="E9130">
        <v>30.410627999999999</v>
      </c>
      <c r="F9130" t="s">
        <v>3511</v>
      </c>
      <c r="G9130">
        <v>-89.760339000000002</v>
      </c>
      <c r="H9130">
        <v>1600</v>
      </c>
      <c r="I9130">
        <v>-141</v>
      </c>
      <c r="J9130">
        <v>-24</v>
      </c>
      <c r="K9130">
        <v>192</v>
      </c>
      <c r="L9130">
        <v>1200</v>
      </c>
      <c r="M9130" t="str">
        <f t="shared" si="822"/>
        <v xml:space="preserve">N35DC   </v>
      </c>
      <c r="N9130">
        <v>1</v>
      </c>
      <c r="O9130">
        <v>1600</v>
      </c>
    </row>
    <row r="9131" spans="1:15" x14ac:dyDescent="0.25">
      <c r="A9131" t="str">
        <f>"10/21/2020 19:17:39.116"</f>
        <v>10/21/2020 19:17:39.116</v>
      </c>
      <c r="B9131" t="str">
        <f>"19:17:47.078"</f>
        <v>19:17:47.078</v>
      </c>
      <c r="C9131" t="str">
        <f>"19:17:46.978"</f>
        <v>19:17:46.978</v>
      </c>
      <c r="D9131" t="s">
        <v>3510</v>
      </c>
      <c r="E9131">
        <v>30.410627999999999</v>
      </c>
      <c r="F9131" t="s">
        <v>3511</v>
      </c>
      <c r="G9131">
        <v>-89.760339000000002</v>
      </c>
      <c r="H9131">
        <v>1600</v>
      </c>
      <c r="I9131">
        <v>-141</v>
      </c>
      <c r="J9131">
        <v>-24</v>
      </c>
      <c r="K9131">
        <v>192</v>
      </c>
      <c r="L9131">
        <v>1200</v>
      </c>
      <c r="M9131" t="str">
        <f t="shared" si="822"/>
        <v xml:space="preserve">N35DC   </v>
      </c>
      <c r="N9131">
        <v>1</v>
      </c>
      <c r="O9131">
        <v>1600</v>
      </c>
    </row>
    <row r="9132" spans="1:15" x14ac:dyDescent="0.25">
      <c r="A9132" t="str">
        <f>"10/21/2020 19:17:39.116"</f>
        <v>10/21/2020 19:17:39.116</v>
      </c>
      <c r="B9132" t="str">
        <f>"19:17:47.078"</f>
        <v>19:17:47.078</v>
      </c>
      <c r="C9132" t="str">
        <f>"19:17:46.978"</f>
        <v>19:17:46.978</v>
      </c>
      <c r="D9132" t="s">
        <v>3510</v>
      </c>
      <c r="E9132">
        <v>30.410627999999999</v>
      </c>
      <c r="F9132" t="s">
        <v>3511</v>
      </c>
      <c r="G9132">
        <v>-89.760339000000002</v>
      </c>
      <c r="H9132">
        <v>1600</v>
      </c>
      <c r="I9132">
        <v>-141</v>
      </c>
      <c r="J9132">
        <v>-24</v>
      </c>
      <c r="K9132">
        <v>192</v>
      </c>
      <c r="L9132">
        <v>1200</v>
      </c>
      <c r="M9132" t="str">
        <f t="shared" si="822"/>
        <v xml:space="preserve">N35DC   </v>
      </c>
      <c r="N9132">
        <v>1</v>
      </c>
      <c r="O9132">
        <v>1600</v>
      </c>
    </row>
    <row r="9133" spans="1:15" x14ac:dyDescent="0.25">
      <c r="A9133" t="str">
        <f>"10/21/2020 19:17:39.116"</f>
        <v>10/21/2020 19:17:39.116</v>
      </c>
      <c r="B9133" t="str">
        <f>"19:17:47.078"</f>
        <v>19:17:47.078</v>
      </c>
      <c r="C9133" t="str">
        <f>"19:17:46.978"</f>
        <v>19:17:46.978</v>
      </c>
      <c r="D9133" t="s">
        <v>3510</v>
      </c>
      <c r="E9133">
        <v>30.410627999999999</v>
      </c>
      <c r="F9133" t="s">
        <v>3511</v>
      </c>
      <c r="G9133">
        <v>-89.760339000000002</v>
      </c>
      <c r="H9133">
        <v>1600</v>
      </c>
      <c r="I9133">
        <v>-141</v>
      </c>
      <c r="J9133">
        <v>-24</v>
      </c>
      <c r="K9133">
        <v>192</v>
      </c>
      <c r="L9133">
        <v>1200</v>
      </c>
      <c r="M9133" t="str">
        <f t="shared" si="822"/>
        <v xml:space="preserve">N35DC   </v>
      </c>
      <c r="N9133">
        <v>1</v>
      </c>
      <c r="O9133">
        <v>1600</v>
      </c>
    </row>
    <row r="9134" spans="1:15" x14ac:dyDescent="0.25">
      <c r="A9134" t="str">
        <f>"10/21/2020 19:17:40.103"</f>
        <v>10/21/2020 19:17:40.103</v>
      </c>
      <c r="B9134" t="str">
        <f>"19:17:48.039"</f>
        <v>19:17:48.039</v>
      </c>
      <c r="C9134" t="str">
        <f>"19:17:47.539"</f>
        <v>19:17:47.539</v>
      </c>
      <c r="D9134" t="s">
        <v>3512</v>
      </c>
      <c r="E9134">
        <v>30.410520999999999</v>
      </c>
      <c r="F9134" t="s">
        <v>3513</v>
      </c>
      <c r="G9134">
        <v>-89.760982999999996</v>
      </c>
      <c r="H9134">
        <v>1600</v>
      </c>
      <c r="I9134">
        <v>-141</v>
      </c>
      <c r="J9134">
        <v>-27</v>
      </c>
      <c r="K9134">
        <v>64</v>
      </c>
      <c r="L9134">
        <v>1200</v>
      </c>
      <c r="M9134" t="str">
        <f t="shared" si="822"/>
        <v xml:space="preserve">N35DC   </v>
      </c>
      <c r="N9134">
        <v>1</v>
      </c>
      <c r="O9134">
        <v>1600</v>
      </c>
    </row>
    <row r="9135" spans="1:15" x14ac:dyDescent="0.25">
      <c r="A9135" t="str">
        <f>"10/21/2020 19:17:40.103"</f>
        <v>10/21/2020 19:17:40.103</v>
      </c>
      <c r="B9135" t="str">
        <f>"19:17:48.039"</f>
        <v>19:17:48.039</v>
      </c>
      <c r="C9135" t="str">
        <f>"19:17:47.539"</f>
        <v>19:17:47.539</v>
      </c>
      <c r="D9135" t="s">
        <v>3512</v>
      </c>
      <c r="E9135">
        <v>30.410520999999999</v>
      </c>
      <c r="F9135" t="s">
        <v>3513</v>
      </c>
      <c r="G9135">
        <v>-89.760982999999996</v>
      </c>
      <c r="H9135">
        <v>1600</v>
      </c>
      <c r="I9135">
        <v>-141</v>
      </c>
      <c r="J9135">
        <v>-27</v>
      </c>
      <c r="K9135">
        <v>64</v>
      </c>
      <c r="L9135">
        <v>1200</v>
      </c>
      <c r="M9135" t="str">
        <f t="shared" si="822"/>
        <v xml:space="preserve">N35DC   </v>
      </c>
      <c r="N9135">
        <v>1</v>
      </c>
      <c r="O9135">
        <v>1600</v>
      </c>
    </row>
    <row r="9136" spans="1:15" x14ac:dyDescent="0.25">
      <c r="A9136" t="str">
        <f>"10/21/2020 19:17:40.103"</f>
        <v>10/21/2020 19:17:40.103</v>
      </c>
      <c r="B9136" t="str">
        <f>"19:17:48.039"</f>
        <v>19:17:48.039</v>
      </c>
      <c r="C9136" t="str">
        <f>"19:17:47.539"</f>
        <v>19:17:47.539</v>
      </c>
      <c r="D9136" t="s">
        <v>3512</v>
      </c>
      <c r="E9136">
        <v>30.410520999999999</v>
      </c>
      <c r="F9136" t="s">
        <v>3513</v>
      </c>
      <c r="G9136">
        <v>-89.760982999999996</v>
      </c>
      <c r="H9136">
        <v>1600</v>
      </c>
      <c r="I9136">
        <v>-141</v>
      </c>
      <c r="J9136">
        <v>-27</v>
      </c>
      <c r="K9136">
        <v>64</v>
      </c>
      <c r="L9136">
        <v>1200</v>
      </c>
      <c r="M9136" t="str">
        <f t="shared" si="822"/>
        <v xml:space="preserve">N35DC   </v>
      </c>
      <c r="N9136">
        <v>1</v>
      </c>
      <c r="O9136">
        <v>1600</v>
      </c>
    </row>
    <row r="9137" spans="1:15" x14ac:dyDescent="0.25">
      <c r="A9137" t="str">
        <f>"10/21/2020 19:17:40.103"</f>
        <v>10/21/2020 19:17:40.103</v>
      </c>
      <c r="B9137" t="str">
        <f>"19:17:48.039"</f>
        <v>19:17:48.039</v>
      </c>
      <c r="C9137" t="str">
        <f>"19:17:47.539"</f>
        <v>19:17:47.539</v>
      </c>
      <c r="D9137" t="s">
        <v>3512</v>
      </c>
      <c r="E9137">
        <v>30.410520999999999</v>
      </c>
      <c r="F9137" t="s">
        <v>3513</v>
      </c>
      <c r="G9137">
        <v>-89.760982999999996</v>
      </c>
      <c r="H9137">
        <v>1600</v>
      </c>
      <c r="I9137">
        <v>-141</v>
      </c>
      <c r="J9137">
        <v>-27</v>
      </c>
      <c r="K9137">
        <v>64</v>
      </c>
      <c r="L9137">
        <v>1200</v>
      </c>
      <c r="M9137" t="str">
        <f t="shared" si="822"/>
        <v xml:space="preserve">N35DC   </v>
      </c>
      <c r="N9137">
        <v>1</v>
      </c>
      <c r="O9137">
        <v>1600</v>
      </c>
    </row>
    <row r="9138" spans="1:15" x14ac:dyDescent="0.25">
      <c r="A9138" t="str">
        <f>"10/21/2020 19:17:40.103"</f>
        <v>10/21/2020 19:17:40.103</v>
      </c>
      <c r="B9138" t="str">
        <f>"19:17:48.039"</f>
        <v>19:17:48.039</v>
      </c>
      <c r="C9138" t="str">
        <f>"19:17:47.539"</f>
        <v>19:17:47.539</v>
      </c>
      <c r="D9138" t="s">
        <v>3512</v>
      </c>
      <c r="E9138">
        <v>30.410520999999999</v>
      </c>
      <c r="F9138" t="s">
        <v>3513</v>
      </c>
      <c r="G9138">
        <v>-89.760982999999996</v>
      </c>
      <c r="H9138">
        <v>1600</v>
      </c>
      <c r="I9138">
        <v>-141</v>
      </c>
      <c r="J9138">
        <v>-27</v>
      </c>
      <c r="K9138">
        <v>64</v>
      </c>
      <c r="L9138">
        <v>1200</v>
      </c>
      <c r="M9138" t="str">
        <f t="shared" si="822"/>
        <v xml:space="preserve">N35DC   </v>
      </c>
      <c r="N9138">
        <v>1</v>
      </c>
      <c r="O9138">
        <v>1600</v>
      </c>
    </row>
    <row r="9139" spans="1:15" x14ac:dyDescent="0.25">
      <c r="A9139" t="str">
        <f>"10/21/2020 19:17:43.202"</f>
        <v>10/21/2020 19:17:43.202</v>
      </c>
      <c r="B9139" t="str">
        <f>"19:17:51.156"</f>
        <v>19:17:51.156</v>
      </c>
      <c r="C9139" t="str">
        <f>"19:17:50.656"</f>
        <v>19:17:50.656</v>
      </c>
      <c r="D9139" t="s">
        <v>3514</v>
      </c>
      <c r="E9139">
        <v>30.40992</v>
      </c>
      <c r="F9139" t="s">
        <v>3515</v>
      </c>
      <c r="G9139">
        <v>-89.763364999999993</v>
      </c>
      <c r="H9139">
        <v>1500</v>
      </c>
      <c r="I9139">
        <v>-141</v>
      </c>
      <c r="J9139">
        <v>-43</v>
      </c>
      <c r="K9139">
        <v>-832</v>
      </c>
      <c r="L9139">
        <v>1200</v>
      </c>
      <c r="M9139" t="str">
        <f t="shared" si="822"/>
        <v xml:space="preserve">N35DC   </v>
      </c>
      <c r="N9139">
        <v>1</v>
      </c>
      <c r="O9139">
        <v>1600</v>
      </c>
    </row>
    <row r="9140" spans="1:15" x14ac:dyDescent="0.25">
      <c r="A9140" t="str">
        <f>"10/21/2020 19:17:43.202"</f>
        <v>10/21/2020 19:17:43.202</v>
      </c>
      <c r="B9140" t="str">
        <f>"19:17:51.156"</f>
        <v>19:17:51.156</v>
      </c>
      <c r="C9140" t="str">
        <f>"19:17:50.656"</f>
        <v>19:17:50.656</v>
      </c>
      <c r="D9140" t="s">
        <v>3514</v>
      </c>
      <c r="E9140">
        <v>30.40992</v>
      </c>
      <c r="F9140" t="s">
        <v>3515</v>
      </c>
      <c r="G9140">
        <v>-89.763364999999993</v>
      </c>
      <c r="H9140">
        <v>1500</v>
      </c>
      <c r="I9140">
        <v>-141</v>
      </c>
      <c r="J9140">
        <v>-43</v>
      </c>
      <c r="K9140">
        <v>-832</v>
      </c>
      <c r="L9140">
        <v>1200</v>
      </c>
      <c r="M9140" t="str">
        <f t="shared" si="822"/>
        <v xml:space="preserve">N35DC   </v>
      </c>
      <c r="N9140">
        <v>1</v>
      </c>
      <c r="O9140">
        <v>1600</v>
      </c>
    </row>
    <row r="9141" spans="1:15" x14ac:dyDescent="0.25">
      <c r="A9141" t="str">
        <f>"10/21/2020 19:17:43.202"</f>
        <v>10/21/2020 19:17:43.202</v>
      </c>
      <c r="B9141" t="str">
        <f>"19:17:51.156"</f>
        <v>19:17:51.156</v>
      </c>
      <c r="C9141" t="str">
        <f>"19:17:50.656"</f>
        <v>19:17:50.656</v>
      </c>
      <c r="D9141" t="s">
        <v>3514</v>
      </c>
      <c r="E9141">
        <v>30.40992</v>
      </c>
      <c r="F9141" t="s">
        <v>3515</v>
      </c>
      <c r="G9141">
        <v>-89.763364999999993</v>
      </c>
      <c r="H9141">
        <v>1500</v>
      </c>
      <c r="I9141">
        <v>-141</v>
      </c>
      <c r="J9141">
        <v>-43</v>
      </c>
      <c r="K9141">
        <v>-832</v>
      </c>
      <c r="L9141">
        <v>1200</v>
      </c>
      <c r="M9141" t="str">
        <f t="shared" si="822"/>
        <v xml:space="preserve">N35DC   </v>
      </c>
      <c r="N9141">
        <v>1</v>
      </c>
      <c r="O9141">
        <v>1600</v>
      </c>
    </row>
    <row r="9142" spans="1:15" x14ac:dyDescent="0.25">
      <c r="A9142" t="str">
        <f>"10/21/2020 19:17:43.202"</f>
        <v>10/21/2020 19:17:43.202</v>
      </c>
      <c r="B9142" t="str">
        <f>"19:17:51.156"</f>
        <v>19:17:51.156</v>
      </c>
      <c r="C9142" t="str">
        <f>"19:17:50.656"</f>
        <v>19:17:50.656</v>
      </c>
      <c r="D9142" t="s">
        <v>3514</v>
      </c>
      <c r="E9142">
        <v>30.40992</v>
      </c>
      <c r="F9142" t="s">
        <v>3515</v>
      </c>
      <c r="G9142">
        <v>-89.763364999999993</v>
      </c>
      <c r="H9142">
        <v>1500</v>
      </c>
      <c r="I9142">
        <v>-141</v>
      </c>
      <c r="J9142">
        <v>-43</v>
      </c>
      <c r="K9142">
        <v>-832</v>
      </c>
      <c r="L9142">
        <v>1200</v>
      </c>
      <c r="M9142" t="str">
        <f t="shared" si="822"/>
        <v xml:space="preserve">N35DC   </v>
      </c>
      <c r="N9142">
        <v>1</v>
      </c>
      <c r="O9142">
        <v>1600</v>
      </c>
    </row>
    <row r="9143" spans="1:15" x14ac:dyDescent="0.25">
      <c r="A9143" t="str">
        <f>"10/21/2020 19:17:43.202"</f>
        <v>10/21/2020 19:17:43.202</v>
      </c>
      <c r="B9143" t="str">
        <f>"19:17:51.156"</f>
        <v>19:17:51.156</v>
      </c>
      <c r="C9143" t="str">
        <f>"19:17:50.656"</f>
        <v>19:17:50.656</v>
      </c>
      <c r="D9143" t="s">
        <v>3514</v>
      </c>
      <c r="E9143">
        <v>30.40992</v>
      </c>
      <c r="F9143" t="s">
        <v>3515</v>
      </c>
      <c r="G9143">
        <v>-89.763364999999993</v>
      </c>
      <c r="H9143">
        <v>1500</v>
      </c>
      <c r="I9143">
        <v>-141</v>
      </c>
      <c r="J9143">
        <v>-43</v>
      </c>
      <c r="K9143">
        <v>-832</v>
      </c>
      <c r="L9143">
        <v>1200</v>
      </c>
      <c r="M9143" t="str">
        <f t="shared" si="822"/>
        <v xml:space="preserve">N35DC   </v>
      </c>
      <c r="N9143">
        <v>1</v>
      </c>
      <c r="O9143">
        <v>1600</v>
      </c>
    </row>
    <row r="9144" spans="1:15" x14ac:dyDescent="0.25">
      <c r="A9144" t="str">
        <f>"10/21/2020 19:17:46.087"</f>
        <v>10/21/2020 19:17:46.087</v>
      </c>
      <c r="B9144" t="str">
        <f>"19:17:54.055"</f>
        <v>19:17:54.055</v>
      </c>
      <c r="C9144" t="str">
        <f>"19:17:53.755"</f>
        <v>19:17:53.755</v>
      </c>
      <c r="D9144" t="s">
        <v>3516</v>
      </c>
      <c r="E9144">
        <v>30.409147999999998</v>
      </c>
      <c r="F9144" t="s">
        <v>3517</v>
      </c>
      <c r="G9144">
        <v>-89.765511000000004</v>
      </c>
      <c r="H9144">
        <v>1500</v>
      </c>
      <c r="I9144">
        <v>-138</v>
      </c>
      <c r="J9144">
        <v>-65</v>
      </c>
      <c r="K9144">
        <v>-576</v>
      </c>
      <c r="L9144">
        <v>1200</v>
      </c>
      <c r="M9144" t="str">
        <f t="shared" si="822"/>
        <v xml:space="preserve">N35DC   </v>
      </c>
      <c r="N9144">
        <v>1</v>
      </c>
      <c r="O9144">
        <v>1550</v>
      </c>
    </row>
    <row r="9145" spans="1:15" x14ac:dyDescent="0.25">
      <c r="A9145" t="str">
        <f>"10/21/2020 19:17:46.087"</f>
        <v>10/21/2020 19:17:46.087</v>
      </c>
      <c r="B9145" t="str">
        <f>"19:17:54.055"</f>
        <v>19:17:54.055</v>
      </c>
      <c r="C9145" t="str">
        <f>"19:17:53.755"</f>
        <v>19:17:53.755</v>
      </c>
      <c r="D9145" t="s">
        <v>3516</v>
      </c>
      <c r="E9145">
        <v>30.409147999999998</v>
      </c>
      <c r="F9145" t="s">
        <v>3517</v>
      </c>
      <c r="G9145">
        <v>-89.765511000000004</v>
      </c>
      <c r="H9145">
        <v>1500</v>
      </c>
      <c r="I9145">
        <v>-138</v>
      </c>
      <c r="J9145">
        <v>-65</v>
      </c>
      <c r="K9145">
        <v>-576</v>
      </c>
      <c r="L9145">
        <v>1200</v>
      </c>
      <c r="M9145" t="str">
        <f t="shared" si="822"/>
        <v xml:space="preserve">N35DC   </v>
      </c>
      <c r="N9145">
        <v>1</v>
      </c>
      <c r="O9145">
        <v>1550</v>
      </c>
    </row>
    <row r="9146" spans="1:15" x14ac:dyDescent="0.25">
      <c r="A9146" t="str">
        <f>"10/21/2020 19:17:46.087"</f>
        <v>10/21/2020 19:17:46.087</v>
      </c>
      <c r="B9146" t="str">
        <f>"19:17:54.055"</f>
        <v>19:17:54.055</v>
      </c>
      <c r="C9146" t="str">
        <f>"19:17:53.755"</f>
        <v>19:17:53.755</v>
      </c>
      <c r="D9146" t="s">
        <v>3516</v>
      </c>
      <c r="E9146">
        <v>30.409147999999998</v>
      </c>
      <c r="F9146" t="s">
        <v>3517</v>
      </c>
      <c r="G9146">
        <v>-89.765511000000004</v>
      </c>
      <c r="H9146">
        <v>1500</v>
      </c>
      <c r="I9146">
        <v>-138</v>
      </c>
      <c r="J9146">
        <v>-65</v>
      </c>
      <c r="K9146">
        <v>-576</v>
      </c>
      <c r="L9146">
        <v>1200</v>
      </c>
      <c r="M9146" t="str">
        <f t="shared" si="822"/>
        <v xml:space="preserve">N35DC   </v>
      </c>
      <c r="N9146">
        <v>1</v>
      </c>
      <c r="O9146">
        <v>1550</v>
      </c>
    </row>
    <row r="9147" spans="1:15" x14ac:dyDescent="0.25">
      <c r="A9147" t="str">
        <f>"10/21/2020 19:17:46.087"</f>
        <v>10/21/2020 19:17:46.087</v>
      </c>
      <c r="B9147" t="str">
        <f>"19:17:54.055"</f>
        <v>19:17:54.055</v>
      </c>
      <c r="C9147" t="str">
        <f>"19:17:53.755"</f>
        <v>19:17:53.755</v>
      </c>
      <c r="D9147" t="s">
        <v>3516</v>
      </c>
      <c r="E9147">
        <v>30.409147999999998</v>
      </c>
      <c r="F9147" t="s">
        <v>3517</v>
      </c>
      <c r="G9147">
        <v>-89.765511000000004</v>
      </c>
      <c r="H9147">
        <v>1500</v>
      </c>
      <c r="I9147">
        <v>-138</v>
      </c>
      <c r="J9147">
        <v>-65</v>
      </c>
      <c r="K9147">
        <v>-576</v>
      </c>
      <c r="L9147">
        <v>1200</v>
      </c>
      <c r="M9147" t="str">
        <f t="shared" si="822"/>
        <v xml:space="preserve">N35DC   </v>
      </c>
      <c r="N9147">
        <v>1</v>
      </c>
      <c r="O9147">
        <v>1550</v>
      </c>
    </row>
    <row r="9148" spans="1:15" x14ac:dyDescent="0.25">
      <c r="A9148" t="str">
        <f>"10/21/2020 19:17:46.087"</f>
        <v>10/21/2020 19:17:46.087</v>
      </c>
      <c r="B9148" t="str">
        <f>"19:17:54.055"</f>
        <v>19:17:54.055</v>
      </c>
      <c r="C9148" t="str">
        <f>"19:17:53.755"</f>
        <v>19:17:53.755</v>
      </c>
      <c r="D9148" t="s">
        <v>3516</v>
      </c>
      <c r="E9148">
        <v>30.409147999999998</v>
      </c>
      <c r="F9148" t="s">
        <v>3517</v>
      </c>
      <c r="G9148">
        <v>-89.765511000000004</v>
      </c>
      <c r="H9148">
        <v>1500</v>
      </c>
      <c r="I9148">
        <v>-138</v>
      </c>
      <c r="J9148">
        <v>-65</v>
      </c>
      <c r="K9148">
        <v>-576</v>
      </c>
      <c r="L9148">
        <v>1200</v>
      </c>
      <c r="M9148" t="str">
        <f t="shared" si="822"/>
        <v xml:space="preserve">N35DC   </v>
      </c>
      <c r="N9148">
        <v>1</v>
      </c>
      <c r="O9148">
        <v>1550</v>
      </c>
    </row>
    <row r="9149" spans="1:15" x14ac:dyDescent="0.25">
      <c r="A9149" t="str">
        <f>"10/21/2020 19:17:47.103"</f>
        <v>10/21/2020 19:17:47.103</v>
      </c>
      <c r="B9149" t="str">
        <f>"19:17:55.070"</f>
        <v>19:17:55.070</v>
      </c>
      <c r="C9149" t="str">
        <f>"19:17:54.770"</f>
        <v>19:17:54.770</v>
      </c>
      <c r="D9149" t="s">
        <v>3518</v>
      </c>
      <c r="E9149">
        <v>30.408804</v>
      </c>
      <c r="F9149" t="s">
        <v>3519</v>
      </c>
      <c r="G9149">
        <v>-89.766261999999998</v>
      </c>
      <c r="H9149">
        <v>1500</v>
      </c>
      <c r="I9149">
        <v>-137</v>
      </c>
      <c r="J9149">
        <v>-71</v>
      </c>
      <c r="K9149">
        <v>-576</v>
      </c>
      <c r="L9149">
        <v>1200</v>
      </c>
      <c r="M9149" t="str">
        <f t="shared" si="822"/>
        <v xml:space="preserve">N35DC   </v>
      </c>
      <c r="N9149">
        <v>1</v>
      </c>
      <c r="O9149">
        <v>1550</v>
      </c>
    </row>
    <row r="9150" spans="1:15" x14ac:dyDescent="0.25">
      <c r="A9150" t="str">
        <f>"10/21/2020 19:17:47.103"</f>
        <v>10/21/2020 19:17:47.103</v>
      </c>
      <c r="B9150" t="str">
        <f>"19:17:55.070"</f>
        <v>19:17:55.070</v>
      </c>
      <c r="C9150" t="str">
        <f>"19:17:54.770"</f>
        <v>19:17:54.770</v>
      </c>
      <c r="D9150" t="s">
        <v>3518</v>
      </c>
      <c r="E9150">
        <v>30.408804</v>
      </c>
      <c r="F9150" t="s">
        <v>3519</v>
      </c>
      <c r="G9150">
        <v>-89.766261999999998</v>
      </c>
      <c r="H9150">
        <v>1500</v>
      </c>
      <c r="I9150">
        <v>-137</v>
      </c>
      <c r="J9150">
        <v>-71</v>
      </c>
      <c r="K9150">
        <v>-576</v>
      </c>
      <c r="L9150">
        <v>1200</v>
      </c>
      <c r="M9150" t="str">
        <f t="shared" si="822"/>
        <v xml:space="preserve">N35DC   </v>
      </c>
      <c r="N9150">
        <v>1</v>
      </c>
      <c r="O9150">
        <v>1550</v>
      </c>
    </row>
    <row r="9151" spans="1:15" x14ac:dyDescent="0.25">
      <c r="A9151" t="str">
        <f>"10/21/2020 19:17:47.103"</f>
        <v>10/21/2020 19:17:47.103</v>
      </c>
      <c r="B9151" t="str">
        <f>"19:17:55.070"</f>
        <v>19:17:55.070</v>
      </c>
      <c r="C9151" t="str">
        <f>"19:17:54.770"</f>
        <v>19:17:54.770</v>
      </c>
      <c r="D9151" t="s">
        <v>3518</v>
      </c>
      <c r="E9151">
        <v>30.408804</v>
      </c>
      <c r="F9151" t="s">
        <v>3519</v>
      </c>
      <c r="G9151">
        <v>-89.766261999999998</v>
      </c>
      <c r="H9151">
        <v>1500</v>
      </c>
      <c r="I9151">
        <v>-137</v>
      </c>
      <c r="J9151">
        <v>-71</v>
      </c>
      <c r="K9151">
        <v>-576</v>
      </c>
      <c r="L9151">
        <v>1200</v>
      </c>
      <c r="M9151" t="str">
        <f t="shared" si="822"/>
        <v xml:space="preserve">N35DC   </v>
      </c>
      <c r="N9151">
        <v>1</v>
      </c>
      <c r="O9151">
        <v>1550</v>
      </c>
    </row>
    <row r="9152" spans="1:15" x14ac:dyDescent="0.25">
      <c r="A9152" t="str">
        <f>"10/21/2020 19:17:47.103"</f>
        <v>10/21/2020 19:17:47.103</v>
      </c>
      <c r="B9152" t="str">
        <f>"19:17:55.070"</f>
        <v>19:17:55.070</v>
      </c>
      <c r="C9152" t="str">
        <f>"19:17:54.770"</f>
        <v>19:17:54.770</v>
      </c>
      <c r="D9152" t="s">
        <v>3518</v>
      </c>
      <c r="E9152">
        <v>30.408804</v>
      </c>
      <c r="F9152" t="s">
        <v>3519</v>
      </c>
      <c r="G9152">
        <v>-89.766261999999998</v>
      </c>
      <c r="H9152">
        <v>1500</v>
      </c>
      <c r="I9152">
        <v>-137</v>
      </c>
      <c r="J9152">
        <v>-71</v>
      </c>
      <c r="K9152">
        <v>-576</v>
      </c>
      <c r="L9152">
        <v>1200</v>
      </c>
      <c r="M9152" t="str">
        <f t="shared" si="822"/>
        <v xml:space="preserve">N35DC   </v>
      </c>
      <c r="N9152">
        <v>1</v>
      </c>
      <c r="O9152">
        <v>1550</v>
      </c>
    </row>
    <row r="9153" spans="1:15" x14ac:dyDescent="0.25">
      <c r="A9153" t="str">
        <f>"10/21/2020 19:17:47.103"</f>
        <v>10/21/2020 19:17:47.103</v>
      </c>
      <c r="B9153" t="str">
        <f>"19:17:55.070"</f>
        <v>19:17:55.070</v>
      </c>
      <c r="C9153" t="str">
        <f>"19:17:54.770"</f>
        <v>19:17:54.770</v>
      </c>
      <c r="D9153" t="s">
        <v>3518</v>
      </c>
      <c r="E9153">
        <v>30.408804</v>
      </c>
      <c r="F9153" t="s">
        <v>3519</v>
      </c>
      <c r="G9153">
        <v>-89.766261999999998</v>
      </c>
      <c r="H9153">
        <v>1500</v>
      </c>
      <c r="I9153">
        <v>-137</v>
      </c>
      <c r="J9153">
        <v>-71</v>
      </c>
      <c r="K9153">
        <v>-576</v>
      </c>
      <c r="L9153">
        <v>1200</v>
      </c>
      <c r="M9153" t="str">
        <f t="shared" si="822"/>
        <v xml:space="preserve">N35DC   </v>
      </c>
      <c r="N9153">
        <v>1</v>
      </c>
      <c r="O9153">
        <v>1550</v>
      </c>
    </row>
    <row r="9154" spans="1:15" x14ac:dyDescent="0.25">
      <c r="A9154" t="str">
        <f>"10/21/2020 19:17:49.346"</f>
        <v>10/21/2020 19:17:49.346</v>
      </c>
      <c r="B9154" t="str">
        <f>"19:17:57.273"</f>
        <v>19:17:57.273</v>
      </c>
      <c r="C9154" t="str">
        <f>"19:17:56.873"</f>
        <v>19:17:56.873</v>
      </c>
      <c r="D9154" t="s">
        <v>3520</v>
      </c>
      <c r="E9154">
        <v>30.407968</v>
      </c>
      <c r="F9154" t="s">
        <v>3521</v>
      </c>
      <c r="G9154">
        <v>-89.767827999999994</v>
      </c>
      <c r="H9154">
        <v>1500</v>
      </c>
      <c r="I9154">
        <v>-131</v>
      </c>
      <c r="J9154">
        <v>-85</v>
      </c>
      <c r="K9154">
        <v>-448</v>
      </c>
      <c r="L9154">
        <v>1200</v>
      </c>
      <c r="M9154" t="str">
        <f t="shared" si="822"/>
        <v xml:space="preserve">N35DC   </v>
      </c>
      <c r="N9154">
        <v>1</v>
      </c>
      <c r="O9154">
        <v>1525</v>
      </c>
    </row>
    <row r="9155" spans="1:15" x14ac:dyDescent="0.25">
      <c r="A9155" t="str">
        <f>"10/21/2020 19:17:49.346"</f>
        <v>10/21/2020 19:17:49.346</v>
      </c>
      <c r="B9155" t="str">
        <f>"19:17:57.273"</f>
        <v>19:17:57.273</v>
      </c>
      <c r="C9155" t="str">
        <f>"19:17:56.873"</f>
        <v>19:17:56.873</v>
      </c>
      <c r="D9155" t="s">
        <v>3520</v>
      </c>
      <c r="E9155">
        <v>30.407968</v>
      </c>
      <c r="F9155" t="s">
        <v>3521</v>
      </c>
      <c r="G9155">
        <v>-89.767827999999994</v>
      </c>
      <c r="H9155">
        <v>1500</v>
      </c>
      <c r="I9155">
        <v>-131</v>
      </c>
      <c r="J9155">
        <v>-85</v>
      </c>
      <c r="K9155">
        <v>-448</v>
      </c>
      <c r="L9155">
        <v>1200</v>
      </c>
      <c r="M9155" t="str">
        <f t="shared" si="822"/>
        <v xml:space="preserve">N35DC   </v>
      </c>
      <c r="N9155">
        <v>1</v>
      </c>
      <c r="O9155">
        <v>1525</v>
      </c>
    </row>
    <row r="9156" spans="1:15" x14ac:dyDescent="0.25">
      <c r="A9156" t="str">
        <f>"10/21/2020 19:17:49.346"</f>
        <v>10/21/2020 19:17:49.346</v>
      </c>
      <c r="B9156" t="str">
        <f>"19:17:57.273"</f>
        <v>19:17:57.273</v>
      </c>
      <c r="C9156" t="str">
        <f>"19:17:56.873"</f>
        <v>19:17:56.873</v>
      </c>
      <c r="D9156" t="s">
        <v>3520</v>
      </c>
      <c r="E9156">
        <v>30.407968</v>
      </c>
      <c r="F9156" t="s">
        <v>3521</v>
      </c>
      <c r="G9156">
        <v>-89.767827999999994</v>
      </c>
      <c r="H9156">
        <v>1500</v>
      </c>
      <c r="I9156">
        <v>-131</v>
      </c>
      <c r="J9156">
        <v>-85</v>
      </c>
      <c r="K9156">
        <v>-448</v>
      </c>
      <c r="L9156">
        <v>1200</v>
      </c>
      <c r="M9156" t="str">
        <f t="shared" si="822"/>
        <v xml:space="preserve">N35DC   </v>
      </c>
      <c r="N9156">
        <v>1</v>
      </c>
      <c r="O9156">
        <v>1525</v>
      </c>
    </row>
    <row r="9157" spans="1:15" x14ac:dyDescent="0.25">
      <c r="A9157" t="str">
        <f>"10/21/2020 19:17:49.346"</f>
        <v>10/21/2020 19:17:49.346</v>
      </c>
      <c r="B9157" t="str">
        <f>"19:17:57.273"</f>
        <v>19:17:57.273</v>
      </c>
      <c r="C9157" t="str">
        <f>"19:17:56.873"</f>
        <v>19:17:56.873</v>
      </c>
      <c r="D9157" t="s">
        <v>3520</v>
      </c>
      <c r="E9157">
        <v>30.407968</v>
      </c>
      <c r="F9157" t="s">
        <v>3521</v>
      </c>
      <c r="G9157">
        <v>-89.767827999999994</v>
      </c>
      <c r="H9157">
        <v>1500</v>
      </c>
      <c r="I9157">
        <v>-131</v>
      </c>
      <c r="J9157">
        <v>-85</v>
      </c>
      <c r="K9157">
        <v>-448</v>
      </c>
      <c r="L9157">
        <v>1200</v>
      </c>
      <c r="M9157" t="str">
        <f t="shared" si="822"/>
        <v xml:space="preserve">N35DC   </v>
      </c>
      <c r="N9157">
        <v>1</v>
      </c>
      <c r="O9157">
        <v>1525</v>
      </c>
    </row>
    <row r="9158" spans="1:15" x14ac:dyDescent="0.25">
      <c r="A9158" t="str">
        <f>"10/21/2020 19:17:49.346"</f>
        <v>10/21/2020 19:17:49.346</v>
      </c>
      <c r="B9158" t="str">
        <f>"19:17:57.273"</f>
        <v>19:17:57.273</v>
      </c>
      <c r="C9158" t="str">
        <f>"19:17:56.873"</f>
        <v>19:17:56.873</v>
      </c>
      <c r="D9158" t="s">
        <v>3520</v>
      </c>
      <c r="E9158">
        <v>30.407968</v>
      </c>
      <c r="F9158" t="s">
        <v>3521</v>
      </c>
      <c r="G9158">
        <v>-89.767827999999994</v>
      </c>
      <c r="H9158">
        <v>1500</v>
      </c>
      <c r="I9158">
        <v>-131</v>
      </c>
      <c r="J9158">
        <v>-85</v>
      </c>
      <c r="K9158">
        <v>-448</v>
      </c>
      <c r="L9158">
        <v>1200</v>
      </c>
      <c r="M9158" t="str">
        <f t="shared" si="822"/>
        <v xml:space="preserve">N35DC   </v>
      </c>
      <c r="N9158">
        <v>1</v>
      </c>
      <c r="O9158">
        <v>1525</v>
      </c>
    </row>
    <row r="9159" spans="1:15" x14ac:dyDescent="0.25">
      <c r="A9159" t="str">
        <f>"10/21/2020 19:17:50.237"</f>
        <v>10/21/2020 19:17:50.237</v>
      </c>
      <c r="B9159" t="str">
        <f t="shared" ref="B9159:C9163" si="825">"19:17:58.195"</f>
        <v>19:17:58.195</v>
      </c>
      <c r="C9159" t="str">
        <f t="shared" si="825"/>
        <v>19:17:58.195</v>
      </c>
      <c r="D9159" t="s">
        <v>128</v>
      </c>
      <c r="E9159">
        <v>30.407603000000002</v>
      </c>
      <c r="F9159" t="s">
        <v>3522</v>
      </c>
      <c r="G9159">
        <v>-89.768472000000003</v>
      </c>
      <c r="H9159">
        <v>1500</v>
      </c>
      <c r="I9159">
        <v>-126</v>
      </c>
      <c r="J9159">
        <v>-94</v>
      </c>
      <c r="K9159">
        <v>-256</v>
      </c>
      <c r="L9159">
        <v>1200</v>
      </c>
      <c r="M9159" t="str">
        <f t="shared" ref="M9159:M9222" si="826">"N35DC   "</f>
        <v xml:space="preserve">N35DC   </v>
      </c>
      <c r="N9159">
        <v>1</v>
      </c>
      <c r="O9159">
        <v>1500</v>
      </c>
    </row>
    <row r="9160" spans="1:15" x14ac:dyDescent="0.25">
      <c r="A9160" t="str">
        <f>"10/21/2020 19:17:50.237"</f>
        <v>10/21/2020 19:17:50.237</v>
      </c>
      <c r="B9160" t="str">
        <f t="shared" si="825"/>
        <v>19:17:58.195</v>
      </c>
      <c r="C9160" t="str">
        <f t="shared" si="825"/>
        <v>19:17:58.195</v>
      </c>
      <c r="D9160" t="s">
        <v>128</v>
      </c>
      <c r="E9160">
        <v>30.407603000000002</v>
      </c>
      <c r="F9160" t="s">
        <v>3522</v>
      </c>
      <c r="G9160">
        <v>-89.768472000000003</v>
      </c>
      <c r="H9160">
        <v>1500</v>
      </c>
      <c r="I9160">
        <v>-126</v>
      </c>
      <c r="J9160">
        <v>-94</v>
      </c>
      <c r="K9160">
        <v>-256</v>
      </c>
      <c r="L9160">
        <v>1200</v>
      </c>
      <c r="M9160" t="str">
        <f t="shared" si="826"/>
        <v xml:space="preserve">N35DC   </v>
      </c>
      <c r="N9160">
        <v>1</v>
      </c>
      <c r="O9160">
        <v>1500</v>
      </c>
    </row>
    <row r="9161" spans="1:15" x14ac:dyDescent="0.25">
      <c r="A9161" t="str">
        <f>"10/21/2020 19:17:50.237"</f>
        <v>10/21/2020 19:17:50.237</v>
      </c>
      <c r="B9161" t="str">
        <f t="shared" si="825"/>
        <v>19:17:58.195</v>
      </c>
      <c r="C9161" t="str">
        <f t="shared" si="825"/>
        <v>19:17:58.195</v>
      </c>
      <c r="D9161" t="s">
        <v>128</v>
      </c>
      <c r="E9161">
        <v>30.407603000000002</v>
      </c>
      <c r="F9161" t="s">
        <v>3522</v>
      </c>
      <c r="G9161">
        <v>-89.768472000000003</v>
      </c>
      <c r="H9161">
        <v>1500</v>
      </c>
      <c r="I9161">
        <v>-126</v>
      </c>
      <c r="J9161">
        <v>-94</v>
      </c>
      <c r="K9161">
        <v>-256</v>
      </c>
      <c r="L9161">
        <v>1200</v>
      </c>
      <c r="M9161" t="str">
        <f t="shared" si="826"/>
        <v xml:space="preserve">N35DC   </v>
      </c>
      <c r="N9161">
        <v>1</v>
      </c>
      <c r="O9161">
        <v>1500</v>
      </c>
    </row>
    <row r="9162" spans="1:15" x14ac:dyDescent="0.25">
      <c r="A9162" t="str">
        <f>"10/21/2020 19:17:50.237"</f>
        <v>10/21/2020 19:17:50.237</v>
      </c>
      <c r="B9162" t="str">
        <f t="shared" si="825"/>
        <v>19:17:58.195</v>
      </c>
      <c r="C9162" t="str">
        <f t="shared" si="825"/>
        <v>19:17:58.195</v>
      </c>
      <c r="D9162" t="s">
        <v>128</v>
      </c>
      <c r="E9162">
        <v>30.407603000000002</v>
      </c>
      <c r="F9162" t="s">
        <v>3522</v>
      </c>
      <c r="G9162">
        <v>-89.768472000000003</v>
      </c>
      <c r="H9162">
        <v>1500</v>
      </c>
      <c r="I9162">
        <v>-126</v>
      </c>
      <c r="J9162">
        <v>-94</v>
      </c>
      <c r="K9162">
        <v>-256</v>
      </c>
      <c r="L9162">
        <v>1200</v>
      </c>
      <c r="M9162" t="str">
        <f t="shared" si="826"/>
        <v xml:space="preserve">N35DC   </v>
      </c>
      <c r="N9162">
        <v>1</v>
      </c>
      <c r="O9162">
        <v>1500</v>
      </c>
    </row>
    <row r="9163" spans="1:15" x14ac:dyDescent="0.25">
      <c r="A9163" t="str">
        <f>"10/21/2020 19:17:50.237"</f>
        <v>10/21/2020 19:17:50.237</v>
      </c>
      <c r="B9163" t="str">
        <f t="shared" si="825"/>
        <v>19:17:58.195</v>
      </c>
      <c r="C9163" t="str">
        <f t="shared" si="825"/>
        <v>19:17:58.195</v>
      </c>
      <c r="D9163" t="s">
        <v>128</v>
      </c>
      <c r="E9163">
        <v>30.407603000000002</v>
      </c>
      <c r="F9163" t="s">
        <v>3522</v>
      </c>
      <c r="G9163">
        <v>-89.768472000000003</v>
      </c>
      <c r="H9163">
        <v>1500</v>
      </c>
      <c r="I9163">
        <v>-126</v>
      </c>
      <c r="J9163">
        <v>-94</v>
      </c>
      <c r="K9163">
        <v>-256</v>
      </c>
      <c r="L9163">
        <v>1200</v>
      </c>
      <c r="M9163" t="str">
        <f t="shared" si="826"/>
        <v xml:space="preserve">N35DC   </v>
      </c>
      <c r="N9163">
        <v>1</v>
      </c>
      <c r="O9163">
        <v>1500</v>
      </c>
    </row>
    <row r="9164" spans="1:15" x14ac:dyDescent="0.25">
      <c r="A9164" t="str">
        <f>"10/21/2020 19:17:54.073"</f>
        <v>10/21/2020 19:17:54.073</v>
      </c>
      <c r="B9164" t="str">
        <f>"19:18:02.031"</f>
        <v>19:18:02.031</v>
      </c>
      <c r="C9164" t="str">
        <f>"19:18:01.631"</f>
        <v>19:18:01.631</v>
      </c>
      <c r="D9164" t="s">
        <v>3523</v>
      </c>
      <c r="E9164">
        <v>30.405671999999999</v>
      </c>
      <c r="F9164" t="s">
        <v>3524</v>
      </c>
      <c r="G9164">
        <v>-89.770854</v>
      </c>
      <c r="H9164">
        <v>1500</v>
      </c>
      <c r="I9164">
        <v>-109</v>
      </c>
      <c r="J9164">
        <v>-115</v>
      </c>
      <c r="K9164">
        <v>256</v>
      </c>
      <c r="L9164">
        <v>1200</v>
      </c>
      <c r="M9164" t="str">
        <f t="shared" si="826"/>
        <v xml:space="preserve">N35DC   </v>
      </c>
      <c r="N9164">
        <v>1</v>
      </c>
      <c r="O9164">
        <v>1525</v>
      </c>
    </row>
    <row r="9165" spans="1:15" x14ac:dyDescent="0.25">
      <c r="A9165" t="str">
        <f>"10/21/2020 19:17:54.073"</f>
        <v>10/21/2020 19:17:54.073</v>
      </c>
      <c r="B9165" t="str">
        <f>"19:18:02.031"</f>
        <v>19:18:02.031</v>
      </c>
      <c r="C9165" t="str">
        <f>"19:18:01.631"</f>
        <v>19:18:01.631</v>
      </c>
      <c r="D9165" t="s">
        <v>3523</v>
      </c>
      <c r="E9165">
        <v>30.405671999999999</v>
      </c>
      <c r="F9165" t="s">
        <v>3524</v>
      </c>
      <c r="G9165">
        <v>-89.770854</v>
      </c>
      <c r="H9165">
        <v>1500</v>
      </c>
      <c r="I9165">
        <v>-109</v>
      </c>
      <c r="J9165">
        <v>-115</v>
      </c>
      <c r="K9165">
        <v>256</v>
      </c>
      <c r="L9165">
        <v>1200</v>
      </c>
      <c r="M9165" t="str">
        <f t="shared" si="826"/>
        <v xml:space="preserve">N35DC   </v>
      </c>
      <c r="N9165">
        <v>1</v>
      </c>
      <c r="O9165">
        <v>1525</v>
      </c>
    </row>
    <row r="9166" spans="1:15" x14ac:dyDescent="0.25">
      <c r="A9166" t="str">
        <f>"10/21/2020 19:17:54.073"</f>
        <v>10/21/2020 19:17:54.073</v>
      </c>
      <c r="B9166" t="str">
        <f>"19:18:02.031"</f>
        <v>19:18:02.031</v>
      </c>
      <c r="C9166" t="str">
        <f>"19:18:01.631"</f>
        <v>19:18:01.631</v>
      </c>
      <c r="D9166" t="s">
        <v>3523</v>
      </c>
      <c r="E9166">
        <v>30.405671999999999</v>
      </c>
      <c r="F9166" t="s">
        <v>3524</v>
      </c>
      <c r="G9166">
        <v>-89.770854</v>
      </c>
      <c r="H9166">
        <v>1500</v>
      </c>
      <c r="I9166">
        <v>-109</v>
      </c>
      <c r="J9166">
        <v>-115</v>
      </c>
      <c r="K9166">
        <v>256</v>
      </c>
      <c r="L9166">
        <v>1200</v>
      </c>
      <c r="M9166" t="str">
        <f t="shared" si="826"/>
        <v xml:space="preserve">N35DC   </v>
      </c>
      <c r="N9166">
        <v>1</v>
      </c>
      <c r="O9166">
        <v>1525</v>
      </c>
    </row>
    <row r="9167" spans="1:15" x14ac:dyDescent="0.25">
      <c r="A9167" t="str">
        <f>"10/21/2020 19:17:54.073"</f>
        <v>10/21/2020 19:17:54.073</v>
      </c>
      <c r="B9167" t="str">
        <f>"19:18:02.031"</f>
        <v>19:18:02.031</v>
      </c>
      <c r="C9167" t="str">
        <f>"19:18:01.631"</f>
        <v>19:18:01.631</v>
      </c>
      <c r="D9167" t="s">
        <v>3523</v>
      </c>
      <c r="E9167">
        <v>30.405671999999999</v>
      </c>
      <c r="F9167" t="s">
        <v>3524</v>
      </c>
      <c r="G9167">
        <v>-89.770854</v>
      </c>
      <c r="H9167">
        <v>1500</v>
      </c>
      <c r="I9167">
        <v>-109</v>
      </c>
      <c r="J9167">
        <v>-115</v>
      </c>
      <c r="K9167">
        <v>256</v>
      </c>
      <c r="L9167">
        <v>1200</v>
      </c>
      <c r="M9167" t="str">
        <f t="shared" si="826"/>
        <v xml:space="preserve">N35DC   </v>
      </c>
      <c r="N9167">
        <v>1</v>
      </c>
      <c r="O9167">
        <v>1525</v>
      </c>
    </row>
    <row r="9168" spans="1:15" x14ac:dyDescent="0.25">
      <c r="A9168" t="str">
        <f>"10/21/2020 19:17:54.073"</f>
        <v>10/21/2020 19:17:54.073</v>
      </c>
      <c r="B9168" t="str">
        <f>"19:18:02.031"</f>
        <v>19:18:02.031</v>
      </c>
      <c r="C9168" t="str">
        <f>"19:18:01.631"</f>
        <v>19:18:01.631</v>
      </c>
      <c r="D9168" t="s">
        <v>3523</v>
      </c>
      <c r="E9168">
        <v>30.405671999999999</v>
      </c>
      <c r="F9168" t="s">
        <v>3524</v>
      </c>
      <c r="G9168">
        <v>-89.770854</v>
      </c>
      <c r="H9168">
        <v>1500</v>
      </c>
      <c r="I9168">
        <v>-109</v>
      </c>
      <c r="J9168">
        <v>-115</v>
      </c>
      <c r="K9168">
        <v>256</v>
      </c>
      <c r="L9168">
        <v>1200</v>
      </c>
      <c r="M9168" t="str">
        <f t="shared" si="826"/>
        <v xml:space="preserve">N35DC   </v>
      </c>
      <c r="N9168">
        <v>1</v>
      </c>
      <c r="O9168">
        <v>1525</v>
      </c>
    </row>
    <row r="9169" spans="1:15" x14ac:dyDescent="0.25">
      <c r="A9169" t="str">
        <f>"10/21/2020 19:17:55.138"</f>
        <v>10/21/2020 19:17:55.138</v>
      </c>
      <c r="B9169" t="str">
        <f>"19:18:03.094"</f>
        <v>19:18:03.094</v>
      </c>
      <c r="C9169" t="str">
        <f>"19:18:02.794"</f>
        <v>19:18:02.794</v>
      </c>
      <c r="D9169" t="s">
        <v>3525</v>
      </c>
      <c r="E9169">
        <v>30.405092</v>
      </c>
      <c r="F9169" t="s">
        <v>3526</v>
      </c>
      <c r="G9169">
        <v>-89.771433000000002</v>
      </c>
      <c r="H9169">
        <v>1500</v>
      </c>
      <c r="I9169">
        <v>-104</v>
      </c>
      <c r="J9169">
        <v>-119</v>
      </c>
      <c r="K9169">
        <v>512</v>
      </c>
      <c r="L9169">
        <v>1200</v>
      </c>
      <c r="M9169" t="str">
        <f t="shared" si="826"/>
        <v xml:space="preserve">N35DC   </v>
      </c>
      <c r="N9169">
        <v>1</v>
      </c>
      <c r="O9169">
        <v>1525</v>
      </c>
    </row>
    <row r="9170" spans="1:15" x14ac:dyDescent="0.25">
      <c r="A9170" t="str">
        <f>"10/21/2020 19:17:55.138"</f>
        <v>10/21/2020 19:17:55.138</v>
      </c>
      <c r="B9170" t="str">
        <f>"19:18:03.094"</f>
        <v>19:18:03.094</v>
      </c>
      <c r="C9170" t="str">
        <f>"19:18:02.794"</f>
        <v>19:18:02.794</v>
      </c>
      <c r="D9170" t="s">
        <v>3525</v>
      </c>
      <c r="E9170">
        <v>30.405092</v>
      </c>
      <c r="F9170" t="s">
        <v>3526</v>
      </c>
      <c r="G9170">
        <v>-89.771433000000002</v>
      </c>
      <c r="H9170">
        <v>1500</v>
      </c>
      <c r="I9170">
        <v>-104</v>
      </c>
      <c r="J9170">
        <v>-119</v>
      </c>
      <c r="K9170">
        <v>512</v>
      </c>
      <c r="L9170">
        <v>1200</v>
      </c>
      <c r="M9170" t="str">
        <f t="shared" si="826"/>
        <v xml:space="preserve">N35DC   </v>
      </c>
      <c r="N9170">
        <v>1</v>
      </c>
      <c r="O9170">
        <v>1525</v>
      </c>
    </row>
    <row r="9171" spans="1:15" x14ac:dyDescent="0.25">
      <c r="A9171" t="str">
        <f>"10/21/2020 19:17:55.138"</f>
        <v>10/21/2020 19:17:55.138</v>
      </c>
      <c r="B9171" t="str">
        <f>"19:18:03.094"</f>
        <v>19:18:03.094</v>
      </c>
      <c r="C9171" t="str">
        <f>"19:18:02.794"</f>
        <v>19:18:02.794</v>
      </c>
      <c r="D9171" t="s">
        <v>3525</v>
      </c>
      <c r="E9171">
        <v>30.405092</v>
      </c>
      <c r="F9171" t="s">
        <v>3526</v>
      </c>
      <c r="G9171">
        <v>-89.771433000000002</v>
      </c>
      <c r="H9171">
        <v>1500</v>
      </c>
      <c r="I9171">
        <v>-104</v>
      </c>
      <c r="J9171">
        <v>-119</v>
      </c>
      <c r="K9171">
        <v>512</v>
      </c>
      <c r="L9171">
        <v>1200</v>
      </c>
      <c r="M9171" t="str">
        <f t="shared" si="826"/>
        <v xml:space="preserve">N35DC   </v>
      </c>
      <c r="N9171">
        <v>1</v>
      </c>
      <c r="O9171">
        <v>1525</v>
      </c>
    </row>
    <row r="9172" spans="1:15" x14ac:dyDescent="0.25">
      <c r="A9172" t="str">
        <f>"10/21/2020 19:17:55.138"</f>
        <v>10/21/2020 19:17:55.138</v>
      </c>
      <c r="B9172" t="str">
        <f>"19:18:03.094"</f>
        <v>19:18:03.094</v>
      </c>
      <c r="C9172" t="str">
        <f>"19:18:02.794"</f>
        <v>19:18:02.794</v>
      </c>
      <c r="D9172" t="s">
        <v>3525</v>
      </c>
      <c r="E9172">
        <v>30.405092</v>
      </c>
      <c r="F9172" t="s">
        <v>3526</v>
      </c>
      <c r="G9172">
        <v>-89.771433000000002</v>
      </c>
      <c r="H9172">
        <v>1500</v>
      </c>
      <c r="I9172">
        <v>-104</v>
      </c>
      <c r="J9172">
        <v>-119</v>
      </c>
      <c r="K9172">
        <v>512</v>
      </c>
      <c r="L9172">
        <v>1200</v>
      </c>
      <c r="M9172" t="str">
        <f t="shared" si="826"/>
        <v xml:space="preserve">N35DC   </v>
      </c>
      <c r="N9172">
        <v>1</v>
      </c>
      <c r="O9172">
        <v>1525</v>
      </c>
    </row>
    <row r="9173" spans="1:15" x14ac:dyDescent="0.25">
      <c r="A9173" t="str">
        <f>"10/21/2020 19:17:55.138"</f>
        <v>10/21/2020 19:17:55.138</v>
      </c>
      <c r="B9173" t="str">
        <f>"19:18:03.094"</f>
        <v>19:18:03.094</v>
      </c>
      <c r="C9173" t="str">
        <f>"19:18:02.794"</f>
        <v>19:18:02.794</v>
      </c>
      <c r="D9173" t="s">
        <v>3525</v>
      </c>
      <c r="E9173">
        <v>30.405092</v>
      </c>
      <c r="F9173" t="s">
        <v>3526</v>
      </c>
      <c r="G9173">
        <v>-89.771433000000002</v>
      </c>
      <c r="H9173">
        <v>1500</v>
      </c>
      <c r="I9173">
        <v>-104</v>
      </c>
      <c r="J9173">
        <v>-119</v>
      </c>
      <c r="K9173">
        <v>512</v>
      </c>
      <c r="L9173">
        <v>1200</v>
      </c>
      <c r="M9173" t="str">
        <f t="shared" si="826"/>
        <v xml:space="preserve">N35DC   </v>
      </c>
      <c r="N9173">
        <v>1</v>
      </c>
      <c r="O9173">
        <v>1525</v>
      </c>
    </row>
    <row r="9174" spans="1:15" x14ac:dyDescent="0.25">
      <c r="A9174" t="str">
        <f>"10/21/2020 19:17:56.195"</f>
        <v>10/21/2020 19:17:56.195</v>
      </c>
      <c r="B9174" t="str">
        <f>"19:18:04.133"</f>
        <v>19:18:04.133</v>
      </c>
      <c r="C9174" t="str">
        <f>"19:18:03.733"</f>
        <v>19:18:03.733</v>
      </c>
      <c r="D9174" t="s">
        <v>3527</v>
      </c>
      <c r="E9174">
        <v>30.40447</v>
      </c>
      <c r="F9174" t="s">
        <v>3528</v>
      </c>
      <c r="G9174">
        <v>-89.771968999999999</v>
      </c>
      <c r="H9174">
        <v>1500</v>
      </c>
      <c r="I9174">
        <v>-99</v>
      </c>
      <c r="J9174">
        <v>-123</v>
      </c>
      <c r="K9174">
        <v>576</v>
      </c>
      <c r="L9174">
        <v>1200</v>
      </c>
      <c r="M9174" t="str">
        <f t="shared" si="826"/>
        <v xml:space="preserve">N35DC   </v>
      </c>
      <c r="N9174">
        <v>1</v>
      </c>
      <c r="O9174">
        <v>1525</v>
      </c>
    </row>
    <row r="9175" spans="1:15" x14ac:dyDescent="0.25">
      <c r="A9175" t="str">
        <f>"10/21/2020 19:17:56.195"</f>
        <v>10/21/2020 19:17:56.195</v>
      </c>
      <c r="B9175" t="str">
        <f>"19:18:04.133"</f>
        <v>19:18:04.133</v>
      </c>
      <c r="C9175" t="str">
        <f>"19:18:03.733"</f>
        <v>19:18:03.733</v>
      </c>
      <c r="D9175" t="s">
        <v>3527</v>
      </c>
      <c r="E9175">
        <v>30.40447</v>
      </c>
      <c r="F9175" t="s">
        <v>3528</v>
      </c>
      <c r="G9175">
        <v>-89.771968999999999</v>
      </c>
      <c r="H9175">
        <v>1500</v>
      </c>
      <c r="I9175">
        <v>-99</v>
      </c>
      <c r="J9175">
        <v>-123</v>
      </c>
      <c r="K9175">
        <v>576</v>
      </c>
      <c r="L9175">
        <v>1200</v>
      </c>
      <c r="M9175" t="str">
        <f t="shared" si="826"/>
        <v xml:space="preserve">N35DC   </v>
      </c>
      <c r="N9175">
        <v>1</v>
      </c>
      <c r="O9175">
        <v>1525</v>
      </c>
    </row>
    <row r="9176" spans="1:15" x14ac:dyDescent="0.25">
      <c r="A9176" t="str">
        <f>"10/21/2020 19:17:56.195"</f>
        <v>10/21/2020 19:17:56.195</v>
      </c>
      <c r="B9176" t="str">
        <f>"19:18:04.133"</f>
        <v>19:18:04.133</v>
      </c>
      <c r="C9176" t="str">
        <f>"19:18:03.733"</f>
        <v>19:18:03.733</v>
      </c>
      <c r="D9176" t="s">
        <v>3527</v>
      </c>
      <c r="E9176">
        <v>30.40447</v>
      </c>
      <c r="F9176" t="s">
        <v>3528</v>
      </c>
      <c r="G9176">
        <v>-89.771968999999999</v>
      </c>
      <c r="H9176">
        <v>1500</v>
      </c>
      <c r="I9176">
        <v>-99</v>
      </c>
      <c r="J9176">
        <v>-123</v>
      </c>
      <c r="K9176">
        <v>576</v>
      </c>
      <c r="L9176">
        <v>1200</v>
      </c>
      <c r="M9176" t="str">
        <f t="shared" si="826"/>
        <v xml:space="preserve">N35DC   </v>
      </c>
      <c r="N9176">
        <v>1</v>
      </c>
      <c r="O9176">
        <v>1525</v>
      </c>
    </row>
    <row r="9177" spans="1:15" x14ac:dyDescent="0.25">
      <c r="A9177" t="str">
        <f>"10/21/2020 19:17:56.195"</f>
        <v>10/21/2020 19:17:56.195</v>
      </c>
      <c r="B9177" t="str">
        <f>"19:18:04.133"</f>
        <v>19:18:04.133</v>
      </c>
      <c r="C9177" t="str">
        <f>"19:18:03.733"</f>
        <v>19:18:03.733</v>
      </c>
      <c r="D9177" t="s">
        <v>3527</v>
      </c>
      <c r="E9177">
        <v>30.40447</v>
      </c>
      <c r="F9177" t="s">
        <v>3528</v>
      </c>
      <c r="G9177">
        <v>-89.771968999999999</v>
      </c>
      <c r="H9177">
        <v>1500</v>
      </c>
      <c r="I9177">
        <v>-99</v>
      </c>
      <c r="J9177">
        <v>-123</v>
      </c>
      <c r="K9177">
        <v>576</v>
      </c>
      <c r="L9177">
        <v>1200</v>
      </c>
      <c r="M9177" t="str">
        <f t="shared" si="826"/>
        <v xml:space="preserve">N35DC   </v>
      </c>
      <c r="N9177">
        <v>1</v>
      </c>
      <c r="O9177">
        <v>1525</v>
      </c>
    </row>
    <row r="9178" spans="1:15" x14ac:dyDescent="0.25">
      <c r="A9178" t="str">
        <f>"10/21/2020 19:17:56.195"</f>
        <v>10/21/2020 19:17:56.195</v>
      </c>
      <c r="B9178" t="str">
        <f>"19:18:04.133"</f>
        <v>19:18:04.133</v>
      </c>
      <c r="C9178" t="str">
        <f>"19:18:03.733"</f>
        <v>19:18:03.733</v>
      </c>
      <c r="D9178" t="s">
        <v>3527</v>
      </c>
      <c r="E9178">
        <v>30.40447</v>
      </c>
      <c r="F9178" t="s">
        <v>3528</v>
      </c>
      <c r="G9178">
        <v>-89.771968999999999</v>
      </c>
      <c r="H9178">
        <v>1500</v>
      </c>
      <c r="I9178">
        <v>-99</v>
      </c>
      <c r="J9178">
        <v>-123</v>
      </c>
      <c r="K9178">
        <v>576</v>
      </c>
      <c r="L9178">
        <v>1200</v>
      </c>
      <c r="M9178" t="str">
        <f t="shared" si="826"/>
        <v xml:space="preserve">N35DC   </v>
      </c>
      <c r="N9178">
        <v>1</v>
      </c>
      <c r="O9178">
        <v>1525</v>
      </c>
    </row>
    <row r="9179" spans="1:15" x14ac:dyDescent="0.25">
      <c r="A9179" t="str">
        <f>"10/21/2020 19:17:58.950"</f>
        <v>10/21/2020 19:17:58.950</v>
      </c>
      <c r="B9179" t="str">
        <f t="shared" ref="B9179:C9183" si="827">"19:18:06.906"</f>
        <v>19:18:06.906</v>
      </c>
      <c r="C9179" t="str">
        <f t="shared" si="827"/>
        <v>19:18:06.906</v>
      </c>
      <c r="D9179" t="s">
        <v>3529</v>
      </c>
      <c r="E9179">
        <v>30.402882000000002</v>
      </c>
      <c r="F9179" t="s">
        <v>3530</v>
      </c>
      <c r="G9179">
        <v>-89.773427999999996</v>
      </c>
      <c r="H9179">
        <v>1500</v>
      </c>
      <c r="I9179">
        <v>-100</v>
      </c>
      <c r="J9179">
        <v>-122</v>
      </c>
      <c r="K9179">
        <v>576</v>
      </c>
      <c r="L9179">
        <v>1200</v>
      </c>
      <c r="M9179" t="str">
        <f t="shared" si="826"/>
        <v xml:space="preserve">N35DC   </v>
      </c>
      <c r="N9179">
        <v>1</v>
      </c>
      <c r="O9179">
        <v>1550</v>
      </c>
    </row>
    <row r="9180" spans="1:15" x14ac:dyDescent="0.25">
      <c r="A9180" t="str">
        <f>"10/21/2020 19:17:58.950"</f>
        <v>10/21/2020 19:17:58.950</v>
      </c>
      <c r="B9180" t="str">
        <f t="shared" si="827"/>
        <v>19:18:06.906</v>
      </c>
      <c r="C9180" t="str">
        <f t="shared" si="827"/>
        <v>19:18:06.906</v>
      </c>
      <c r="D9180" t="s">
        <v>3529</v>
      </c>
      <c r="E9180">
        <v>30.402882000000002</v>
      </c>
      <c r="F9180" t="s">
        <v>3530</v>
      </c>
      <c r="G9180">
        <v>-89.773427999999996</v>
      </c>
      <c r="H9180">
        <v>1500</v>
      </c>
      <c r="I9180">
        <v>-100</v>
      </c>
      <c r="J9180">
        <v>-122</v>
      </c>
      <c r="K9180">
        <v>576</v>
      </c>
      <c r="L9180">
        <v>1200</v>
      </c>
      <c r="M9180" t="str">
        <f t="shared" si="826"/>
        <v xml:space="preserve">N35DC   </v>
      </c>
      <c r="N9180">
        <v>1</v>
      </c>
      <c r="O9180">
        <v>1550</v>
      </c>
    </row>
    <row r="9181" spans="1:15" x14ac:dyDescent="0.25">
      <c r="A9181" t="str">
        <f>"10/21/2020 19:17:58.950"</f>
        <v>10/21/2020 19:17:58.950</v>
      </c>
      <c r="B9181" t="str">
        <f t="shared" si="827"/>
        <v>19:18:06.906</v>
      </c>
      <c r="C9181" t="str">
        <f t="shared" si="827"/>
        <v>19:18:06.906</v>
      </c>
      <c r="D9181" t="s">
        <v>3529</v>
      </c>
      <c r="E9181">
        <v>30.402882000000002</v>
      </c>
      <c r="F9181" t="s">
        <v>3530</v>
      </c>
      <c r="G9181">
        <v>-89.773427999999996</v>
      </c>
      <c r="H9181">
        <v>1500</v>
      </c>
      <c r="I9181">
        <v>-100</v>
      </c>
      <c r="J9181">
        <v>-122</v>
      </c>
      <c r="K9181">
        <v>576</v>
      </c>
      <c r="L9181">
        <v>1200</v>
      </c>
      <c r="M9181" t="str">
        <f t="shared" si="826"/>
        <v xml:space="preserve">N35DC   </v>
      </c>
      <c r="N9181">
        <v>1</v>
      </c>
      <c r="O9181">
        <v>1550</v>
      </c>
    </row>
    <row r="9182" spans="1:15" x14ac:dyDescent="0.25">
      <c r="A9182" t="str">
        <f>"10/21/2020 19:17:58.950"</f>
        <v>10/21/2020 19:17:58.950</v>
      </c>
      <c r="B9182" t="str">
        <f t="shared" si="827"/>
        <v>19:18:06.906</v>
      </c>
      <c r="C9182" t="str">
        <f t="shared" si="827"/>
        <v>19:18:06.906</v>
      </c>
      <c r="D9182" t="s">
        <v>3529</v>
      </c>
      <c r="E9182">
        <v>30.402882000000002</v>
      </c>
      <c r="F9182" t="s">
        <v>3530</v>
      </c>
      <c r="G9182">
        <v>-89.773427999999996</v>
      </c>
      <c r="H9182">
        <v>1500</v>
      </c>
      <c r="I9182">
        <v>-100</v>
      </c>
      <c r="J9182">
        <v>-122</v>
      </c>
      <c r="K9182">
        <v>576</v>
      </c>
      <c r="L9182">
        <v>1200</v>
      </c>
      <c r="M9182" t="str">
        <f t="shared" si="826"/>
        <v xml:space="preserve">N35DC   </v>
      </c>
      <c r="N9182">
        <v>1</v>
      </c>
      <c r="O9182">
        <v>1550</v>
      </c>
    </row>
    <row r="9183" spans="1:15" x14ac:dyDescent="0.25">
      <c r="A9183" t="str">
        <f>"10/21/2020 19:17:58.950"</f>
        <v>10/21/2020 19:17:58.950</v>
      </c>
      <c r="B9183" t="str">
        <f t="shared" si="827"/>
        <v>19:18:06.906</v>
      </c>
      <c r="C9183" t="str">
        <f t="shared" si="827"/>
        <v>19:18:06.906</v>
      </c>
      <c r="D9183" t="s">
        <v>3529</v>
      </c>
      <c r="E9183">
        <v>30.402882000000002</v>
      </c>
      <c r="F9183" t="s">
        <v>3530</v>
      </c>
      <c r="G9183">
        <v>-89.773427999999996</v>
      </c>
      <c r="H9183">
        <v>1500</v>
      </c>
      <c r="I9183">
        <v>-100</v>
      </c>
      <c r="J9183">
        <v>-122</v>
      </c>
      <c r="K9183">
        <v>576</v>
      </c>
      <c r="L9183">
        <v>1200</v>
      </c>
      <c r="M9183" t="str">
        <f t="shared" si="826"/>
        <v xml:space="preserve">N35DC   </v>
      </c>
      <c r="N9183">
        <v>1</v>
      </c>
      <c r="O9183">
        <v>1550</v>
      </c>
    </row>
    <row r="9184" spans="1:15" x14ac:dyDescent="0.25">
      <c r="A9184" t="str">
        <f>"10/21/2020 19:17:59.923"</f>
        <v>10/21/2020 19:17:59.923</v>
      </c>
      <c r="B9184" t="str">
        <f t="shared" ref="B9184:C9188" si="828">"19:18:07.898"</f>
        <v>19:18:07.898</v>
      </c>
      <c r="C9184" t="str">
        <f t="shared" si="828"/>
        <v>19:18:07.898</v>
      </c>
      <c r="D9184" t="s">
        <v>3531</v>
      </c>
      <c r="E9184">
        <v>30.402346000000001</v>
      </c>
      <c r="F9184" t="s">
        <v>3532</v>
      </c>
      <c r="G9184">
        <v>-89.773965000000004</v>
      </c>
      <c r="H9184">
        <v>1500</v>
      </c>
      <c r="I9184">
        <v>-103</v>
      </c>
      <c r="J9184">
        <v>-119</v>
      </c>
      <c r="K9184">
        <v>512</v>
      </c>
      <c r="L9184">
        <v>1200</v>
      </c>
      <c r="M9184" t="str">
        <f t="shared" si="826"/>
        <v xml:space="preserve">N35DC   </v>
      </c>
      <c r="N9184">
        <v>1</v>
      </c>
      <c r="O9184">
        <v>1575</v>
      </c>
    </row>
    <row r="9185" spans="1:15" x14ac:dyDescent="0.25">
      <c r="A9185" t="str">
        <f>"10/21/2020 19:17:59.923"</f>
        <v>10/21/2020 19:17:59.923</v>
      </c>
      <c r="B9185" t="str">
        <f t="shared" si="828"/>
        <v>19:18:07.898</v>
      </c>
      <c r="C9185" t="str">
        <f t="shared" si="828"/>
        <v>19:18:07.898</v>
      </c>
      <c r="D9185" t="s">
        <v>3531</v>
      </c>
      <c r="E9185">
        <v>30.402346000000001</v>
      </c>
      <c r="F9185" t="s">
        <v>3532</v>
      </c>
      <c r="G9185">
        <v>-89.773965000000004</v>
      </c>
      <c r="H9185">
        <v>1500</v>
      </c>
      <c r="I9185">
        <v>-103</v>
      </c>
      <c r="J9185">
        <v>-119</v>
      </c>
      <c r="K9185">
        <v>512</v>
      </c>
      <c r="L9185">
        <v>1200</v>
      </c>
      <c r="M9185" t="str">
        <f t="shared" si="826"/>
        <v xml:space="preserve">N35DC   </v>
      </c>
      <c r="N9185">
        <v>1</v>
      </c>
      <c r="O9185">
        <v>1575</v>
      </c>
    </row>
    <row r="9186" spans="1:15" x14ac:dyDescent="0.25">
      <c r="A9186" t="str">
        <f>"10/21/2020 19:17:59.923"</f>
        <v>10/21/2020 19:17:59.923</v>
      </c>
      <c r="B9186" t="str">
        <f t="shared" si="828"/>
        <v>19:18:07.898</v>
      </c>
      <c r="C9186" t="str">
        <f t="shared" si="828"/>
        <v>19:18:07.898</v>
      </c>
      <c r="D9186" t="s">
        <v>3531</v>
      </c>
      <c r="E9186">
        <v>30.402346000000001</v>
      </c>
      <c r="F9186" t="s">
        <v>3532</v>
      </c>
      <c r="G9186">
        <v>-89.773965000000004</v>
      </c>
      <c r="H9186">
        <v>1500</v>
      </c>
      <c r="I9186">
        <v>-103</v>
      </c>
      <c r="J9186">
        <v>-119</v>
      </c>
      <c r="K9186">
        <v>512</v>
      </c>
      <c r="L9186">
        <v>1200</v>
      </c>
      <c r="M9186" t="str">
        <f t="shared" si="826"/>
        <v xml:space="preserve">N35DC   </v>
      </c>
      <c r="N9186">
        <v>1</v>
      </c>
      <c r="O9186">
        <v>1575</v>
      </c>
    </row>
    <row r="9187" spans="1:15" x14ac:dyDescent="0.25">
      <c r="A9187" t="str">
        <f>"10/21/2020 19:17:59.923"</f>
        <v>10/21/2020 19:17:59.923</v>
      </c>
      <c r="B9187" t="str">
        <f t="shared" si="828"/>
        <v>19:18:07.898</v>
      </c>
      <c r="C9187" t="str">
        <f t="shared" si="828"/>
        <v>19:18:07.898</v>
      </c>
      <c r="D9187" t="s">
        <v>3531</v>
      </c>
      <c r="E9187">
        <v>30.402346000000001</v>
      </c>
      <c r="F9187" t="s">
        <v>3532</v>
      </c>
      <c r="G9187">
        <v>-89.773965000000004</v>
      </c>
      <c r="H9187">
        <v>1500</v>
      </c>
      <c r="I9187">
        <v>-103</v>
      </c>
      <c r="J9187">
        <v>-119</v>
      </c>
      <c r="K9187">
        <v>512</v>
      </c>
      <c r="L9187">
        <v>1200</v>
      </c>
      <c r="M9187" t="str">
        <f t="shared" si="826"/>
        <v xml:space="preserve">N35DC   </v>
      </c>
      <c r="N9187">
        <v>1</v>
      </c>
      <c r="O9187">
        <v>1575</v>
      </c>
    </row>
    <row r="9188" spans="1:15" x14ac:dyDescent="0.25">
      <c r="A9188" t="str">
        <f>"10/21/2020 19:17:59.923"</f>
        <v>10/21/2020 19:17:59.923</v>
      </c>
      <c r="B9188" t="str">
        <f t="shared" si="828"/>
        <v>19:18:07.898</v>
      </c>
      <c r="C9188" t="str">
        <f t="shared" si="828"/>
        <v>19:18:07.898</v>
      </c>
      <c r="D9188" t="s">
        <v>3531</v>
      </c>
      <c r="E9188">
        <v>30.402346000000001</v>
      </c>
      <c r="F9188" t="s">
        <v>3532</v>
      </c>
      <c r="G9188">
        <v>-89.773965000000004</v>
      </c>
      <c r="H9188">
        <v>1500</v>
      </c>
      <c r="I9188">
        <v>-103</v>
      </c>
      <c r="J9188">
        <v>-119</v>
      </c>
      <c r="K9188">
        <v>512</v>
      </c>
      <c r="L9188">
        <v>1200</v>
      </c>
      <c r="M9188" t="str">
        <f t="shared" si="826"/>
        <v xml:space="preserve">N35DC   </v>
      </c>
      <c r="N9188">
        <v>1</v>
      </c>
      <c r="O9188">
        <v>1575</v>
      </c>
    </row>
    <row r="9189" spans="1:15" x14ac:dyDescent="0.25">
      <c r="A9189" t="str">
        <f>"10/21/2020 19:18:03.098"</f>
        <v>10/21/2020 19:18:03.098</v>
      </c>
      <c r="B9189" t="str">
        <f>"19:18:11.063"</f>
        <v>19:18:11.063</v>
      </c>
      <c r="C9189" t="str">
        <f>"19:18:10.863"</f>
        <v>19:18:10.863</v>
      </c>
      <c r="D9189" t="s">
        <v>3533</v>
      </c>
      <c r="E9189">
        <v>30.400651</v>
      </c>
      <c r="F9189" t="s">
        <v>3534</v>
      </c>
      <c r="G9189">
        <v>-89.775831999999994</v>
      </c>
      <c r="H9189">
        <v>1600</v>
      </c>
      <c r="I9189">
        <v>-112</v>
      </c>
      <c r="J9189">
        <v>-111</v>
      </c>
      <c r="K9189">
        <v>192</v>
      </c>
      <c r="L9189">
        <v>1200</v>
      </c>
      <c r="M9189" t="str">
        <f t="shared" si="826"/>
        <v xml:space="preserve">N35DC   </v>
      </c>
      <c r="N9189">
        <v>1</v>
      </c>
      <c r="O9189">
        <v>1700</v>
      </c>
    </row>
    <row r="9190" spans="1:15" x14ac:dyDescent="0.25">
      <c r="A9190" t="str">
        <f>"10/21/2020 19:18:03.098"</f>
        <v>10/21/2020 19:18:03.098</v>
      </c>
      <c r="B9190" t="str">
        <f>"19:18:11.063"</f>
        <v>19:18:11.063</v>
      </c>
      <c r="C9190" t="str">
        <f>"19:18:10.863"</f>
        <v>19:18:10.863</v>
      </c>
      <c r="D9190" t="s">
        <v>3533</v>
      </c>
      <c r="E9190">
        <v>30.400651</v>
      </c>
      <c r="F9190" t="s">
        <v>3534</v>
      </c>
      <c r="G9190">
        <v>-89.775831999999994</v>
      </c>
      <c r="H9190">
        <v>1600</v>
      </c>
      <c r="I9190">
        <v>-112</v>
      </c>
      <c r="J9190">
        <v>-111</v>
      </c>
      <c r="K9190">
        <v>192</v>
      </c>
      <c r="L9190">
        <v>1200</v>
      </c>
      <c r="M9190" t="str">
        <f t="shared" si="826"/>
        <v xml:space="preserve">N35DC   </v>
      </c>
      <c r="N9190">
        <v>1</v>
      </c>
      <c r="O9190">
        <v>1700</v>
      </c>
    </row>
    <row r="9191" spans="1:15" x14ac:dyDescent="0.25">
      <c r="A9191" t="str">
        <f>"10/21/2020 19:18:03.098"</f>
        <v>10/21/2020 19:18:03.098</v>
      </c>
      <c r="B9191" t="str">
        <f>"19:18:11.063"</f>
        <v>19:18:11.063</v>
      </c>
      <c r="C9191" t="str">
        <f>"19:18:10.863"</f>
        <v>19:18:10.863</v>
      </c>
      <c r="D9191" t="s">
        <v>3533</v>
      </c>
      <c r="E9191">
        <v>30.400651</v>
      </c>
      <c r="F9191" t="s">
        <v>3534</v>
      </c>
      <c r="G9191">
        <v>-89.775831999999994</v>
      </c>
      <c r="H9191">
        <v>1600</v>
      </c>
      <c r="I9191">
        <v>-112</v>
      </c>
      <c r="J9191">
        <v>-111</v>
      </c>
      <c r="K9191">
        <v>192</v>
      </c>
      <c r="L9191">
        <v>1200</v>
      </c>
      <c r="M9191" t="str">
        <f t="shared" si="826"/>
        <v xml:space="preserve">N35DC   </v>
      </c>
      <c r="N9191">
        <v>1</v>
      </c>
      <c r="O9191">
        <v>1700</v>
      </c>
    </row>
    <row r="9192" spans="1:15" x14ac:dyDescent="0.25">
      <c r="A9192" t="str">
        <f>"10/21/2020 19:18:03.098"</f>
        <v>10/21/2020 19:18:03.098</v>
      </c>
      <c r="B9192" t="str">
        <f>"19:18:11.063"</f>
        <v>19:18:11.063</v>
      </c>
      <c r="C9192" t="str">
        <f>"19:18:10.863"</f>
        <v>19:18:10.863</v>
      </c>
      <c r="D9192" t="s">
        <v>3533</v>
      </c>
      <c r="E9192">
        <v>30.400651</v>
      </c>
      <c r="F9192" t="s">
        <v>3534</v>
      </c>
      <c r="G9192">
        <v>-89.775831999999994</v>
      </c>
      <c r="H9192">
        <v>1600</v>
      </c>
      <c r="I9192">
        <v>-112</v>
      </c>
      <c r="J9192">
        <v>-111</v>
      </c>
      <c r="K9192">
        <v>192</v>
      </c>
      <c r="L9192">
        <v>1200</v>
      </c>
      <c r="M9192" t="str">
        <f t="shared" si="826"/>
        <v xml:space="preserve">N35DC   </v>
      </c>
      <c r="N9192">
        <v>1</v>
      </c>
      <c r="O9192">
        <v>1700</v>
      </c>
    </row>
    <row r="9193" spans="1:15" x14ac:dyDescent="0.25">
      <c r="A9193" t="str">
        <f>"10/21/2020 19:18:03.098"</f>
        <v>10/21/2020 19:18:03.098</v>
      </c>
      <c r="B9193" t="str">
        <f>"19:18:11.063"</f>
        <v>19:18:11.063</v>
      </c>
      <c r="C9193" t="str">
        <f>"19:18:10.863"</f>
        <v>19:18:10.863</v>
      </c>
      <c r="D9193" t="s">
        <v>3533</v>
      </c>
      <c r="E9193">
        <v>30.400651</v>
      </c>
      <c r="F9193" t="s">
        <v>3534</v>
      </c>
      <c r="G9193">
        <v>-89.775831999999994</v>
      </c>
      <c r="H9193">
        <v>1600</v>
      </c>
      <c r="I9193">
        <v>-112</v>
      </c>
      <c r="J9193">
        <v>-111</v>
      </c>
      <c r="K9193">
        <v>192</v>
      </c>
      <c r="L9193">
        <v>1200</v>
      </c>
      <c r="M9193" t="str">
        <f t="shared" si="826"/>
        <v xml:space="preserve">N35DC   </v>
      </c>
      <c r="N9193">
        <v>1</v>
      </c>
      <c r="O9193">
        <v>1700</v>
      </c>
    </row>
    <row r="9194" spans="1:15" x14ac:dyDescent="0.25">
      <c r="A9194" t="str">
        <f>"10/21/2020 19:18:06.167"</f>
        <v>10/21/2020 19:18:06.167</v>
      </c>
      <c r="B9194" t="str">
        <f>"19:18:14.133"</f>
        <v>19:18:14.133</v>
      </c>
      <c r="C9194" t="str">
        <f>"19:18:13.833"</f>
        <v>19:18:13.833</v>
      </c>
      <c r="D9194" t="s">
        <v>3535</v>
      </c>
      <c r="E9194">
        <v>30.399127</v>
      </c>
      <c r="F9194" t="s">
        <v>3536</v>
      </c>
      <c r="G9194">
        <v>-89.777741000000006</v>
      </c>
      <c r="H9194">
        <v>1500</v>
      </c>
      <c r="I9194">
        <v>-120</v>
      </c>
      <c r="J9194">
        <v>-105</v>
      </c>
      <c r="K9194">
        <v>-512</v>
      </c>
      <c r="L9194">
        <v>1200</v>
      </c>
      <c r="M9194" t="str">
        <f t="shared" si="826"/>
        <v xml:space="preserve">N35DC   </v>
      </c>
      <c r="N9194">
        <v>1</v>
      </c>
      <c r="O9194">
        <v>1575</v>
      </c>
    </row>
    <row r="9195" spans="1:15" x14ac:dyDescent="0.25">
      <c r="A9195" t="str">
        <f>"10/21/2020 19:18:06.167"</f>
        <v>10/21/2020 19:18:06.167</v>
      </c>
      <c r="B9195" t="str">
        <f>"19:18:14.133"</f>
        <v>19:18:14.133</v>
      </c>
      <c r="C9195" t="str">
        <f>"19:18:13.833"</f>
        <v>19:18:13.833</v>
      </c>
      <c r="D9195" t="s">
        <v>3535</v>
      </c>
      <c r="E9195">
        <v>30.399127</v>
      </c>
      <c r="F9195" t="s">
        <v>3536</v>
      </c>
      <c r="G9195">
        <v>-89.777741000000006</v>
      </c>
      <c r="H9195">
        <v>1500</v>
      </c>
      <c r="I9195">
        <v>-120</v>
      </c>
      <c r="J9195">
        <v>-105</v>
      </c>
      <c r="K9195">
        <v>-512</v>
      </c>
      <c r="L9195">
        <v>1200</v>
      </c>
      <c r="M9195" t="str">
        <f t="shared" si="826"/>
        <v xml:space="preserve">N35DC   </v>
      </c>
      <c r="N9195">
        <v>1</v>
      </c>
      <c r="O9195">
        <v>1575</v>
      </c>
    </row>
    <row r="9196" spans="1:15" x14ac:dyDescent="0.25">
      <c r="A9196" t="str">
        <f>"10/21/2020 19:18:06.167"</f>
        <v>10/21/2020 19:18:06.167</v>
      </c>
      <c r="B9196" t="str">
        <f>"19:18:14.133"</f>
        <v>19:18:14.133</v>
      </c>
      <c r="C9196" t="str">
        <f>"19:18:13.833"</f>
        <v>19:18:13.833</v>
      </c>
      <c r="D9196" t="s">
        <v>3535</v>
      </c>
      <c r="E9196">
        <v>30.399127</v>
      </c>
      <c r="F9196" t="s">
        <v>3536</v>
      </c>
      <c r="G9196">
        <v>-89.777741000000006</v>
      </c>
      <c r="H9196">
        <v>1500</v>
      </c>
      <c r="I9196">
        <v>-120</v>
      </c>
      <c r="J9196">
        <v>-105</v>
      </c>
      <c r="K9196">
        <v>-512</v>
      </c>
      <c r="L9196">
        <v>1200</v>
      </c>
      <c r="M9196" t="str">
        <f t="shared" si="826"/>
        <v xml:space="preserve">N35DC   </v>
      </c>
      <c r="N9196">
        <v>1</v>
      </c>
      <c r="O9196">
        <v>1575</v>
      </c>
    </row>
    <row r="9197" spans="1:15" x14ac:dyDescent="0.25">
      <c r="A9197" t="str">
        <f>"10/21/2020 19:18:06.167"</f>
        <v>10/21/2020 19:18:06.167</v>
      </c>
      <c r="B9197" t="str">
        <f>"19:18:14.133"</f>
        <v>19:18:14.133</v>
      </c>
      <c r="C9197" t="str">
        <f>"19:18:13.833"</f>
        <v>19:18:13.833</v>
      </c>
      <c r="D9197" t="s">
        <v>3535</v>
      </c>
      <c r="E9197">
        <v>30.399127</v>
      </c>
      <c r="F9197" t="s">
        <v>3536</v>
      </c>
      <c r="G9197">
        <v>-89.777741000000006</v>
      </c>
      <c r="H9197">
        <v>1500</v>
      </c>
      <c r="I9197">
        <v>-120</v>
      </c>
      <c r="J9197">
        <v>-105</v>
      </c>
      <c r="K9197">
        <v>-512</v>
      </c>
      <c r="L9197">
        <v>1200</v>
      </c>
      <c r="M9197" t="str">
        <f t="shared" si="826"/>
        <v xml:space="preserve">N35DC   </v>
      </c>
      <c r="N9197">
        <v>1</v>
      </c>
      <c r="O9197">
        <v>1575</v>
      </c>
    </row>
    <row r="9198" spans="1:15" x14ac:dyDescent="0.25">
      <c r="A9198" t="str">
        <f>"10/21/2020 19:18:06.167"</f>
        <v>10/21/2020 19:18:06.167</v>
      </c>
      <c r="B9198" t="str">
        <f>"19:18:14.133"</f>
        <v>19:18:14.133</v>
      </c>
      <c r="C9198" t="str">
        <f>"19:18:13.833"</f>
        <v>19:18:13.833</v>
      </c>
      <c r="D9198" t="s">
        <v>3535</v>
      </c>
      <c r="E9198">
        <v>30.399127</v>
      </c>
      <c r="F9198" t="s">
        <v>3536</v>
      </c>
      <c r="G9198">
        <v>-89.777741000000006</v>
      </c>
      <c r="H9198">
        <v>1500</v>
      </c>
      <c r="I9198">
        <v>-120</v>
      </c>
      <c r="J9198">
        <v>-105</v>
      </c>
      <c r="K9198">
        <v>-512</v>
      </c>
      <c r="L9198">
        <v>1200</v>
      </c>
      <c r="M9198" t="str">
        <f t="shared" si="826"/>
        <v xml:space="preserve">N35DC   </v>
      </c>
      <c r="N9198">
        <v>1</v>
      </c>
      <c r="O9198">
        <v>1575</v>
      </c>
    </row>
    <row r="9199" spans="1:15" x14ac:dyDescent="0.25">
      <c r="A9199" t="str">
        <f>"10/21/2020 19:18:07.175"</f>
        <v>10/21/2020 19:18:07.175</v>
      </c>
      <c r="B9199" t="str">
        <f>"19:18:15.109"</f>
        <v>19:18:15.109</v>
      </c>
      <c r="C9199" t="str">
        <f>"19:18:14.809"</f>
        <v>19:18:14.809</v>
      </c>
      <c r="D9199" t="s">
        <v>3537</v>
      </c>
      <c r="E9199">
        <v>30.398655000000002</v>
      </c>
      <c r="F9199" t="s">
        <v>3538</v>
      </c>
      <c r="G9199">
        <v>-89.778470999999996</v>
      </c>
      <c r="H9199">
        <v>1500</v>
      </c>
      <c r="I9199">
        <v>-123</v>
      </c>
      <c r="J9199">
        <v>-102</v>
      </c>
      <c r="K9199">
        <v>-512</v>
      </c>
      <c r="L9199">
        <v>1200</v>
      </c>
      <c r="M9199" t="str">
        <f t="shared" si="826"/>
        <v xml:space="preserve">N35DC   </v>
      </c>
      <c r="N9199">
        <v>1</v>
      </c>
      <c r="O9199">
        <v>1575</v>
      </c>
    </row>
    <row r="9200" spans="1:15" x14ac:dyDescent="0.25">
      <c r="A9200" t="str">
        <f>"10/21/2020 19:18:07.175"</f>
        <v>10/21/2020 19:18:07.175</v>
      </c>
      <c r="B9200" t="str">
        <f>"19:18:15.109"</f>
        <v>19:18:15.109</v>
      </c>
      <c r="C9200" t="str">
        <f>"19:18:14.809"</f>
        <v>19:18:14.809</v>
      </c>
      <c r="D9200" t="s">
        <v>3537</v>
      </c>
      <c r="E9200">
        <v>30.398655000000002</v>
      </c>
      <c r="F9200" t="s">
        <v>3538</v>
      </c>
      <c r="G9200">
        <v>-89.778470999999996</v>
      </c>
      <c r="H9200">
        <v>1500</v>
      </c>
      <c r="I9200">
        <v>-123</v>
      </c>
      <c r="J9200">
        <v>-102</v>
      </c>
      <c r="K9200">
        <v>-512</v>
      </c>
      <c r="L9200">
        <v>1200</v>
      </c>
      <c r="M9200" t="str">
        <f t="shared" si="826"/>
        <v xml:space="preserve">N35DC   </v>
      </c>
      <c r="N9200">
        <v>1</v>
      </c>
      <c r="O9200">
        <v>1575</v>
      </c>
    </row>
    <row r="9201" spans="1:15" x14ac:dyDescent="0.25">
      <c r="A9201" t="str">
        <f>"10/21/2020 19:18:07.175"</f>
        <v>10/21/2020 19:18:07.175</v>
      </c>
      <c r="B9201" t="str">
        <f>"19:18:15.109"</f>
        <v>19:18:15.109</v>
      </c>
      <c r="C9201" t="str">
        <f>"19:18:14.809"</f>
        <v>19:18:14.809</v>
      </c>
      <c r="D9201" t="s">
        <v>3537</v>
      </c>
      <c r="E9201">
        <v>30.398655000000002</v>
      </c>
      <c r="F9201" t="s">
        <v>3538</v>
      </c>
      <c r="G9201">
        <v>-89.778470999999996</v>
      </c>
      <c r="H9201">
        <v>1500</v>
      </c>
      <c r="I9201">
        <v>-123</v>
      </c>
      <c r="J9201">
        <v>-102</v>
      </c>
      <c r="K9201">
        <v>-512</v>
      </c>
      <c r="L9201">
        <v>1200</v>
      </c>
      <c r="M9201" t="str">
        <f t="shared" si="826"/>
        <v xml:space="preserve">N35DC   </v>
      </c>
      <c r="N9201">
        <v>1</v>
      </c>
      <c r="O9201">
        <v>1575</v>
      </c>
    </row>
    <row r="9202" spans="1:15" x14ac:dyDescent="0.25">
      <c r="A9202" t="str">
        <f>"10/21/2020 19:18:07.175"</f>
        <v>10/21/2020 19:18:07.175</v>
      </c>
      <c r="B9202" t="str">
        <f>"19:18:15.109"</f>
        <v>19:18:15.109</v>
      </c>
      <c r="C9202" t="str">
        <f>"19:18:14.809"</f>
        <v>19:18:14.809</v>
      </c>
      <c r="D9202" t="s">
        <v>3537</v>
      </c>
      <c r="E9202">
        <v>30.398655000000002</v>
      </c>
      <c r="F9202" t="s">
        <v>3538</v>
      </c>
      <c r="G9202">
        <v>-89.778470999999996</v>
      </c>
      <c r="H9202">
        <v>1500</v>
      </c>
      <c r="I9202">
        <v>-123</v>
      </c>
      <c r="J9202">
        <v>-102</v>
      </c>
      <c r="K9202">
        <v>-512</v>
      </c>
      <c r="L9202">
        <v>1200</v>
      </c>
      <c r="M9202" t="str">
        <f t="shared" si="826"/>
        <v xml:space="preserve">N35DC   </v>
      </c>
      <c r="N9202">
        <v>1</v>
      </c>
      <c r="O9202">
        <v>1575</v>
      </c>
    </row>
    <row r="9203" spans="1:15" x14ac:dyDescent="0.25">
      <c r="A9203" t="str">
        <f>"10/21/2020 19:18:07.175"</f>
        <v>10/21/2020 19:18:07.175</v>
      </c>
      <c r="B9203" t="str">
        <f>"19:18:15.109"</f>
        <v>19:18:15.109</v>
      </c>
      <c r="C9203" t="str">
        <f>"19:18:14.809"</f>
        <v>19:18:14.809</v>
      </c>
      <c r="D9203" t="s">
        <v>3537</v>
      </c>
      <c r="E9203">
        <v>30.398655000000002</v>
      </c>
      <c r="F9203" t="s">
        <v>3538</v>
      </c>
      <c r="G9203">
        <v>-89.778470999999996</v>
      </c>
      <c r="H9203">
        <v>1500</v>
      </c>
      <c r="I9203">
        <v>-123</v>
      </c>
      <c r="J9203">
        <v>-102</v>
      </c>
      <c r="K9203">
        <v>-512</v>
      </c>
      <c r="L9203">
        <v>1200</v>
      </c>
      <c r="M9203" t="str">
        <f t="shared" si="826"/>
        <v xml:space="preserve">N35DC   </v>
      </c>
      <c r="N9203">
        <v>1</v>
      </c>
      <c r="O9203">
        <v>1575</v>
      </c>
    </row>
    <row r="9204" spans="1:15" x14ac:dyDescent="0.25">
      <c r="A9204" t="str">
        <f>"10/21/2020 19:18:08.033"</f>
        <v>10/21/2020 19:18:08.033</v>
      </c>
      <c r="B9204" t="str">
        <f>"19:18:15.969"</f>
        <v>19:18:15.969</v>
      </c>
      <c r="C9204" t="str">
        <f>"19:18:15.869"</f>
        <v>19:18:15.869</v>
      </c>
      <c r="D9204" t="s">
        <v>3539</v>
      </c>
      <c r="E9204">
        <v>30.398289999999999</v>
      </c>
      <c r="F9204" t="s">
        <v>3540</v>
      </c>
      <c r="G9204">
        <v>-89.779007000000007</v>
      </c>
      <c r="H9204">
        <v>1500</v>
      </c>
      <c r="I9204">
        <v>-125</v>
      </c>
      <c r="J9204">
        <v>-101</v>
      </c>
      <c r="K9204">
        <v>-512</v>
      </c>
      <c r="L9204">
        <v>1200</v>
      </c>
      <c r="M9204" t="str">
        <f t="shared" si="826"/>
        <v xml:space="preserve">N35DC   </v>
      </c>
      <c r="N9204">
        <v>1</v>
      </c>
      <c r="O9204">
        <v>1550</v>
      </c>
    </row>
    <row r="9205" spans="1:15" x14ac:dyDescent="0.25">
      <c r="A9205" t="str">
        <f>"10/21/2020 19:18:08.033"</f>
        <v>10/21/2020 19:18:08.033</v>
      </c>
      <c r="B9205" t="str">
        <f>"19:18:15.969"</f>
        <v>19:18:15.969</v>
      </c>
      <c r="C9205" t="str">
        <f>"19:18:15.869"</f>
        <v>19:18:15.869</v>
      </c>
      <c r="D9205" t="s">
        <v>3539</v>
      </c>
      <c r="E9205">
        <v>30.398289999999999</v>
      </c>
      <c r="F9205" t="s">
        <v>3540</v>
      </c>
      <c r="G9205">
        <v>-89.779007000000007</v>
      </c>
      <c r="H9205">
        <v>1500</v>
      </c>
      <c r="I9205">
        <v>-125</v>
      </c>
      <c r="J9205">
        <v>-101</v>
      </c>
      <c r="K9205">
        <v>-512</v>
      </c>
      <c r="L9205">
        <v>1200</v>
      </c>
      <c r="M9205" t="str">
        <f t="shared" si="826"/>
        <v xml:space="preserve">N35DC   </v>
      </c>
      <c r="N9205">
        <v>1</v>
      </c>
      <c r="O9205">
        <v>1550</v>
      </c>
    </row>
    <row r="9206" spans="1:15" x14ac:dyDescent="0.25">
      <c r="A9206" t="str">
        <f>"10/21/2020 19:18:08.033"</f>
        <v>10/21/2020 19:18:08.033</v>
      </c>
      <c r="B9206" t="str">
        <f>"19:18:15.969"</f>
        <v>19:18:15.969</v>
      </c>
      <c r="C9206" t="str">
        <f>"19:18:15.869"</f>
        <v>19:18:15.869</v>
      </c>
      <c r="D9206" t="s">
        <v>3539</v>
      </c>
      <c r="E9206">
        <v>30.398289999999999</v>
      </c>
      <c r="F9206" t="s">
        <v>3540</v>
      </c>
      <c r="G9206">
        <v>-89.779007000000007</v>
      </c>
      <c r="H9206">
        <v>1500</v>
      </c>
      <c r="I9206">
        <v>-125</v>
      </c>
      <c r="J9206">
        <v>-101</v>
      </c>
      <c r="K9206">
        <v>-512</v>
      </c>
      <c r="L9206">
        <v>1200</v>
      </c>
      <c r="M9206" t="str">
        <f t="shared" si="826"/>
        <v xml:space="preserve">N35DC   </v>
      </c>
      <c r="N9206">
        <v>1</v>
      </c>
      <c r="O9206">
        <v>1550</v>
      </c>
    </row>
    <row r="9207" spans="1:15" x14ac:dyDescent="0.25">
      <c r="A9207" t="str">
        <f>"10/21/2020 19:18:08.033"</f>
        <v>10/21/2020 19:18:08.033</v>
      </c>
      <c r="B9207" t="str">
        <f>"19:18:15.969"</f>
        <v>19:18:15.969</v>
      </c>
      <c r="C9207" t="str">
        <f>"19:18:15.869"</f>
        <v>19:18:15.869</v>
      </c>
      <c r="D9207" t="s">
        <v>3539</v>
      </c>
      <c r="E9207">
        <v>30.398289999999999</v>
      </c>
      <c r="F9207" t="s">
        <v>3540</v>
      </c>
      <c r="G9207">
        <v>-89.779007000000007</v>
      </c>
      <c r="H9207">
        <v>1500</v>
      </c>
      <c r="I9207">
        <v>-125</v>
      </c>
      <c r="J9207">
        <v>-101</v>
      </c>
      <c r="K9207">
        <v>-512</v>
      </c>
      <c r="L9207">
        <v>1200</v>
      </c>
      <c r="M9207" t="str">
        <f t="shared" si="826"/>
        <v xml:space="preserve">N35DC   </v>
      </c>
      <c r="N9207">
        <v>1</v>
      </c>
      <c r="O9207">
        <v>1550</v>
      </c>
    </row>
    <row r="9208" spans="1:15" x14ac:dyDescent="0.25">
      <c r="A9208" t="str">
        <f>"10/21/2020 19:18:08.033"</f>
        <v>10/21/2020 19:18:08.033</v>
      </c>
      <c r="B9208" t="str">
        <f>"19:18:15.969"</f>
        <v>19:18:15.969</v>
      </c>
      <c r="C9208" t="str">
        <f>"19:18:15.869"</f>
        <v>19:18:15.869</v>
      </c>
      <c r="D9208" t="s">
        <v>3539</v>
      </c>
      <c r="E9208">
        <v>30.398289999999999</v>
      </c>
      <c r="F9208" t="s">
        <v>3540</v>
      </c>
      <c r="G9208">
        <v>-89.779007000000007</v>
      </c>
      <c r="H9208">
        <v>1500</v>
      </c>
      <c r="I9208">
        <v>-125</v>
      </c>
      <c r="J9208">
        <v>-101</v>
      </c>
      <c r="K9208">
        <v>-512</v>
      </c>
      <c r="L9208">
        <v>1200</v>
      </c>
      <c r="M9208" t="str">
        <f t="shared" si="826"/>
        <v xml:space="preserve">N35DC   </v>
      </c>
      <c r="N9208">
        <v>1</v>
      </c>
      <c r="O9208">
        <v>1550</v>
      </c>
    </row>
    <row r="9209" spans="1:15" x14ac:dyDescent="0.25">
      <c r="A9209" t="str">
        <f>"10/21/2020 19:18:10.140"</f>
        <v>10/21/2020 19:18:10.140</v>
      </c>
      <c r="B9209" t="str">
        <f>"19:18:18.094"</f>
        <v>19:18:18.094</v>
      </c>
      <c r="C9209" t="str">
        <f>"19:18:17.894"</f>
        <v>19:18:17.894</v>
      </c>
      <c r="D9209" t="s">
        <v>3541</v>
      </c>
      <c r="E9209">
        <v>30.397303000000001</v>
      </c>
      <c r="F9209" t="s">
        <v>3542</v>
      </c>
      <c r="G9209">
        <v>-89.780445</v>
      </c>
      <c r="H9209">
        <v>1500</v>
      </c>
      <c r="I9209">
        <v>-128</v>
      </c>
      <c r="J9209">
        <v>-99</v>
      </c>
      <c r="K9209">
        <v>-512</v>
      </c>
      <c r="L9209">
        <v>1200</v>
      </c>
      <c r="M9209" t="str">
        <f t="shared" si="826"/>
        <v xml:space="preserve">N35DC   </v>
      </c>
      <c r="N9209">
        <v>1</v>
      </c>
      <c r="O9209">
        <v>1550</v>
      </c>
    </row>
    <row r="9210" spans="1:15" x14ac:dyDescent="0.25">
      <c r="A9210" t="str">
        <f>"10/21/2020 19:18:10.140"</f>
        <v>10/21/2020 19:18:10.140</v>
      </c>
      <c r="B9210" t="str">
        <f>"19:18:18.094"</f>
        <v>19:18:18.094</v>
      </c>
      <c r="C9210" t="str">
        <f>"19:18:17.894"</f>
        <v>19:18:17.894</v>
      </c>
      <c r="D9210" t="s">
        <v>3541</v>
      </c>
      <c r="E9210">
        <v>30.397303000000001</v>
      </c>
      <c r="F9210" t="s">
        <v>3542</v>
      </c>
      <c r="G9210">
        <v>-89.780445</v>
      </c>
      <c r="H9210">
        <v>1500</v>
      </c>
      <c r="I9210">
        <v>-128</v>
      </c>
      <c r="J9210">
        <v>-99</v>
      </c>
      <c r="K9210">
        <v>-512</v>
      </c>
      <c r="L9210">
        <v>1200</v>
      </c>
      <c r="M9210" t="str">
        <f t="shared" si="826"/>
        <v xml:space="preserve">N35DC   </v>
      </c>
      <c r="N9210">
        <v>1</v>
      </c>
      <c r="O9210">
        <v>1550</v>
      </c>
    </row>
    <row r="9211" spans="1:15" x14ac:dyDescent="0.25">
      <c r="A9211" t="str">
        <f>"10/21/2020 19:18:10.140"</f>
        <v>10/21/2020 19:18:10.140</v>
      </c>
      <c r="B9211" t="str">
        <f>"19:18:18.094"</f>
        <v>19:18:18.094</v>
      </c>
      <c r="C9211" t="str">
        <f>"19:18:17.894"</f>
        <v>19:18:17.894</v>
      </c>
      <c r="D9211" t="s">
        <v>3541</v>
      </c>
      <c r="E9211">
        <v>30.397303000000001</v>
      </c>
      <c r="F9211" t="s">
        <v>3542</v>
      </c>
      <c r="G9211">
        <v>-89.780445</v>
      </c>
      <c r="H9211">
        <v>1500</v>
      </c>
      <c r="I9211">
        <v>-128</v>
      </c>
      <c r="J9211">
        <v>-99</v>
      </c>
      <c r="K9211">
        <v>-512</v>
      </c>
      <c r="L9211">
        <v>1200</v>
      </c>
      <c r="M9211" t="str">
        <f t="shared" si="826"/>
        <v xml:space="preserve">N35DC   </v>
      </c>
      <c r="N9211">
        <v>1</v>
      </c>
      <c r="O9211">
        <v>1550</v>
      </c>
    </row>
    <row r="9212" spans="1:15" x14ac:dyDescent="0.25">
      <c r="A9212" t="str">
        <f>"10/21/2020 19:18:10.140"</f>
        <v>10/21/2020 19:18:10.140</v>
      </c>
      <c r="B9212" t="str">
        <f>"19:18:18.094"</f>
        <v>19:18:18.094</v>
      </c>
      <c r="C9212" t="str">
        <f>"19:18:17.894"</f>
        <v>19:18:17.894</v>
      </c>
      <c r="D9212" t="s">
        <v>3541</v>
      </c>
      <c r="E9212">
        <v>30.397303000000001</v>
      </c>
      <c r="F9212" t="s">
        <v>3542</v>
      </c>
      <c r="G9212">
        <v>-89.780445</v>
      </c>
      <c r="H9212">
        <v>1500</v>
      </c>
      <c r="I9212">
        <v>-128</v>
      </c>
      <c r="J9212">
        <v>-99</v>
      </c>
      <c r="K9212">
        <v>-512</v>
      </c>
      <c r="L9212">
        <v>1200</v>
      </c>
      <c r="M9212" t="str">
        <f t="shared" si="826"/>
        <v xml:space="preserve">N35DC   </v>
      </c>
      <c r="N9212">
        <v>1</v>
      </c>
      <c r="O9212">
        <v>1550</v>
      </c>
    </row>
    <row r="9213" spans="1:15" x14ac:dyDescent="0.25">
      <c r="A9213" t="str">
        <f>"10/21/2020 19:18:10.140"</f>
        <v>10/21/2020 19:18:10.140</v>
      </c>
      <c r="B9213" t="str">
        <f>"19:18:18.094"</f>
        <v>19:18:18.094</v>
      </c>
      <c r="C9213" t="str">
        <f>"19:18:17.894"</f>
        <v>19:18:17.894</v>
      </c>
      <c r="D9213" t="s">
        <v>3541</v>
      </c>
      <c r="E9213">
        <v>30.397303000000001</v>
      </c>
      <c r="F9213" t="s">
        <v>3542</v>
      </c>
      <c r="G9213">
        <v>-89.780445</v>
      </c>
      <c r="H9213">
        <v>1500</v>
      </c>
      <c r="I9213">
        <v>-128</v>
      </c>
      <c r="J9213">
        <v>-99</v>
      </c>
      <c r="K9213">
        <v>-512</v>
      </c>
      <c r="L9213">
        <v>1200</v>
      </c>
      <c r="M9213" t="str">
        <f t="shared" si="826"/>
        <v xml:space="preserve">N35DC   </v>
      </c>
      <c r="N9213">
        <v>1</v>
      </c>
      <c r="O9213">
        <v>1550</v>
      </c>
    </row>
    <row r="9214" spans="1:15" x14ac:dyDescent="0.25">
      <c r="A9214" t="str">
        <f>"10/21/2020 19:18:11.227"</f>
        <v>10/21/2020 19:18:11.227</v>
      </c>
      <c r="B9214" t="str">
        <f>"19:18:19.172"</f>
        <v>19:18:19.172</v>
      </c>
      <c r="C9214" t="str">
        <f>"19:18:18.872"</f>
        <v>19:18:18.872</v>
      </c>
      <c r="D9214" t="s">
        <v>3543</v>
      </c>
      <c r="E9214">
        <v>30.396788000000001</v>
      </c>
      <c r="F9214" t="s">
        <v>3544</v>
      </c>
      <c r="G9214">
        <v>-89.781217999999996</v>
      </c>
      <c r="H9214">
        <v>1500</v>
      </c>
      <c r="I9214">
        <v>-129</v>
      </c>
      <c r="J9214">
        <v>-99</v>
      </c>
      <c r="K9214">
        <v>-384</v>
      </c>
      <c r="L9214">
        <v>1200</v>
      </c>
      <c r="M9214" t="str">
        <f t="shared" si="826"/>
        <v xml:space="preserve">N35DC   </v>
      </c>
      <c r="N9214">
        <v>1</v>
      </c>
      <c r="O9214">
        <v>1525</v>
      </c>
    </row>
    <row r="9215" spans="1:15" x14ac:dyDescent="0.25">
      <c r="A9215" t="str">
        <f>"10/21/2020 19:18:11.227"</f>
        <v>10/21/2020 19:18:11.227</v>
      </c>
      <c r="B9215" t="str">
        <f>"19:18:19.172"</f>
        <v>19:18:19.172</v>
      </c>
      <c r="C9215" t="str">
        <f>"19:18:18.872"</f>
        <v>19:18:18.872</v>
      </c>
      <c r="D9215" t="s">
        <v>3543</v>
      </c>
      <c r="E9215">
        <v>30.396788000000001</v>
      </c>
      <c r="F9215" t="s">
        <v>3544</v>
      </c>
      <c r="G9215">
        <v>-89.781217999999996</v>
      </c>
      <c r="H9215">
        <v>1500</v>
      </c>
      <c r="I9215">
        <v>-129</v>
      </c>
      <c r="J9215">
        <v>-99</v>
      </c>
      <c r="K9215">
        <v>-384</v>
      </c>
      <c r="L9215">
        <v>1200</v>
      </c>
      <c r="M9215" t="str">
        <f t="shared" si="826"/>
        <v xml:space="preserve">N35DC   </v>
      </c>
      <c r="N9215">
        <v>1</v>
      </c>
      <c r="O9215">
        <v>1525</v>
      </c>
    </row>
    <row r="9216" spans="1:15" x14ac:dyDescent="0.25">
      <c r="A9216" t="str">
        <f>"10/21/2020 19:18:11.227"</f>
        <v>10/21/2020 19:18:11.227</v>
      </c>
      <c r="B9216" t="str">
        <f>"19:18:19.172"</f>
        <v>19:18:19.172</v>
      </c>
      <c r="C9216" t="str">
        <f>"19:18:18.872"</f>
        <v>19:18:18.872</v>
      </c>
      <c r="D9216" t="s">
        <v>3543</v>
      </c>
      <c r="E9216">
        <v>30.396788000000001</v>
      </c>
      <c r="F9216" t="s">
        <v>3544</v>
      </c>
      <c r="G9216">
        <v>-89.781217999999996</v>
      </c>
      <c r="H9216">
        <v>1500</v>
      </c>
      <c r="I9216">
        <v>-129</v>
      </c>
      <c r="J9216">
        <v>-99</v>
      </c>
      <c r="K9216">
        <v>-384</v>
      </c>
      <c r="L9216">
        <v>1200</v>
      </c>
      <c r="M9216" t="str">
        <f t="shared" si="826"/>
        <v xml:space="preserve">N35DC   </v>
      </c>
      <c r="N9216">
        <v>1</v>
      </c>
      <c r="O9216">
        <v>1525</v>
      </c>
    </row>
    <row r="9217" spans="1:15" x14ac:dyDescent="0.25">
      <c r="A9217" t="str">
        <f>"10/21/2020 19:18:11.227"</f>
        <v>10/21/2020 19:18:11.227</v>
      </c>
      <c r="B9217" t="str">
        <f>"19:18:19.172"</f>
        <v>19:18:19.172</v>
      </c>
      <c r="C9217" t="str">
        <f>"19:18:18.872"</f>
        <v>19:18:18.872</v>
      </c>
      <c r="D9217" t="s">
        <v>3543</v>
      </c>
      <c r="E9217">
        <v>30.396788000000001</v>
      </c>
      <c r="F9217" t="s">
        <v>3544</v>
      </c>
      <c r="G9217">
        <v>-89.781217999999996</v>
      </c>
      <c r="H9217">
        <v>1500</v>
      </c>
      <c r="I9217">
        <v>-129</v>
      </c>
      <c r="J9217">
        <v>-99</v>
      </c>
      <c r="K9217">
        <v>-384</v>
      </c>
      <c r="L9217">
        <v>1200</v>
      </c>
      <c r="M9217" t="str">
        <f t="shared" si="826"/>
        <v xml:space="preserve">N35DC   </v>
      </c>
      <c r="N9217">
        <v>1</v>
      </c>
      <c r="O9217">
        <v>1525</v>
      </c>
    </row>
    <row r="9218" spans="1:15" x14ac:dyDescent="0.25">
      <c r="A9218" t="str">
        <f>"10/21/2020 19:18:11.227"</f>
        <v>10/21/2020 19:18:11.227</v>
      </c>
      <c r="B9218" t="str">
        <f>"19:18:19.172"</f>
        <v>19:18:19.172</v>
      </c>
      <c r="C9218" t="str">
        <f>"19:18:18.872"</f>
        <v>19:18:18.872</v>
      </c>
      <c r="D9218" t="s">
        <v>3543</v>
      </c>
      <c r="E9218">
        <v>30.396788000000001</v>
      </c>
      <c r="F9218" t="s">
        <v>3544</v>
      </c>
      <c r="G9218">
        <v>-89.781217999999996</v>
      </c>
      <c r="H9218">
        <v>1500</v>
      </c>
      <c r="I9218">
        <v>-129</v>
      </c>
      <c r="J9218">
        <v>-99</v>
      </c>
      <c r="K9218">
        <v>-384</v>
      </c>
      <c r="L9218">
        <v>1200</v>
      </c>
      <c r="M9218" t="str">
        <f t="shared" si="826"/>
        <v xml:space="preserve">N35DC   </v>
      </c>
      <c r="N9218">
        <v>1</v>
      </c>
      <c r="O9218">
        <v>1525</v>
      </c>
    </row>
    <row r="9219" spans="1:15" x14ac:dyDescent="0.25">
      <c r="A9219" t="str">
        <f>"10/21/2020 19:18:14.212"</f>
        <v>10/21/2020 19:18:14.212</v>
      </c>
      <c r="B9219" t="str">
        <f>"19:18:22.156"</f>
        <v>19:18:22.156</v>
      </c>
      <c r="C9219" t="str">
        <f>"19:18:21.756"</f>
        <v>19:18:21.756</v>
      </c>
      <c r="D9219" t="s">
        <v>3545</v>
      </c>
      <c r="E9219">
        <v>30.395415</v>
      </c>
      <c r="F9219" t="s">
        <v>3546</v>
      </c>
      <c r="G9219">
        <v>-89.783235000000005</v>
      </c>
      <c r="H9219">
        <v>1500</v>
      </c>
      <c r="I9219">
        <v>-129</v>
      </c>
      <c r="J9219">
        <v>-99</v>
      </c>
      <c r="K9219">
        <v>-256</v>
      </c>
      <c r="L9219">
        <v>1200</v>
      </c>
      <c r="M9219" t="str">
        <f t="shared" si="826"/>
        <v xml:space="preserve">N35DC   </v>
      </c>
      <c r="N9219">
        <v>1</v>
      </c>
      <c r="O9219">
        <v>1525</v>
      </c>
    </row>
    <row r="9220" spans="1:15" x14ac:dyDescent="0.25">
      <c r="A9220" t="str">
        <f>"10/21/2020 19:18:14.212"</f>
        <v>10/21/2020 19:18:14.212</v>
      </c>
      <c r="B9220" t="str">
        <f>"19:18:22.156"</f>
        <v>19:18:22.156</v>
      </c>
      <c r="C9220" t="str">
        <f>"19:18:21.756"</f>
        <v>19:18:21.756</v>
      </c>
      <c r="D9220" t="s">
        <v>3545</v>
      </c>
      <c r="E9220">
        <v>30.395415</v>
      </c>
      <c r="F9220" t="s">
        <v>3546</v>
      </c>
      <c r="G9220">
        <v>-89.783235000000005</v>
      </c>
      <c r="H9220">
        <v>1500</v>
      </c>
      <c r="I9220">
        <v>-129</v>
      </c>
      <c r="J9220">
        <v>-99</v>
      </c>
      <c r="K9220">
        <v>-256</v>
      </c>
      <c r="L9220">
        <v>1200</v>
      </c>
      <c r="M9220" t="str">
        <f t="shared" si="826"/>
        <v xml:space="preserve">N35DC   </v>
      </c>
      <c r="N9220">
        <v>1</v>
      </c>
      <c r="O9220">
        <v>1525</v>
      </c>
    </row>
    <row r="9221" spans="1:15" x14ac:dyDescent="0.25">
      <c r="A9221" t="str">
        <f>"10/21/2020 19:18:14.212"</f>
        <v>10/21/2020 19:18:14.212</v>
      </c>
      <c r="B9221" t="str">
        <f>"19:18:22.156"</f>
        <v>19:18:22.156</v>
      </c>
      <c r="C9221" t="str">
        <f>"19:18:21.756"</f>
        <v>19:18:21.756</v>
      </c>
      <c r="D9221" t="s">
        <v>3545</v>
      </c>
      <c r="E9221">
        <v>30.395415</v>
      </c>
      <c r="F9221" t="s">
        <v>3546</v>
      </c>
      <c r="G9221">
        <v>-89.783235000000005</v>
      </c>
      <c r="H9221">
        <v>1500</v>
      </c>
      <c r="I9221">
        <v>-129</v>
      </c>
      <c r="J9221">
        <v>-99</v>
      </c>
      <c r="K9221">
        <v>-256</v>
      </c>
      <c r="L9221">
        <v>1200</v>
      </c>
      <c r="M9221" t="str">
        <f t="shared" si="826"/>
        <v xml:space="preserve">N35DC   </v>
      </c>
      <c r="N9221">
        <v>1</v>
      </c>
      <c r="O9221">
        <v>1525</v>
      </c>
    </row>
    <row r="9222" spans="1:15" x14ac:dyDescent="0.25">
      <c r="A9222" t="str">
        <f>"10/21/2020 19:18:14.212"</f>
        <v>10/21/2020 19:18:14.212</v>
      </c>
      <c r="B9222" t="str">
        <f>"19:18:22.156"</f>
        <v>19:18:22.156</v>
      </c>
      <c r="C9222" t="str">
        <f>"19:18:21.756"</f>
        <v>19:18:21.756</v>
      </c>
      <c r="D9222" t="s">
        <v>3545</v>
      </c>
      <c r="E9222">
        <v>30.395415</v>
      </c>
      <c r="F9222" t="s">
        <v>3546</v>
      </c>
      <c r="G9222">
        <v>-89.783235000000005</v>
      </c>
      <c r="H9222">
        <v>1500</v>
      </c>
      <c r="I9222">
        <v>-129</v>
      </c>
      <c r="J9222">
        <v>-99</v>
      </c>
      <c r="K9222">
        <v>-256</v>
      </c>
      <c r="L9222">
        <v>1200</v>
      </c>
      <c r="M9222" t="str">
        <f t="shared" si="826"/>
        <v xml:space="preserve">N35DC   </v>
      </c>
      <c r="N9222">
        <v>1</v>
      </c>
      <c r="O9222">
        <v>1525</v>
      </c>
    </row>
    <row r="9223" spans="1:15" x14ac:dyDescent="0.25">
      <c r="A9223" t="str">
        <f>"10/21/2020 19:18:14.212"</f>
        <v>10/21/2020 19:18:14.212</v>
      </c>
      <c r="B9223" t="str">
        <f>"19:18:22.156"</f>
        <v>19:18:22.156</v>
      </c>
      <c r="C9223" t="str">
        <f>"19:18:21.756"</f>
        <v>19:18:21.756</v>
      </c>
      <c r="D9223" t="s">
        <v>3545</v>
      </c>
      <c r="E9223">
        <v>30.395415</v>
      </c>
      <c r="F9223" t="s">
        <v>3546</v>
      </c>
      <c r="G9223">
        <v>-89.783235000000005</v>
      </c>
      <c r="H9223">
        <v>1500</v>
      </c>
      <c r="I9223">
        <v>-129</v>
      </c>
      <c r="J9223">
        <v>-99</v>
      </c>
      <c r="K9223">
        <v>-256</v>
      </c>
      <c r="L9223">
        <v>1200</v>
      </c>
      <c r="M9223" t="str">
        <f t="shared" ref="M9223:M9286" si="829">"N35DC   "</f>
        <v xml:space="preserve">N35DC   </v>
      </c>
      <c r="N9223">
        <v>1</v>
      </c>
      <c r="O9223">
        <v>1525</v>
      </c>
    </row>
    <row r="9224" spans="1:15" x14ac:dyDescent="0.25">
      <c r="A9224" t="str">
        <f>"10/21/2020 19:18:15.337"</f>
        <v>10/21/2020 19:18:15.337</v>
      </c>
      <c r="B9224" t="str">
        <f>"19:18:23.297"</f>
        <v>19:18:23.297</v>
      </c>
      <c r="C9224" t="str">
        <f>"19:18:23.197"</f>
        <v>19:18:23.197</v>
      </c>
      <c r="D9224" t="s">
        <v>3547</v>
      </c>
      <c r="E9224">
        <v>30.394921</v>
      </c>
      <c r="F9224" t="s">
        <v>3548</v>
      </c>
      <c r="G9224">
        <v>-89.783985999999999</v>
      </c>
      <c r="H9224">
        <v>1500</v>
      </c>
      <c r="I9224">
        <v>-128</v>
      </c>
      <c r="J9224">
        <v>-98</v>
      </c>
      <c r="K9224">
        <v>0</v>
      </c>
      <c r="L9224">
        <v>1200</v>
      </c>
      <c r="M9224" t="str">
        <f t="shared" si="829"/>
        <v xml:space="preserve">N35DC   </v>
      </c>
      <c r="N9224">
        <v>1</v>
      </c>
      <c r="O9224">
        <v>1525</v>
      </c>
    </row>
    <row r="9225" spans="1:15" x14ac:dyDescent="0.25">
      <c r="A9225" t="str">
        <f>"10/21/2020 19:18:15.337"</f>
        <v>10/21/2020 19:18:15.337</v>
      </c>
      <c r="B9225" t="str">
        <f>"19:18:23.297"</f>
        <v>19:18:23.297</v>
      </c>
      <c r="C9225" t="str">
        <f>"19:18:23.197"</f>
        <v>19:18:23.197</v>
      </c>
      <c r="D9225" t="s">
        <v>3547</v>
      </c>
      <c r="E9225">
        <v>30.394921</v>
      </c>
      <c r="F9225" t="s">
        <v>3548</v>
      </c>
      <c r="G9225">
        <v>-89.783985999999999</v>
      </c>
      <c r="H9225">
        <v>1500</v>
      </c>
      <c r="I9225">
        <v>-128</v>
      </c>
      <c r="J9225">
        <v>-98</v>
      </c>
      <c r="K9225">
        <v>0</v>
      </c>
      <c r="L9225">
        <v>1200</v>
      </c>
      <c r="M9225" t="str">
        <f t="shared" si="829"/>
        <v xml:space="preserve">N35DC   </v>
      </c>
      <c r="N9225">
        <v>1</v>
      </c>
      <c r="O9225">
        <v>1525</v>
      </c>
    </row>
    <row r="9226" spans="1:15" x14ac:dyDescent="0.25">
      <c r="A9226" t="str">
        <f>"10/21/2020 19:18:15.337"</f>
        <v>10/21/2020 19:18:15.337</v>
      </c>
      <c r="B9226" t="str">
        <f>"19:18:23.297"</f>
        <v>19:18:23.297</v>
      </c>
      <c r="C9226" t="str">
        <f>"19:18:23.197"</f>
        <v>19:18:23.197</v>
      </c>
      <c r="D9226" t="s">
        <v>3547</v>
      </c>
      <c r="E9226">
        <v>30.394921</v>
      </c>
      <c r="F9226" t="s">
        <v>3548</v>
      </c>
      <c r="G9226">
        <v>-89.783985999999999</v>
      </c>
      <c r="H9226">
        <v>1500</v>
      </c>
      <c r="I9226">
        <v>-128</v>
      </c>
      <c r="J9226">
        <v>-98</v>
      </c>
      <c r="K9226">
        <v>0</v>
      </c>
      <c r="L9226">
        <v>1200</v>
      </c>
      <c r="M9226" t="str">
        <f t="shared" si="829"/>
        <v xml:space="preserve">N35DC   </v>
      </c>
      <c r="N9226">
        <v>1</v>
      </c>
      <c r="O9226">
        <v>1525</v>
      </c>
    </row>
    <row r="9227" spans="1:15" x14ac:dyDescent="0.25">
      <c r="A9227" t="str">
        <f>"10/21/2020 19:18:15.337"</f>
        <v>10/21/2020 19:18:15.337</v>
      </c>
      <c r="B9227" t="str">
        <f>"19:18:23.297"</f>
        <v>19:18:23.297</v>
      </c>
      <c r="C9227" t="str">
        <f>"19:18:23.197"</f>
        <v>19:18:23.197</v>
      </c>
      <c r="D9227" t="s">
        <v>3547</v>
      </c>
      <c r="E9227">
        <v>30.394921</v>
      </c>
      <c r="F9227" t="s">
        <v>3548</v>
      </c>
      <c r="G9227">
        <v>-89.783985999999999</v>
      </c>
      <c r="H9227">
        <v>1500</v>
      </c>
      <c r="I9227">
        <v>-128</v>
      </c>
      <c r="J9227">
        <v>-98</v>
      </c>
      <c r="K9227">
        <v>0</v>
      </c>
      <c r="L9227">
        <v>1200</v>
      </c>
      <c r="M9227" t="str">
        <f t="shared" si="829"/>
        <v xml:space="preserve">N35DC   </v>
      </c>
      <c r="N9227">
        <v>1</v>
      </c>
      <c r="O9227">
        <v>1525</v>
      </c>
    </row>
    <row r="9228" spans="1:15" x14ac:dyDescent="0.25">
      <c r="A9228" t="str">
        <f>"10/21/2020 19:18:15.337"</f>
        <v>10/21/2020 19:18:15.337</v>
      </c>
      <c r="B9228" t="str">
        <f>"19:18:23.297"</f>
        <v>19:18:23.297</v>
      </c>
      <c r="C9228" t="str">
        <f>"19:18:23.197"</f>
        <v>19:18:23.197</v>
      </c>
      <c r="D9228" t="s">
        <v>3547</v>
      </c>
      <c r="E9228">
        <v>30.394921</v>
      </c>
      <c r="F9228" t="s">
        <v>3548</v>
      </c>
      <c r="G9228">
        <v>-89.783985999999999</v>
      </c>
      <c r="H9228">
        <v>1500</v>
      </c>
      <c r="I9228">
        <v>-128</v>
      </c>
      <c r="J9228">
        <v>-98</v>
      </c>
      <c r="K9228">
        <v>0</v>
      </c>
      <c r="L9228">
        <v>1200</v>
      </c>
      <c r="M9228" t="str">
        <f t="shared" si="829"/>
        <v xml:space="preserve">N35DC   </v>
      </c>
      <c r="N9228">
        <v>1</v>
      </c>
      <c r="O9228">
        <v>1525</v>
      </c>
    </row>
    <row r="9229" spans="1:15" x14ac:dyDescent="0.25">
      <c r="A9229" t="str">
        <f>"10/21/2020 19:18:16.184"</f>
        <v>10/21/2020 19:18:16.184</v>
      </c>
      <c r="B9229" t="str">
        <f>"19:18:24.125"</f>
        <v>19:18:24.125</v>
      </c>
      <c r="C9229" t="str">
        <f>"19:18:23.725"</f>
        <v>19:18:23.725</v>
      </c>
      <c r="D9229" t="s">
        <v>3549</v>
      </c>
      <c r="E9229">
        <v>30.394556999999999</v>
      </c>
      <c r="F9229" t="s">
        <v>3550</v>
      </c>
      <c r="G9229">
        <v>-89.784586000000004</v>
      </c>
      <c r="H9229">
        <v>1500</v>
      </c>
      <c r="I9229">
        <v>-128</v>
      </c>
      <c r="J9229">
        <v>-98</v>
      </c>
      <c r="K9229">
        <v>64</v>
      </c>
      <c r="L9229">
        <v>1200</v>
      </c>
      <c r="M9229" t="str">
        <f t="shared" si="829"/>
        <v xml:space="preserve">N35DC   </v>
      </c>
      <c r="N9229">
        <v>1</v>
      </c>
      <c r="O9229">
        <v>1525</v>
      </c>
    </row>
    <row r="9230" spans="1:15" x14ac:dyDescent="0.25">
      <c r="A9230" t="str">
        <f>"10/21/2020 19:18:16.184"</f>
        <v>10/21/2020 19:18:16.184</v>
      </c>
      <c r="B9230" t="str">
        <f>"19:18:24.125"</f>
        <v>19:18:24.125</v>
      </c>
      <c r="C9230" t="str">
        <f>"19:18:23.725"</f>
        <v>19:18:23.725</v>
      </c>
      <c r="D9230" t="s">
        <v>3549</v>
      </c>
      <c r="E9230">
        <v>30.394556999999999</v>
      </c>
      <c r="F9230" t="s">
        <v>3550</v>
      </c>
      <c r="G9230">
        <v>-89.784586000000004</v>
      </c>
      <c r="H9230">
        <v>1500</v>
      </c>
      <c r="I9230">
        <v>-128</v>
      </c>
      <c r="J9230">
        <v>-98</v>
      </c>
      <c r="K9230">
        <v>64</v>
      </c>
      <c r="L9230">
        <v>1200</v>
      </c>
      <c r="M9230" t="str">
        <f t="shared" si="829"/>
        <v xml:space="preserve">N35DC   </v>
      </c>
      <c r="N9230">
        <v>1</v>
      </c>
      <c r="O9230">
        <v>1525</v>
      </c>
    </row>
    <row r="9231" spans="1:15" x14ac:dyDescent="0.25">
      <c r="A9231" t="str">
        <f>"10/21/2020 19:18:16.184"</f>
        <v>10/21/2020 19:18:16.184</v>
      </c>
      <c r="B9231" t="str">
        <f>"19:18:24.125"</f>
        <v>19:18:24.125</v>
      </c>
      <c r="C9231" t="str">
        <f>"19:18:23.725"</f>
        <v>19:18:23.725</v>
      </c>
      <c r="D9231" t="s">
        <v>3549</v>
      </c>
      <c r="E9231">
        <v>30.394556999999999</v>
      </c>
      <c r="F9231" t="s">
        <v>3550</v>
      </c>
      <c r="G9231">
        <v>-89.784586000000004</v>
      </c>
      <c r="H9231">
        <v>1500</v>
      </c>
      <c r="I9231">
        <v>-128</v>
      </c>
      <c r="J9231">
        <v>-98</v>
      </c>
      <c r="K9231">
        <v>64</v>
      </c>
      <c r="L9231">
        <v>1200</v>
      </c>
      <c r="M9231" t="str">
        <f t="shared" si="829"/>
        <v xml:space="preserve">N35DC   </v>
      </c>
      <c r="N9231">
        <v>1</v>
      </c>
      <c r="O9231">
        <v>1525</v>
      </c>
    </row>
    <row r="9232" spans="1:15" x14ac:dyDescent="0.25">
      <c r="A9232" t="str">
        <f>"10/21/2020 19:18:16.184"</f>
        <v>10/21/2020 19:18:16.184</v>
      </c>
      <c r="B9232" t="str">
        <f>"19:18:24.125"</f>
        <v>19:18:24.125</v>
      </c>
      <c r="C9232" t="str">
        <f>"19:18:23.725"</f>
        <v>19:18:23.725</v>
      </c>
      <c r="D9232" t="s">
        <v>3549</v>
      </c>
      <c r="E9232">
        <v>30.394556999999999</v>
      </c>
      <c r="F9232" t="s">
        <v>3550</v>
      </c>
      <c r="G9232">
        <v>-89.784586000000004</v>
      </c>
      <c r="H9232">
        <v>1500</v>
      </c>
      <c r="I9232">
        <v>-128</v>
      </c>
      <c r="J9232">
        <v>-98</v>
      </c>
      <c r="K9232">
        <v>64</v>
      </c>
      <c r="L9232">
        <v>1200</v>
      </c>
      <c r="M9232" t="str">
        <f t="shared" si="829"/>
        <v xml:space="preserve">N35DC   </v>
      </c>
      <c r="N9232">
        <v>1</v>
      </c>
      <c r="O9232">
        <v>1525</v>
      </c>
    </row>
    <row r="9233" spans="1:15" x14ac:dyDescent="0.25">
      <c r="A9233" t="str">
        <f>"10/21/2020 19:18:16.184"</f>
        <v>10/21/2020 19:18:16.184</v>
      </c>
      <c r="B9233" t="str">
        <f>"19:18:24.125"</f>
        <v>19:18:24.125</v>
      </c>
      <c r="C9233" t="str">
        <f>"19:18:23.725"</f>
        <v>19:18:23.725</v>
      </c>
      <c r="D9233" t="s">
        <v>3549</v>
      </c>
      <c r="E9233">
        <v>30.394556999999999</v>
      </c>
      <c r="F9233" t="s">
        <v>3550</v>
      </c>
      <c r="G9233">
        <v>-89.784586000000004</v>
      </c>
      <c r="H9233">
        <v>1500</v>
      </c>
      <c r="I9233">
        <v>-128</v>
      </c>
      <c r="J9233">
        <v>-98</v>
      </c>
      <c r="K9233">
        <v>64</v>
      </c>
      <c r="L9233">
        <v>1200</v>
      </c>
      <c r="M9233" t="str">
        <f t="shared" si="829"/>
        <v xml:space="preserve">N35DC   </v>
      </c>
      <c r="N9233">
        <v>1</v>
      </c>
      <c r="O9233">
        <v>1525</v>
      </c>
    </row>
    <row r="9234" spans="1:15" x14ac:dyDescent="0.25">
      <c r="A9234" t="str">
        <f>"10/21/2020 19:18:19.232"</f>
        <v>10/21/2020 19:18:19.232</v>
      </c>
      <c r="B9234" t="str">
        <f>"19:18:27.172"</f>
        <v>19:18:27.172</v>
      </c>
      <c r="C9234" t="str">
        <f>"19:18:26.872"</f>
        <v>19:18:26.872</v>
      </c>
      <c r="D9234" t="s">
        <v>3551</v>
      </c>
      <c r="E9234">
        <v>30.393183000000001</v>
      </c>
      <c r="F9234" t="s">
        <v>3552</v>
      </c>
      <c r="G9234">
        <v>-89.786688999999996</v>
      </c>
      <c r="H9234">
        <v>1500</v>
      </c>
      <c r="I9234">
        <v>-129</v>
      </c>
      <c r="J9234">
        <v>-96</v>
      </c>
      <c r="K9234">
        <v>-128</v>
      </c>
      <c r="L9234">
        <v>1200</v>
      </c>
      <c r="M9234" t="str">
        <f t="shared" si="829"/>
        <v xml:space="preserve">N35DC   </v>
      </c>
      <c r="N9234">
        <v>1</v>
      </c>
      <c r="O9234">
        <v>1500</v>
      </c>
    </row>
    <row r="9235" spans="1:15" x14ac:dyDescent="0.25">
      <c r="A9235" t="str">
        <f>"10/21/2020 19:18:19.232"</f>
        <v>10/21/2020 19:18:19.232</v>
      </c>
      <c r="B9235" t="str">
        <f>"19:18:27.172"</f>
        <v>19:18:27.172</v>
      </c>
      <c r="C9235" t="str">
        <f>"19:18:26.872"</f>
        <v>19:18:26.872</v>
      </c>
      <c r="D9235" t="s">
        <v>3551</v>
      </c>
      <c r="E9235">
        <v>30.393183000000001</v>
      </c>
      <c r="F9235" t="s">
        <v>3552</v>
      </c>
      <c r="G9235">
        <v>-89.786688999999996</v>
      </c>
      <c r="H9235">
        <v>1500</v>
      </c>
      <c r="I9235">
        <v>-129</v>
      </c>
      <c r="J9235">
        <v>-96</v>
      </c>
      <c r="K9235">
        <v>-128</v>
      </c>
      <c r="L9235">
        <v>1200</v>
      </c>
      <c r="M9235" t="str">
        <f t="shared" si="829"/>
        <v xml:space="preserve">N35DC   </v>
      </c>
      <c r="N9235">
        <v>1</v>
      </c>
      <c r="O9235">
        <v>1500</v>
      </c>
    </row>
    <row r="9236" spans="1:15" x14ac:dyDescent="0.25">
      <c r="A9236" t="str">
        <f>"10/21/2020 19:18:19.232"</f>
        <v>10/21/2020 19:18:19.232</v>
      </c>
      <c r="B9236" t="str">
        <f>"19:18:27.172"</f>
        <v>19:18:27.172</v>
      </c>
      <c r="C9236" t="str">
        <f>"19:18:26.872"</f>
        <v>19:18:26.872</v>
      </c>
      <c r="D9236" t="s">
        <v>3551</v>
      </c>
      <c r="E9236">
        <v>30.393183000000001</v>
      </c>
      <c r="F9236" t="s">
        <v>3552</v>
      </c>
      <c r="G9236">
        <v>-89.786688999999996</v>
      </c>
      <c r="H9236">
        <v>1500</v>
      </c>
      <c r="I9236">
        <v>-129</v>
      </c>
      <c r="J9236">
        <v>-96</v>
      </c>
      <c r="K9236">
        <v>-128</v>
      </c>
      <c r="L9236">
        <v>1200</v>
      </c>
      <c r="M9236" t="str">
        <f t="shared" si="829"/>
        <v xml:space="preserve">N35DC   </v>
      </c>
      <c r="N9236">
        <v>1</v>
      </c>
      <c r="O9236">
        <v>1500</v>
      </c>
    </row>
    <row r="9237" spans="1:15" x14ac:dyDescent="0.25">
      <c r="A9237" t="str">
        <f>"10/21/2020 19:18:19.232"</f>
        <v>10/21/2020 19:18:19.232</v>
      </c>
      <c r="B9237" t="str">
        <f>"19:18:27.172"</f>
        <v>19:18:27.172</v>
      </c>
      <c r="C9237" t="str">
        <f>"19:18:26.872"</f>
        <v>19:18:26.872</v>
      </c>
      <c r="D9237" t="s">
        <v>3551</v>
      </c>
      <c r="E9237">
        <v>30.393183000000001</v>
      </c>
      <c r="F9237" t="s">
        <v>3552</v>
      </c>
      <c r="G9237">
        <v>-89.786688999999996</v>
      </c>
      <c r="H9237">
        <v>1500</v>
      </c>
      <c r="I9237">
        <v>-129</v>
      </c>
      <c r="J9237">
        <v>-96</v>
      </c>
      <c r="K9237">
        <v>-128</v>
      </c>
      <c r="L9237">
        <v>1200</v>
      </c>
      <c r="M9237" t="str">
        <f t="shared" si="829"/>
        <v xml:space="preserve">N35DC   </v>
      </c>
      <c r="N9237">
        <v>1</v>
      </c>
      <c r="O9237">
        <v>1500</v>
      </c>
    </row>
    <row r="9238" spans="1:15" x14ac:dyDescent="0.25">
      <c r="A9238" t="str">
        <f>"10/21/2020 19:18:19.232"</f>
        <v>10/21/2020 19:18:19.232</v>
      </c>
      <c r="B9238" t="str">
        <f>"19:18:27.172"</f>
        <v>19:18:27.172</v>
      </c>
      <c r="C9238" t="str">
        <f>"19:18:26.872"</f>
        <v>19:18:26.872</v>
      </c>
      <c r="D9238" t="s">
        <v>3551</v>
      </c>
      <c r="E9238">
        <v>30.393183000000001</v>
      </c>
      <c r="F9238" t="s">
        <v>3552</v>
      </c>
      <c r="G9238">
        <v>-89.786688999999996</v>
      </c>
      <c r="H9238">
        <v>1500</v>
      </c>
      <c r="I9238">
        <v>-129</v>
      </c>
      <c r="J9238">
        <v>-96</v>
      </c>
      <c r="K9238">
        <v>-128</v>
      </c>
      <c r="L9238">
        <v>1200</v>
      </c>
      <c r="M9238" t="str">
        <f t="shared" si="829"/>
        <v xml:space="preserve">N35DC   </v>
      </c>
      <c r="N9238">
        <v>1</v>
      </c>
      <c r="O9238">
        <v>1500</v>
      </c>
    </row>
    <row r="9239" spans="1:15" x14ac:dyDescent="0.25">
      <c r="A9239" t="str">
        <f>"10/21/2020 19:18:20.220"</f>
        <v>10/21/2020 19:18:20.220</v>
      </c>
      <c r="B9239" t="str">
        <f>"19:18:28.172"</f>
        <v>19:18:28.172</v>
      </c>
      <c r="C9239" t="str">
        <f>"19:18:27.972"</f>
        <v>19:18:27.972</v>
      </c>
      <c r="D9239" t="s">
        <v>3553</v>
      </c>
      <c r="E9239">
        <v>30.392754</v>
      </c>
      <c r="F9239" t="s">
        <v>3554</v>
      </c>
      <c r="G9239">
        <v>-89.787353999999993</v>
      </c>
      <c r="H9239">
        <v>1500</v>
      </c>
      <c r="I9239">
        <v>-130</v>
      </c>
      <c r="J9239">
        <v>-95</v>
      </c>
      <c r="K9239">
        <v>-128</v>
      </c>
      <c r="L9239">
        <v>1200</v>
      </c>
      <c r="M9239" t="str">
        <f t="shared" si="829"/>
        <v xml:space="preserve">N35DC   </v>
      </c>
      <c r="N9239">
        <v>1</v>
      </c>
      <c r="O9239">
        <v>1500</v>
      </c>
    </row>
    <row r="9240" spans="1:15" x14ac:dyDescent="0.25">
      <c r="A9240" t="str">
        <f>"10/21/2020 19:18:20.220"</f>
        <v>10/21/2020 19:18:20.220</v>
      </c>
      <c r="B9240" t="str">
        <f>"19:18:28.172"</f>
        <v>19:18:28.172</v>
      </c>
      <c r="C9240" t="str">
        <f>"19:18:27.972"</f>
        <v>19:18:27.972</v>
      </c>
      <c r="D9240" t="s">
        <v>3553</v>
      </c>
      <c r="E9240">
        <v>30.392754</v>
      </c>
      <c r="F9240" t="s">
        <v>3554</v>
      </c>
      <c r="G9240">
        <v>-89.787353999999993</v>
      </c>
      <c r="H9240">
        <v>1500</v>
      </c>
      <c r="I9240">
        <v>-130</v>
      </c>
      <c r="J9240">
        <v>-95</v>
      </c>
      <c r="K9240">
        <v>-128</v>
      </c>
      <c r="L9240">
        <v>1200</v>
      </c>
      <c r="M9240" t="str">
        <f t="shared" si="829"/>
        <v xml:space="preserve">N35DC   </v>
      </c>
      <c r="N9240">
        <v>1</v>
      </c>
      <c r="O9240">
        <v>1500</v>
      </c>
    </row>
    <row r="9241" spans="1:15" x14ac:dyDescent="0.25">
      <c r="A9241" t="str">
        <f>"10/21/2020 19:18:20.220"</f>
        <v>10/21/2020 19:18:20.220</v>
      </c>
      <c r="B9241" t="str">
        <f>"19:18:28.172"</f>
        <v>19:18:28.172</v>
      </c>
      <c r="C9241" t="str">
        <f>"19:18:27.972"</f>
        <v>19:18:27.972</v>
      </c>
      <c r="D9241" t="s">
        <v>3553</v>
      </c>
      <c r="E9241">
        <v>30.392754</v>
      </c>
      <c r="F9241" t="s">
        <v>3554</v>
      </c>
      <c r="G9241">
        <v>-89.787353999999993</v>
      </c>
      <c r="H9241">
        <v>1500</v>
      </c>
      <c r="I9241">
        <v>-130</v>
      </c>
      <c r="J9241">
        <v>-95</v>
      </c>
      <c r="K9241">
        <v>-128</v>
      </c>
      <c r="L9241">
        <v>1200</v>
      </c>
      <c r="M9241" t="str">
        <f t="shared" si="829"/>
        <v xml:space="preserve">N35DC   </v>
      </c>
      <c r="N9241">
        <v>1</v>
      </c>
      <c r="O9241">
        <v>1500</v>
      </c>
    </row>
    <row r="9242" spans="1:15" x14ac:dyDescent="0.25">
      <c r="A9242" t="str">
        <f>"10/21/2020 19:18:20.220"</f>
        <v>10/21/2020 19:18:20.220</v>
      </c>
      <c r="B9242" t="str">
        <f>"19:18:28.172"</f>
        <v>19:18:28.172</v>
      </c>
      <c r="C9242" t="str">
        <f>"19:18:27.972"</f>
        <v>19:18:27.972</v>
      </c>
      <c r="D9242" t="s">
        <v>3553</v>
      </c>
      <c r="E9242">
        <v>30.392754</v>
      </c>
      <c r="F9242" t="s">
        <v>3554</v>
      </c>
      <c r="G9242">
        <v>-89.787353999999993</v>
      </c>
      <c r="H9242">
        <v>1500</v>
      </c>
      <c r="I9242">
        <v>-130</v>
      </c>
      <c r="J9242">
        <v>-95</v>
      </c>
      <c r="K9242">
        <v>-128</v>
      </c>
      <c r="L9242">
        <v>1200</v>
      </c>
      <c r="M9242" t="str">
        <f t="shared" si="829"/>
        <v xml:space="preserve">N35DC   </v>
      </c>
      <c r="N9242">
        <v>1</v>
      </c>
      <c r="O9242">
        <v>1500</v>
      </c>
    </row>
    <row r="9243" spans="1:15" x14ac:dyDescent="0.25">
      <c r="A9243" t="str">
        <f>"10/21/2020 19:18:20.220"</f>
        <v>10/21/2020 19:18:20.220</v>
      </c>
      <c r="B9243" t="str">
        <f>"19:18:28.172"</f>
        <v>19:18:28.172</v>
      </c>
      <c r="C9243" t="str">
        <f>"19:18:27.972"</f>
        <v>19:18:27.972</v>
      </c>
      <c r="D9243" t="s">
        <v>3553</v>
      </c>
      <c r="E9243">
        <v>30.392754</v>
      </c>
      <c r="F9243" t="s">
        <v>3554</v>
      </c>
      <c r="G9243">
        <v>-89.787353999999993</v>
      </c>
      <c r="H9243">
        <v>1500</v>
      </c>
      <c r="I9243">
        <v>-130</v>
      </c>
      <c r="J9243">
        <v>-95</v>
      </c>
      <c r="K9243">
        <v>-128</v>
      </c>
      <c r="L9243">
        <v>1200</v>
      </c>
      <c r="M9243" t="str">
        <f t="shared" si="829"/>
        <v xml:space="preserve">N35DC   </v>
      </c>
      <c r="N9243">
        <v>1</v>
      </c>
      <c r="O9243">
        <v>1500</v>
      </c>
    </row>
    <row r="9244" spans="1:15" x14ac:dyDescent="0.25">
      <c r="A9244" t="str">
        <f>"10/21/2020 19:18:21.288"</f>
        <v>10/21/2020 19:18:21.288</v>
      </c>
      <c r="B9244" t="str">
        <f>"19:18:29.242"</f>
        <v>19:18:29.242</v>
      </c>
      <c r="C9244" t="str">
        <f>"19:18:28.842"</f>
        <v>19:18:28.842</v>
      </c>
      <c r="D9244" t="s">
        <v>3555</v>
      </c>
      <c r="E9244">
        <v>30.392261000000001</v>
      </c>
      <c r="F9244" t="s">
        <v>3556</v>
      </c>
      <c r="G9244">
        <v>-89.788127000000003</v>
      </c>
      <c r="H9244">
        <v>1500</v>
      </c>
      <c r="I9244">
        <v>-130</v>
      </c>
      <c r="J9244">
        <v>-94</v>
      </c>
      <c r="K9244">
        <v>-192</v>
      </c>
      <c r="L9244">
        <v>1200</v>
      </c>
      <c r="M9244" t="str">
        <f t="shared" si="829"/>
        <v xml:space="preserve">N35DC   </v>
      </c>
      <c r="N9244">
        <v>1</v>
      </c>
      <c r="O9244">
        <v>1500</v>
      </c>
    </row>
    <row r="9245" spans="1:15" x14ac:dyDescent="0.25">
      <c r="A9245" t="str">
        <f>"10/21/2020 19:18:21.288"</f>
        <v>10/21/2020 19:18:21.288</v>
      </c>
      <c r="B9245" t="str">
        <f>"19:18:29.242"</f>
        <v>19:18:29.242</v>
      </c>
      <c r="C9245" t="str">
        <f>"19:18:28.842"</f>
        <v>19:18:28.842</v>
      </c>
      <c r="D9245" t="s">
        <v>3555</v>
      </c>
      <c r="E9245">
        <v>30.392261000000001</v>
      </c>
      <c r="F9245" t="s">
        <v>3556</v>
      </c>
      <c r="G9245">
        <v>-89.788127000000003</v>
      </c>
      <c r="H9245">
        <v>1500</v>
      </c>
      <c r="I9245">
        <v>-130</v>
      </c>
      <c r="J9245">
        <v>-94</v>
      </c>
      <c r="K9245">
        <v>-192</v>
      </c>
      <c r="L9245">
        <v>1200</v>
      </c>
      <c r="M9245" t="str">
        <f t="shared" si="829"/>
        <v xml:space="preserve">N35DC   </v>
      </c>
      <c r="N9245">
        <v>1</v>
      </c>
      <c r="O9245">
        <v>1500</v>
      </c>
    </row>
    <row r="9246" spans="1:15" x14ac:dyDescent="0.25">
      <c r="A9246" t="str">
        <f>"10/21/2020 19:18:21.288"</f>
        <v>10/21/2020 19:18:21.288</v>
      </c>
      <c r="B9246" t="str">
        <f>"19:18:29.242"</f>
        <v>19:18:29.242</v>
      </c>
      <c r="C9246" t="str">
        <f>"19:18:28.842"</f>
        <v>19:18:28.842</v>
      </c>
      <c r="D9246" t="s">
        <v>3555</v>
      </c>
      <c r="E9246">
        <v>30.392261000000001</v>
      </c>
      <c r="F9246" t="s">
        <v>3556</v>
      </c>
      <c r="G9246">
        <v>-89.788127000000003</v>
      </c>
      <c r="H9246">
        <v>1500</v>
      </c>
      <c r="I9246">
        <v>-130</v>
      </c>
      <c r="J9246">
        <v>-94</v>
      </c>
      <c r="K9246">
        <v>-192</v>
      </c>
      <c r="L9246">
        <v>1200</v>
      </c>
      <c r="M9246" t="str">
        <f t="shared" si="829"/>
        <v xml:space="preserve">N35DC   </v>
      </c>
      <c r="N9246">
        <v>1</v>
      </c>
      <c r="O9246">
        <v>1500</v>
      </c>
    </row>
    <row r="9247" spans="1:15" x14ac:dyDescent="0.25">
      <c r="A9247" t="str">
        <f>"10/21/2020 19:18:21.288"</f>
        <v>10/21/2020 19:18:21.288</v>
      </c>
      <c r="B9247" t="str">
        <f>"19:18:29.242"</f>
        <v>19:18:29.242</v>
      </c>
      <c r="C9247" t="str">
        <f>"19:18:28.842"</f>
        <v>19:18:28.842</v>
      </c>
      <c r="D9247" t="s">
        <v>3555</v>
      </c>
      <c r="E9247">
        <v>30.392261000000001</v>
      </c>
      <c r="F9247" t="s">
        <v>3556</v>
      </c>
      <c r="G9247">
        <v>-89.788127000000003</v>
      </c>
      <c r="H9247">
        <v>1500</v>
      </c>
      <c r="I9247">
        <v>-130</v>
      </c>
      <c r="J9247">
        <v>-94</v>
      </c>
      <c r="K9247">
        <v>-192</v>
      </c>
      <c r="L9247">
        <v>1200</v>
      </c>
      <c r="M9247" t="str">
        <f t="shared" si="829"/>
        <v xml:space="preserve">N35DC   </v>
      </c>
      <c r="N9247">
        <v>1</v>
      </c>
      <c r="O9247">
        <v>1500</v>
      </c>
    </row>
    <row r="9248" spans="1:15" x14ac:dyDescent="0.25">
      <c r="A9248" t="str">
        <f>"10/21/2020 19:18:21.288"</f>
        <v>10/21/2020 19:18:21.288</v>
      </c>
      <c r="B9248" t="str">
        <f>"19:18:29.242"</f>
        <v>19:18:29.242</v>
      </c>
      <c r="C9248" t="str">
        <f>"19:18:28.842"</f>
        <v>19:18:28.842</v>
      </c>
      <c r="D9248" t="s">
        <v>3555</v>
      </c>
      <c r="E9248">
        <v>30.392261000000001</v>
      </c>
      <c r="F9248" t="s">
        <v>3556</v>
      </c>
      <c r="G9248">
        <v>-89.788127000000003</v>
      </c>
      <c r="H9248">
        <v>1500</v>
      </c>
      <c r="I9248">
        <v>-130</v>
      </c>
      <c r="J9248">
        <v>-94</v>
      </c>
      <c r="K9248">
        <v>-192</v>
      </c>
      <c r="L9248">
        <v>1200</v>
      </c>
      <c r="M9248" t="str">
        <f t="shared" si="829"/>
        <v xml:space="preserve">N35DC   </v>
      </c>
      <c r="N9248">
        <v>1</v>
      </c>
      <c r="O9248">
        <v>1500</v>
      </c>
    </row>
    <row r="9249" spans="1:15" x14ac:dyDescent="0.25">
      <c r="A9249" t="str">
        <f>"10/21/2020 19:18:24.273"</f>
        <v>10/21/2020 19:18:24.273</v>
      </c>
      <c r="B9249" t="str">
        <f>"19:18:32.242"</f>
        <v>19:18:32.242</v>
      </c>
      <c r="C9249" t="str">
        <f>"19:18:31.942"</f>
        <v>19:18:31.942</v>
      </c>
      <c r="D9249" t="s">
        <v>3557</v>
      </c>
      <c r="E9249">
        <v>30.390972999999999</v>
      </c>
      <c r="F9249" t="s">
        <v>3558</v>
      </c>
      <c r="G9249">
        <v>-89.790272999999999</v>
      </c>
      <c r="H9249">
        <v>1400</v>
      </c>
      <c r="I9249">
        <v>-133</v>
      </c>
      <c r="J9249">
        <v>-90</v>
      </c>
      <c r="K9249">
        <v>-512</v>
      </c>
      <c r="L9249">
        <v>1200</v>
      </c>
      <c r="M9249" t="str">
        <f t="shared" si="829"/>
        <v xml:space="preserve">N35DC   </v>
      </c>
      <c r="N9249">
        <v>1</v>
      </c>
      <c r="O9249">
        <v>1475</v>
      </c>
    </row>
    <row r="9250" spans="1:15" x14ac:dyDescent="0.25">
      <c r="A9250" t="str">
        <f>"10/21/2020 19:18:24.273"</f>
        <v>10/21/2020 19:18:24.273</v>
      </c>
      <c r="B9250" t="str">
        <f>"19:18:32.242"</f>
        <v>19:18:32.242</v>
      </c>
      <c r="C9250" t="str">
        <f>"19:18:31.942"</f>
        <v>19:18:31.942</v>
      </c>
      <c r="D9250" t="s">
        <v>3557</v>
      </c>
      <c r="E9250">
        <v>30.390972999999999</v>
      </c>
      <c r="F9250" t="s">
        <v>3558</v>
      </c>
      <c r="G9250">
        <v>-89.790272999999999</v>
      </c>
      <c r="H9250">
        <v>1400</v>
      </c>
      <c r="I9250">
        <v>-133</v>
      </c>
      <c r="J9250">
        <v>-90</v>
      </c>
      <c r="K9250">
        <v>-512</v>
      </c>
      <c r="L9250">
        <v>1200</v>
      </c>
      <c r="M9250" t="str">
        <f t="shared" si="829"/>
        <v xml:space="preserve">N35DC   </v>
      </c>
      <c r="N9250">
        <v>1</v>
      </c>
      <c r="O9250">
        <v>1475</v>
      </c>
    </row>
    <row r="9251" spans="1:15" x14ac:dyDescent="0.25">
      <c r="A9251" t="str">
        <f>"10/21/2020 19:18:24.273"</f>
        <v>10/21/2020 19:18:24.273</v>
      </c>
      <c r="B9251" t="str">
        <f>"19:18:32.242"</f>
        <v>19:18:32.242</v>
      </c>
      <c r="C9251" t="str">
        <f>"19:18:31.942"</f>
        <v>19:18:31.942</v>
      </c>
      <c r="D9251" t="s">
        <v>3557</v>
      </c>
      <c r="E9251">
        <v>30.390972999999999</v>
      </c>
      <c r="F9251" t="s">
        <v>3558</v>
      </c>
      <c r="G9251">
        <v>-89.790272999999999</v>
      </c>
      <c r="H9251">
        <v>1400</v>
      </c>
      <c r="I9251">
        <v>-133</v>
      </c>
      <c r="J9251">
        <v>-90</v>
      </c>
      <c r="K9251">
        <v>-512</v>
      </c>
      <c r="L9251">
        <v>1200</v>
      </c>
      <c r="M9251" t="str">
        <f t="shared" si="829"/>
        <v xml:space="preserve">N35DC   </v>
      </c>
      <c r="N9251">
        <v>1</v>
      </c>
      <c r="O9251">
        <v>1475</v>
      </c>
    </row>
    <row r="9252" spans="1:15" x14ac:dyDescent="0.25">
      <c r="A9252" t="str">
        <f>"10/21/2020 19:18:24.273"</f>
        <v>10/21/2020 19:18:24.273</v>
      </c>
      <c r="B9252" t="str">
        <f>"19:18:32.242"</f>
        <v>19:18:32.242</v>
      </c>
      <c r="C9252" t="str">
        <f>"19:18:31.942"</f>
        <v>19:18:31.942</v>
      </c>
      <c r="D9252" t="s">
        <v>3557</v>
      </c>
      <c r="E9252">
        <v>30.390972999999999</v>
      </c>
      <c r="F9252" t="s">
        <v>3558</v>
      </c>
      <c r="G9252">
        <v>-89.790272999999999</v>
      </c>
      <c r="H9252">
        <v>1400</v>
      </c>
      <c r="I9252">
        <v>-133</v>
      </c>
      <c r="J9252">
        <v>-90</v>
      </c>
      <c r="K9252">
        <v>-512</v>
      </c>
      <c r="L9252">
        <v>1200</v>
      </c>
      <c r="M9252" t="str">
        <f t="shared" si="829"/>
        <v xml:space="preserve">N35DC   </v>
      </c>
      <c r="N9252">
        <v>1</v>
      </c>
      <c r="O9252">
        <v>1475</v>
      </c>
    </row>
    <row r="9253" spans="1:15" x14ac:dyDescent="0.25">
      <c r="A9253" t="str">
        <f>"10/21/2020 19:18:24.273"</f>
        <v>10/21/2020 19:18:24.273</v>
      </c>
      <c r="B9253" t="str">
        <f>"19:18:32.242"</f>
        <v>19:18:32.242</v>
      </c>
      <c r="C9253" t="str">
        <f>"19:18:31.942"</f>
        <v>19:18:31.942</v>
      </c>
      <c r="D9253" t="s">
        <v>3557</v>
      </c>
      <c r="E9253">
        <v>30.390972999999999</v>
      </c>
      <c r="F9253" t="s">
        <v>3558</v>
      </c>
      <c r="G9253">
        <v>-89.790272999999999</v>
      </c>
      <c r="H9253">
        <v>1400</v>
      </c>
      <c r="I9253">
        <v>-133</v>
      </c>
      <c r="J9253">
        <v>-90</v>
      </c>
      <c r="K9253">
        <v>-512</v>
      </c>
      <c r="L9253">
        <v>1200</v>
      </c>
      <c r="M9253" t="str">
        <f t="shared" si="829"/>
        <v xml:space="preserve">N35DC   </v>
      </c>
      <c r="N9253">
        <v>1</v>
      </c>
      <c r="O9253">
        <v>1475</v>
      </c>
    </row>
    <row r="9254" spans="1:15" x14ac:dyDescent="0.25">
      <c r="A9254" t="str">
        <f>"10/21/2020 19:18:25.332"</f>
        <v>10/21/2020 19:18:25.332</v>
      </c>
      <c r="B9254" t="str">
        <f>"19:18:33.273"</f>
        <v>19:18:33.273</v>
      </c>
      <c r="C9254" t="str">
        <f>"19:18:32.773"</f>
        <v>19:18:32.773</v>
      </c>
      <c r="D9254" t="s">
        <v>3559</v>
      </c>
      <c r="E9254">
        <v>30.390564999999999</v>
      </c>
      <c r="F9254" t="s">
        <v>3560</v>
      </c>
      <c r="G9254">
        <v>-89.790981000000002</v>
      </c>
      <c r="H9254">
        <v>1400</v>
      </c>
      <c r="I9254">
        <v>-134</v>
      </c>
      <c r="J9254">
        <v>-89</v>
      </c>
      <c r="K9254">
        <v>-576</v>
      </c>
      <c r="L9254">
        <v>1200</v>
      </c>
      <c r="M9254" t="str">
        <f t="shared" si="829"/>
        <v xml:space="preserve">N35DC   </v>
      </c>
      <c r="N9254">
        <v>1</v>
      </c>
      <c r="O9254">
        <v>1475</v>
      </c>
    </row>
    <row r="9255" spans="1:15" x14ac:dyDescent="0.25">
      <c r="A9255" t="str">
        <f>"10/21/2020 19:18:25.332"</f>
        <v>10/21/2020 19:18:25.332</v>
      </c>
      <c r="B9255" t="str">
        <f>"19:18:33.273"</f>
        <v>19:18:33.273</v>
      </c>
      <c r="C9255" t="str">
        <f>"19:18:32.773"</f>
        <v>19:18:32.773</v>
      </c>
      <c r="D9255" t="s">
        <v>3559</v>
      </c>
      <c r="E9255">
        <v>30.390564999999999</v>
      </c>
      <c r="F9255" t="s">
        <v>3560</v>
      </c>
      <c r="G9255">
        <v>-89.790981000000002</v>
      </c>
      <c r="H9255">
        <v>1400</v>
      </c>
      <c r="I9255">
        <v>-134</v>
      </c>
      <c r="J9255">
        <v>-89</v>
      </c>
      <c r="K9255">
        <v>-576</v>
      </c>
      <c r="L9255">
        <v>1200</v>
      </c>
      <c r="M9255" t="str">
        <f t="shared" si="829"/>
        <v xml:space="preserve">N35DC   </v>
      </c>
      <c r="N9255">
        <v>1</v>
      </c>
      <c r="O9255">
        <v>1475</v>
      </c>
    </row>
    <row r="9256" spans="1:15" x14ac:dyDescent="0.25">
      <c r="A9256" t="str">
        <f>"10/21/2020 19:18:25.332"</f>
        <v>10/21/2020 19:18:25.332</v>
      </c>
      <c r="B9256" t="str">
        <f>"19:18:33.273"</f>
        <v>19:18:33.273</v>
      </c>
      <c r="C9256" t="str">
        <f>"19:18:32.773"</f>
        <v>19:18:32.773</v>
      </c>
      <c r="D9256" t="s">
        <v>3559</v>
      </c>
      <c r="E9256">
        <v>30.390564999999999</v>
      </c>
      <c r="F9256" t="s">
        <v>3560</v>
      </c>
      <c r="G9256">
        <v>-89.790981000000002</v>
      </c>
      <c r="H9256">
        <v>1400</v>
      </c>
      <c r="I9256">
        <v>-134</v>
      </c>
      <c r="J9256">
        <v>-89</v>
      </c>
      <c r="K9256">
        <v>-576</v>
      </c>
      <c r="L9256">
        <v>1200</v>
      </c>
      <c r="M9256" t="str">
        <f t="shared" si="829"/>
        <v xml:space="preserve">N35DC   </v>
      </c>
      <c r="N9256">
        <v>1</v>
      </c>
      <c r="O9256">
        <v>1475</v>
      </c>
    </row>
    <row r="9257" spans="1:15" x14ac:dyDescent="0.25">
      <c r="A9257" t="str">
        <f>"10/21/2020 19:18:25.332"</f>
        <v>10/21/2020 19:18:25.332</v>
      </c>
      <c r="B9257" t="str">
        <f>"19:18:33.273"</f>
        <v>19:18:33.273</v>
      </c>
      <c r="C9257" t="str">
        <f>"19:18:32.773"</f>
        <v>19:18:32.773</v>
      </c>
      <c r="D9257" t="s">
        <v>3559</v>
      </c>
      <c r="E9257">
        <v>30.390564999999999</v>
      </c>
      <c r="F9257" t="s">
        <v>3560</v>
      </c>
      <c r="G9257">
        <v>-89.790981000000002</v>
      </c>
      <c r="H9257">
        <v>1400</v>
      </c>
      <c r="I9257">
        <v>-134</v>
      </c>
      <c r="J9257">
        <v>-89</v>
      </c>
      <c r="K9257">
        <v>-576</v>
      </c>
      <c r="L9257">
        <v>1200</v>
      </c>
      <c r="M9257" t="str">
        <f t="shared" si="829"/>
        <v xml:space="preserve">N35DC   </v>
      </c>
      <c r="N9257">
        <v>1</v>
      </c>
      <c r="O9257">
        <v>1475</v>
      </c>
    </row>
    <row r="9258" spans="1:15" x14ac:dyDescent="0.25">
      <c r="A9258" t="str">
        <f>"10/21/2020 19:18:25.332"</f>
        <v>10/21/2020 19:18:25.332</v>
      </c>
      <c r="B9258" t="str">
        <f>"19:18:33.273"</f>
        <v>19:18:33.273</v>
      </c>
      <c r="C9258" t="str">
        <f>"19:18:32.773"</f>
        <v>19:18:32.773</v>
      </c>
      <c r="D9258" t="s">
        <v>3559</v>
      </c>
      <c r="E9258">
        <v>30.390564999999999</v>
      </c>
      <c r="F9258" t="s">
        <v>3560</v>
      </c>
      <c r="G9258">
        <v>-89.790981000000002</v>
      </c>
      <c r="H9258">
        <v>1400</v>
      </c>
      <c r="I9258">
        <v>-134</v>
      </c>
      <c r="J9258">
        <v>-89</v>
      </c>
      <c r="K9258">
        <v>-576</v>
      </c>
      <c r="L9258">
        <v>1200</v>
      </c>
      <c r="M9258" t="str">
        <f t="shared" si="829"/>
        <v xml:space="preserve">N35DC   </v>
      </c>
      <c r="N9258">
        <v>1</v>
      </c>
      <c r="O9258">
        <v>1475</v>
      </c>
    </row>
    <row r="9259" spans="1:15" x14ac:dyDescent="0.25">
      <c r="A9259" t="str">
        <f>"10/21/2020 19:18:28.264"</f>
        <v>10/21/2020 19:18:28.264</v>
      </c>
      <c r="B9259" t="str">
        <f>"19:18:36.211"</f>
        <v>19:18:36.211</v>
      </c>
      <c r="C9259" t="str">
        <f>"19:18:35.911"</f>
        <v>19:18:35.911</v>
      </c>
      <c r="D9259" t="s">
        <v>3561</v>
      </c>
      <c r="E9259">
        <v>30.389385000000001</v>
      </c>
      <c r="F9259" t="s">
        <v>3562</v>
      </c>
      <c r="G9259">
        <v>-89.793126999999998</v>
      </c>
      <c r="H9259">
        <v>1400</v>
      </c>
      <c r="I9259">
        <v>-140</v>
      </c>
      <c r="J9259">
        <v>-83</v>
      </c>
      <c r="K9259">
        <v>-640</v>
      </c>
      <c r="L9259">
        <v>1200</v>
      </c>
      <c r="M9259" t="str">
        <f t="shared" si="829"/>
        <v xml:space="preserve">N35DC   </v>
      </c>
      <c r="N9259">
        <v>1</v>
      </c>
      <c r="O9259">
        <v>1450</v>
      </c>
    </row>
    <row r="9260" spans="1:15" x14ac:dyDescent="0.25">
      <c r="A9260" t="str">
        <f>"10/21/2020 19:18:28.264"</f>
        <v>10/21/2020 19:18:28.264</v>
      </c>
      <c r="B9260" t="str">
        <f>"19:18:36.211"</f>
        <v>19:18:36.211</v>
      </c>
      <c r="C9260" t="str">
        <f>"19:18:35.911"</f>
        <v>19:18:35.911</v>
      </c>
      <c r="D9260" t="s">
        <v>3561</v>
      </c>
      <c r="E9260">
        <v>30.389385000000001</v>
      </c>
      <c r="F9260" t="s">
        <v>3562</v>
      </c>
      <c r="G9260">
        <v>-89.793126999999998</v>
      </c>
      <c r="H9260">
        <v>1400</v>
      </c>
      <c r="I9260">
        <v>-140</v>
      </c>
      <c r="J9260">
        <v>-83</v>
      </c>
      <c r="K9260">
        <v>-640</v>
      </c>
      <c r="L9260">
        <v>1200</v>
      </c>
      <c r="M9260" t="str">
        <f t="shared" si="829"/>
        <v xml:space="preserve">N35DC   </v>
      </c>
      <c r="N9260">
        <v>1</v>
      </c>
      <c r="O9260">
        <v>1450</v>
      </c>
    </row>
    <row r="9261" spans="1:15" x14ac:dyDescent="0.25">
      <c r="A9261" t="str">
        <f>"10/21/2020 19:18:28.264"</f>
        <v>10/21/2020 19:18:28.264</v>
      </c>
      <c r="B9261" t="str">
        <f>"19:18:36.211"</f>
        <v>19:18:36.211</v>
      </c>
      <c r="C9261" t="str">
        <f>"19:18:35.911"</f>
        <v>19:18:35.911</v>
      </c>
      <c r="D9261" t="s">
        <v>3561</v>
      </c>
      <c r="E9261">
        <v>30.389385000000001</v>
      </c>
      <c r="F9261" t="s">
        <v>3562</v>
      </c>
      <c r="G9261">
        <v>-89.793126999999998</v>
      </c>
      <c r="H9261">
        <v>1400</v>
      </c>
      <c r="I9261">
        <v>-140</v>
      </c>
      <c r="J9261">
        <v>-83</v>
      </c>
      <c r="K9261">
        <v>-640</v>
      </c>
      <c r="L9261">
        <v>1200</v>
      </c>
      <c r="M9261" t="str">
        <f t="shared" si="829"/>
        <v xml:space="preserve">N35DC   </v>
      </c>
      <c r="N9261">
        <v>1</v>
      </c>
      <c r="O9261">
        <v>1450</v>
      </c>
    </row>
    <row r="9262" spans="1:15" x14ac:dyDescent="0.25">
      <c r="A9262" t="str">
        <f>"10/21/2020 19:18:28.264"</f>
        <v>10/21/2020 19:18:28.264</v>
      </c>
      <c r="B9262" t="str">
        <f>"19:18:36.211"</f>
        <v>19:18:36.211</v>
      </c>
      <c r="C9262" t="str">
        <f>"19:18:35.911"</f>
        <v>19:18:35.911</v>
      </c>
      <c r="D9262" t="s">
        <v>3561</v>
      </c>
      <c r="E9262">
        <v>30.389385000000001</v>
      </c>
      <c r="F9262" t="s">
        <v>3562</v>
      </c>
      <c r="G9262">
        <v>-89.793126999999998</v>
      </c>
      <c r="H9262">
        <v>1400</v>
      </c>
      <c r="I9262">
        <v>-140</v>
      </c>
      <c r="J9262">
        <v>-83</v>
      </c>
      <c r="K9262">
        <v>-640</v>
      </c>
      <c r="L9262">
        <v>1200</v>
      </c>
      <c r="M9262" t="str">
        <f t="shared" si="829"/>
        <v xml:space="preserve">N35DC   </v>
      </c>
      <c r="N9262">
        <v>1</v>
      </c>
      <c r="O9262">
        <v>1450</v>
      </c>
    </row>
    <row r="9263" spans="1:15" x14ac:dyDescent="0.25">
      <c r="A9263" t="str">
        <f>"10/21/2020 19:18:28.264"</f>
        <v>10/21/2020 19:18:28.264</v>
      </c>
      <c r="B9263" t="str">
        <f>"19:18:36.211"</f>
        <v>19:18:36.211</v>
      </c>
      <c r="C9263" t="str">
        <f>"19:18:35.911"</f>
        <v>19:18:35.911</v>
      </c>
      <c r="D9263" t="s">
        <v>3561</v>
      </c>
      <c r="E9263">
        <v>30.389385000000001</v>
      </c>
      <c r="F9263" t="s">
        <v>3562</v>
      </c>
      <c r="G9263">
        <v>-89.793126999999998</v>
      </c>
      <c r="H9263">
        <v>1400</v>
      </c>
      <c r="I9263">
        <v>-140</v>
      </c>
      <c r="J9263">
        <v>-83</v>
      </c>
      <c r="K9263">
        <v>-640</v>
      </c>
      <c r="L9263">
        <v>1200</v>
      </c>
      <c r="M9263" t="str">
        <f t="shared" si="829"/>
        <v xml:space="preserve">N35DC   </v>
      </c>
      <c r="N9263">
        <v>1</v>
      </c>
      <c r="O9263">
        <v>1450</v>
      </c>
    </row>
    <row r="9264" spans="1:15" x14ac:dyDescent="0.25">
      <c r="A9264" t="str">
        <f>"10/21/2020 19:18:29.193"</f>
        <v>10/21/2020 19:18:29.193</v>
      </c>
      <c r="B9264" t="str">
        <f>"19:18:37.156"</f>
        <v>19:18:37.156</v>
      </c>
      <c r="C9264" t="str">
        <f>"19:18:37.056"</f>
        <v>19:18:37.056</v>
      </c>
      <c r="D9264" t="s">
        <v>3563</v>
      </c>
      <c r="E9264">
        <v>30.389063</v>
      </c>
      <c r="F9264" t="s">
        <v>137</v>
      </c>
      <c r="G9264">
        <v>-89.793898999999996</v>
      </c>
      <c r="H9264">
        <v>1400</v>
      </c>
      <c r="I9264">
        <v>-142</v>
      </c>
      <c r="J9264">
        <v>-81</v>
      </c>
      <c r="K9264">
        <v>-576</v>
      </c>
      <c r="L9264">
        <v>1200</v>
      </c>
      <c r="M9264" t="str">
        <f t="shared" si="829"/>
        <v xml:space="preserve">N35DC   </v>
      </c>
      <c r="N9264">
        <v>1</v>
      </c>
      <c r="O9264">
        <v>1425</v>
      </c>
    </row>
    <row r="9265" spans="1:15" x14ac:dyDescent="0.25">
      <c r="A9265" t="str">
        <f>"10/21/2020 19:18:29.193"</f>
        <v>10/21/2020 19:18:29.193</v>
      </c>
      <c r="B9265" t="str">
        <f>"19:18:37.156"</f>
        <v>19:18:37.156</v>
      </c>
      <c r="C9265" t="str">
        <f>"19:18:37.056"</f>
        <v>19:18:37.056</v>
      </c>
      <c r="D9265" t="s">
        <v>3563</v>
      </c>
      <c r="E9265">
        <v>30.389063</v>
      </c>
      <c r="F9265" t="s">
        <v>137</v>
      </c>
      <c r="G9265">
        <v>-89.793898999999996</v>
      </c>
      <c r="H9265">
        <v>1400</v>
      </c>
      <c r="I9265">
        <v>-142</v>
      </c>
      <c r="J9265">
        <v>-81</v>
      </c>
      <c r="K9265">
        <v>-576</v>
      </c>
      <c r="L9265">
        <v>1200</v>
      </c>
      <c r="M9265" t="str">
        <f t="shared" si="829"/>
        <v xml:space="preserve">N35DC   </v>
      </c>
      <c r="N9265">
        <v>1</v>
      </c>
      <c r="O9265">
        <v>1425</v>
      </c>
    </row>
    <row r="9266" spans="1:15" x14ac:dyDescent="0.25">
      <c r="A9266" t="str">
        <f>"10/21/2020 19:18:29.193"</f>
        <v>10/21/2020 19:18:29.193</v>
      </c>
      <c r="B9266" t="str">
        <f>"19:18:37.156"</f>
        <v>19:18:37.156</v>
      </c>
      <c r="C9266" t="str">
        <f>"19:18:37.056"</f>
        <v>19:18:37.056</v>
      </c>
      <c r="D9266" t="s">
        <v>3563</v>
      </c>
      <c r="E9266">
        <v>30.389063</v>
      </c>
      <c r="F9266" t="s">
        <v>137</v>
      </c>
      <c r="G9266">
        <v>-89.793898999999996</v>
      </c>
      <c r="H9266">
        <v>1400</v>
      </c>
      <c r="I9266">
        <v>-142</v>
      </c>
      <c r="J9266">
        <v>-81</v>
      </c>
      <c r="K9266">
        <v>-576</v>
      </c>
      <c r="L9266">
        <v>1200</v>
      </c>
      <c r="M9266" t="str">
        <f t="shared" si="829"/>
        <v xml:space="preserve">N35DC   </v>
      </c>
      <c r="N9266">
        <v>1</v>
      </c>
      <c r="O9266">
        <v>1425</v>
      </c>
    </row>
    <row r="9267" spans="1:15" x14ac:dyDescent="0.25">
      <c r="A9267" t="str">
        <f>"10/21/2020 19:18:29.193"</f>
        <v>10/21/2020 19:18:29.193</v>
      </c>
      <c r="B9267" t="str">
        <f>"19:18:37.156"</f>
        <v>19:18:37.156</v>
      </c>
      <c r="C9267" t="str">
        <f>"19:18:37.056"</f>
        <v>19:18:37.056</v>
      </c>
      <c r="D9267" t="s">
        <v>3563</v>
      </c>
      <c r="E9267">
        <v>30.389063</v>
      </c>
      <c r="F9267" t="s">
        <v>137</v>
      </c>
      <c r="G9267">
        <v>-89.793898999999996</v>
      </c>
      <c r="H9267">
        <v>1400</v>
      </c>
      <c r="I9267">
        <v>-142</v>
      </c>
      <c r="J9267">
        <v>-81</v>
      </c>
      <c r="K9267">
        <v>-576</v>
      </c>
      <c r="L9267">
        <v>1200</v>
      </c>
      <c r="M9267" t="str">
        <f t="shared" si="829"/>
        <v xml:space="preserve">N35DC   </v>
      </c>
      <c r="N9267">
        <v>1</v>
      </c>
      <c r="O9267">
        <v>1425</v>
      </c>
    </row>
    <row r="9268" spans="1:15" x14ac:dyDescent="0.25">
      <c r="A9268" t="str">
        <f>"10/21/2020 19:18:29.193"</f>
        <v>10/21/2020 19:18:29.193</v>
      </c>
      <c r="B9268" t="str">
        <f>"19:18:37.156"</f>
        <v>19:18:37.156</v>
      </c>
      <c r="C9268" t="str">
        <f>"19:18:37.056"</f>
        <v>19:18:37.056</v>
      </c>
      <c r="D9268" t="s">
        <v>3563</v>
      </c>
      <c r="E9268">
        <v>30.389063</v>
      </c>
      <c r="F9268" t="s">
        <v>137</v>
      </c>
      <c r="G9268">
        <v>-89.793898999999996</v>
      </c>
      <c r="H9268">
        <v>1400</v>
      </c>
      <c r="I9268">
        <v>-142</v>
      </c>
      <c r="J9268">
        <v>-81</v>
      </c>
      <c r="K9268">
        <v>-576</v>
      </c>
      <c r="L9268">
        <v>1200</v>
      </c>
      <c r="M9268" t="str">
        <f t="shared" si="829"/>
        <v xml:space="preserve">N35DC   </v>
      </c>
      <c r="N9268">
        <v>1</v>
      </c>
      <c r="O9268">
        <v>1425</v>
      </c>
    </row>
    <row r="9269" spans="1:15" x14ac:dyDescent="0.25">
      <c r="A9269" t="str">
        <f>"10/21/2020 19:18:31.362"</f>
        <v>10/21/2020 19:18:31.362</v>
      </c>
      <c r="B9269" t="str">
        <f>"19:18:39.336"</f>
        <v>19:18:39.336</v>
      </c>
      <c r="C9269" t="str">
        <f>"19:18:39.136"</f>
        <v>19:18:39.136</v>
      </c>
      <c r="D9269" t="s">
        <v>2910</v>
      </c>
      <c r="E9269">
        <v>30.388269000000001</v>
      </c>
      <c r="F9269" t="s">
        <v>2394</v>
      </c>
      <c r="G9269">
        <v>-89.795507999999998</v>
      </c>
      <c r="H9269">
        <v>1400</v>
      </c>
      <c r="I9269">
        <v>-144</v>
      </c>
      <c r="J9269">
        <v>-77</v>
      </c>
      <c r="K9269">
        <v>-512</v>
      </c>
      <c r="L9269">
        <v>1200</v>
      </c>
      <c r="M9269" t="str">
        <f t="shared" si="829"/>
        <v xml:space="preserve">N35DC   </v>
      </c>
      <c r="N9269">
        <v>1</v>
      </c>
      <c r="O9269">
        <v>1425</v>
      </c>
    </row>
    <row r="9270" spans="1:15" x14ac:dyDescent="0.25">
      <c r="A9270" t="str">
        <f>"10/21/2020 19:18:31.362"</f>
        <v>10/21/2020 19:18:31.362</v>
      </c>
      <c r="B9270" t="str">
        <f>"19:18:39.336"</f>
        <v>19:18:39.336</v>
      </c>
      <c r="C9270" t="str">
        <f>"19:18:39.136"</f>
        <v>19:18:39.136</v>
      </c>
      <c r="D9270" t="s">
        <v>2910</v>
      </c>
      <c r="E9270">
        <v>30.388269000000001</v>
      </c>
      <c r="F9270" t="s">
        <v>2394</v>
      </c>
      <c r="G9270">
        <v>-89.795507999999998</v>
      </c>
      <c r="H9270">
        <v>1400</v>
      </c>
      <c r="I9270">
        <v>-144</v>
      </c>
      <c r="J9270">
        <v>-77</v>
      </c>
      <c r="K9270">
        <v>-512</v>
      </c>
      <c r="L9270">
        <v>1200</v>
      </c>
      <c r="M9270" t="str">
        <f t="shared" si="829"/>
        <v xml:space="preserve">N35DC   </v>
      </c>
      <c r="N9270">
        <v>1</v>
      </c>
      <c r="O9270">
        <v>1425</v>
      </c>
    </row>
    <row r="9271" spans="1:15" x14ac:dyDescent="0.25">
      <c r="A9271" t="str">
        <f>"10/21/2020 19:18:31.362"</f>
        <v>10/21/2020 19:18:31.362</v>
      </c>
      <c r="B9271" t="str">
        <f>"19:18:39.336"</f>
        <v>19:18:39.336</v>
      </c>
      <c r="C9271" t="str">
        <f>"19:18:39.136"</f>
        <v>19:18:39.136</v>
      </c>
      <c r="D9271" t="s">
        <v>2910</v>
      </c>
      <c r="E9271">
        <v>30.388269000000001</v>
      </c>
      <c r="F9271" t="s">
        <v>2394</v>
      </c>
      <c r="G9271">
        <v>-89.795507999999998</v>
      </c>
      <c r="H9271">
        <v>1400</v>
      </c>
      <c r="I9271">
        <v>-144</v>
      </c>
      <c r="J9271">
        <v>-77</v>
      </c>
      <c r="K9271">
        <v>-512</v>
      </c>
      <c r="L9271">
        <v>1200</v>
      </c>
      <c r="M9271" t="str">
        <f t="shared" si="829"/>
        <v xml:space="preserve">N35DC   </v>
      </c>
      <c r="N9271">
        <v>1</v>
      </c>
      <c r="O9271">
        <v>1425</v>
      </c>
    </row>
    <row r="9272" spans="1:15" x14ac:dyDescent="0.25">
      <c r="A9272" t="str">
        <f>"10/21/2020 19:18:31.362"</f>
        <v>10/21/2020 19:18:31.362</v>
      </c>
      <c r="B9272" t="str">
        <f>"19:18:39.336"</f>
        <v>19:18:39.336</v>
      </c>
      <c r="C9272" t="str">
        <f>"19:18:39.136"</f>
        <v>19:18:39.136</v>
      </c>
      <c r="D9272" t="s">
        <v>2910</v>
      </c>
      <c r="E9272">
        <v>30.388269000000001</v>
      </c>
      <c r="F9272" t="s">
        <v>2394</v>
      </c>
      <c r="G9272">
        <v>-89.795507999999998</v>
      </c>
      <c r="H9272">
        <v>1400</v>
      </c>
      <c r="I9272">
        <v>-144</v>
      </c>
      <c r="J9272">
        <v>-77</v>
      </c>
      <c r="K9272">
        <v>-512</v>
      </c>
      <c r="L9272">
        <v>1200</v>
      </c>
      <c r="M9272" t="str">
        <f t="shared" si="829"/>
        <v xml:space="preserve">N35DC   </v>
      </c>
      <c r="N9272">
        <v>1</v>
      </c>
      <c r="O9272">
        <v>1425</v>
      </c>
    </row>
    <row r="9273" spans="1:15" x14ac:dyDescent="0.25">
      <c r="A9273" t="str">
        <f>"10/21/2020 19:18:31.362"</f>
        <v>10/21/2020 19:18:31.362</v>
      </c>
      <c r="B9273" t="str">
        <f>"19:18:39.336"</f>
        <v>19:18:39.336</v>
      </c>
      <c r="C9273" t="str">
        <f>"19:18:39.136"</f>
        <v>19:18:39.136</v>
      </c>
      <c r="D9273" t="s">
        <v>2910</v>
      </c>
      <c r="E9273">
        <v>30.388269000000001</v>
      </c>
      <c r="F9273" t="s">
        <v>2394</v>
      </c>
      <c r="G9273">
        <v>-89.795507999999998</v>
      </c>
      <c r="H9273">
        <v>1400</v>
      </c>
      <c r="I9273">
        <v>-144</v>
      </c>
      <c r="J9273">
        <v>-77</v>
      </c>
      <c r="K9273">
        <v>-512</v>
      </c>
      <c r="L9273">
        <v>1200</v>
      </c>
      <c r="M9273" t="str">
        <f t="shared" si="829"/>
        <v xml:space="preserve">N35DC   </v>
      </c>
      <c r="N9273">
        <v>1</v>
      </c>
      <c r="O9273">
        <v>1425</v>
      </c>
    </row>
    <row r="9274" spans="1:15" x14ac:dyDescent="0.25">
      <c r="A9274" t="str">
        <f>"10/21/2020 19:18:32.312"</f>
        <v>10/21/2020 19:18:32.312</v>
      </c>
      <c r="B9274" t="str">
        <f>"19:18:40.250"</f>
        <v>19:18:40.250</v>
      </c>
      <c r="C9274" t="str">
        <f>"19:18:39.950"</f>
        <v>19:18:39.950</v>
      </c>
      <c r="D9274" t="s">
        <v>3564</v>
      </c>
      <c r="E9274">
        <v>30.387948000000002</v>
      </c>
      <c r="F9274" t="s">
        <v>3565</v>
      </c>
      <c r="G9274">
        <v>-89.796259000000006</v>
      </c>
      <c r="H9274">
        <v>1400</v>
      </c>
      <c r="I9274">
        <v>-144</v>
      </c>
      <c r="J9274">
        <v>-76</v>
      </c>
      <c r="K9274">
        <v>-448</v>
      </c>
      <c r="L9274">
        <v>1200</v>
      </c>
      <c r="M9274" t="str">
        <f t="shared" si="829"/>
        <v xml:space="preserve">N35DC   </v>
      </c>
      <c r="N9274">
        <v>1</v>
      </c>
      <c r="O9274">
        <v>1400</v>
      </c>
    </row>
    <row r="9275" spans="1:15" x14ac:dyDescent="0.25">
      <c r="A9275" t="str">
        <f>"10/21/2020 19:18:32.312"</f>
        <v>10/21/2020 19:18:32.312</v>
      </c>
      <c r="B9275" t="str">
        <f>"19:18:40.250"</f>
        <v>19:18:40.250</v>
      </c>
      <c r="C9275" t="str">
        <f>"19:18:39.950"</f>
        <v>19:18:39.950</v>
      </c>
      <c r="D9275" t="s">
        <v>3564</v>
      </c>
      <c r="E9275">
        <v>30.387948000000002</v>
      </c>
      <c r="F9275" t="s">
        <v>3565</v>
      </c>
      <c r="G9275">
        <v>-89.796259000000006</v>
      </c>
      <c r="H9275">
        <v>1400</v>
      </c>
      <c r="I9275">
        <v>-144</v>
      </c>
      <c r="J9275">
        <v>-76</v>
      </c>
      <c r="K9275">
        <v>-448</v>
      </c>
      <c r="L9275">
        <v>1200</v>
      </c>
      <c r="M9275" t="str">
        <f t="shared" si="829"/>
        <v xml:space="preserve">N35DC   </v>
      </c>
      <c r="N9275">
        <v>1</v>
      </c>
      <c r="O9275">
        <v>1400</v>
      </c>
    </row>
    <row r="9276" spans="1:15" x14ac:dyDescent="0.25">
      <c r="A9276" t="str">
        <f>"10/21/2020 19:18:32.312"</f>
        <v>10/21/2020 19:18:32.312</v>
      </c>
      <c r="B9276" t="str">
        <f>"19:18:40.250"</f>
        <v>19:18:40.250</v>
      </c>
      <c r="C9276" t="str">
        <f>"19:18:39.950"</f>
        <v>19:18:39.950</v>
      </c>
      <c r="D9276" t="s">
        <v>3564</v>
      </c>
      <c r="E9276">
        <v>30.387948000000002</v>
      </c>
      <c r="F9276" t="s">
        <v>3565</v>
      </c>
      <c r="G9276">
        <v>-89.796259000000006</v>
      </c>
      <c r="H9276">
        <v>1400</v>
      </c>
      <c r="I9276">
        <v>-144</v>
      </c>
      <c r="J9276">
        <v>-76</v>
      </c>
      <c r="K9276">
        <v>-448</v>
      </c>
      <c r="L9276">
        <v>1200</v>
      </c>
      <c r="M9276" t="str">
        <f t="shared" si="829"/>
        <v xml:space="preserve">N35DC   </v>
      </c>
      <c r="N9276">
        <v>1</v>
      </c>
      <c r="O9276">
        <v>1400</v>
      </c>
    </row>
    <row r="9277" spans="1:15" x14ac:dyDescent="0.25">
      <c r="A9277" t="str">
        <f>"10/21/2020 19:18:32.312"</f>
        <v>10/21/2020 19:18:32.312</v>
      </c>
      <c r="B9277" t="str">
        <f>"19:18:40.250"</f>
        <v>19:18:40.250</v>
      </c>
      <c r="C9277" t="str">
        <f>"19:18:39.950"</f>
        <v>19:18:39.950</v>
      </c>
      <c r="D9277" t="s">
        <v>3564</v>
      </c>
      <c r="E9277">
        <v>30.387948000000002</v>
      </c>
      <c r="F9277" t="s">
        <v>3565</v>
      </c>
      <c r="G9277">
        <v>-89.796259000000006</v>
      </c>
      <c r="H9277">
        <v>1400</v>
      </c>
      <c r="I9277">
        <v>-144</v>
      </c>
      <c r="J9277">
        <v>-76</v>
      </c>
      <c r="K9277">
        <v>-448</v>
      </c>
      <c r="L9277">
        <v>1200</v>
      </c>
      <c r="M9277" t="str">
        <f t="shared" si="829"/>
        <v xml:space="preserve">N35DC   </v>
      </c>
      <c r="N9277">
        <v>1</v>
      </c>
      <c r="O9277">
        <v>1400</v>
      </c>
    </row>
    <row r="9278" spans="1:15" x14ac:dyDescent="0.25">
      <c r="A9278" t="str">
        <f>"10/21/2020 19:18:32.312"</f>
        <v>10/21/2020 19:18:32.312</v>
      </c>
      <c r="B9278" t="str">
        <f>"19:18:40.250"</f>
        <v>19:18:40.250</v>
      </c>
      <c r="C9278" t="str">
        <f>"19:18:39.950"</f>
        <v>19:18:39.950</v>
      </c>
      <c r="D9278" t="s">
        <v>3564</v>
      </c>
      <c r="E9278">
        <v>30.387948000000002</v>
      </c>
      <c r="F9278" t="s">
        <v>3565</v>
      </c>
      <c r="G9278">
        <v>-89.796259000000006</v>
      </c>
      <c r="H9278">
        <v>1400</v>
      </c>
      <c r="I9278">
        <v>-144</v>
      </c>
      <c r="J9278">
        <v>-76</v>
      </c>
      <c r="K9278">
        <v>-448</v>
      </c>
      <c r="L9278">
        <v>1200</v>
      </c>
      <c r="M9278" t="str">
        <f t="shared" si="829"/>
        <v xml:space="preserve">N35DC   </v>
      </c>
      <c r="N9278">
        <v>1</v>
      </c>
      <c r="O9278">
        <v>1400</v>
      </c>
    </row>
    <row r="9279" spans="1:15" x14ac:dyDescent="0.25">
      <c r="A9279" t="str">
        <f>"10/21/2020 19:18:33.326"</f>
        <v>10/21/2020 19:18:33.326</v>
      </c>
      <c r="B9279" t="str">
        <f>"19:18:41.297"</f>
        <v>19:18:41.297</v>
      </c>
      <c r="C9279" t="str">
        <f>"19:18:40.997"</f>
        <v>19:18:40.997</v>
      </c>
      <c r="D9279" t="s">
        <v>3566</v>
      </c>
      <c r="E9279">
        <v>30.387582999999999</v>
      </c>
      <c r="F9279" t="s">
        <v>3567</v>
      </c>
      <c r="G9279">
        <v>-89.797075000000007</v>
      </c>
      <c r="H9279">
        <v>1400</v>
      </c>
      <c r="I9279">
        <v>-145</v>
      </c>
      <c r="J9279">
        <v>-74</v>
      </c>
      <c r="K9279">
        <v>-320</v>
      </c>
      <c r="L9279">
        <v>1200</v>
      </c>
      <c r="M9279" t="str">
        <f t="shared" si="829"/>
        <v xml:space="preserve">N35DC   </v>
      </c>
      <c r="N9279">
        <v>1</v>
      </c>
      <c r="O9279">
        <v>1400</v>
      </c>
    </row>
    <row r="9280" spans="1:15" x14ac:dyDescent="0.25">
      <c r="A9280" t="str">
        <f>"10/21/2020 19:18:33.326"</f>
        <v>10/21/2020 19:18:33.326</v>
      </c>
      <c r="B9280" t="str">
        <f>"19:18:41.297"</f>
        <v>19:18:41.297</v>
      </c>
      <c r="C9280" t="str">
        <f>"19:18:40.997"</f>
        <v>19:18:40.997</v>
      </c>
      <c r="D9280" t="s">
        <v>3566</v>
      </c>
      <c r="E9280">
        <v>30.387582999999999</v>
      </c>
      <c r="F9280" t="s">
        <v>3567</v>
      </c>
      <c r="G9280">
        <v>-89.797075000000007</v>
      </c>
      <c r="H9280">
        <v>1400</v>
      </c>
      <c r="I9280">
        <v>-145</v>
      </c>
      <c r="J9280">
        <v>-74</v>
      </c>
      <c r="K9280">
        <v>-320</v>
      </c>
      <c r="L9280">
        <v>1200</v>
      </c>
      <c r="M9280" t="str">
        <f t="shared" si="829"/>
        <v xml:space="preserve">N35DC   </v>
      </c>
      <c r="N9280">
        <v>1</v>
      </c>
      <c r="O9280">
        <v>1400</v>
      </c>
    </row>
    <row r="9281" spans="1:15" x14ac:dyDescent="0.25">
      <c r="A9281" t="str">
        <f>"10/21/2020 19:18:33.326"</f>
        <v>10/21/2020 19:18:33.326</v>
      </c>
      <c r="B9281" t="str">
        <f>"19:18:41.297"</f>
        <v>19:18:41.297</v>
      </c>
      <c r="C9281" t="str">
        <f>"19:18:40.997"</f>
        <v>19:18:40.997</v>
      </c>
      <c r="D9281" t="s">
        <v>3566</v>
      </c>
      <c r="E9281">
        <v>30.387582999999999</v>
      </c>
      <c r="F9281" t="s">
        <v>3567</v>
      </c>
      <c r="G9281">
        <v>-89.797075000000007</v>
      </c>
      <c r="H9281">
        <v>1400</v>
      </c>
      <c r="I9281">
        <v>-145</v>
      </c>
      <c r="J9281">
        <v>-74</v>
      </c>
      <c r="K9281">
        <v>-320</v>
      </c>
      <c r="L9281">
        <v>1200</v>
      </c>
      <c r="M9281" t="str">
        <f t="shared" si="829"/>
        <v xml:space="preserve">N35DC   </v>
      </c>
      <c r="N9281">
        <v>1</v>
      </c>
      <c r="O9281">
        <v>1400</v>
      </c>
    </row>
    <row r="9282" spans="1:15" x14ac:dyDescent="0.25">
      <c r="A9282" t="str">
        <f>"10/21/2020 19:18:33.326"</f>
        <v>10/21/2020 19:18:33.326</v>
      </c>
      <c r="B9282" t="str">
        <f>"19:18:41.297"</f>
        <v>19:18:41.297</v>
      </c>
      <c r="C9282" t="str">
        <f>"19:18:40.997"</f>
        <v>19:18:40.997</v>
      </c>
      <c r="D9282" t="s">
        <v>3566</v>
      </c>
      <c r="E9282">
        <v>30.387582999999999</v>
      </c>
      <c r="F9282" t="s">
        <v>3567</v>
      </c>
      <c r="G9282">
        <v>-89.797075000000007</v>
      </c>
      <c r="H9282">
        <v>1400</v>
      </c>
      <c r="I9282">
        <v>-145</v>
      </c>
      <c r="J9282">
        <v>-74</v>
      </c>
      <c r="K9282">
        <v>-320</v>
      </c>
      <c r="L9282">
        <v>1200</v>
      </c>
      <c r="M9282" t="str">
        <f t="shared" si="829"/>
        <v xml:space="preserve">N35DC   </v>
      </c>
      <c r="N9282">
        <v>1</v>
      </c>
      <c r="O9282">
        <v>1400</v>
      </c>
    </row>
    <row r="9283" spans="1:15" x14ac:dyDescent="0.25">
      <c r="A9283" t="str">
        <f>"10/21/2020 19:18:33.326"</f>
        <v>10/21/2020 19:18:33.326</v>
      </c>
      <c r="B9283" t="str">
        <f>"19:18:41.297"</f>
        <v>19:18:41.297</v>
      </c>
      <c r="C9283" t="str">
        <f>"19:18:40.997"</f>
        <v>19:18:40.997</v>
      </c>
      <c r="D9283" t="s">
        <v>3566</v>
      </c>
      <c r="E9283">
        <v>30.387582999999999</v>
      </c>
      <c r="F9283" t="s">
        <v>3567</v>
      </c>
      <c r="G9283">
        <v>-89.797075000000007</v>
      </c>
      <c r="H9283">
        <v>1400</v>
      </c>
      <c r="I9283">
        <v>-145</v>
      </c>
      <c r="J9283">
        <v>-74</v>
      </c>
      <c r="K9283">
        <v>-320</v>
      </c>
      <c r="L9283">
        <v>1200</v>
      </c>
      <c r="M9283" t="str">
        <f t="shared" si="829"/>
        <v xml:space="preserve">N35DC   </v>
      </c>
      <c r="N9283">
        <v>1</v>
      </c>
      <c r="O9283">
        <v>1400</v>
      </c>
    </row>
    <row r="9284" spans="1:15" x14ac:dyDescent="0.25">
      <c r="A9284" t="str">
        <f>"10/21/2020 19:18:37.310"</f>
        <v>10/21/2020 19:18:37.310</v>
      </c>
      <c r="B9284" t="str">
        <f>"19:18:45.273"</f>
        <v>19:18:45.273</v>
      </c>
      <c r="C9284" t="str">
        <f>"19:18:44.873"</f>
        <v>19:18:44.873</v>
      </c>
      <c r="D9284" t="s">
        <v>3568</v>
      </c>
      <c r="E9284">
        <v>30.386316999999998</v>
      </c>
      <c r="F9284" t="s">
        <v>3569</v>
      </c>
      <c r="G9284">
        <v>-89.800207999999998</v>
      </c>
      <c r="H9284">
        <v>1300</v>
      </c>
      <c r="I9284">
        <v>-149</v>
      </c>
      <c r="J9284">
        <v>-69</v>
      </c>
      <c r="K9284">
        <v>-704</v>
      </c>
      <c r="L9284">
        <v>1200</v>
      </c>
      <c r="M9284" t="str">
        <f t="shared" si="829"/>
        <v xml:space="preserve">N35DC   </v>
      </c>
      <c r="N9284">
        <v>1</v>
      </c>
      <c r="O9284">
        <v>1375</v>
      </c>
    </row>
    <row r="9285" spans="1:15" x14ac:dyDescent="0.25">
      <c r="A9285" t="str">
        <f>"10/21/2020 19:18:37.310"</f>
        <v>10/21/2020 19:18:37.310</v>
      </c>
      <c r="B9285" t="str">
        <f>"19:18:45.273"</f>
        <v>19:18:45.273</v>
      </c>
      <c r="C9285" t="str">
        <f>"19:18:44.873"</f>
        <v>19:18:44.873</v>
      </c>
      <c r="D9285" t="s">
        <v>3568</v>
      </c>
      <c r="E9285">
        <v>30.386316999999998</v>
      </c>
      <c r="F9285" t="s">
        <v>3569</v>
      </c>
      <c r="G9285">
        <v>-89.800207999999998</v>
      </c>
      <c r="H9285">
        <v>1300</v>
      </c>
      <c r="I9285">
        <v>-149</v>
      </c>
      <c r="J9285">
        <v>-69</v>
      </c>
      <c r="K9285">
        <v>-704</v>
      </c>
      <c r="L9285">
        <v>1200</v>
      </c>
      <c r="M9285" t="str">
        <f t="shared" si="829"/>
        <v xml:space="preserve">N35DC   </v>
      </c>
      <c r="N9285">
        <v>1</v>
      </c>
      <c r="O9285">
        <v>1375</v>
      </c>
    </row>
    <row r="9286" spans="1:15" x14ac:dyDescent="0.25">
      <c r="A9286" t="str">
        <f>"10/21/2020 19:18:37.310"</f>
        <v>10/21/2020 19:18:37.310</v>
      </c>
      <c r="B9286" t="str">
        <f>"19:18:45.273"</f>
        <v>19:18:45.273</v>
      </c>
      <c r="C9286" t="str">
        <f>"19:18:44.873"</f>
        <v>19:18:44.873</v>
      </c>
      <c r="D9286" t="s">
        <v>3568</v>
      </c>
      <c r="E9286">
        <v>30.386316999999998</v>
      </c>
      <c r="F9286" t="s">
        <v>3569</v>
      </c>
      <c r="G9286">
        <v>-89.800207999999998</v>
      </c>
      <c r="H9286">
        <v>1300</v>
      </c>
      <c r="I9286">
        <v>-149</v>
      </c>
      <c r="J9286">
        <v>-69</v>
      </c>
      <c r="K9286">
        <v>-704</v>
      </c>
      <c r="L9286">
        <v>1200</v>
      </c>
      <c r="M9286" t="str">
        <f t="shared" si="829"/>
        <v xml:space="preserve">N35DC   </v>
      </c>
      <c r="N9286">
        <v>1</v>
      </c>
      <c r="O9286">
        <v>1375</v>
      </c>
    </row>
    <row r="9287" spans="1:15" x14ac:dyDescent="0.25">
      <c r="A9287" t="str">
        <f>"10/21/2020 19:18:37.310"</f>
        <v>10/21/2020 19:18:37.310</v>
      </c>
      <c r="B9287" t="str">
        <f>"19:18:45.273"</f>
        <v>19:18:45.273</v>
      </c>
      <c r="C9287" t="str">
        <f>"19:18:44.873"</f>
        <v>19:18:44.873</v>
      </c>
      <c r="D9287" t="s">
        <v>3568</v>
      </c>
      <c r="E9287">
        <v>30.386316999999998</v>
      </c>
      <c r="F9287" t="s">
        <v>3569</v>
      </c>
      <c r="G9287">
        <v>-89.800207999999998</v>
      </c>
      <c r="H9287">
        <v>1300</v>
      </c>
      <c r="I9287">
        <v>-149</v>
      </c>
      <c r="J9287">
        <v>-69</v>
      </c>
      <c r="K9287">
        <v>-704</v>
      </c>
      <c r="L9287">
        <v>1200</v>
      </c>
      <c r="M9287" t="str">
        <f t="shared" ref="M9287:M9350" si="830">"N35DC   "</f>
        <v xml:space="preserve">N35DC   </v>
      </c>
      <c r="N9287">
        <v>1</v>
      </c>
      <c r="O9287">
        <v>1375</v>
      </c>
    </row>
    <row r="9288" spans="1:15" x14ac:dyDescent="0.25">
      <c r="A9288" t="str">
        <f>"10/21/2020 19:18:37.310"</f>
        <v>10/21/2020 19:18:37.310</v>
      </c>
      <c r="B9288" t="str">
        <f>"19:18:45.273"</f>
        <v>19:18:45.273</v>
      </c>
      <c r="C9288" t="str">
        <f>"19:18:44.873"</f>
        <v>19:18:44.873</v>
      </c>
      <c r="D9288" t="s">
        <v>3568</v>
      </c>
      <c r="E9288">
        <v>30.386316999999998</v>
      </c>
      <c r="F9288" t="s">
        <v>3569</v>
      </c>
      <c r="G9288">
        <v>-89.800207999999998</v>
      </c>
      <c r="H9288">
        <v>1300</v>
      </c>
      <c r="I9288">
        <v>-149</v>
      </c>
      <c r="J9288">
        <v>-69</v>
      </c>
      <c r="K9288">
        <v>-704</v>
      </c>
      <c r="L9288">
        <v>1200</v>
      </c>
      <c r="M9288" t="str">
        <f t="shared" si="830"/>
        <v xml:space="preserve">N35DC   </v>
      </c>
      <c r="N9288">
        <v>1</v>
      </c>
      <c r="O9288">
        <v>1375</v>
      </c>
    </row>
    <row r="9289" spans="1:15" x14ac:dyDescent="0.25">
      <c r="A9289" t="str">
        <f>"10/21/2020 19:18:40.442"</f>
        <v>10/21/2020 19:18:40.442</v>
      </c>
      <c r="B9289" t="str">
        <f t="shared" ref="B9289:C9293" si="831">"19:18:48.406"</f>
        <v>19:18:48.406</v>
      </c>
      <c r="C9289" t="str">
        <f t="shared" si="831"/>
        <v>19:18:48.406</v>
      </c>
      <c r="D9289" t="s">
        <v>84</v>
      </c>
      <c r="E9289">
        <v>30.385351</v>
      </c>
      <c r="F9289" t="s">
        <v>3570</v>
      </c>
      <c r="G9289">
        <v>-89.802674999999994</v>
      </c>
      <c r="H9289">
        <v>1300</v>
      </c>
      <c r="I9289">
        <v>-150</v>
      </c>
      <c r="J9289">
        <v>-64</v>
      </c>
      <c r="K9289">
        <v>-448</v>
      </c>
      <c r="L9289">
        <v>1200</v>
      </c>
      <c r="M9289" t="str">
        <f t="shared" si="830"/>
        <v xml:space="preserve">N35DC   </v>
      </c>
      <c r="N9289">
        <v>1</v>
      </c>
      <c r="O9289">
        <v>1325</v>
      </c>
    </row>
    <row r="9290" spans="1:15" x14ac:dyDescent="0.25">
      <c r="A9290" t="str">
        <f>"10/21/2020 19:18:40.442"</f>
        <v>10/21/2020 19:18:40.442</v>
      </c>
      <c r="B9290" t="str">
        <f t="shared" si="831"/>
        <v>19:18:48.406</v>
      </c>
      <c r="C9290" t="str">
        <f t="shared" si="831"/>
        <v>19:18:48.406</v>
      </c>
      <c r="D9290" t="s">
        <v>84</v>
      </c>
      <c r="E9290">
        <v>30.385351</v>
      </c>
      <c r="F9290" t="s">
        <v>3570</v>
      </c>
      <c r="G9290">
        <v>-89.802674999999994</v>
      </c>
      <c r="H9290">
        <v>1300</v>
      </c>
      <c r="I9290">
        <v>-150</v>
      </c>
      <c r="J9290">
        <v>-64</v>
      </c>
      <c r="K9290">
        <v>-448</v>
      </c>
      <c r="L9290">
        <v>1200</v>
      </c>
      <c r="M9290" t="str">
        <f t="shared" si="830"/>
        <v xml:space="preserve">N35DC   </v>
      </c>
      <c r="N9290">
        <v>1</v>
      </c>
      <c r="O9290">
        <v>1325</v>
      </c>
    </row>
    <row r="9291" spans="1:15" x14ac:dyDescent="0.25">
      <c r="A9291" t="str">
        <f>"10/21/2020 19:18:40.442"</f>
        <v>10/21/2020 19:18:40.442</v>
      </c>
      <c r="B9291" t="str">
        <f t="shared" si="831"/>
        <v>19:18:48.406</v>
      </c>
      <c r="C9291" t="str">
        <f t="shared" si="831"/>
        <v>19:18:48.406</v>
      </c>
      <c r="D9291" t="s">
        <v>84</v>
      </c>
      <c r="E9291">
        <v>30.385351</v>
      </c>
      <c r="F9291" t="s">
        <v>3570</v>
      </c>
      <c r="G9291">
        <v>-89.802674999999994</v>
      </c>
      <c r="H9291">
        <v>1300</v>
      </c>
      <c r="I9291">
        <v>-150</v>
      </c>
      <c r="J9291">
        <v>-64</v>
      </c>
      <c r="K9291">
        <v>-448</v>
      </c>
      <c r="L9291">
        <v>1200</v>
      </c>
      <c r="M9291" t="str">
        <f t="shared" si="830"/>
        <v xml:space="preserve">N35DC   </v>
      </c>
      <c r="N9291">
        <v>1</v>
      </c>
      <c r="O9291">
        <v>1325</v>
      </c>
    </row>
    <row r="9292" spans="1:15" x14ac:dyDescent="0.25">
      <c r="A9292" t="str">
        <f>"10/21/2020 19:18:40.442"</f>
        <v>10/21/2020 19:18:40.442</v>
      </c>
      <c r="B9292" t="str">
        <f t="shared" si="831"/>
        <v>19:18:48.406</v>
      </c>
      <c r="C9292" t="str">
        <f t="shared" si="831"/>
        <v>19:18:48.406</v>
      </c>
      <c r="D9292" t="s">
        <v>84</v>
      </c>
      <c r="E9292">
        <v>30.385351</v>
      </c>
      <c r="F9292" t="s">
        <v>3570</v>
      </c>
      <c r="G9292">
        <v>-89.802674999999994</v>
      </c>
      <c r="H9292">
        <v>1300</v>
      </c>
      <c r="I9292">
        <v>-150</v>
      </c>
      <c r="J9292">
        <v>-64</v>
      </c>
      <c r="K9292">
        <v>-448</v>
      </c>
      <c r="L9292">
        <v>1200</v>
      </c>
      <c r="M9292" t="str">
        <f t="shared" si="830"/>
        <v xml:space="preserve">N35DC   </v>
      </c>
      <c r="N9292">
        <v>1</v>
      </c>
      <c r="O9292">
        <v>1325</v>
      </c>
    </row>
    <row r="9293" spans="1:15" x14ac:dyDescent="0.25">
      <c r="A9293" t="str">
        <f>"10/21/2020 19:18:40.442"</f>
        <v>10/21/2020 19:18:40.442</v>
      </c>
      <c r="B9293" t="str">
        <f t="shared" si="831"/>
        <v>19:18:48.406</v>
      </c>
      <c r="C9293" t="str">
        <f t="shared" si="831"/>
        <v>19:18:48.406</v>
      </c>
      <c r="D9293" t="s">
        <v>84</v>
      </c>
      <c r="E9293">
        <v>30.385351</v>
      </c>
      <c r="F9293" t="s">
        <v>3570</v>
      </c>
      <c r="G9293">
        <v>-89.802674999999994</v>
      </c>
      <c r="H9293">
        <v>1300</v>
      </c>
      <c r="I9293">
        <v>-150</v>
      </c>
      <c r="J9293">
        <v>-64</v>
      </c>
      <c r="K9293">
        <v>-448</v>
      </c>
      <c r="L9293">
        <v>1200</v>
      </c>
      <c r="M9293" t="str">
        <f t="shared" si="830"/>
        <v xml:space="preserve">N35DC   </v>
      </c>
      <c r="N9293">
        <v>1</v>
      </c>
      <c r="O9293">
        <v>1325</v>
      </c>
    </row>
    <row r="9294" spans="1:15" x14ac:dyDescent="0.25">
      <c r="A9294" t="str">
        <f>"10/21/2020 19:18:41.403"</f>
        <v>10/21/2020 19:18:41.403</v>
      </c>
      <c r="B9294" t="str">
        <f>"19:18:49.367"</f>
        <v>19:18:49.367</v>
      </c>
      <c r="C9294" t="str">
        <f>"19:18:48.967"</f>
        <v>19:18:48.967</v>
      </c>
      <c r="D9294" t="s">
        <v>3571</v>
      </c>
      <c r="E9294">
        <v>30.385028999999999</v>
      </c>
      <c r="F9294" t="s">
        <v>3572</v>
      </c>
      <c r="G9294">
        <v>-89.803490999999994</v>
      </c>
      <c r="H9294">
        <v>1300</v>
      </c>
      <c r="I9294">
        <v>-151</v>
      </c>
      <c r="J9294">
        <v>-64</v>
      </c>
      <c r="K9294">
        <v>-384</v>
      </c>
      <c r="L9294">
        <v>1200</v>
      </c>
      <c r="M9294" t="str">
        <f t="shared" si="830"/>
        <v xml:space="preserve">N35DC   </v>
      </c>
      <c r="N9294">
        <v>1</v>
      </c>
      <c r="O9294">
        <v>1325</v>
      </c>
    </row>
    <row r="9295" spans="1:15" x14ac:dyDescent="0.25">
      <c r="A9295" t="str">
        <f>"10/21/2020 19:18:41.403"</f>
        <v>10/21/2020 19:18:41.403</v>
      </c>
      <c r="B9295" t="str">
        <f>"19:18:49.367"</f>
        <v>19:18:49.367</v>
      </c>
      <c r="C9295" t="str">
        <f>"19:18:48.967"</f>
        <v>19:18:48.967</v>
      </c>
      <c r="D9295" t="s">
        <v>3571</v>
      </c>
      <c r="E9295">
        <v>30.385028999999999</v>
      </c>
      <c r="F9295" t="s">
        <v>3572</v>
      </c>
      <c r="G9295">
        <v>-89.803490999999994</v>
      </c>
      <c r="H9295">
        <v>1300</v>
      </c>
      <c r="I9295">
        <v>-151</v>
      </c>
      <c r="J9295">
        <v>-64</v>
      </c>
      <c r="K9295">
        <v>-384</v>
      </c>
      <c r="L9295">
        <v>1200</v>
      </c>
      <c r="M9295" t="str">
        <f t="shared" si="830"/>
        <v xml:space="preserve">N35DC   </v>
      </c>
      <c r="N9295">
        <v>1</v>
      </c>
      <c r="O9295">
        <v>1325</v>
      </c>
    </row>
    <row r="9296" spans="1:15" x14ac:dyDescent="0.25">
      <c r="A9296" t="str">
        <f>"10/21/2020 19:18:41.403"</f>
        <v>10/21/2020 19:18:41.403</v>
      </c>
      <c r="B9296" t="str">
        <f>"19:18:49.367"</f>
        <v>19:18:49.367</v>
      </c>
      <c r="C9296" t="str">
        <f>"19:18:48.967"</f>
        <v>19:18:48.967</v>
      </c>
      <c r="D9296" t="s">
        <v>3571</v>
      </c>
      <c r="E9296">
        <v>30.385028999999999</v>
      </c>
      <c r="F9296" t="s">
        <v>3572</v>
      </c>
      <c r="G9296">
        <v>-89.803490999999994</v>
      </c>
      <c r="H9296">
        <v>1300</v>
      </c>
      <c r="I9296">
        <v>-151</v>
      </c>
      <c r="J9296">
        <v>-64</v>
      </c>
      <c r="K9296">
        <v>-384</v>
      </c>
      <c r="L9296">
        <v>1200</v>
      </c>
      <c r="M9296" t="str">
        <f t="shared" si="830"/>
        <v xml:space="preserve">N35DC   </v>
      </c>
      <c r="N9296">
        <v>1</v>
      </c>
      <c r="O9296">
        <v>1325</v>
      </c>
    </row>
    <row r="9297" spans="1:15" x14ac:dyDescent="0.25">
      <c r="A9297" t="str">
        <f>"10/21/2020 19:18:41.403"</f>
        <v>10/21/2020 19:18:41.403</v>
      </c>
      <c r="B9297" t="str">
        <f>"19:18:49.367"</f>
        <v>19:18:49.367</v>
      </c>
      <c r="C9297" t="str">
        <f>"19:18:48.967"</f>
        <v>19:18:48.967</v>
      </c>
      <c r="D9297" t="s">
        <v>3571</v>
      </c>
      <c r="E9297">
        <v>30.385028999999999</v>
      </c>
      <c r="F9297" t="s">
        <v>3572</v>
      </c>
      <c r="G9297">
        <v>-89.803490999999994</v>
      </c>
      <c r="H9297">
        <v>1300</v>
      </c>
      <c r="I9297">
        <v>-151</v>
      </c>
      <c r="J9297">
        <v>-64</v>
      </c>
      <c r="K9297">
        <v>-384</v>
      </c>
      <c r="L9297">
        <v>1200</v>
      </c>
      <c r="M9297" t="str">
        <f t="shared" si="830"/>
        <v xml:space="preserve">N35DC   </v>
      </c>
      <c r="N9297">
        <v>1</v>
      </c>
      <c r="O9297">
        <v>1325</v>
      </c>
    </row>
    <row r="9298" spans="1:15" x14ac:dyDescent="0.25">
      <c r="A9298" t="str">
        <f>"10/21/2020 19:18:41.403"</f>
        <v>10/21/2020 19:18:41.403</v>
      </c>
      <c r="B9298" t="str">
        <f>"19:18:49.367"</f>
        <v>19:18:49.367</v>
      </c>
      <c r="C9298" t="str">
        <f>"19:18:48.967"</f>
        <v>19:18:48.967</v>
      </c>
      <c r="D9298" t="s">
        <v>3571</v>
      </c>
      <c r="E9298">
        <v>30.385028999999999</v>
      </c>
      <c r="F9298" t="s">
        <v>3572</v>
      </c>
      <c r="G9298">
        <v>-89.803490999999994</v>
      </c>
      <c r="H9298">
        <v>1300</v>
      </c>
      <c r="I9298">
        <v>-151</v>
      </c>
      <c r="J9298">
        <v>-64</v>
      </c>
      <c r="K9298">
        <v>-384</v>
      </c>
      <c r="L9298">
        <v>1200</v>
      </c>
      <c r="M9298" t="str">
        <f t="shared" si="830"/>
        <v xml:space="preserve">N35DC   </v>
      </c>
      <c r="N9298">
        <v>1</v>
      </c>
      <c r="O9298">
        <v>1325</v>
      </c>
    </row>
    <row r="9299" spans="1:15" x14ac:dyDescent="0.25">
      <c r="A9299" t="str">
        <f>"10/21/2020 19:18:43.527"</f>
        <v>10/21/2020 19:18:43.527</v>
      </c>
      <c r="B9299" t="str">
        <f t="shared" ref="B9299:C9303" si="832">"19:18:51.484"</f>
        <v>19:18:51.484</v>
      </c>
      <c r="C9299" t="str">
        <f t="shared" si="832"/>
        <v>19:18:51.484</v>
      </c>
      <c r="D9299" t="s">
        <v>3573</v>
      </c>
      <c r="E9299">
        <v>30.384406999999999</v>
      </c>
      <c r="F9299" t="s">
        <v>3574</v>
      </c>
      <c r="G9299">
        <v>-89.805164000000005</v>
      </c>
      <c r="H9299">
        <v>1300</v>
      </c>
      <c r="I9299">
        <v>-150</v>
      </c>
      <c r="J9299">
        <v>-62</v>
      </c>
      <c r="K9299">
        <v>0</v>
      </c>
      <c r="L9299">
        <v>1200</v>
      </c>
      <c r="M9299" t="str">
        <f t="shared" si="830"/>
        <v xml:space="preserve">N35DC   </v>
      </c>
      <c r="N9299">
        <v>1</v>
      </c>
      <c r="O9299">
        <v>1325</v>
      </c>
    </row>
    <row r="9300" spans="1:15" x14ac:dyDescent="0.25">
      <c r="A9300" t="str">
        <f>"10/21/2020 19:18:43.527"</f>
        <v>10/21/2020 19:18:43.527</v>
      </c>
      <c r="B9300" t="str">
        <f t="shared" si="832"/>
        <v>19:18:51.484</v>
      </c>
      <c r="C9300" t="str">
        <f t="shared" si="832"/>
        <v>19:18:51.484</v>
      </c>
      <c r="D9300" t="s">
        <v>3573</v>
      </c>
      <c r="E9300">
        <v>30.384406999999999</v>
      </c>
      <c r="F9300" t="s">
        <v>3574</v>
      </c>
      <c r="G9300">
        <v>-89.805164000000005</v>
      </c>
      <c r="H9300">
        <v>1300</v>
      </c>
      <c r="I9300">
        <v>-150</v>
      </c>
      <c r="J9300">
        <v>-62</v>
      </c>
      <c r="K9300">
        <v>0</v>
      </c>
      <c r="L9300">
        <v>1200</v>
      </c>
      <c r="M9300" t="str">
        <f t="shared" si="830"/>
        <v xml:space="preserve">N35DC   </v>
      </c>
      <c r="N9300">
        <v>1</v>
      </c>
      <c r="O9300">
        <v>1325</v>
      </c>
    </row>
    <row r="9301" spans="1:15" x14ac:dyDescent="0.25">
      <c r="A9301" t="str">
        <f>"10/21/2020 19:18:43.527"</f>
        <v>10/21/2020 19:18:43.527</v>
      </c>
      <c r="B9301" t="str">
        <f t="shared" si="832"/>
        <v>19:18:51.484</v>
      </c>
      <c r="C9301" t="str">
        <f t="shared" si="832"/>
        <v>19:18:51.484</v>
      </c>
      <c r="D9301" t="s">
        <v>3573</v>
      </c>
      <c r="E9301">
        <v>30.384406999999999</v>
      </c>
      <c r="F9301" t="s">
        <v>3574</v>
      </c>
      <c r="G9301">
        <v>-89.805164000000005</v>
      </c>
      <c r="H9301">
        <v>1300</v>
      </c>
      <c r="I9301">
        <v>-150</v>
      </c>
      <c r="J9301">
        <v>-62</v>
      </c>
      <c r="K9301">
        <v>0</v>
      </c>
      <c r="L9301">
        <v>1200</v>
      </c>
      <c r="M9301" t="str">
        <f t="shared" si="830"/>
        <v xml:space="preserve">N35DC   </v>
      </c>
      <c r="N9301">
        <v>1</v>
      </c>
      <c r="O9301">
        <v>1325</v>
      </c>
    </row>
    <row r="9302" spans="1:15" x14ac:dyDescent="0.25">
      <c r="A9302" t="str">
        <f>"10/21/2020 19:18:43.527"</f>
        <v>10/21/2020 19:18:43.527</v>
      </c>
      <c r="B9302" t="str">
        <f t="shared" si="832"/>
        <v>19:18:51.484</v>
      </c>
      <c r="C9302" t="str">
        <f t="shared" si="832"/>
        <v>19:18:51.484</v>
      </c>
      <c r="D9302" t="s">
        <v>3573</v>
      </c>
      <c r="E9302">
        <v>30.384406999999999</v>
      </c>
      <c r="F9302" t="s">
        <v>3574</v>
      </c>
      <c r="G9302">
        <v>-89.805164000000005</v>
      </c>
      <c r="H9302">
        <v>1300</v>
      </c>
      <c r="I9302">
        <v>-150</v>
      </c>
      <c r="J9302">
        <v>-62</v>
      </c>
      <c r="K9302">
        <v>0</v>
      </c>
      <c r="L9302">
        <v>1200</v>
      </c>
      <c r="M9302" t="str">
        <f t="shared" si="830"/>
        <v xml:space="preserve">N35DC   </v>
      </c>
      <c r="N9302">
        <v>1</v>
      </c>
      <c r="O9302">
        <v>1325</v>
      </c>
    </row>
    <row r="9303" spans="1:15" x14ac:dyDescent="0.25">
      <c r="A9303" t="str">
        <f>"10/21/2020 19:18:43.527"</f>
        <v>10/21/2020 19:18:43.527</v>
      </c>
      <c r="B9303" t="str">
        <f t="shared" si="832"/>
        <v>19:18:51.484</v>
      </c>
      <c r="C9303" t="str">
        <f t="shared" si="832"/>
        <v>19:18:51.484</v>
      </c>
      <c r="D9303" t="s">
        <v>3573</v>
      </c>
      <c r="E9303">
        <v>30.384406999999999</v>
      </c>
      <c r="F9303" t="s">
        <v>3574</v>
      </c>
      <c r="G9303">
        <v>-89.805164000000005</v>
      </c>
      <c r="H9303">
        <v>1300</v>
      </c>
      <c r="I9303">
        <v>-150</v>
      </c>
      <c r="J9303">
        <v>-62</v>
      </c>
      <c r="K9303">
        <v>0</v>
      </c>
      <c r="L9303">
        <v>1200</v>
      </c>
      <c r="M9303" t="str">
        <f t="shared" si="830"/>
        <v xml:space="preserve">N35DC   </v>
      </c>
      <c r="N9303">
        <v>1</v>
      </c>
      <c r="O9303">
        <v>1325</v>
      </c>
    </row>
    <row r="9304" spans="1:15" x14ac:dyDescent="0.25">
      <c r="A9304" t="str">
        <f>"10/21/2020 19:18:44.335"</f>
        <v>10/21/2020 19:18:44.335</v>
      </c>
      <c r="B9304" t="str">
        <f>"19:18:52.320"</f>
        <v>19:18:52.320</v>
      </c>
      <c r="C9304" t="str">
        <f>"19:18:51.920"</f>
        <v>19:18:51.920</v>
      </c>
      <c r="D9304" t="s">
        <v>80</v>
      </c>
      <c r="E9304">
        <v>30.384170999999998</v>
      </c>
      <c r="F9304" t="s">
        <v>3575</v>
      </c>
      <c r="G9304">
        <v>-89.805871999999994</v>
      </c>
      <c r="H9304">
        <v>1300</v>
      </c>
      <c r="I9304">
        <v>-150</v>
      </c>
      <c r="J9304">
        <v>-62</v>
      </c>
      <c r="K9304">
        <v>-192</v>
      </c>
      <c r="L9304">
        <v>1200</v>
      </c>
      <c r="M9304" t="str">
        <f t="shared" si="830"/>
        <v xml:space="preserve">N35DC   </v>
      </c>
      <c r="N9304">
        <v>1</v>
      </c>
      <c r="O9304">
        <v>1325</v>
      </c>
    </row>
    <row r="9305" spans="1:15" x14ac:dyDescent="0.25">
      <c r="A9305" t="str">
        <f>"10/21/2020 19:18:44.335"</f>
        <v>10/21/2020 19:18:44.335</v>
      </c>
      <c r="B9305" t="str">
        <f>"19:18:52.320"</f>
        <v>19:18:52.320</v>
      </c>
      <c r="C9305" t="str">
        <f>"19:18:51.920"</f>
        <v>19:18:51.920</v>
      </c>
      <c r="D9305" t="s">
        <v>80</v>
      </c>
      <c r="E9305">
        <v>30.384170999999998</v>
      </c>
      <c r="F9305" t="s">
        <v>3575</v>
      </c>
      <c r="G9305">
        <v>-89.805871999999994</v>
      </c>
      <c r="H9305">
        <v>1300</v>
      </c>
      <c r="I9305">
        <v>-150</v>
      </c>
      <c r="J9305">
        <v>-62</v>
      </c>
      <c r="K9305">
        <v>-192</v>
      </c>
      <c r="L9305">
        <v>1200</v>
      </c>
      <c r="M9305" t="str">
        <f t="shared" si="830"/>
        <v xml:space="preserve">N35DC   </v>
      </c>
      <c r="N9305">
        <v>1</v>
      </c>
      <c r="O9305">
        <v>1325</v>
      </c>
    </row>
    <row r="9306" spans="1:15" x14ac:dyDescent="0.25">
      <c r="A9306" t="str">
        <f>"10/21/2020 19:18:44.335"</f>
        <v>10/21/2020 19:18:44.335</v>
      </c>
      <c r="B9306" t="str">
        <f>"19:18:52.320"</f>
        <v>19:18:52.320</v>
      </c>
      <c r="C9306" t="str">
        <f>"19:18:51.920"</f>
        <v>19:18:51.920</v>
      </c>
      <c r="D9306" t="s">
        <v>80</v>
      </c>
      <c r="E9306">
        <v>30.384170999999998</v>
      </c>
      <c r="F9306" t="s">
        <v>3575</v>
      </c>
      <c r="G9306">
        <v>-89.805871999999994</v>
      </c>
      <c r="H9306">
        <v>1300</v>
      </c>
      <c r="I9306">
        <v>-150</v>
      </c>
      <c r="J9306">
        <v>-62</v>
      </c>
      <c r="K9306">
        <v>-192</v>
      </c>
      <c r="L9306">
        <v>1200</v>
      </c>
      <c r="M9306" t="str">
        <f t="shared" si="830"/>
        <v xml:space="preserve">N35DC   </v>
      </c>
      <c r="N9306">
        <v>1</v>
      </c>
      <c r="O9306">
        <v>1325</v>
      </c>
    </row>
    <row r="9307" spans="1:15" x14ac:dyDescent="0.25">
      <c r="A9307" t="str">
        <f>"10/21/2020 19:18:44.335"</f>
        <v>10/21/2020 19:18:44.335</v>
      </c>
      <c r="B9307" t="str">
        <f>"19:18:52.320"</f>
        <v>19:18:52.320</v>
      </c>
      <c r="C9307" t="str">
        <f>"19:18:51.920"</f>
        <v>19:18:51.920</v>
      </c>
      <c r="D9307" t="s">
        <v>80</v>
      </c>
      <c r="E9307">
        <v>30.384170999999998</v>
      </c>
      <c r="F9307" t="s">
        <v>3575</v>
      </c>
      <c r="G9307">
        <v>-89.805871999999994</v>
      </c>
      <c r="H9307">
        <v>1300</v>
      </c>
      <c r="I9307">
        <v>-150</v>
      </c>
      <c r="J9307">
        <v>-62</v>
      </c>
      <c r="K9307">
        <v>-192</v>
      </c>
      <c r="L9307">
        <v>1200</v>
      </c>
      <c r="M9307" t="str">
        <f t="shared" si="830"/>
        <v xml:space="preserve">N35DC   </v>
      </c>
      <c r="N9307">
        <v>1</v>
      </c>
      <c r="O9307">
        <v>1325</v>
      </c>
    </row>
    <row r="9308" spans="1:15" x14ac:dyDescent="0.25">
      <c r="A9308" t="str">
        <f>"10/21/2020 19:18:44.335"</f>
        <v>10/21/2020 19:18:44.335</v>
      </c>
      <c r="B9308" t="str">
        <f>"19:18:52.320"</f>
        <v>19:18:52.320</v>
      </c>
      <c r="C9308" t="str">
        <f>"19:18:51.920"</f>
        <v>19:18:51.920</v>
      </c>
      <c r="D9308" t="s">
        <v>80</v>
      </c>
      <c r="E9308">
        <v>30.384170999999998</v>
      </c>
      <c r="F9308" t="s">
        <v>3575</v>
      </c>
      <c r="G9308">
        <v>-89.805871999999994</v>
      </c>
      <c r="H9308">
        <v>1300</v>
      </c>
      <c r="I9308">
        <v>-150</v>
      </c>
      <c r="J9308">
        <v>-62</v>
      </c>
      <c r="K9308">
        <v>-192</v>
      </c>
      <c r="L9308">
        <v>1200</v>
      </c>
      <c r="M9308" t="str">
        <f t="shared" si="830"/>
        <v xml:space="preserve">N35DC   </v>
      </c>
      <c r="N9308">
        <v>1</v>
      </c>
      <c r="O9308">
        <v>1325</v>
      </c>
    </row>
    <row r="9309" spans="1:15" x14ac:dyDescent="0.25">
      <c r="A9309" t="str">
        <f>"10/21/2020 19:18:46.474"</f>
        <v>10/21/2020 19:18:46.474</v>
      </c>
      <c r="B9309" t="str">
        <f>"19:18:54.438"</f>
        <v>19:18:54.438</v>
      </c>
      <c r="C9309" t="str">
        <f>"19:18:53.938"</f>
        <v>19:18:53.938</v>
      </c>
      <c r="D9309" t="s">
        <v>3576</v>
      </c>
      <c r="E9309">
        <v>30.383613</v>
      </c>
      <c r="F9309" t="s">
        <v>3025</v>
      </c>
      <c r="G9309">
        <v>-89.807568000000003</v>
      </c>
      <c r="H9309">
        <v>1300</v>
      </c>
      <c r="I9309">
        <v>-150</v>
      </c>
      <c r="J9309">
        <v>-61</v>
      </c>
      <c r="K9309">
        <v>-448</v>
      </c>
      <c r="L9309">
        <v>1200</v>
      </c>
      <c r="M9309" t="str">
        <f t="shared" si="830"/>
        <v xml:space="preserve">N35DC   </v>
      </c>
      <c r="N9309">
        <v>1</v>
      </c>
      <c r="O9309">
        <v>1300</v>
      </c>
    </row>
    <row r="9310" spans="1:15" x14ac:dyDescent="0.25">
      <c r="A9310" t="str">
        <f>"10/21/2020 19:18:46.474"</f>
        <v>10/21/2020 19:18:46.474</v>
      </c>
      <c r="B9310" t="str">
        <f>"19:18:54.438"</f>
        <v>19:18:54.438</v>
      </c>
      <c r="C9310" t="str">
        <f>"19:18:53.938"</f>
        <v>19:18:53.938</v>
      </c>
      <c r="D9310" t="s">
        <v>3576</v>
      </c>
      <c r="E9310">
        <v>30.383613</v>
      </c>
      <c r="F9310" t="s">
        <v>3025</v>
      </c>
      <c r="G9310">
        <v>-89.807568000000003</v>
      </c>
      <c r="H9310">
        <v>1300</v>
      </c>
      <c r="I9310">
        <v>-150</v>
      </c>
      <c r="J9310">
        <v>-61</v>
      </c>
      <c r="K9310">
        <v>-448</v>
      </c>
      <c r="L9310">
        <v>1200</v>
      </c>
      <c r="M9310" t="str">
        <f t="shared" si="830"/>
        <v xml:space="preserve">N35DC   </v>
      </c>
      <c r="N9310">
        <v>1</v>
      </c>
      <c r="O9310">
        <v>1300</v>
      </c>
    </row>
    <row r="9311" spans="1:15" x14ac:dyDescent="0.25">
      <c r="A9311" t="str">
        <f>"10/21/2020 19:18:46.474"</f>
        <v>10/21/2020 19:18:46.474</v>
      </c>
      <c r="B9311" t="str">
        <f>"19:18:54.438"</f>
        <v>19:18:54.438</v>
      </c>
      <c r="C9311" t="str">
        <f>"19:18:53.938"</f>
        <v>19:18:53.938</v>
      </c>
      <c r="D9311" t="s">
        <v>3576</v>
      </c>
      <c r="E9311">
        <v>30.383613</v>
      </c>
      <c r="F9311" t="s">
        <v>3025</v>
      </c>
      <c r="G9311">
        <v>-89.807568000000003</v>
      </c>
      <c r="H9311">
        <v>1300</v>
      </c>
      <c r="I9311">
        <v>-150</v>
      </c>
      <c r="J9311">
        <v>-61</v>
      </c>
      <c r="K9311">
        <v>-448</v>
      </c>
      <c r="L9311">
        <v>1200</v>
      </c>
      <c r="M9311" t="str">
        <f t="shared" si="830"/>
        <v xml:space="preserve">N35DC   </v>
      </c>
      <c r="N9311">
        <v>1</v>
      </c>
      <c r="O9311">
        <v>1300</v>
      </c>
    </row>
    <row r="9312" spans="1:15" x14ac:dyDescent="0.25">
      <c r="A9312" t="str">
        <f>"10/21/2020 19:18:46.474"</f>
        <v>10/21/2020 19:18:46.474</v>
      </c>
      <c r="B9312" t="str">
        <f>"19:18:54.438"</f>
        <v>19:18:54.438</v>
      </c>
      <c r="C9312" t="str">
        <f>"19:18:53.938"</f>
        <v>19:18:53.938</v>
      </c>
      <c r="D9312" t="s">
        <v>3576</v>
      </c>
      <c r="E9312">
        <v>30.383613</v>
      </c>
      <c r="F9312" t="s">
        <v>3025</v>
      </c>
      <c r="G9312">
        <v>-89.807568000000003</v>
      </c>
      <c r="H9312">
        <v>1300</v>
      </c>
      <c r="I9312">
        <v>-150</v>
      </c>
      <c r="J9312">
        <v>-61</v>
      </c>
      <c r="K9312">
        <v>-448</v>
      </c>
      <c r="L9312">
        <v>1200</v>
      </c>
      <c r="M9312" t="str">
        <f t="shared" si="830"/>
        <v xml:space="preserve">N35DC   </v>
      </c>
      <c r="N9312">
        <v>1</v>
      </c>
      <c r="O9312">
        <v>1300</v>
      </c>
    </row>
    <row r="9313" spans="1:15" x14ac:dyDescent="0.25">
      <c r="A9313" t="str">
        <f>"10/21/2020 19:18:46.474"</f>
        <v>10/21/2020 19:18:46.474</v>
      </c>
      <c r="B9313" t="str">
        <f>"19:18:54.438"</f>
        <v>19:18:54.438</v>
      </c>
      <c r="C9313" t="str">
        <f>"19:18:53.938"</f>
        <v>19:18:53.938</v>
      </c>
      <c r="D9313" t="s">
        <v>3576</v>
      </c>
      <c r="E9313">
        <v>30.383613</v>
      </c>
      <c r="F9313" t="s">
        <v>3025</v>
      </c>
      <c r="G9313">
        <v>-89.807568000000003</v>
      </c>
      <c r="H9313">
        <v>1300</v>
      </c>
      <c r="I9313">
        <v>-150</v>
      </c>
      <c r="J9313">
        <v>-61</v>
      </c>
      <c r="K9313">
        <v>-448</v>
      </c>
      <c r="L9313">
        <v>1200</v>
      </c>
      <c r="M9313" t="str">
        <f t="shared" si="830"/>
        <v xml:space="preserve">N35DC   </v>
      </c>
      <c r="N9313">
        <v>1</v>
      </c>
      <c r="O9313">
        <v>1300</v>
      </c>
    </row>
    <row r="9314" spans="1:15" x14ac:dyDescent="0.25">
      <c r="A9314" t="str">
        <f>"10/21/2020 19:18:47.518"</f>
        <v>10/21/2020 19:18:47.518</v>
      </c>
      <c r="B9314" t="str">
        <f>"19:18:55.453"</f>
        <v>19:18:55.453</v>
      </c>
      <c r="C9314" t="str">
        <f>"19:18:55.053"</f>
        <v>19:18:55.053</v>
      </c>
      <c r="D9314" t="s">
        <v>3577</v>
      </c>
      <c r="E9314">
        <v>30.383291</v>
      </c>
      <c r="F9314" t="s">
        <v>3578</v>
      </c>
      <c r="G9314">
        <v>-89.808403999999996</v>
      </c>
      <c r="H9314">
        <v>1300</v>
      </c>
      <c r="I9314">
        <v>-151</v>
      </c>
      <c r="J9314">
        <v>-60</v>
      </c>
      <c r="K9314">
        <v>-320</v>
      </c>
      <c r="L9314">
        <v>1200</v>
      </c>
      <c r="M9314" t="str">
        <f t="shared" si="830"/>
        <v xml:space="preserve">N35DC   </v>
      </c>
      <c r="N9314">
        <v>1</v>
      </c>
      <c r="O9314">
        <v>1300</v>
      </c>
    </row>
    <row r="9315" spans="1:15" x14ac:dyDescent="0.25">
      <c r="A9315" t="str">
        <f>"10/21/2020 19:18:47.518"</f>
        <v>10/21/2020 19:18:47.518</v>
      </c>
      <c r="B9315" t="str">
        <f>"19:18:55.453"</f>
        <v>19:18:55.453</v>
      </c>
      <c r="C9315" t="str">
        <f>"19:18:55.053"</f>
        <v>19:18:55.053</v>
      </c>
      <c r="D9315" t="s">
        <v>3577</v>
      </c>
      <c r="E9315">
        <v>30.383291</v>
      </c>
      <c r="F9315" t="s">
        <v>3578</v>
      </c>
      <c r="G9315">
        <v>-89.808403999999996</v>
      </c>
      <c r="H9315">
        <v>1300</v>
      </c>
      <c r="I9315">
        <v>-151</v>
      </c>
      <c r="J9315">
        <v>-60</v>
      </c>
      <c r="K9315">
        <v>-320</v>
      </c>
      <c r="L9315">
        <v>1200</v>
      </c>
      <c r="M9315" t="str">
        <f t="shared" si="830"/>
        <v xml:space="preserve">N35DC   </v>
      </c>
      <c r="N9315">
        <v>1</v>
      </c>
      <c r="O9315">
        <v>1300</v>
      </c>
    </row>
    <row r="9316" spans="1:15" x14ac:dyDescent="0.25">
      <c r="A9316" t="str">
        <f>"10/21/2020 19:18:47.518"</f>
        <v>10/21/2020 19:18:47.518</v>
      </c>
      <c r="B9316" t="str">
        <f>"19:18:55.453"</f>
        <v>19:18:55.453</v>
      </c>
      <c r="C9316" t="str">
        <f>"19:18:55.053"</f>
        <v>19:18:55.053</v>
      </c>
      <c r="D9316" t="s">
        <v>3577</v>
      </c>
      <c r="E9316">
        <v>30.383291</v>
      </c>
      <c r="F9316" t="s">
        <v>3578</v>
      </c>
      <c r="G9316">
        <v>-89.808403999999996</v>
      </c>
      <c r="H9316">
        <v>1300</v>
      </c>
      <c r="I9316">
        <v>-151</v>
      </c>
      <c r="J9316">
        <v>-60</v>
      </c>
      <c r="K9316">
        <v>-320</v>
      </c>
      <c r="L9316">
        <v>1200</v>
      </c>
      <c r="M9316" t="str">
        <f t="shared" si="830"/>
        <v xml:space="preserve">N35DC   </v>
      </c>
      <c r="N9316">
        <v>1</v>
      </c>
      <c r="O9316">
        <v>1300</v>
      </c>
    </row>
    <row r="9317" spans="1:15" x14ac:dyDescent="0.25">
      <c r="A9317" t="str">
        <f>"10/21/2020 19:18:47.518"</f>
        <v>10/21/2020 19:18:47.518</v>
      </c>
      <c r="B9317" t="str">
        <f>"19:18:55.453"</f>
        <v>19:18:55.453</v>
      </c>
      <c r="C9317" t="str">
        <f>"19:18:55.053"</f>
        <v>19:18:55.053</v>
      </c>
      <c r="D9317" t="s">
        <v>3577</v>
      </c>
      <c r="E9317">
        <v>30.383291</v>
      </c>
      <c r="F9317" t="s">
        <v>3578</v>
      </c>
      <c r="G9317">
        <v>-89.808403999999996</v>
      </c>
      <c r="H9317">
        <v>1300</v>
      </c>
      <c r="I9317">
        <v>-151</v>
      </c>
      <c r="J9317">
        <v>-60</v>
      </c>
      <c r="K9317">
        <v>-320</v>
      </c>
      <c r="L9317">
        <v>1200</v>
      </c>
      <c r="M9317" t="str">
        <f t="shared" si="830"/>
        <v xml:space="preserve">N35DC   </v>
      </c>
      <c r="N9317">
        <v>1</v>
      </c>
      <c r="O9317">
        <v>1300</v>
      </c>
    </row>
    <row r="9318" spans="1:15" x14ac:dyDescent="0.25">
      <c r="A9318" t="str">
        <f>"10/21/2020 19:18:47.518"</f>
        <v>10/21/2020 19:18:47.518</v>
      </c>
      <c r="B9318" t="str">
        <f>"19:18:55.453"</f>
        <v>19:18:55.453</v>
      </c>
      <c r="C9318" t="str">
        <f>"19:18:55.053"</f>
        <v>19:18:55.053</v>
      </c>
      <c r="D9318" t="s">
        <v>3577</v>
      </c>
      <c r="E9318">
        <v>30.383291</v>
      </c>
      <c r="F9318" t="s">
        <v>3578</v>
      </c>
      <c r="G9318">
        <v>-89.808403999999996</v>
      </c>
      <c r="H9318">
        <v>1300</v>
      </c>
      <c r="I9318">
        <v>-151</v>
      </c>
      <c r="J9318">
        <v>-60</v>
      </c>
      <c r="K9318">
        <v>-320</v>
      </c>
      <c r="L9318">
        <v>1200</v>
      </c>
      <c r="M9318" t="str">
        <f t="shared" si="830"/>
        <v xml:space="preserve">N35DC   </v>
      </c>
      <c r="N9318">
        <v>1</v>
      </c>
      <c r="O9318">
        <v>1300</v>
      </c>
    </row>
    <row r="9319" spans="1:15" x14ac:dyDescent="0.25">
      <c r="A9319" t="str">
        <f>"10/21/2020 19:18:48.390"</f>
        <v>10/21/2020 19:18:48.390</v>
      </c>
      <c r="B9319" t="str">
        <f>"19:18:56.359"</f>
        <v>19:18:56.359</v>
      </c>
      <c r="C9319" t="str">
        <f>"19:18:56.159"</f>
        <v>19:18:56.159</v>
      </c>
      <c r="D9319" t="s">
        <v>3579</v>
      </c>
      <c r="E9319">
        <v>30.383054999999999</v>
      </c>
      <c r="F9319" t="s">
        <v>372</v>
      </c>
      <c r="G9319">
        <v>-89.809112999999996</v>
      </c>
      <c r="H9319">
        <v>1300</v>
      </c>
      <c r="I9319">
        <v>-151</v>
      </c>
      <c r="J9319">
        <v>-60</v>
      </c>
      <c r="K9319">
        <v>-640</v>
      </c>
      <c r="L9319">
        <v>1200</v>
      </c>
      <c r="M9319" t="str">
        <f t="shared" si="830"/>
        <v xml:space="preserve">N35DC   </v>
      </c>
      <c r="N9319">
        <v>1</v>
      </c>
      <c r="O9319">
        <v>1300</v>
      </c>
    </row>
    <row r="9320" spans="1:15" x14ac:dyDescent="0.25">
      <c r="A9320" t="str">
        <f>"10/21/2020 19:18:48.390"</f>
        <v>10/21/2020 19:18:48.390</v>
      </c>
      <c r="B9320" t="str">
        <f>"19:18:56.359"</f>
        <v>19:18:56.359</v>
      </c>
      <c r="C9320" t="str">
        <f>"19:18:56.159"</f>
        <v>19:18:56.159</v>
      </c>
      <c r="D9320" t="s">
        <v>3579</v>
      </c>
      <c r="E9320">
        <v>30.383054999999999</v>
      </c>
      <c r="F9320" t="s">
        <v>372</v>
      </c>
      <c r="G9320">
        <v>-89.809112999999996</v>
      </c>
      <c r="H9320">
        <v>1300</v>
      </c>
      <c r="I9320">
        <v>-151</v>
      </c>
      <c r="J9320">
        <v>-60</v>
      </c>
      <c r="K9320">
        <v>-640</v>
      </c>
      <c r="L9320">
        <v>1200</v>
      </c>
      <c r="M9320" t="str">
        <f t="shared" si="830"/>
        <v xml:space="preserve">N35DC   </v>
      </c>
      <c r="N9320">
        <v>1</v>
      </c>
      <c r="O9320">
        <v>1300</v>
      </c>
    </row>
    <row r="9321" spans="1:15" x14ac:dyDescent="0.25">
      <c r="A9321" t="str">
        <f>"10/21/2020 19:18:48.390"</f>
        <v>10/21/2020 19:18:48.390</v>
      </c>
      <c r="B9321" t="str">
        <f>"19:18:56.359"</f>
        <v>19:18:56.359</v>
      </c>
      <c r="C9321" t="str">
        <f>"19:18:56.159"</f>
        <v>19:18:56.159</v>
      </c>
      <c r="D9321" t="s">
        <v>3579</v>
      </c>
      <c r="E9321">
        <v>30.383054999999999</v>
      </c>
      <c r="F9321" t="s">
        <v>372</v>
      </c>
      <c r="G9321">
        <v>-89.809112999999996</v>
      </c>
      <c r="H9321">
        <v>1300</v>
      </c>
      <c r="I9321">
        <v>-151</v>
      </c>
      <c r="J9321">
        <v>-60</v>
      </c>
      <c r="K9321">
        <v>-640</v>
      </c>
      <c r="L9321">
        <v>1200</v>
      </c>
      <c r="M9321" t="str">
        <f t="shared" si="830"/>
        <v xml:space="preserve">N35DC   </v>
      </c>
      <c r="N9321">
        <v>1</v>
      </c>
      <c r="O9321">
        <v>1300</v>
      </c>
    </row>
    <row r="9322" spans="1:15" x14ac:dyDescent="0.25">
      <c r="A9322" t="str">
        <f>"10/21/2020 19:18:48.390"</f>
        <v>10/21/2020 19:18:48.390</v>
      </c>
      <c r="B9322" t="str">
        <f>"19:18:56.359"</f>
        <v>19:18:56.359</v>
      </c>
      <c r="C9322" t="str">
        <f>"19:18:56.159"</f>
        <v>19:18:56.159</v>
      </c>
      <c r="D9322" t="s">
        <v>3579</v>
      </c>
      <c r="E9322">
        <v>30.383054999999999</v>
      </c>
      <c r="F9322" t="s">
        <v>372</v>
      </c>
      <c r="G9322">
        <v>-89.809112999999996</v>
      </c>
      <c r="H9322">
        <v>1300</v>
      </c>
      <c r="I9322">
        <v>-151</v>
      </c>
      <c r="J9322">
        <v>-60</v>
      </c>
      <c r="K9322">
        <v>-640</v>
      </c>
      <c r="L9322">
        <v>1200</v>
      </c>
      <c r="M9322" t="str">
        <f t="shared" si="830"/>
        <v xml:space="preserve">N35DC   </v>
      </c>
      <c r="N9322">
        <v>1</v>
      </c>
      <c r="O9322">
        <v>1300</v>
      </c>
    </row>
    <row r="9323" spans="1:15" x14ac:dyDescent="0.25">
      <c r="A9323" t="str">
        <f>"10/21/2020 19:18:48.390"</f>
        <v>10/21/2020 19:18:48.390</v>
      </c>
      <c r="B9323" t="str">
        <f>"19:18:56.359"</f>
        <v>19:18:56.359</v>
      </c>
      <c r="C9323" t="str">
        <f>"19:18:56.159"</f>
        <v>19:18:56.159</v>
      </c>
      <c r="D9323" t="s">
        <v>3579</v>
      </c>
      <c r="E9323">
        <v>30.383054999999999</v>
      </c>
      <c r="F9323" t="s">
        <v>372</v>
      </c>
      <c r="G9323">
        <v>-89.809112999999996</v>
      </c>
      <c r="H9323">
        <v>1300</v>
      </c>
      <c r="I9323">
        <v>-151</v>
      </c>
      <c r="J9323">
        <v>-60</v>
      </c>
      <c r="K9323">
        <v>-640</v>
      </c>
      <c r="L9323">
        <v>1200</v>
      </c>
      <c r="M9323" t="str">
        <f t="shared" si="830"/>
        <v xml:space="preserve">N35DC   </v>
      </c>
      <c r="N9323">
        <v>1</v>
      </c>
      <c r="O9323">
        <v>1300</v>
      </c>
    </row>
    <row r="9324" spans="1:15" x14ac:dyDescent="0.25">
      <c r="A9324" t="str">
        <f>"10/21/2020 19:18:49.347"</f>
        <v>10/21/2020 19:18:49.347</v>
      </c>
      <c r="B9324" t="str">
        <f>"19:18:57.328"</f>
        <v>19:18:57.328</v>
      </c>
      <c r="C9324" t="str">
        <f>"19:18:57.028"</f>
        <v>19:18:57.028</v>
      </c>
      <c r="D9324" t="s">
        <v>3580</v>
      </c>
      <c r="E9324">
        <v>30.382776</v>
      </c>
      <c r="F9324" t="s">
        <v>3051</v>
      </c>
      <c r="G9324">
        <v>-89.809884999999994</v>
      </c>
      <c r="H9324">
        <v>1200</v>
      </c>
      <c r="I9324">
        <v>-151</v>
      </c>
      <c r="J9324">
        <v>-59</v>
      </c>
      <c r="K9324">
        <v>-704</v>
      </c>
      <c r="L9324">
        <v>1200</v>
      </c>
      <c r="M9324" t="str">
        <f t="shared" si="830"/>
        <v xml:space="preserve">N35DC   </v>
      </c>
      <c r="N9324">
        <v>1</v>
      </c>
      <c r="O9324">
        <v>1275</v>
      </c>
    </row>
    <row r="9325" spans="1:15" x14ac:dyDescent="0.25">
      <c r="A9325" t="str">
        <f>"10/21/2020 19:18:49.347"</f>
        <v>10/21/2020 19:18:49.347</v>
      </c>
      <c r="B9325" t="str">
        <f>"19:18:57.328"</f>
        <v>19:18:57.328</v>
      </c>
      <c r="C9325" t="str">
        <f>"19:18:57.028"</f>
        <v>19:18:57.028</v>
      </c>
      <c r="D9325" t="s">
        <v>3580</v>
      </c>
      <c r="E9325">
        <v>30.382776</v>
      </c>
      <c r="F9325" t="s">
        <v>3051</v>
      </c>
      <c r="G9325">
        <v>-89.809884999999994</v>
      </c>
      <c r="H9325">
        <v>1200</v>
      </c>
      <c r="I9325">
        <v>-151</v>
      </c>
      <c r="J9325">
        <v>-59</v>
      </c>
      <c r="K9325">
        <v>-704</v>
      </c>
      <c r="L9325">
        <v>1200</v>
      </c>
      <c r="M9325" t="str">
        <f t="shared" si="830"/>
        <v xml:space="preserve">N35DC   </v>
      </c>
      <c r="N9325">
        <v>1</v>
      </c>
      <c r="O9325">
        <v>1275</v>
      </c>
    </row>
    <row r="9326" spans="1:15" x14ac:dyDescent="0.25">
      <c r="A9326" t="str">
        <f>"10/21/2020 19:18:49.347"</f>
        <v>10/21/2020 19:18:49.347</v>
      </c>
      <c r="B9326" t="str">
        <f>"19:18:57.328"</f>
        <v>19:18:57.328</v>
      </c>
      <c r="C9326" t="str">
        <f>"19:18:57.028"</f>
        <v>19:18:57.028</v>
      </c>
      <c r="D9326" t="s">
        <v>3580</v>
      </c>
      <c r="E9326">
        <v>30.382776</v>
      </c>
      <c r="F9326" t="s">
        <v>3051</v>
      </c>
      <c r="G9326">
        <v>-89.809884999999994</v>
      </c>
      <c r="H9326">
        <v>1200</v>
      </c>
      <c r="I9326">
        <v>-151</v>
      </c>
      <c r="J9326">
        <v>-59</v>
      </c>
      <c r="K9326">
        <v>-704</v>
      </c>
      <c r="L9326">
        <v>1200</v>
      </c>
      <c r="M9326" t="str">
        <f t="shared" si="830"/>
        <v xml:space="preserve">N35DC   </v>
      </c>
      <c r="N9326">
        <v>1</v>
      </c>
      <c r="O9326">
        <v>1275</v>
      </c>
    </row>
    <row r="9327" spans="1:15" x14ac:dyDescent="0.25">
      <c r="A9327" t="str">
        <f>"10/21/2020 19:18:49.347"</f>
        <v>10/21/2020 19:18:49.347</v>
      </c>
      <c r="B9327" t="str">
        <f>"19:18:57.328"</f>
        <v>19:18:57.328</v>
      </c>
      <c r="C9327" t="str">
        <f>"19:18:57.028"</f>
        <v>19:18:57.028</v>
      </c>
      <c r="D9327" t="s">
        <v>3580</v>
      </c>
      <c r="E9327">
        <v>30.382776</v>
      </c>
      <c r="F9327" t="s">
        <v>3051</v>
      </c>
      <c r="G9327">
        <v>-89.809884999999994</v>
      </c>
      <c r="H9327">
        <v>1200</v>
      </c>
      <c r="I9327">
        <v>-151</v>
      </c>
      <c r="J9327">
        <v>-59</v>
      </c>
      <c r="K9327">
        <v>-704</v>
      </c>
      <c r="L9327">
        <v>1200</v>
      </c>
      <c r="M9327" t="str">
        <f t="shared" si="830"/>
        <v xml:space="preserve">N35DC   </v>
      </c>
      <c r="N9327">
        <v>1</v>
      </c>
      <c r="O9327">
        <v>1275</v>
      </c>
    </row>
    <row r="9328" spans="1:15" x14ac:dyDescent="0.25">
      <c r="A9328" t="str">
        <f>"10/21/2020 19:18:49.347"</f>
        <v>10/21/2020 19:18:49.347</v>
      </c>
      <c r="B9328" t="str">
        <f>"19:18:57.328"</f>
        <v>19:18:57.328</v>
      </c>
      <c r="C9328" t="str">
        <f>"19:18:57.028"</f>
        <v>19:18:57.028</v>
      </c>
      <c r="D9328" t="s">
        <v>3580</v>
      </c>
      <c r="E9328">
        <v>30.382776</v>
      </c>
      <c r="F9328" t="s">
        <v>3051</v>
      </c>
      <c r="G9328">
        <v>-89.809884999999994</v>
      </c>
      <c r="H9328">
        <v>1200</v>
      </c>
      <c r="I9328">
        <v>-151</v>
      </c>
      <c r="J9328">
        <v>-59</v>
      </c>
      <c r="K9328">
        <v>-704</v>
      </c>
      <c r="L9328">
        <v>1200</v>
      </c>
      <c r="M9328" t="str">
        <f t="shared" si="830"/>
        <v xml:space="preserve">N35DC   </v>
      </c>
      <c r="N9328">
        <v>1</v>
      </c>
      <c r="O9328">
        <v>1275</v>
      </c>
    </row>
    <row r="9329" spans="1:15" x14ac:dyDescent="0.25">
      <c r="A9329" t="str">
        <f>"10/21/2020 19:18:51.490"</f>
        <v>10/21/2020 19:18:51.490</v>
      </c>
      <c r="B9329" t="str">
        <f>"19:18:59.445"</f>
        <v>19:18:59.445</v>
      </c>
      <c r="C9329" t="str">
        <f>"19:18:59.345"</f>
        <v>19:18:59.345</v>
      </c>
      <c r="D9329" t="s">
        <v>3581</v>
      </c>
      <c r="E9329">
        <v>30.382175</v>
      </c>
      <c r="F9329" t="s">
        <v>3582</v>
      </c>
      <c r="G9329">
        <v>-89.811580000000006</v>
      </c>
      <c r="H9329">
        <v>1200</v>
      </c>
      <c r="I9329">
        <v>-152</v>
      </c>
      <c r="J9329">
        <v>-60</v>
      </c>
      <c r="K9329">
        <v>-576</v>
      </c>
      <c r="L9329">
        <v>1200</v>
      </c>
      <c r="M9329" t="str">
        <f t="shared" si="830"/>
        <v xml:space="preserve">N35DC   </v>
      </c>
      <c r="N9329">
        <v>1</v>
      </c>
      <c r="O9329">
        <v>1250</v>
      </c>
    </row>
    <row r="9330" spans="1:15" x14ac:dyDescent="0.25">
      <c r="A9330" t="str">
        <f>"10/21/2020 19:18:51.490"</f>
        <v>10/21/2020 19:18:51.490</v>
      </c>
      <c r="B9330" t="str">
        <f>"19:18:59.445"</f>
        <v>19:18:59.445</v>
      </c>
      <c r="C9330" t="str">
        <f>"19:18:59.345"</f>
        <v>19:18:59.345</v>
      </c>
      <c r="D9330" t="s">
        <v>3581</v>
      </c>
      <c r="E9330">
        <v>30.382175</v>
      </c>
      <c r="F9330" t="s">
        <v>3582</v>
      </c>
      <c r="G9330">
        <v>-89.811580000000006</v>
      </c>
      <c r="H9330">
        <v>1200</v>
      </c>
      <c r="I9330">
        <v>-152</v>
      </c>
      <c r="J9330">
        <v>-60</v>
      </c>
      <c r="K9330">
        <v>-576</v>
      </c>
      <c r="L9330">
        <v>1200</v>
      </c>
      <c r="M9330" t="str">
        <f t="shared" si="830"/>
        <v xml:space="preserve">N35DC   </v>
      </c>
      <c r="N9330">
        <v>1</v>
      </c>
      <c r="O9330">
        <v>1250</v>
      </c>
    </row>
    <row r="9331" spans="1:15" x14ac:dyDescent="0.25">
      <c r="A9331" t="str">
        <f>"10/21/2020 19:18:51.490"</f>
        <v>10/21/2020 19:18:51.490</v>
      </c>
      <c r="B9331" t="str">
        <f>"19:18:59.445"</f>
        <v>19:18:59.445</v>
      </c>
      <c r="C9331" t="str">
        <f>"19:18:59.345"</f>
        <v>19:18:59.345</v>
      </c>
      <c r="D9331" t="s">
        <v>3581</v>
      </c>
      <c r="E9331">
        <v>30.382175</v>
      </c>
      <c r="F9331" t="s">
        <v>3582</v>
      </c>
      <c r="G9331">
        <v>-89.811580000000006</v>
      </c>
      <c r="H9331">
        <v>1200</v>
      </c>
      <c r="I9331">
        <v>-152</v>
      </c>
      <c r="J9331">
        <v>-60</v>
      </c>
      <c r="K9331">
        <v>-576</v>
      </c>
      <c r="L9331">
        <v>1200</v>
      </c>
      <c r="M9331" t="str">
        <f t="shared" si="830"/>
        <v xml:space="preserve">N35DC   </v>
      </c>
      <c r="N9331">
        <v>1</v>
      </c>
      <c r="O9331">
        <v>1250</v>
      </c>
    </row>
    <row r="9332" spans="1:15" x14ac:dyDescent="0.25">
      <c r="A9332" t="str">
        <f>"10/21/2020 19:18:51.490"</f>
        <v>10/21/2020 19:18:51.490</v>
      </c>
      <c r="B9332" t="str">
        <f>"19:18:59.445"</f>
        <v>19:18:59.445</v>
      </c>
      <c r="C9332" t="str">
        <f>"19:18:59.345"</f>
        <v>19:18:59.345</v>
      </c>
      <c r="D9332" t="s">
        <v>3581</v>
      </c>
      <c r="E9332">
        <v>30.382175</v>
      </c>
      <c r="F9332" t="s">
        <v>3582</v>
      </c>
      <c r="G9332">
        <v>-89.811580000000006</v>
      </c>
      <c r="H9332">
        <v>1200</v>
      </c>
      <c r="I9332">
        <v>-152</v>
      </c>
      <c r="J9332">
        <v>-60</v>
      </c>
      <c r="K9332">
        <v>-576</v>
      </c>
      <c r="L9332">
        <v>1200</v>
      </c>
      <c r="M9332" t="str">
        <f t="shared" si="830"/>
        <v xml:space="preserve">N35DC   </v>
      </c>
      <c r="N9332">
        <v>1</v>
      </c>
      <c r="O9332">
        <v>1250</v>
      </c>
    </row>
    <row r="9333" spans="1:15" x14ac:dyDescent="0.25">
      <c r="A9333" t="str">
        <f>"10/21/2020 19:18:51.490"</f>
        <v>10/21/2020 19:18:51.490</v>
      </c>
      <c r="B9333" t="str">
        <f>"19:18:59.445"</f>
        <v>19:18:59.445</v>
      </c>
      <c r="C9333" t="str">
        <f>"19:18:59.345"</f>
        <v>19:18:59.345</v>
      </c>
      <c r="D9333" t="s">
        <v>3581</v>
      </c>
      <c r="E9333">
        <v>30.382175</v>
      </c>
      <c r="F9333" t="s">
        <v>3582</v>
      </c>
      <c r="G9333">
        <v>-89.811580000000006</v>
      </c>
      <c r="H9333">
        <v>1200</v>
      </c>
      <c r="I9333">
        <v>-152</v>
      </c>
      <c r="J9333">
        <v>-60</v>
      </c>
      <c r="K9333">
        <v>-576</v>
      </c>
      <c r="L9333">
        <v>1200</v>
      </c>
      <c r="M9333" t="str">
        <f t="shared" si="830"/>
        <v xml:space="preserve">N35DC   </v>
      </c>
      <c r="N9333">
        <v>1</v>
      </c>
      <c r="O9333">
        <v>1250</v>
      </c>
    </row>
    <row r="9334" spans="1:15" x14ac:dyDescent="0.25">
      <c r="A9334" t="str">
        <f>"10/21/2020 19:18:52.568"</f>
        <v>10/21/2020 19:18:52.568</v>
      </c>
      <c r="B9334" t="str">
        <f>"19:19:00.523"</f>
        <v>19:19:00.523</v>
      </c>
      <c r="C9334" t="str">
        <f>"19:19:00.423"</f>
        <v>19:19:00.423</v>
      </c>
      <c r="D9334" t="s">
        <v>3583</v>
      </c>
      <c r="E9334">
        <v>30.381917999999999</v>
      </c>
      <c r="F9334" t="s">
        <v>2824</v>
      </c>
      <c r="G9334">
        <v>-89.812481000000005</v>
      </c>
      <c r="H9334">
        <v>1200</v>
      </c>
      <c r="I9334">
        <v>-152</v>
      </c>
      <c r="J9334">
        <v>-61</v>
      </c>
      <c r="K9334">
        <v>-512</v>
      </c>
      <c r="L9334">
        <v>1200</v>
      </c>
      <c r="M9334" t="str">
        <f t="shared" si="830"/>
        <v xml:space="preserve">N35DC   </v>
      </c>
      <c r="N9334">
        <v>1</v>
      </c>
      <c r="O9334">
        <v>1250</v>
      </c>
    </row>
    <row r="9335" spans="1:15" x14ac:dyDescent="0.25">
      <c r="A9335" t="str">
        <f>"10/21/2020 19:18:52.568"</f>
        <v>10/21/2020 19:18:52.568</v>
      </c>
      <c r="B9335" t="str">
        <f>"19:19:00.523"</f>
        <v>19:19:00.523</v>
      </c>
      <c r="C9335" t="str">
        <f>"19:19:00.423"</f>
        <v>19:19:00.423</v>
      </c>
      <c r="D9335" t="s">
        <v>3583</v>
      </c>
      <c r="E9335">
        <v>30.381917999999999</v>
      </c>
      <c r="F9335" t="s">
        <v>2824</v>
      </c>
      <c r="G9335">
        <v>-89.812481000000005</v>
      </c>
      <c r="H9335">
        <v>1200</v>
      </c>
      <c r="I9335">
        <v>-152</v>
      </c>
      <c r="J9335">
        <v>-61</v>
      </c>
      <c r="K9335">
        <v>-512</v>
      </c>
      <c r="L9335">
        <v>1200</v>
      </c>
      <c r="M9335" t="str">
        <f t="shared" si="830"/>
        <v xml:space="preserve">N35DC   </v>
      </c>
      <c r="N9335">
        <v>1</v>
      </c>
      <c r="O9335">
        <v>1250</v>
      </c>
    </row>
    <row r="9336" spans="1:15" x14ac:dyDescent="0.25">
      <c r="A9336" t="str">
        <f>"10/21/2020 19:18:52.568"</f>
        <v>10/21/2020 19:18:52.568</v>
      </c>
      <c r="B9336" t="str">
        <f>"19:19:00.523"</f>
        <v>19:19:00.523</v>
      </c>
      <c r="C9336" t="str">
        <f>"19:19:00.423"</f>
        <v>19:19:00.423</v>
      </c>
      <c r="D9336" t="s">
        <v>3583</v>
      </c>
      <c r="E9336">
        <v>30.381917999999999</v>
      </c>
      <c r="F9336" t="s">
        <v>2824</v>
      </c>
      <c r="G9336">
        <v>-89.812481000000005</v>
      </c>
      <c r="H9336">
        <v>1200</v>
      </c>
      <c r="I9336">
        <v>-152</v>
      </c>
      <c r="J9336">
        <v>-61</v>
      </c>
      <c r="K9336">
        <v>-512</v>
      </c>
      <c r="L9336">
        <v>1200</v>
      </c>
      <c r="M9336" t="str">
        <f t="shared" si="830"/>
        <v xml:space="preserve">N35DC   </v>
      </c>
      <c r="N9336">
        <v>1</v>
      </c>
      <c r="O9336">
        <v>1250</v>
      </c>
    </row>
    <row r="9337" spans="1:15" x14ac:dyDescent="0.25">
      <c r="A9337" t="str">
        <f>"10/21/2020 19:18:52.568"</f>
        <v>10/21/2020 19:18:52.568</v>
      </c>
      <c r="B9337" t="str">
        <f>"19:19:00.523"</f>
        <v>19:19:00.523</v>
      </c>
      <c r="C9337" t="str">
        <f>"19:19:00.423"</f>
        <v>19:19:00.423</v>
      </c>
      <c r="D9337" t="s">
        <v>3583</v>
      </c>
      <c r="E9337">
        <v>30.381917999999999</v>
      </c>
      <c r="F9337" t="s">
        <v>2824</v>
      </c>
      <c r="G9337">
        <v>-89.812481000000005</v>
      </c>
      <c r="H9337">
        <v>1200</v>
      </c>
      <c r="I9337">
        <v>-152</v>
      </c>
      <c r="J9337">
        <v>-61</v>
      </c>
      <c r="K9337">
        <v>-512</v>
      </c>
      <c r="L9337">
        <v>1200</v>
      </c>
      <c r="M9337" t="str">
        <f t="shared" si="830"/>
        <v xml:space="preserve">N35DC   </v>
      </c>
      <c r="N9337">
        <v>1</v>
      </c>
      <c r="O9337">
        <v>1250</v>
      </c>
    </row>
    <row r="9338" spans="1:15" x14ac:dyDescent="0.25">
      <c r="A9338" t="str">
        <f>"10/21/2020 19:18:52.568"</f>
        <v>10/21/2020 19:18:52.568</v>
      </c>
      <c r="B9338" t="str">
        <f>"19:19:00.523"</f>
        <v>19:19:00.523</v>
      </c>
      <c r="C9338" t="str">
        <f>"19:19:00.423"</f>
        <v>19:19:00.423</v>
      </c>
      <c r="D9338" t="s">
        <v>3583</v>
      </c>
      <c r="E9338">
        <v>30.381917999999999</v>
      </c>
      <c r="F9338" t="s">
        <v>2824</v>
      </c>
      <c r="G9338">
        <v>-89.812481000000005</v>
      </c>
      <c r="H9338">
        <v>1200</v>
      </c>
      <c r="I9338">
        <v>-152</v>
      </c>
      <c r="J9338">
        <v>-61</v>
      </c>
      <c r="K9338">
        <v>-512</v>
      </c>
      <c r="L9338">
        <v>1200</v>
      </c>
      <c r="M9338" t="str">
        <f t="shared" si="830"/>
        <v xml:space="preserve">N35DC   </v>
      </c>
      <c r="N9338">
        <v>1</v>
      </c>
      <c r="O9338">
        <v>1250</v>
      </c>
    </row>
    <row r="9339" spans="1:15" x14ac:dyDescent="0.25">
      <c r="A9339" t="str">
        <f>"10/21/2020 19:18:55.653"</f>
        <v>10/21/2020 19:18:55.653</v>
      </c>
      <c r="B9339" t="str">
        <f>"19:19:03.617"</f>
        <v>19:19:03.617</v>
      </c>
      <c r="C9339" t="str">
        <f>"19:19:03.217"</f>
        <v>19:19:03.217</v>
      </c>
      <c r="D9339" t="s">
        <v>3584</v>
      </c>
      <c r="E9339">
        <v>30.380994999999999</v>
      </c>
      <c r="F9339" t="s">
        <v>3585</v>
      </c>
      <c r="G9339">
        <v>-89.815012999999993</v>
      </c>
      <c r="H9339">
        <v>1200</v>
      </c>
      <c r="I9339">
        <v>-151</v>
      </c>
      <c r="J9339">
        <v>-62</v>
      </c>
      <c r="K9339">
        <v>64</v>
      </c>
      <c r="L9339">
        <v>1200</v>
      </c>
      <c r="M9339" t="str">
        <f t="shared" si="830"/>
        <v xml:space="preserve">N35DC   </v>
      </c>
      <c r="N9339">
        <v>1</v>
      </c>
      <c r="O9339">
        <v>1250</v>
      </c>
    </row>
    <row r="9340" spans="1:15" x14ac:dyDescent="0.25">
      <c r="A9340" t="str">
        <f>"10/21/2020 19:18:55.653"</f>
        <v>10/21/2020 19:18:55.653</v>
      </c>
      <c r="B9340" t="str">
        <f>"19:19:03.617"</f>
        <v>19:19:03.617</v>
      </c>
      <c r="C9340" t="str">
        <f>"19:19:03.217"</f>
        <v>19:19:03.217</v>
      </c>
      <c r="D9340" t="s">
        <v>3584</v>
      </c>
      <c r="E9340">
        <v>30.380994999999999</v>
      </c>
      <c r="F9340" t="s">
        <v>3585</v>
      </c>
      <c r="G9340">
        <v>-89.815012999999993</v>
      </c>
      <c r="H9340">
        <v>1200</v>
      </c>
      <c r="I9340">
        <v>-151</v>
      </c>
      <c r="J9340">
        <v>-62</v>
      </c>
      <c r="K9340">
        <v>64</v>
      </c>
      <c r="L9340">
        <v>1200</v>
      </c>
      <c r="M9340" t="str">
        <f t="shared" si="830"/>
        <v xml:space="preserve">N35DC   </v>
      </c>
      <c r="N9340">
        <v>1</v>
      </c>
      <c r="O9340">
        <v>1250</v>
      </c>
    </row>
    <row r="9341" spans="1:15" x14ac:dyDescent="0.25">
      <c r="A9341" t="str">
        <f>"10/21/2020 19:18:55.653"</f>
        <v>10/21/2020 19:18:55.653</v>
      </c>
      <c r="B9341" t="str">
        <f>"19:19:03.617"</f>
        <v>19:19:03.617</v>
      </c>
      <c r="C9341" t="str">
        <f>"19:19:03.217"</f>
        <v>19:19:03.217</v>
      </c>
      <c r="D9341" t="s">
        <v>3584</v>
      </c>
      <c r="E9341">
        <v>30.380994999999999</v>
      </c>
      <c r="F9341" t="s">
        <v>3585</v>
      </c>
      <c r="G9341">
        <v>-89.815012999999993</v>
      </c>
      <c r="H9341">
        <v>1200</v>
      </c>
      <c r="I9341">
        <v>-151</v>
      </c>
      <c r="J9341">
        <v>-62</v>
      </c>
      <c r="K9341">
        <v>64</v>
      </c>
      <c r="L9341">
        <v>1200</v>
      </c>
      <c r="M9341" t="str">
        <f t="shared" si="830"/>
        <v xml:space="preserve">N35DC   </v>
      </c>
      <c r="N9341">
        <v>1</v>
      </c>
      <c r="O9341">
        <v>1250</v>
      </c>
    </row>
    <row r="9342" spans="1:15" x14ac:dyDescent="0.25">
      <c r="A9342" t="str">
        <f>"10/21/2020 19:18:55.653"</f>
        <v>10/21/2020 19:18:55.653</v>
      </c>
      <c r="B9342" t="str">
        <f>"19:19:03.617"</f>
        <v>19:19:03.617</v>
      </c>
      <c r="C9342" t="str">
        <f>"19:19:03.217"</f>
        <v>19:19:03.217</v>
      </c>
      <c r="D9342" t="s">
        <v>3584</v>
      </c>
      <c r="E9342">
        <v>30.380994999999999</v>
      </c>
      <c r="F9342" t="s">
        <v>3585</v>
      </c>
      <c r="G9342">
        <v>-89.815012999999993</v>
      </c>
      <c r="H9342">
        <v>1200</v>
      </c>
      <c r="I9342">
        <v>-151</v>
      </c>
      <c r="J9342">
        <v>-62</v>
      </c>
      <c r="K9342">
        <v>64</v>
      </c>
      <c r="L9342">
        <v>1200</v>
      </c>
      <c r="M9342" t="str">
        <f t="shared" si="830"/>
        <v xml:space="preserve">N35DC   </v>
      </c>
      <c r="N9342">
        <v>1</v>
      </c>
      <c r="O9342">
        <v>1250</v>
      </c>
    </row>
    <row r="9343" spans="1:15" x14ac:dyDescent="0.25">
      <c r="A9343" t="str">
        <f>"10/21/2020 19:18:55.653"</f>
        <v>10/21/2020 19:18:55.653</v>
      </c>
      <c r="B9343" t="str">
        <f>"19:19:03.617"</f>
        <v>19:19:03.617</v>
      </c>
      <c r="C9343" t="str">
        <f>"19:19:03.217"</f>
        <v>19:19:03.217</v>
      </c>
      <c r="D9343" t="s">
        <v>3584</v>
      </c>
      <c r="E9343">
        <v>30.380994999999999</v>
      </c>
      <c r="F9343" t="s">
        <v>3585</v>
      </c>
      <c r="G9343">
        <v>-89.815012999999993</v>
      </c>
      <c r="H9343">
        <v>1200</v>
      </c>
      <c r="I9343">
        <v>-151</v>
      </c>
      <c r="J9343">
        <v>-62</v>
      </c>
      <c r="K9343">
        <v>64</v>
      </c>
      <c r="L9343">
        <v>1200</v>
      </c>
      <c r="M9343" t="str">
        <f t="shared" si="830"/>
        <v xml:space="preserve">N35DC   </v>
      </c>
      <c r="N9343">
        <v>1</v>
      </c>
      <c r="O9343">
        <v>1250</v>
      </c>
    </row>
    <row r="9344" spans="1:15" x14ac:dyDescent="0.25">
      <c r="A9344" t="str">
        <f>"10/21/2020 19:18:58.481"</f>
        <v>10/21/2020 19:18:58.481</v>
      </c>
      <c r="B9344" t="str">
        <f>"19:19:06.453"</f>
        <v>19:19:06.453</v>
      </c>
      <c r="C9344" t="str">
        <f>"19:19:06.253"</f>
        <v>19:19:06.253</v>
      </c>
      <c r="D9344" t="s">
        <v>3586</v>
      </c>
      <c r="E9344">
        <v>30.380179999999999</v>
      </c>
      <c r="F9344" t="s">
        <v>3587</v>
      </c>
      <c r="G9344">
        <v>-89.817266000000004</v>
      </c>
      <c r="H9344">
        <v>1200</v>
      </c>
      <c r="I9344">
        <v>-150</v>
      </c>
      <c r="J9344">
        <v>-63</v>
      </c>
      <c r="K9344">
        <v>-576</v>
      </c>
      <c r="L9344">
        <v>1200</v>
      </c>
      <c r="M9344" t="str">
        <f t="shared" si="830"/>
        <v xml:space="preserve">N35DC   </v>
      </c>
      <c r="N9344">
        <v>1</v>
      </c>
      <c r="O9344">
        <v>1225</v>
      </c>
    </row>
    <row r="9345" spans="1:15" x14ac:dyDescent="0.25">
      <c r="A9345" t="str">
        <f>"10/21/2020 19:18:58.481"</f>
        <v>10/21/2020 19:18:58.481</v>
      </c>
      <c r="B9345" t="str">
        <f>"19:19:06.453"</f>
        <v>19:19:06.453</v>
      </c>
      <c r="C9345" t="str">
        <f>"19:19:06.253"</f>
        <v>19:19:06.253</v>
      </c>
      <c r="D9345" t="s">
        <v>3586</v>
      </c>
      <c r="E9345">
        <v>30.380179999999999</v>
      </c>
      <c r="F9345" t="s">
        <v>3587</v>
      </c>
      <c r="G9345">
        <v>-89.817266000000004</v>
      </c>
      <c r="H9345">
        <v>1200</v>
      </c>
      <c r="I9345">
        <v>-150</v>
      </c>
      <c r="J9345">
        <v>-63</v>
      </c>
      <c r="K9345">
        <v>-576</v>
      </c>
      <c r="L9345">
        <v>1200</v>
      </c>
      <c r="M9345" t="str">
        <f t="shared" si="830"/>
        <v xml:space="preserve">N35DC   </v>
      </c>
      <c r="N9345">
        <v>1</v>
      </c>
      <c r="O9345">
        <v>1225</v>
      </c>
    </row>
    <row r="9346" spans="1:15" x14ac:dyDescent="0.25">
      <c r="A9346" t="str">
        <f>"10/21/2020 19:18:58.481"</f>
        <v>10/21/2020 19:18:58.481</v>
      </c>
      <c r="B9346" t="str">
        <f>"19:19:06.453"</f>
        <v>19:19:06.453</v>
      </c>
      <c r="C9346" t="str">
        <f>"19:19:06.253"</f>
        <v>19:19:06.253</v>
      </c>
      <c r="D9346" t="s">
        <v>3586</v>
      </c>
      <c r="E9346">
        <v>30.380179999999999</v>
      </c>
      <c r="F9346" t="s">
        <v>3587</v>
      </c>
      <c r="G9346">
        <v>-89.817266000000004</v>
      </c>
      <c r="H9346">
        <v>1200</v>
      </c>
      <c r="I9346">
        <v>-150</v>
      </c>
      <c r="J9346">
        <v>-63</v>
      </c>
      <c r="K9346">
        <v>-576</v>
      </c>
      <c r="L9346">
        <v>1200</v>
      </c>
      <c r="M9346" t="str">
        <f t="shared" si="830"/>
        <v xml:space="preserve">N35DC   </v>
      </c>
      <c r="N9346">
        <v>1</v>
      </c>
      <c r="O9346">
        <v>1225</v>
      </c>
    </row>
    <row r="9347" spans="1:15" x14ac:dyDescent="0.25">
      <c r="A9347" t="str">
        <f>"10/21/2020 19:18:58.481"</f>
        <v>10/21/2020 19:18:58.481</v>
      </c>
      <c r="B9347" t="str">
        <f>"19:19:06.453"</f>
        <v>19:19:06.453</v>
      </c>
      <c r="C9347" t="str">
        <f>"19:19:06.253"</f>
        <v>19:19:06.253</v>
      </c>
      <c r="D9347" t="s">
        <v>3586</v>
      </c>
      <c r="E9347">
        <v>30.380179999999999</v>
      </c>
      <c r="F9347" t="s">
        <v>3587</v>
      </c>
      <c r="G9347">
        <v>-89.817266000000004</v>
      </c>
      <c r="H9347">
        <v>1200</v>
      </c>
      <c r="I9347">
        <v>-150</v>
      </c>
      <c r="J9347">
        <v>-63</v>
      </c>
      <c r="K9347">
        <v>-576</v>
      </c>
      <c r="L9347">
        <v>1200</v>
      </c>
      <c r="M9347" t="str">
        <f t="shared" si="830"/>
        <v xml:space="preserve">N35DC   </v>
      </c>
      <c r="N9347">
        <v>1</v>
      </c>
      <c r="O9347">
        <v>1225</v>
      </c>
    </row>
    <row r="9348" spans="1:15" x14ac:dyDescent="0.25">
      <c r="A9348" t="str">
        <f>"10/21/2020 19:18:58.481"</f>
        <v>10/21/2020 19:18:58.481</v>
      </c>
      <c r="B9348" t="str">
        <f>"19:19:06.453"</f>
        <v>19:19:06.453</v>
      </c>
      <c r="C9348" t="str">
        <f>"19:19:06.253"</f>
        <v>19:19:06.253</v>
      </c>
      <c r="D9348" t="s">
        <v>3586</v>
      </c>
      <c r="E9348">
        <v>30.380179999999999</v>
      </c>
      <c r="F9348" t="s">
        <v>3587</v>
      </c>
      <c r="G9348">
        <v>-89.817266000000004</v>
      </c>
      <c r="H9348">
        <v>1200</v>
      </c>
      <c r="I9348">
        <v>-150</v>
      </c>
      <c r="J9348">
        <v>-63</v>
      </c>
      <c r="K9348">
        <v>-576</v>
      </c>
      <c r="L9348">
        <v>1200</v>
      </c>
      <c r="M9348" t="str">
        <f t="shared" si="830"/>
        <v xml:space="preserve">N35DC   </v>
      </c>
      <c r="N9348">
        <v>1</v>
      </c>
      <c r="O9348">
        <v>1225</v>
      </c>
    </row>
    <row r="9349" spans="1:15" x14ac:dyDescent="0.25">
      <c r="A9349" t="str">
        <f>"10/21/2020 19:18:59.677"</f>
        <v>10/21/2020 19:18:59.677</v>
      </c>
      <c r="B9349" t="str">
        <f t="shared" ref="B9349:C9353" si="833">"19:19:07.602"</f>
        <v>19:19:07.602</v>
      </c>
      <c r="C9349" t="str">
        <f t="shared" si="833"/>
        <v>19:19:07.602</v>
      </c>
      <c r="D9349" t="s">
        <v>3588</v>
      </c>
      <c r="E9349">
        <v>30.379857999999999</v>
      </c>
      <c r="F9349" t="s">
        <v>3589</v>
      </c>
      <c r="G9349">
        <v>-89.818189000000004</v>
      </c>
      <c r="H9349">
        <v>1200</v>
      </c>
      <c r="I9349">
        <v>-150</v>
      </c>
      <c r="J9349">
        <v>-63</v>
      </c>
      <c r="K9349">
        <v>-768</v>
      </c>
      <c r="L9349">
        <v>1200</v>
      </c>
      <c r="M9349" t="str">
        <f t="shared" si="830"/>
        <v xml:space="preserve">N35DC   </v>
      </c>
      <c r="N9349">
        <v>1</v>
      </c>
      <c r="O9349">
        <v>1200</v>
      </c>
    </row>
    <row r="9350" spans="1:15" x14ac:dyDescent="0.25">
      <c r="A9350" t="str">
        <f>"10/21/2020 19:18:59.677"</f>
        <v>10/21/2020 19:18:59.677</v>
      </c>
      <c r="B9350" t="str">
        <f t="shared" si="833"/>
        <v>19:19:07.602</v>
      </c>
      <c r="C9350" t="str">
        <f t="shared" si="833"/>
        <v>19:19:07.602</v>
      </c>
      <c r="D9350" t="s">
        <v>3588</v>
      </c>
      <c r="E9350">
        <v>30.379857999999999</v>
      </c>
      <c r="F9350" t="s">
        <v>3589</v>
      </c>
      <c r="G9350">
        <v>-89.818189000000004</v>
      </c>
      <c r="H9350">
        <v>1200</v>
      </c>
      <c r="I9350">
        <v>-150</v>
      </c>
      <c r="J9350">
        <v>-63</v>
      </c>
      <c r="K9350">
        <v>-768</v>
      </c>
      <c r="L9350">
        <v>1200</v>
      </c>
      <c r="M9350" t="str">
        <f t="shared" si="830"/>
        <v xml:space="preserve">N35DC   </v>
      </c>
      <c r="N9350">
        <v>1</v>
      </c>
      <c r="O9350">
        <v>1200</v>
      </c>
    </row>
    <row r="9351" spans="1:15" x14ac:dyDescent="0.25">
      <c r="A9351" t="str">
        <f>"10/21/2020 19:18:59.677"</f>
        <v>10/21/2020 19:18:59.677</v>
      </c>
      <c r="B9351" t="str">
        <f t="shared" si="833"/>
        <v>19:19:07.602</v>
      </c>
      <c r="C9351" t="str">
        <f t="shared" si="833"/>
        <v>19:19:07.602</v>
      </c>
      <c r="D9351" t="s">
        <v>3588</v>
      </c>
      <c r="E9351">
        <v>30.379857999999999</v>
      </c>
      <c r="F9351" t="s">
        <v>3589</v>
      </c>
      <c r="G9351">
        <v>-89.818189000000004</v>
      </c>
      <c r="H9351">
        <v>1200</v>
      </c>
      <c r="I9351">
        <v>-150</v>
      </c>
      <c r="J9351">
        <v>-63</v>
      </c>
      <c r="K9351">
        <v>-768</v>
      </c>
      <c r="L9351">
        <v>1200</v>
      </c>
      <c r="M9351" t="str">
        <f t="shared" ref="M9351:M9414" si="834">"N35DC   "</f>
        <v xml:space="preserve">N35DC   </v>
      </c>
      <c r="N9351">
        <v>1</v>
      </c>
      <c r="O9351">
        <v>1200</v>
      </c>
    </row>
    <row r="9352" spans="1:15" x14ac:dyDescent="0.25">
      <c r="A9352" t="str">
        <f>"10/21/2020 19:18:59.677"</f>
        <v>10/21/2020 19:18:59.677</v>
      </c>
      <c r="B9352" t="str">
        <f t="shared" si="833"/>
        <v>19:19:07.602</v>
      </c>
      <c r="C9352" t="str">
        <f t="shared" si="833"/>
        <v>19:19:07.602</v>
      </c>
      <c r="D9352" t="s">
        <v>3588</v>
      </c>
      <c r="E9352">
        <v>30.379857999999999</v>
      </c>
      <c r="F9352" t="s">
        <v>3589</v>
      </c>
      <c r="G9352">
        <v>-89.818189000000004</v>
      </c>
      <c r="H9352">
        <v>1200</v>
      </c>
      <c r="I9352">
        <v>-150</v>
      </c>
      <c r="J9352">
        <v>-63</v>
      </c>
      <c r="K9352">
        <v>-768</v>
      </c>
      <c r="L9352">
        <v>1200</v>
      </c>
      <c r="M9352" t="str">
        <f t="shared" si="834"/>
        <v xml:space="preserve">N35DC   </v>
      </c>
      <c r="N9352">
        <v>1</v>
      </c>
      <c r="O9352">
        <v>1200</v>
      </c>
    </row>
    <row r="9353" spans="1:15" x14ac:dyDescent="0.25">
      <c r="A9353" t="str">
        <f>"10/21/2020 19:18:59.677"</f>
        <v>10/21/2020 19:18:59.677</v>
      </c>
      <c r="B9353" t="str">
        <f t="shared" si="833"/>
        <v>19:19:07.602</v>
      </c>
      <c r="C9353" t="str">
        <f t="shared" si="833"/>
        <v>19:19:07.602</v>
      </c>
      <c r="D9353" t="s">
        <v>3588</v>
      </c>
      <c r="E9353">
        <v>30.379857999999999</v>
      </c>
      <c r="F9353" t="s">
        <v>3589</v>
      </c>
      <c r="G9353">
        <v>-89.818189000000004</v>
      </c>
      <c r="H9353">
        <v>1200</v>
      </c>
      <c r="I9353">
        <v>-150</v>
      </c>
      <c r="J9353">
        <v>-63</v>
      </c>
      <c r="K9353">
        <v>-768</v>
      </c>
      <c r="L9353">
        <v>1200</v>
      </c>
      <c r="M9353" t="str">
        <f t="shared" si="834"/>
        <v xml:space="preserve">N35DC   </v>
      </c>
      <c r="N9353">
        <v>1</v>
      </c>
      <c r="O9353">
        <v>1200</v>
      </c>
    </row>
    <row r="9354" spans="1:15" x14ac:dyDescent="0.25">
      <c r="A9354" t="str">
        <f>"10/21/2020 19:19:07.454"</f>
        <v>10/21/2020 19:19:07.454</v>
      </c>
      <c r="B9354" t="str">
        <f>"19:19:15.422"</f>
        <v>19:19:15.422</v>
      </c>
      <c r="C9354" t="str">
        <f>"19:19:15.322"</f>
        <v>19:19:15.322</v>
      </c>
      <c r="D9354" t="s">
        <v>3590</v>
      </c>
      <c r="E9354">
        <v>30.377562000000001</v>
      </c>
      <c r="F9354" t="s">
        <v>3591</v>
      </c>
      <c r="G9354">
        <v>-89.824432999999999</v>
      </c>
      <c r="H9354">
        <v>1100</v>
      </c>
      <c r="I9354">
        <v>-149</v>
      </c>
      <c r="J9354">
        <v>-64</v>
      </c>
      <c r="K9354">
        <v>-384</v>
      </c>
      <c r="L9354">
        <v>1200</v>
      </c>
      <c r="M9354" t="str">
        <f t="shared" si="834"/>
        <v xml:space="preserve">N35DC   </v>
      </c>
      <c r="N9354">
        <v>1</v>
      </c>
      <c r="O9354">
        <v>1150</v>
      </c>
    </row>
    <row r="9355" spans="1:15" x14ac:dyDescent="0.25">
      <c r="A9355" t="str">
        <f>"10/21/2020 19:19:07.454"</f>
        <v>10/21/2020 19:19:07.454</v>
      </c>
      <c r="B9355" t="str">
        <f>"19:19:15.422"</f>
        <v>19:19:15.422</v>
      </c>
      <c r="C9355" t="str">
        <f>"19:19:15.322"</f>
        <v>19:19:15.322</v>
      </c>
      <c r="D9355" t="s">
        <v>3590</v>
      </c>
      <c r="E9355">
        <v>30.377562000000001</v>
      </c>
      <c r="F9355" t="s">
        <v>3591</v>
      </c>
      <c r="G9355">
        <v>-89.824432999999999</v>
      </c>
      <c r="H9355">
        <v>1100</v>
      </c>
      <c r="I9355">
        <v>-149</v>
      </c>
      <c r="J9355">
        <v>-64</v>
      </c>
      <c r="K9355">
        <v>-384</v>
      </c>
      <c r="L9355">
        <v>1200</v>
      </c>
      <c r="M9355" t="str">
        <f t="shared" si="834"/>
        <v xml:space="preserve">N35DC   </v>
      </c>
      <c r="N9355">
        <v>1</v>
      </c>
      <c r="O9355">
        <v>1150</v>
      </c>
    </row>
    <row r="9356" spans="1:15" x14ac:dyDescent="0.25">
      <c r="A9356" t="str">
        <f>"10/21/2020 19:19:07.454"</f>
        <v>10/21/2020 19:19:07.454</v>
      </c>
      <c r="B9356" t="str">
        <f>"19:19:15.422"</f>
        <v>19:19:15.422</v>
      </c>
      <c r="C9356" t="str">
        <f>"19:19:15.322"</f>
        <v>19:19:15.322</v>
      </c>
      <c r="D9356" t="s">
        <v>3590</v>
      </c>
      <c r="E9356">
        <v>30.377562000000001</v>
      </c>
      <c r="F9356" t="s">
        <v>3591</v>
      </c>
      <c r="G9356">
        <v>-89.824432999999999</v>
      </c>
      <c r="H9356">
        <v>1100</v>
      </c>
      <c r="I9356">
        <v>-149</v>
      </c>
      <c r="J9356">
        <v>-64</v>
      </c>
      <c r="K9356">
        <v>-384</v>
      </c>
      <c r="L9356">
        <v>1200</v>
      </c>
      <c r="M9356" t="str">
        <f t="shared" si="834"/>
        <v xml:space="preserve">N35DC   </v>
      </c>
      <c r="N9356">
        <v>1</v>
      </c>
      <c r="O9356">
        <v>1150</v>
      </c>
    </row>
    <row r="9357" spans="1:15" x14ac:dyDescent="0.25">
      <c r="A9357" t="str">
        <f>"10/21/2020 19:19:07.454"</f>
        <v>10/21/2020 19:19:07.454</v>
      </c>
      <c r="B9357" t="str">
        <f>"19:19:15.422"</f>
        <v>19:19:15.422</v>
      </c>
      <c r="C9357" t="str">
        <f>"19:19:15.322"</f>
        <v>19:19:15.322</v>
      </c>
      <c r="D9357" t="s">
        <v>3590</v>
      </c>
      <c r="E9357">
        <v>30.377562000000001</v>
      </c>
      <c r="F9357" t="s">
        <v>3591</v>
      </c>
      <c r="G9357">
        <v>-89.824432999999999</v>
      </c>
      <c r="H9357">
        <v>1100</v>
      </c>
      <c r="I9357">
        <v>-149</v>
      </c>
      <c r="J9357">
        <v>-64</v>
      </c>
      <c r="K9357">
        <v>-384</v>
      </c>
      <c r="L9357">
        <v>1200</v>
      </c>
      <c r="M9357" t="str">
        <f t="shared" si="834"/>
        <v xml:space="preserve">N35DC   </v>
      </c>
      <c r="N9357">
        <v>1</v>
      </c>
      <c r="O9357">
        <v>1150</v>
      </c>
    </row>
    <row r="9358" spans="1:15" x14ac:dyDescent="0.25">
      <c r="A9358" t="str">
        <f>"10/21/2020 19:19:07.454"</f>
        <v>10/21/2020 19:19:07.454</v>
      </c>
      <c r="B9358" t="str">
        <f>"19:19:15.422"</f>
        <v>19:19:15.422</v>
      </c>
      <c r="C9358" t="str">
        <f>"19:19:15.322"</f>
        <v>19:19:15.322</v>
      </c>
      <c r="D9358" t="s">
        <v>3590</v>
      </c>
      <c r="E9358">
        <v>30.377562000000001</v>
      </c>
      <c r="F9358" t="s">
        <v>3591</v>
      </c>
      <c r="G9358">
        <v>-89.824432999999999</v>
      </c>
      <c r="H9358">
        <v>1100</v>
      </c>
      <c r="I9358">
        <v>-149</v>
      </c>
      <c r="J9358">
        <v>-64</v>
      </c>
      <c r="K9358">
        <v>-384</v>
      </c>
      <c r="L9358">
        <v>1200</v>
      </c>
      <c r="M9358" t="str">
        <f t="shared" si="834"/>
        <v xml:space="preserve">N35DC   </v>
      </c>
      <c r="N9358">
        <v>1</v>
      </c>
      <c r="O9358">
        <v>1150</v>
      </c>
    </row>
    <row r="9359" spans="1:15" x14ac:dyDescent="0.25">
      <c r="A9359" t="str">
        <f>"10/21/2020 19:19:10.229"</f>
        <v>10/21/2020 19:19:10.229</v>
      </c>
      <c r="B9359" t="str">
        <f t="shared" ref="B9359:C9363" si="835">"19:19:18.180"</f>
        <v>19:19:18.180</v>
      </c>
      <c r="C9359" t="str">
        <f t="shared" si="835"/>
        <v>19:19:18.180</v>
      </c>
      <c r="D9359" t="s">
        <v>3592</v>
      </c>
      <c r="E9359">
        <v>30.376681999999999</v>
      </c>
      <c r="F9359" t="s">
        <v>3593</v>
      </c>
      <c r="G9359">
        <v>-89.826643000000004</v>
      </c>
      <c r="H9359">
        <v>1100</v>
      </c>
      <c r="I9359">
        <v>-146</v>
      </c>
      <c r="J9359">
        <v>-71</v>
      </c>
      <c r="K9359">
        <v>-512</v>
      </c>
      <c r="L9359">
        <v>1200</v>
      </c>
      <c r="M9359" t="str">
        <f t="shared" si="834"/>
        <v xml:space="preserve">N35DC   </v>
      </c>
      <c r="N9359">
        <v>1</v>
      </c>
      <c r="O9359">
        <v>1125</v>
      </c>
    </row>
    <row r="9360" spans="1:15" x14ac:dyDescent="0.25">
      <c r="A9360" t="str">
        <f>"10/21/2020 19:19:10.229"</f>
        <v>10/21/2020 19:19:10.229</v>
      </c>
      <c r="B9360" t="str">
        <f t="shared" si="835"/>
        <v>19:19:18.180</v>
      </c>
      <c r="C9360" t="str">
        <f t="shared" si="835"/>
        <v>19:19:18.180</v>
      </c>
      <c r="D9360" t="s">
        <v>3592</v>
      </c>
      <c r="E9360">
        <v>30.376681999999999</v>
      </c>
      <c r="F9360" t="s">
        <v>3593</v>
      </c>
      <c r="G9360">
        <v>-89.826643000000004</v>
      </c>
      <c r="H9360">
        <v>1100</v>
      </c>
      <c r="I9360">
        <v>-146</v>
      </c>
      <c r="J9360">
        <v>-71</v>
      </c>
      <c r="K9360">
        <v>-512</v>
      </c>
      <c r="L9360">
        <v>1200</v>
      </c>
      <c r="M9360" t="str">
        <f t="shared" si="834"/>
        <v xml:space="preserve">N35DC   </v>
      </c>
      <c r="N9360">
        <v>1</v>
      </c>
      <c r="O9360">
        <v>1125</v>
      </c>
    </row>
    <row r="9361" spans="1:15" x14ac:dyDescent="0.25">
      <c r="A9361" t="str">
        <f>"10/21/2020 19:19:10.229"</f>
        <v>10/21/2020 19:19:10.229</v>
      </c>
      <c r="B9361" t="str">
        <f t="shared" si="835"/>
        <v>19:19:18.180</v>
      </c>
      <c r="C9361" t="str">
        <f t="shared" si="835"/>
        <v>19:19:18.180</v>
      </c>
      <c r="D9361" t="s">
        <v>3592</v>
      </c>
      <c r="E9361">
        <v>30.376681999999999</v>
      </c>
      <c r="F9361" t="s">
        <v>3593</v>
      </c>
      <c r="G9361">
        <v>-89.826643000000004</v>
      </c>
      <c r="H9361">
        <v>1100</v>
      </c>
      <c r="I9361">
        <v>-146</v>
      </c>
      <c r="J9361">
        <v>-71</v>
      </c>
      <c r="K9361">
        <v>-512</v>
      </c>
      <c r="L9361">
        <v>1200</v>
      </c>
      <c r="M9361" t="str">
        <f t="shared" si="834"/>
        <v xml:space="preserve">N35DC   </v>
      </c>
      <c r="N9361">
        <v>1</v>
      </c>
      <c r="O9361">
        <v>1125</v>
      </c>
    </row>
    <row r="9362" spans="1:15" x14ac:dyDescent="0.25">
      <c r="A9362" t="str">
        <f>"10/21/2020 19:19:10.229"</f>
        <v>10/21/2020 19:19:10.229</v>
      </c>
      <c r="B9362" t="str">
        <f t="shared" si="835"/>
        <v>19:19:18.180</v>
      </c>
      <c r="C9362" t="str">
        <f t="shared" si="835"/>
        <v>19:19:18.180</v>
      </c>
      <c r="D9362" t="s">
        <v>3592</v>
      </c>
      <c r="E9362">
        <v>30.376681999999999</v>
      </c>
      <c r="F9362" t="s">
        <v>3593</v>
      </c>
      <c r="G9362">
        <v>-89.826643000000004</v>
      </c>
      <c r="H9362">
        <v>1100</v>
      </c>
      <c r="I9362">
        <v>-146</v>
      </c>
      <c r="J9362">
        <v>-71</v>
      </c>
      <c r="K9362">
        <v>-512</v>
      </c>
      <c r="L9362">
        <v>1200</v>
      </c>
      <c r="M9362" t="str">
        <f t="shared" si="834"/>
        <v xml:space="preserve">N35DC   </v>
      </c>
      <c r="N9362">
        <v>1</v>
      </c>
      <c r="O9362">
        <v>1125</v>
      </c>
    </row>
    <row r="9363" spans="1:15" x14ac:dyDescent="0.25">
      <c r="A9363" t="str">
        <f>"10/21/2020 19:19:10.229"</f>
        <v>10/21/2020 19:19:10.229</v>
      </c>
      <c r="B9363" t="str">
        <f t="shared" si="835"/>
        <v>19:19:18.180</v>
      </c>
      <c r="C9363" t="str">
        <f t="shared" si="835"/>
        <v>19:19:18.180</v>
      </c>
      <c r="D9363" t="s">
        <v>3592</v>
      </c>
      <c r="E9363">
        <v>30.376681999999999</v>
      </c>
      <c r="F9363" t="s">
        <v>3593</v>
      </c>
      <c r="G9363">
        <v>-89.826643000000004</v>
      </c>
      <c r="H9363">
        <v>1100</v>
      </c>
      <c r="I9363">
        <v>-146</v>
      </c>
      <c r="J9363">
        <v>-71</v>
      </c>
      <c r="K9363">
        <v>-512</v>
      </c>
      <c r="L9363">
        <v>1200</v>
      </c>
      <c r="M9363" t="str">
        <f t="shared" si="834"/>
        <v xml:space="preserve">N35DC   </v>
      </c>
      <c r="N9363">
        <v>1</v>
      </c>
      <c r="O9363">
        <v>1125</v>
      </c>
    </row>
    <row r="9364" spans="1:15" x14ac:dyDescent="0.25">
      <c r="A9364" t="str">
        <f>"10/21/2020 19:19:15.494"</f>
        <v>10/21/2020 19:19:15.494</v>
      </c>
      <c r="B9364" t="str">
        <f>"19:19:23.461"</f>
        <v>19:19:23.461</v>
      </c>
      <c r="C9364" t="str">
        <f>"19:19:23.161"</f>
        <v>19:19:23.161</v>
      </c>
      <c r="D9364" t="s">
        <v>3594</v>
      </c>
      <c r="E9364">
        <v>30.374644</v>
      </c>
      <c r="F9364" t="s">
        <v>3595</v>
      </c>
      <c r="G9364">
        <v>-89.830527000000004</v>
      </c>
      <c r="H9364">
        <v>1000</v>
      </c>
      <c r="I9364">
        <v>-131</v>
      </c>
      <c r="J9364">
        <v>-94</v>
      </c>
      <c r="K9364">
        <v>-832</v>
      </c>
      <c r="L9364">
        <v>1200</v>
      </c>
      <c r="M9364" t="str">
        <f t="shared" si="834"/>
        <v xml:space="preserve">N35DC   </v>
      </c>
      <c r="N9364">
        <v>1</v>
      </c>
      <c r="O9364">
        <v>1175</v>
      </c>
    </row>
    <row r="9365" spans="1:15" x14ac:dyDescent="0.25">
      <c r="A9365" t="str">
        <f>"10/21/2020 19:19:15.494"</f>
        <v>10/21/2020 19:19:15.494</v>
      </c>
      <c r="B9365" t="str">
        <f>"19:19:23.461"</f>
        <v>19:19:23.461</v>
      </c>
      <c r="C9365" t="str">
        <f>"19:19:23.161"</f>
        <v>19:19:23.161</v>
      </c>
      <c r="D9365" t="s">
        <v>3594</v>
      </c>
      <c r="E9365">
        <v>30.374644</v>
      </c>
      <c r="F9365" t="s">
        <v>3595</v>
      </c>
      <c r="G9365">
        <v>-89.830527000000004</v>
      </c>
      <c r="H9365">
        <v>1000</v>
      </c>
      <c r="I9365">
        <v>-131</v>
      </c>
      <c r="J9365">
        <v>-94</v>
      </c>
      <c r="K9365">
        <v>-832</v>
      </c>
      <c r="L9365">
        <v>1200</v>
      </c>
      <c r="M9365" t="str">
        <f t="shared" si="834"/>
        <v xml:space="preserve">N35DC   </v>
      </c>
      <c r="N9365">
        <v>1</v>
      </c>
      <c r="O9365">
        <v>1175</v>
      </c>
    </row>
    <row r="9366" spans="1:15" x14ac:dyDescent="0.25">
      <c r="A9366" t="str">
        <f>"10/21/2020 19:19:15.494"</f>
        <v>10/21/2020 19:19:15.494</v>
      </c>
      <c r="B9366" t="str">
        <f>"19:19:23.461"</f>
        <v>19:19:23.461</v>
      </c>
      <c r="C9366" t="str">
        <f>"19:19:23.161"</f>
        <v>19:19:23.161</v>
      </c>
      <c r="D9366" t="s">
        <v>3594</v>
      </c>
      <c r="E9366">
        <v>30.374644</v>
      </c>
      <c r="F9366" t="s">
        <v>3595</v>
      </c>
      <c r="G9366">
        <v>-89.830527000000004</v>
      </c>
      <c r="H9366">
        <v>1000</v>
      </c>
      <c r="I9366">
        <v>-131</v>
      </c>
      <c r="J9366">
        <v>-94</v>
      </c>
      <c r="K9366">
        <v>-832</v>
      </c>
      <c r="L9366">
        <v>1200</v>
      </c>
      <c r="M9366" t="str">
        <f t="shared" si="834"/>
        <v xml:space="preserve">N35DC   </v>
      </c>
      <c r="N9366">
        <v>1</v>
      </c>
      <c r="O9366">
        <v>1175</v>
      </c>
    </row>
    <row r="9367" spans="1:15" x14ac:dyDescent="0.25">
      <c r="A9367" t="str">
        <f>"10/21/2020 19:19:15.494"</f>
        <v>10/21/2020 19:19:15.494</v>
      </c>
      <c r="B9367" t="str">
        <f>"19:19:23.461"</f>
        <v>19:19:23.461</v>
      </c>
      <c r="C9367" t="str">
        <f>"19:19:23.161"</f>
        <v>19:19:23.161</v>
      </c>
      <c r="D9367" t="s">
        <v>3594</v>
      </c>
      <c r="E9367">
        <v>30.374644</v>
      </c>
      <c r="F9367" t="s">
        <v>3595</v>
      </c>
      <c r="G9367">
        <v>-89.830527000000004</v>
      </c>
      <c r="H9367">
        <v>1000</v>
      </c>
      <c r="I9367">
        <v>-131</v>
      </c>
      <c r="J9367">
        <v>-94</v>
      </c>
      <c r="K9367">
        <v>-832</v>
      </c>
      <c r="L9367">
        <v>1200</v>
      </c>
      <c r="M9367" t="str">
        <f t="shared" si="834"/>
        <v xml:space="preserve">N35DC   </v>
      </c>
      <c r="N9367">
        <v>1</v>
      </c>
      <c r="O9367">
        <v>1175</v>
      </c>
    </row>
    <row r="9368" spans="1:15" x14ac:dyDescent="0.25">
      <c r="A9368" t="str">
        <f>"10/21/2020 19:19:15.494"</f>
        <v>10/21/2020 19:19:15.494</v>
      </c>
      <c r="B9368" t="str">
        <f>"19:19:23.461"</f>
        <v>19:19:23.461</v>
      </c>
      <c r="C9368" t="str">
        <f>"19:19:23.161"</f>
        <v>19:19:23.161</v>
      </c>
      <c r="D9368" t="s">
        <v>3594</v>
      </c>
      <c r="E9368">
        <v>30.374644</v>
      </c>
      <c r="F9368" t="s">
        <v>3595</v>
      </c>
      <c r="G9368">
        <v>-89.830527000000004</v>
      </c>
      <c r="H9368">
        <v>1000</v>
      </c>
      <c r="I9368">
        <v>-131</v>
      </c>
      <c r="J9368">
        <v>-94</v>
      </c>
      <c r="K9368">
        <v>-832</v>
      </c>
      <c r="L9368">
        <v>1200</v>
      </c>
      <c r="M9368" t="str">
        <f t="shared" si="834"/>
        <v xml:space="preserve">N35DC   </v>
      </c>
      <c r="N9368">
        <v>1</v>
      </c>
      <c r="O9368">
        <v>1175</v>
      </c>
    </row>
    <row r="9369" spans="1:15" x14ac:dyDescent="0.25">
      <c r="A9369" t="str">
        <f>"10/21/2020 19:19:16.357"</f>
        <v>10/21/2020 19:19:16.357</v>
      </c>
      <c r="B9369" t="str">
        <f>"19:19:24.328"</f>
        <v>19:19:24.328</v>
      </c>
      <c r="C9369" t="str">
        <f>"19:19:24.128"</f>
        <v>19:19:24.128</v>
      </c>
      <c r="D9369" t="s">
        <v>3596</v>
      </c>
      <c r="E9369">
        <v>30.374215</v>
      </c>
      <c r="F9369" t="s">
        <v>3597</v>
      </c>
      <c r="G9369">
        <v>-89.831085000000002</v>
      </c>
      <c r="H9369">
        <v>1000</v>
      </c>
      <c r="I9369">
        <v>-127</v>
      </c>
      <c r="J9369">
        <v>-100</v>
      </c>
      <c r="K9369">
        <v>-768</v>
      </c>
      <c r="L9369">
        <v>1200</v>
      </c>
      <c r="M9369" t="str">
        <f t="shared" si="834"/>
        <v xml:space="preserve">N35DC   </v>
      </c>
      <c r="N9369">
        <v>1</v>
      </c>
      <c r="O9369">
        <v>1075</v>
      </c>
    </row>
    <row r="9370" spans="1:15" x14ac:dyDescent="0.25">
      <c r="A9370" t="str">
        <f>"10/21/2020 19:19:16.357"</f>
        <v>10/21/2020 19:19:16.357</v>
      </c>
      <c r="B9370" t="str">
        <f>"19:19:24.328"</f>
        <v>19:19:24.328</v>
      </c>
      <c r="C9370" t="str">
        <f>"19:19:24.128"</f>
        <v>19:19:24.128</v>
      </c>
      <c r="D9370" t="s">
        <v>3596</v>
      </c>
      <c r="E9370">
        <v>30.374215</v>
      </c>
      <c r="F9370" t="s">
        <v>3597</v>
      </c>
      <c r="G9370">
        <v>-89.831085000000002</v>
      </c>
      <c r="H9370">
        <v>1000</v>
      </c>
      <c r="I9370">
        <v>-127</v>
      </c>
      <c r="J9370">
        <v>-100</v>
      </c>
      <c r="K9370">
        <v>-768</v>
      </c>
      <c r="L9370">
        <v>1200</v>
      </c>
      <c r="M9370" t="str">
        <f t="shared" si="834"/>
        <v xml:space="preserve">N35DC   </v>
      </c>
      <c r="N9370">
        <v>1</v>
      </c>
      <c r="O9370">
        <v>1075</v>
      </c>
    </row>
    <row r="9371" spans="1:15" x14ac:dyDescent="0.25">
      <c r="A9371" t="str">
        <f>"10/21/2020 19:19:16.357"</f>
        <v>10/21/2020 19:19:16.357</v>
      </c>
      <c r="B9371" t="str">
        <f>"19:19:24.328"</f>
        <v>19:19:24.328</v>
      </c>
      <c r="C9371" t="str">
        <f>"19:19:24.128"</f>
        <v>19:19:24.128</v>
      </c>
      <c r="D9371" t="s">
        <v>3596</v>
      </c>
      <c r="E9371">
        <v>30.374215</v>
      </c>
      <c r="F9371" t="s">
        <v>3597</v>
      </c>
      <c r="G9371">
        <v>-89.831085000000002</v>
      </c>
      <c r="H9371">
        <v>1000</v>
      </c>
      <c r="I9371">
        <v>-127</v>
      </c>
      <c r="J9371">
        <v>-100</v>
      </c>
      <c r="K9371">
        <v>-768</v>
      </c>
      <c r="L9371">
        <v>1200</v>
      </c>
      <c r="M9371" t="str">
        <f t="shared" si="834"/>
        <v xml:space="preserve">N35DC   </v>
      </c>
      <c r="N9371">
        <v>1</v>
      </c>
      <c r="O9371">
        <v>1075</v>
      </c>
    </row>
    <row r="9372" spans="1:15" x14ac:dyDescent="0.25">
      <c r="A9372" t="str">
        <f>"10/21/2020 19:19:16.357"</f>
        <v>10/21/2020 19:19:16.357</v>
      </c>
      <c r="B9372" t="str">
        <f>"19:19:24.328"</f>
        <v>19:19:24.328</v>
      </c>
      <c r="C9372" t="str">
        <f>"19:19:24.128"</f>
        <v>19:19:24.128</v>
      </c>
      <c r="D9372" t="s">
        <v>3596</v>
      </c>
      <c r="E9372">
        <v>30.374215</v>
      </c>
      <c r="F9372" t="s">
        <v>3597</v>
      </c>
      <c r="G9372">
        <v>-89.831085000000002</v>
      </c>
      <c r="H9372">
        <v>1000</v>
      </c>
      <c r="I9372">
        <v>-127</v>
      </c>
      <c r="J9372">
        <v>-100</v>
      </c>
      <c r="K9372">
        <v>-768</v>
      </c>
      <c r="L9372">
        <v>1200</v>
      </c>
      <c r="M9372" t="str">
        <f t="shared" si="834"/>
        <v xml:space="preserve">N35DC   </v>
      </c>
      <c r="N9372">
        <v>1</v>
      </c>
      <c r="O9372">
        <v>1075</v>
      </c>
    </row>
    <row r="9373" spans="1:15" x14ac:dyDescent="0.25">
      <c r="A9373" t="str">
        <f>"10/21/2020 19:19:16.357"</f>
        <v>10/21/2020 19:19:16.357</v>
      </c>
      <c r="B9373" t="str">
        <f>"19:19:24.328"</f>
        <v>19:19:24.328</v>
      </c>
      <c r="C9373" t="str">
        <f>"19:19:24.128"</f>
        <v>19:19:24.128</v>
      </c>
      <c r="D9373" t="s">
        <v>3596</v>
      </c>
      <c r="E9373">
        <v>30.374215</v>
      </c>
      <c r="F9373" t="s">
        <v>3597</v>
      </c>
      <c r="G9373">
        <v>-89.831085000000002</v>
      </c>
      <c r="H9373">
        <v>1000</v>
      </c>
      <c r="I9373">
        <v>-127</v>
      </c>
      <c r="J9373">
        <v>-100</v>
      </c>
      <c r="K9373">
        <v>-768</v>
      </c>
      <c r="L9373">
        <v>1200</v>
      </c>
      <c r="M9373" t="str">
        <f t="shared" si="834"/>
        <v xml:space="preserve">N35DC   </v>
      </c>
      <c r="N9373">
        <v>1</v>
      </c>
      <c r="O9373">
        <v>1075</v>
      </c>
    </row>
    <row r="9374" spans="1:15" x14ac:dyDescent="0.25">
      <c r="A9374" t="str">
        <f>"10/21/2020 19:19:18.414"</f>
        <v>10/21/2020 19:19:18.414</v>
      </c>
      <c r="B9374" t="str">
        <f>"19:19:26.383"</f>
        <v>19:19:26.383</v>
      </c>
      <c r="C9374" t="str">
        <f>"19:19:26.183"</f>
        <v>19:19:26.183</v>
      </c>
      <c r="D9374" t="s">
        <v>3598</v>
      </c>
      <c r="E9374">
        <v>30.373163000000002</v>
      </c>
      <c r="F9374" t="s">
        <v>3599</v>
      </c>
      <c r="G9374">
        <v>-89.832393999999994</v>
      </c>
      <c r="H9374">
        <v>1000</v>
      </c>
      <c r="I9374">
        <v>-116</v>
      </c>
      <c r="J9374">
        <v>-112</v>
      </c>
      <c r="K9374">
        <v>-640</v>
      </c>
      <c r="L9374">
        <v>1200</v>
      </c>
      <c r="M9374" t="str">
        <f t="shared" si="834"/>
        <v xml:space="preserve">N35DC   </v>
      </c>
      <c r="N9374">
        <v>1</v>
      </c>
      <c r="O9374">
        <v>1050</v>
      </c>
    </row>
    <row r="9375" spans="1:15" x14ac:dyDescent="0.25">
      <c r="A9375" t="str">
        <f>"10/21/2020 19:19:18.414"</f>
        <v>10/21/2020 19:19:18.414</v>
      </c>
      <c r="B9375" t="str">
        <f>"19:19:26.383"</f>
        <v>19:19:26.383</v>
      </c>
      <c r="C9375" t="str">
        <f>"19:19:26.183"</f>
        <v>19:19:26.183</v>
      </c>
      <c r="D9375" t="s">
        <v>3598</v>
      </c>
      <c r="E9375">
        <v>30.373163000000002</v>
      </c>
      <c r="F9375" t="s">
        <v>3599</v>
      </c>
      <c r="G9375">
        <v>-89.832393999999994</v>
      </c>
      <c r="H9375">
        <v>1000</v>
      </c>
      <c r="I9375">
        <v>-116</v>
      </c>
      <c r="J9375">
        <v>-112</v>
      </c>
      <c r="K9375">
        <v>-640</v>
      </c>
      <c r="L9375">
        <v>1200</v>
      </c>
      <c r="M9375" t="str">
        <f t="shared" si="834"/>
        <v xml:space="preserve">N35DC   </v>
      </c>
      <c r="N9375">
        <v>1</v>
      </c>
      <c r="O9375">
        <v>1050</v>
      </c>
    </row>
    <row r="9376" spans="1:15" x14ac:dyDescent="0.25">
      <c r="A9376" t="str">
        <f>"10/21/2020 19:19:18.414"</f>
        <v>10/21/2020 19:19:18.414</v>
      </c>
      <c r="B9376" t="str">
        <f>"19:19:26.383"</f>
        <v>19:19:26.383</v>
      </c>
      <c r="C9376" t="str">
        <f>"19:19:26.183"</f>
        <v>19:19:26.183</v>
      </c>
      <c r="D9376" t="s">
        <v>3598</v>
      </c>
      <c r="E9376">
        <v>30.373163000000002</v>
      </c>
      <c r="F9376" t="s">
        <v>3599</v>
      </c>
      <c r="G9376">
        <v>-89.832393999999994</v>
      </c>
      <c r="H9376">
        <v>1000</v>
      </c>
      <c r="I9376">
        <v>-116</v>
      </c>
      <c r="J9376">
        <v>-112</v>
      </c>
      <c r="K9376">
        <v>-640</v>
      </c>
      <c r="L9376">
        <v>1200</v>
      </c>
      <c r="M9376" t="str">
        <f t="shared" si="834"/>
        <v xml:space="preserve">N35DC   </v>
      </c>
      <c r="N9376">
        <v>1</v>
      </c>
      <c r="O9376">
        <v>1050</v>
      </c>
    </row>
    <row r="9377" spans="1:15" x14ac:dyDescent="0.25">
      <c r="A9377" t="str">
        <f>"10/21/2020 19:19:18.414"</f>
        <v>10/21/2020 19:19:18.414</v>
      </c>
      <c r="B9377" t="str">
        <f>"19:19:26.383"</f>
        <v>19:19:26.383</v>
      </c>
      <c r="C9377" t="str">
        <f>"19:19:26.183"</f>
        <v>19:19:26.183</v>
      </c>
      <c r="D9377" t="s">
        <v>3598</v>
      </c>
      <c r="E9377">
        <v>30.373163000000002</v>
      </c>
      <c r="F9377" t="s">
        <v>3599</v>
      </c>
      <c r="G9377">
        <v>-89.832393999999994</v>
      </c>
      <c r="H9377">
        <v>1000</v>
      </c>
      <c r="I9377">
        <v>-116</v>
      </c>
      <c r="J9377">
        <v>-112</v>
      </c>
      <c r="K9377">
        <v>-640</v>
      </c>
      <c r="L9377">
        <v>1200</v>
      </c>
      <c r="M9377" t="str">
        <f t="shared" si="834"/>
        <v xml:space="preserve">N35DC   </v>
      </c>
      <c r="N9377">
        <v>1</v>
      </c>
      <c r="O9377">
        <v>1050</v>
      </c>
    </row>
    <row r="9378" spans="1:15" x14ac:dyDescent="0.25">
      <c r="A9378" t="str">
        <f>"10/21/2020 19:19:18.414"</f>
        <v>10/21/2020 19:19:18.414</v>
      </c>
      <c r="B9378" t="str">
        <f>"19:19:26.383"</f>
        <v>19:19:26.383</v>
      </c>
      <c r="C9378" t="str">
        <f>"19:19:26.183"</f>
        <v>19:19:26.183</v>
      </c>
      <c r="D9378" t="s">
        <v>3598</v>
      </c>
      <c r="E9378">
        <v>30.373163000000002</v>
      </c>
      <c r="F9378" t="s">
        <v>3599</v>
      </c>
      <c r="G9378">
        <v>-89.832393999999994</v>
      </c>
      <c r="H9378">
        <v>1000</v>
      </c>
      <c r="I9378">
        <v>-116</v>
      </c>
      <c r="J9378">
        <v>-112</v>
      </c>
      <c r="K9378">
        <v>-640</v>
      </c>
      <c r="L9378">
        <v>1200</v>
      </c>
      <c r="M9378" t="str">
        <f t="shared" si="834"/>
        <v xml:space="preserve">N35DC   </v>
      </c>
      <c r="N9378">
        <v>1</v>
      </c>
      <c r="O9378">
        <v>1050</v>
      </c>
    </row>
    <row r="9379" spans="1:15" x14ac:dyDescent="0.25">
      <c r="A9379" t="str">
        <f>"10/21/2020 19:19:19.393"</f>
        <v>10/21/2020 19:19:19.393</v>
      </c>
      <c r="B9379" t="str">
        <f t="shared" ref="B9379:C9383" si="836">"19:19:27.328"</f>
        <v>19:19:27.328</v>
      </c>
      <c r="C9379" t="str">
        <f t="shared" si="836"/>
        <v>19:19:27.328</v>
      </c>
      <c r="D9379" t="s">
        <v>3600</v>
      </c>
      <c r="E9379">
        <v>30.372669999999999</v>
      </c>
      <c r="F9379" t="s">
        <v>3601</v>
      </c>
      <c r="G9379">
        <v>-89.832994999999997</v>
      </c>
      <c r="H9379">
        <v>1000</v>
      </c>
      <c r="I9379">
        <v>-110</v>
      </c>
      <c r="J9379">
        <v>-117</v>
      </c>
      <c r="K9379">
        <v>-704</v>
      </c>
      <c r="L9379">
        <v>1200</v>
      </c>
      <c r="M9379" t="str">
        <f t="shared" si="834"/>
        <v xml:space="preserve">N35DC   </v>
      </c>
      <c r="N9379">
        <v>1</v>
      </c>
      <c r="O9379">
        <v>1025</v>
      </c>
    </row>
    <row r="9380" spans="1:15" x14ac:dyDescent="0.25">
      <c r="A9380" t="str">
        <f>"10/21/2020 19:19:19.393"</f>
        <v>10/21/2020 19:19:19.393</v>
      </c>
      <c r="B9380" t="str">
        <f t="shared" si="836"/>
        <v>19:19:27.328</v>
      </c>
      <c r="C9380" t="str">
        <f t="shared" si="836"/>
        <v>19:19:27.328</v>
      </c>
      <c r="D9380" t="s">
        <v>3600</v>
      </c>
      <c r="E9380">
        <v>30.372669999999999</v>
      </c>
      <c r="F9380" t="s">
        <v>3601</v>
      </c>
      <c r="G9380">
        <v>-89.832994999999997</v>
      </c>
      <c r="H9380">
        <v>1000</v>
      </c>
      <c r="I9380">
        <v>-110</v>
      </c>
      <c r="J9380">
        <v>-117</v>
      </c>
      <c r="K9380">
        <v>-704</v>
      </c>
      <c r="L9380">
        <v>1200</v>
      </c>
      <c r="M9380" t="str">
        <f t="shared" si="834"/>
        <v xml:space="preserve">N35DC   </v>
      </c>
      <c r="N9380">
        <v>1</v>
      </c>
      <c r="O9380">
        <v>1025</v>
      </c>
    </row>
    <row r="9381" spans="1:15" x14ac:dyDescent="0.25">
      <c r="A9381" t="str">
        <f>"10/21/2020 19:19:19.393"</f>
        <v>10/21/2020 19:19:19.393</v>
      </c>
      <c r="B9381" t="str">
        <f t="shared" si="836"/>
        <v>19:19:27.328</v>
      </c>
      <c r="C9381" t="str">
        <f t="shared" si="836"/>
        <v>19:19:27.328</v>
      </c>
      <c r="D9381" t="s">
        <v>3600</v>
      </c>
      <c r="E9381">
        <v>30.372669999999999</v>
      </c>
      <c r="F9381" t="s">
        <v>3601</v>
      </c>
      <c r="G9381">
        <v>-89.832994999999997</v>
      </c>
      <c r="H9381">
        <v>1000</v>
      </c>
      <c r="I9381">
        <v>-110</v>
      </c>
      <c r="J9381">
        <v>-117</v>
      </c>
      <c r="K9381">
        <v>-704</v>
      </c>
      <c r="L9381">
        <v>1200</v>
      </c>
      <c r="M9381" t="str">
        <f t="shared" si="834"/>
        <v xml:space="preserve">N35DC   </v>
      </c>
      <c r="N9381">
        <v>1</v>
      </c>
      <c r="O9381">
        <v>1025</v>
      </c>
    </row>
    <row r="9382" spans="1:15" x14ac:dyDescent="0.25">
      <c r="A9382" t="str">
        <f>"10/21/2020 19:19:19.393"</f>
        <v>10/21/2020 19:19:19.393</v>
      </c>
      <c r="B9382" t="str">
        <f t="shared" si="836"/>
        <v>19:19:27.328</v>
      </c>
      <c r="C9382" t="str">
        <f t="shared" si="836"/>
        <v>19:19:27.328</v>
      </c>
      <c r="D9382" t="s">
        <v>3600</v>
      </c>
      <c r="E9382">
        <v>30.372669999999999</v>
      </c>
      <c r="F9382" t="s">
        <v>3601</v>
      </c>
      <c r="G9382">
        <v>-89.832994999999997</v>
      </c>
      <c r="H9382">
        <v>1000</v>
      </c>
      <c r="I9382">
        <v>-110</v>
      </c>
      <c r="J9382">
        <v>-117</v>
      </c>
      <c r="K9382">
        <v>-704</v>
      </c>
      <c r="L9382">
        <v>1200</v>
      </c>
      <c r="M9382" t="str">
        <f t="shared" si="834"/>
        <v xml:space="preserve">N35DC   </v>
      </c>
      <c r="N9382">
        <v>1</v>
      </c>
      <c r="O9382">
        <v>1025</v>
      </c>
    </row>
    <row r="9383" spans="1:15" x14ac:dyDescent="0.25">
      <c r="A9383" t="str">
        <f>"10/21/2020 19:19:19.393"</f>
        <v>10/21/2020 19:19:19.393</v>
      </c>
      <c r="B9383" t="str">
        <f t="shared" si="836"/>
        <v>19:19:27.328</v>
      </c>
      <c r="C9383" t="str">
        <f t="shared" si="836"/>
        <v>19:19:27.328</v>
      </c>
      <c r="D9383" t="s">
        <v>3600</v>
      </c>
      <c r="E9383">
        <v>30.372669999999999</v>
      </c>
      <c r="F9383" t="s">
        <v>3601</v>
      </c>
      <c r="G9383">
        <v>-89.832994999999997</v>
      </c>
      <c r="H9383">
        <v>1000</v>
      </c>
      <c r="I9383">
        <v>-110</v>
      </c>
      <c r="J9383">
        <v>-117</v>
      </c>
      <c r="K9383">
        <v>-704</v>
      </c>
      <c r="L9383">
        <v>1200</v>
      </c>
      <c r="M9383" t="str">
        <f t="shared" si="834"/>
        <v xml:space="preserve">N35DC   </v>
      </c>
      <c r="N9383">
        <v>1</v>
      </c>
      <c r="O9383">
        <v>1025</v>
      </c>
    </row>
    <row r="9384" spans="1:15" x14ac:dyDescent="0.25">
      <c r="A9384" t="str">
        <f>"10/21/2020 19:19:22.565"</f>
        <v>10/21/2020 19:19:22.565</v>
      </c>
      <c r="B9384" t="str">
        <f>"19:19:30.539"</f>
        <v>19:19:30.539</v>
      </c>
      <c r="C9384" t="str">
        <f>"19:19:30.239"</f>
        <v>19:19:30.239</v>
      </c>
      <c r="D9384" t="s">
        <v>3602</v>
      </c>
      <c r="E9384">
        <v>30.370781000000001</v>
      </c>
      <c r="F9384" t="s">
        <v>3603</v>
      </c>
      <c r="G9384">
        <v>-89.834711999999996</v>
      </c>
      <c r="H9384">
        <v>1000</v>
      </c>
      <c r="I9384">
        <v>-96</v>
      </c>
      <c r="J9384">
        <v>-128</v>
      </c>
      <c r="K9384">
        <v>-832</v>
      </c>
      <c r="L9384">
        <v>1200</v>
      </c>
      <c r="M9384" t="str">
        <f t="shared" si="834"/>
        <v xml:space="preserve">N35DC   </v>
      </c>
      <c r="N9384">
        <v>1</v>
      </c>
      <c r="O9384">
        <v>1000</v>
      </c>
    </row>
    <row r="9385" spans="1:15" x14ac:dyDescent="0.25">
      <c r="A9385" t="str">
        <f>"10/21/2020 19:19:22.565"</f>
        <v>10/21/2020 19:19:22.565</v>
      </c>
      <c r="B9385" t="str">
        <f>"19:19:30.539"</f>
        <v>19:19:30.539</v>
      </c>
      <c r="C9385" t="str">
        <f>"19:19:30.239"</f>
        <v>19:19:30.239</v>
      </c>
      <c r="D9385" t="s">
        <v>3602</v>
      </c>
      <c r="E9385">
        <v>30.370781000000001</v>
      </c>
      <c r="F9385" t="s">
        <v>3603</v>
      </c>
      <c r="G9385">
        <v>-89.834711999999996</v>
      </c>
      <c r="H9385">
        <v>1000</v>
      </c>
      <c r="I9385">
        <v>-96</v>
      </c>
      <c r="J9385">
        <v>-128</v>
      </c>
      <c r="K9385">
        <v>-832</v>
      </c>
      <c r="L9385">
        <v>1200</v>
      </c>
      <c r="M9385" t="str">
        <f t="shared" si="834"/>
        <v xml:space="preserve">N35DC   </v>
      </c>
      <c r="N9385">
        <v>1</v>
      </c>
      <c r="O9385">
        <v>1000</v>
      </c>
    </row>
    <row r="9386" spans="1:15" x14ac:dyDescent="0.25">
      <c r="A9386" t="str">
        <f>"10/21/2020 19:19:22.565"</f>
        <v>10/21/2020 19:19:22.565</v>
      </c>
      <c r="B9386" t="str">
        <f>"19:19:30.539"</f>
        <v>19:19:30.539</v>
      </c>
      <c r="C9386" t="str">
        <f>"19:19:30.239"</f>
        <v>19:19:30.239</v>
      </c>
      <c r="D9386" t="s">
        <v>3602</v>
      </c>
      <c r="E9386">
        <v>30.370781000000001</v>
      </c>
      <c r="F9386" t="s">
        <v>3603</v>
      </c>
      <c r="G9386">
        <v>-89.834711999999996</v>
      </c>
      <c r="H9386">
        <v>1000</v>
      </c>
      <c r="I9386">
        <v>-96</v>
      </c>
      <c r="J9386">
        <v>-128</v>
      </c>
      <c r="K9386">
        <v>-832</v>
      </c>
      <c r="L9386">
        <v>1200</v>
      </c>
      <c r="M9386" t="str">
        <f t="shared" si="834"/>
        <v xml:space="preserve">N35DC   </v>
      </c>
      <c r="N9386">
        <v>1</v>
      </c>
      <c r="O9386">
        <v>1000</v>
      </c>
    </row>
    <row r="9387" spans="1:15" x14ac:dyDescent="0.25">
      <c r="A9387" t="str">
        <f>"10/21/2020 19:19:22.565"</f>
        <v>10/21/2020 19:19:22.565</v>
      </c>
      <c r="B9387" t="str">
        <f>"19:19:30.539"</f>
        <v>19:19:30.539</v>
      </c>
      <c r="C9387" t="str">
        <f>"19:19:30.239"</f>
        <v>19:19:30.239</v>
      </c>
      <c r="D9387" t="s">
        <v>3602</v>
      </c>
      <c r="E9387">
        <v>30.370781000000001</v>
      </c>
      <c r="F9387" t="s">
        <v>3603</v>
      </c>
      <c r="G9387">
        <v>-89.834711999999996</v>
      </c>
      <c r="H9387">
        <v>1000</v>
      </c>
      <c r="I9387">
        <v>-96</v>
      </c>
      <c r="J9387">
        <v>-128</v>
      </c>
      <c r="K9387">
        <v>-832</v>
      </c>
      <c r="L9387">
        <v>1200</v>
      </c>
      <c r="M9387" t="str">
        <f t="shared" si="834"/>
        <v xml:space="preserve">N35DC   </v>
      </c>
      <c r="N9387">
        <v>1</v>
      </c>
      <c r="O9387">
        <v>1000</v>
      </c>
    </row>
    <row r="9388" spans="1:15" x14ac:dyDescent="0.25">
      <c r="A9388" t="str">
        <f>"10/21/2020 19:19:22.565"</f>
        <v>10/21/2020 19:19:22.565</v>
      </c>
      <c r="B9388" t="str">
        <f>"19:19:30.539"</f>
        <v>19:19:30.539</v>
      </c>
      <c r="C9388" t="str">
        <f>"19:19:30.239"</f>
        <v>19:19:30.239</v>
      </c>
      <c r="D9388" t="s">
        <v>3602</v>
      </c>
      <c r="E9388">
        <v>30.370781000000001</v>
      </c>
      <c r="F9388" t="s">
        <v>3603</v>
      </c>
      <c r="G9388">
        <v>-89.834711999999996</v>
      </c>
      <c r="H9388">
        <v>1000</v>
      </c>
      <c r="I9388">
        <v>-96</v>
      </c>
      <c r="J9388">
        <v>-128</v>
      </c>
      <c r="K9388">
        <v>-832</v>
      </c>
      <c r="L9388">
        <v>1200</v>
      </c>
      <c r="M9388" t="str">
        <f t="shared" si="834"/>
        <v xml:space="preserve">N35DC   </v>
      </c>
      <c r="N9388">
        <v>1</v>
      </c>
      <c r="O9388">
        <v>1000</v>
      </c>
    </row>
    <row r="9389" spans="1:15" x14ac:dyDescent="0.25">
      <c r="A9389" t="str">
        <f>"10/21/2020 19:19:23.526"</f>
        <v>10/21/2020 19:19:23.526</v>
      </c>
      <c r="B9389" t="str">
        <f>"19:19:31.453"</f>
        <v>19:19:31.453</v>
      </c>
      <c r="C9389" t="str">
        <f>"19:19:31.053"</f>
        <v>19:19:31.053</v>
      </c>
      <c r="D9389" t="s">
        <v>3604</v>
      </c>
      <c r="E9389">
        <v>30.370224</v>
      </c>
      <c r="F9389" t="s">
        <v>3228</v>
      </c>
      <c r="G9389">
        <v>-89.835140999999993</v>
      </c>
      <c r="H9389">
        <v>1000</v>
      </c>
      <c r="I9389">
        <v>-90</v>
      </c>
      <c r="J9389">
        <v>-132</v>
      </c>
      <c r="K9389">
        <v>-832</v>
      </c>
      <c r="L9389">
        <v>1200</v>
      </c>
      <c r="M9389" t="str">
        <f t="shared" si="834"/>
        <v xml:space="preserve">N35DC   </v>
      </c>
      <c r="N9389">
        <v>1</v>
      </c>
      <c r="O9389">
        <v>975</v>
      </c>
    </row>
    <row r="9390" spans="1:15" x14ac:dyDescent="0.25">
      <c r="A9390" t="str">
        <f>"10/21/2020 19:19:23.526"</f>
        <v>10/21/2020 19:19:23.526</v>
      </c>
      <c r="B9390" t="str">
        <f>"19:19:31.453"</f>
        <v>19:19:31.453</v>
      </c>
      <c r="C9390" t="str">
        <f>"19:19:31.053"</f>
        <v>19:19:31.053</v>
      </c>
      <c r="D9390" t="s">
        <v>3604</v>
      </c>
      <c r="E9390">
        <v>30.370224</v>
      </c>
      <c r="F9390" t="s">
        <v>3228</v>
      </c>
      <c r="G9390">
        <v>-89.835140999999993</v>
      </c>
      <c r="H9390">
        <v>1000</v>
      </c>
      <c r="I9390">
        <v>-90</v>
      </c>
      <c r="J9390">
        <v>-132</v>
      </c>
      <c r="K9390">
        <v>-832</v>
      </c>
      <c r="L9390">
        <v>1200</v>
      </c>
      <c r="M9390" t="str">
        <f t="shared" si="834"/>
        <v xml:space="preserve">N35DC   </v>
      </c>
      <c r="N9390">
        <v>1</v>
      </c>
      <c r="O9390">
        <v>975</v>
      </c>
    </row>
    <row r="9391" spans="1:15" x14ac:dyDescent="0.25">
      <c r="A9391" t="str">
        <f>"10/21/2020 19:19:23.526"</f>
        <v>10/21/2020 19:19:23.526</v>
      </c>
      <c r="B9391" t="str">
        <f>"19:19:31.453"</f>
        <v>19:19:31.453</v>
      </c>
      <c r="C9391" t="str">
        <f>"19:19:31.053"</f>
        <v>19:19:31.053</v>
      </c>
      <c r="D9391" t="s">
        <v>3604</v>
      </c>
      <c r="E9391">
        <v>30.370224</v>
      </c>
      <c r="F9391" t="s">
        <v>3228</v>
      </c>
      <c r="G9391">
        <v>-89.835140999999993</v>
      </c>
      <c r="H9391">
        <v>1000</v>
      </c>
      <c r="I9391">
        <v>-90</v>
      </c>
      <c r="J9391">
        <v>-132</v>
      </c>
      <c r="K9391">
        <v>-832</v>
      </c>
      <c r="L9391">
        <v>1200</v>
      </c>
      <c r="M9391" t="str">
        <f t="shared" si="834"/>
        <v xml:space="preserve">N35DC   </v>
      </c>
      <c r="N9391">
        <v>1</v>
      </c>
      <c r="O9391">
        <v>975</v>
      </c>
    </row>
    <row r="9392" spans="1:15" x14ac:dyDescent="0.25">
      <c r="A9392" t="str">
        <f>"10/21/2020 19:19:23.526"</f>
        <v>10/21/2020 19:19:23.526</v>
      </c>
      <c r="B9392" t="str">
        <f>"19:19:31.453"</f>
        <v>19:19:31.453</v>
      </c>
      <c r="C9392" t="str">
        <f>"19:19:31.053"</f>
        <v>19:19:31.053</v>
      </c>
      <c r="D9392" t="s">
        <v>3604</v>
      </c>
      <c r="E9392">
        <v>30.370224</v>
      </c>
      <c r="F9392" t="s">
        <v>3228</v>
      </c>
      <c r="G9392">
        <v>-89.835140999999993</v>
      </c>
      <c r="H9392">
        <v>1000</v>
      </c>
      <c r="I9392">
        <v>-90</v>
      </c>
      <c r="J9392">
        <v>-132</v>
      </c>
      <c r="K9392">
        <v>-832</v>
      </c>
      <c r="L9392">
        <v>1200</v>
      </c>
      <c r="M9392" t="str">
        <f t="shared" si="834"/>
        <v xml:space="preserve">N35DC   </v>
      </c>
      <c r="N9392">
        <v>1</v>
      </c>
      <c r="O9392">
        <v>975</v>
      </c>
    </row>
    <row r="9393" spans="1:15" x14ac:dyDescent="0.25">
      <c r="A9393" t="str">
        <f>"10/21/2020 19:19:23.526"</f>
        <v>10/21/2020 19:19:23.526</v>
      </c>
      <c r="B9393" t="str">
        <f>"19:19:31.453"</f>
        <v>19:19:31.453</v>
      </c>
      <c r="C9393" t="str">
        <f>"19:19:31.053"</f>
        <v>19:19:31.053</v>
      </c>
      <c r="D9393" t="s">
        <v>3604</v>
      </c>
      <c r="E9393">
        <v>30.370224</v>
      </c>
      <c r="F9393" t="s">
        <v>3228</v>
      </c>
      <c r="G9393">
        <v>-89.835140999999993</v>
      </c>
      <c r="H9393">
        <v>1000</v>
      </c>
      <c r="I9393">
        <v>-90</v>
      </c>
      <c r="J9393">
        <v>-132</v>
      </c>
      <c r="K9393">
        <v>-832</v>
      </c>
      <c r="L9393">
        <v>1200</v>
      </c>
      <c r="M9393" t="str">
        <f t="shared" si="834"/>
        <v xml:space="preserve">N35DC   </v>
      </c>
      <c r="N9393">
        <v>1</v>
      </c>
      <c r="O9393">
        <v>975</v>
      </c>
    </row>
    <row r="9394" spans="1:15" x14ac:dyDescent="0.25">
      <c r="A9394" t="str">
        <f>"10/21/2020 19:19:26.554"</f>
        <v>10/21/2020 19:19:26.554</v>
      </c>
      <c r="B9394" t="str">
        <f t="shared" ref="B9394:C9398" si="837">"19:19:34.484"</f>
        <v>19:19:34.484</v>
      </c>
      <c r="C9394" t="str">
        <f t="shared" si="837"/>
        <v>19:19:34.484</v>
      </c>
      <c r="D9394" t="s">
        <v>3605</v>
      </c>
      <c r="E9394">
        <v>30.368271</v>
      </c>
      <c r="F9394" t="s">
        <v>3606</v>
      </c>
      <c r="G9394">
        <v>-89.836385000000007</v>
      </c>
      <c r="H9394">
        <v>900</v>
      </c>
      <c r="I9394">
        <v>-69</v>
      </c>
      <c r="J9394">
        <v>-144</v>
      </c>
      <c r="K9394">
        <v>-512</v>
      </c>
      <c r="L9394">
        <v>1200</v>
      </c>
      <c r="M9394" t="str">
        <f t="shared" si="834"/>
        <v xml:space="preserve">N35DC   </v>
      </c>
      <c r="N9394">
        <v>1</v>
      </c>
      <c r="O9394">
        <v>925</v>
      </c>
    </row>
    <row r="9395" spans="1:15" x14ac:dyDescent="0.25">
      <c r="A9395" t="str">
        <f>"10/21/2020 19:19:26.554"</f>
        <v>10/21/2020 19:19:26.554</v>
      </c>
      <c r="B9395" t="str">
        <f t="shared" si="837"/>
        <v>19:19:34.484</v>
      </c>
      <c r="C9395" t="str">
        <f t="shared" si="837"/>
        <v>19:19:34.484</v>
      </c>
      <c r="D9395" t="s">
        <v>3605</v>
      </c>
      <c r="E9395">
        <v>30.368271</v>
      </c>
      <c r="F9395" t="s">
        <v>3606</v>
      </c>
      <c r="G9395">
        <v>-89.836385000000007</v>
      </c>
      <c r="H9395">
        <v>900</v>
      </c>
      <c r="I9395">
        <v>-69</v>
      </c>
      <c r="J9395">
        <v>-144</v>
      </c>
      <c r="K9395">
        <v>-512</v>
      </c>
      <c r="L9395">
        <v>1200</v>
      </c>
      <c r="M9395" t="str">
        <f t="shared" si="834"/>
        <v xml:space="preserve">N35DC   </v>
      </c>
      <c r="N9395">
        <v>1</v>
      </c>
      <c r="O9395">
        <v>925</v>
      </c>
    </row>
    <row r="9396" spans="1:15" x14ac:dyDescent="0.25">
      <c r="A9396" t="str">
        <f>"10/21/2020 19:19:26.554"</f>
        <v>10/21/2020 19:19:26.554</v>
      </c>
      <c r="B9396" t="str">
        <f t="shared" si="837"/>
        <v>19:19:34.484</v>
      </c>
      <c r="C9396" t="str">
        <f t="shared" si="837"/>
        <v>19:19:34.484</v>
      </c>
      <c r="D9396" t="s">
        <v>3605</v>
      </c>
      <c r="E9396">
        <v>30.368271</v>
      </c>
      <c r="F9396" t="s">
        <v>3606</v>
      </c>
      <c r="G9396">
        <v>-89.836385000000007</v>
      </c>
      <c r="H9396">
        <v>900</v>
      </c>
      <c r="I9396">
        <v>-69</v>
      </c>
      <c r="J9396">
        <v>-144</v>
      </c>
      <c r="K9396">
        <v>-512</v>
      </c>
      <c r="L9396">
        <v>1200</v>
      </c>
      <c r="M9396" t="str">
        <f t="shared" si="834"/>
        <v xml:space="preserve">N35DC   </v>
      </c>
      <c r="N9396">
        <v>1</v>
      </c>
      <c r="O9396">
        <v>925</v>
      </c>
    </row>
    <row r="9397" spans="1:15" x14ac:dyDescent="0.25">
      <c r="A9397" t="str">
        <f>"10/21/2020 19:19:26.554"</f>
        <v>10/21/2020 19:19:26.554</v>
      </c>
      <c r="B9397" t="str">
        <f t="shared" si="837"/>
        <v>19:19:34.484</v>
      </c>
      <c r="C9397" t="str">
        <f t="shared" si="837"/>
        <v>19:19:34.484</v>
      </c>
      <c r="D9397" t="s">
        <v>3605</v>
      </c>
      <c r="E9397">
        <v>30.368271</v>
      </c>
      <c r="F9397" t="s">
        <v>3606</v>
      </c>
      <c r="G9397">
        <v>-89.836385000000007</v>
      </c>
      <c r="H9397">
        <v>900</v>
      </c>
      <c r="I9397">
        <v>-69</v>
      </c>
      <c r="J9397">
        <v>-144</v>
      </c>
      <c r="K9397">
        <v>-512</v>
      </c>
      <c r="L9397">
        <v>1200</v>
      </c>
      <c r="M9397" t="str">
        <f t="shared" si="834"/>
        <v xml:space="preserve">N35DC   </v>
      </c>
      <c r="N9397">
        <v>1</v>
      </c>
      <c r="O9397">
        <v>925</v>
      </c>
    </row>
    <row r="9398" spans="1:15" x14ac:dyDescent="0.25">
      <c r="A9398" t="str">
        <f>"10/21/2020 19:19:26.554"</f>
        <v>10/21/2020 19:19:26.554</v>
      </c>
      <c r="B9398" t="str">
        <f t="shared" si="837"/>
        <v>19:19:34.484</v>
      </c>
      <c r="C9398" t="str">
        <f t="shared" si="837"/>
        <v>19:19:34.484</v>
      </c>
      <c r="D9398" t="s">
        <v>3605</v>
      </c>
      <c r="E9398">
        <v>30.368271</v>
      </c>
      <c r="F9398" t="s">
        <v>3606</v>
      </c>
      <c r="G9398">
        <v>-89.836385000000007</v>
      </c>
      <c r="H9398">
        <v>900</v>
      </c>
      <c r="I9398">
        <v>-69</v>
      </c>
      <c r="J9398">
        <v>-144</v>
      </c>
      <c r="K9398">
        <v>-512</v>
      </c>
      <c r="L9398">
        <v>1200</v>
      </c>
      <c r="M9398" t="str">
        <f t="shared" si="834"/>
        <v xml:space="preserve">N35DC   </v>
      </c>
      <c r="N9398">
        <v>1</v>
      </c>
      <c r="O9398">
        <v>925</v>
      </c>
    </row>
    <row r="9399" spans="1:15" x14ac:dyDescent="0.25">
      <c r="A9399" t="str">
        <f>"10/21/2020 19:19:29.691"</f>
        <v>10/21/2020 19:19:29.691</v>
      </c>
      <c r="B9399" t="str">
        <f t="shared" ref="B9399:C9403" si="838">"19:19:37.617"</f>
        <v>19:19:37.617</v>
      </c>
      <c r="C9399" t="str">
        <f t="shared" si="838"/>
        <v>19:19:37.617</v>
      </c>
      <c r="D9399" t="s">
        <v>3607</v>
      </c>
      <c r="E9399">
        <v>30.366125</v>
      </c>
      <c r="F9399" t="s">
        <v>3608</v>
      </c>
      <c r="G9399">
        <v>-89.837307999999993</v>
      </c>
      <c r="H9399">
        <v>900</v>
      </c>
      <c r="I9399">
        <v>-45</v>
      </c>
      <c r="J9399">
        <v>-149</v>
      </c>
      <c r="K9399">
        <v>192</v>
      </c>
      <c r="L9399">
        <v>1200</v>
      </c>
      <c r="M9399" t="str">
        <f t="shared" si="834"/>
        <v xml:space="preserve">N35DC   </v>
      </c>
      <c r="N9399">
        <v>1</v>
      </c>
      <c r="O9399">
        <v>950</v>
      </c>
    </row>
    <row r="9400" spans="1:15" x14ac:dyDescent="0.25">
      <c r="A9400" t="str">
        <f>"10/21/2020 19:19:29.691"</f>
        <v>10/21/2020 19:19:29.691</v>
      </c>
      <c r="B9400" t="str">
        <f t="shared" si="838"/>
        <v>19:19:37.617</v>
      </c>
      <c r="C9400" t="str">
        <f t="shared" si="838"/>
        <v>19:19:37.617</v>
      </c>
      <c r="D9400" t="s">
        <v>3607</v>
      </c>
      <c r="E9400">
        <v>30.366125</v>
      </c>
      <c r="F9400" t="s">
        <v>3608</v>
      </c>
      <c r="G9400">
        <v>-89.837307999999993</v>
      </c>
      <c r="H9400">
        <v>900</v>
      </c>
      <c r="I9400">
        <v>-45</v>
      </c>
      <c r="J9400">
        <v>-149</v>
      </c>
      <c r="K9400">
        <v>192</v>
      </c>
      <c r="L9400">
        <v>1200</v>
      </c>
      <c r="M9400" t="str">
        <f t="shared" si="834"/>
        <v xml:space="preserve">N35DC   </v>
      </c>
      <c r="N9400">
        <v>1</v>
      </c>
      <c r="O9400">
        <v>950</v>
      </c>
    </row>
    <row r="9401" spans="1:15" x14ac:dyDescent="0.25">
      <c r="A9401" t="str">
        <f>"10/21/2020 19:19:29.691"</f>
        <v>10/21/2020 19:19:29.691</v>
      </c>
      <c r="B9401" t="str">
        <f t="shared" si="838"/>
        <v>19:19:37.617</v>
      </c>
      <c r="C9401" t="str">
        <f t="shared" si="838"/>
        <v>19:19:37.617</v>
      </c>
      <c r="D9401" t="s">
        <v>3607</v>
      </c>
      <c r="E9401">
        <v>30.366125</v>
      </c>
      <c r="F9401" t="s">
        <v>3608</v>
      </c>
      <c r="G9401">
        <v>-89.837307999999993</v>
      </c>
      <c r="H9401">
        <v>900</v>
      </c>
      <c r="I9401">
        <v>-45</v>
      </c>
      <c r="J9401">
        <v>-149</v>
      </c>
      <c r="K9401">
        <v>192</v>
      </c>
      <c r="L9401">
        <v>1200</v>
      </c>
      <c r="M9401" t="str">
        <f t="shared" si="834"/>
        <v xml:space="preserve">N35DC   </v>
      </c>
      <c r="N9401">
        <v>1</v>
      </c>
      <c r="O9401">
        <v>950</v>
      </c>
    </row>
    <row r="9402" spans="1:15" x14ac:dyDescent="0.25">
      <c r="A9402" t="str">
        <f>"10/21/2020 19:19:29.691"</f>
        <v>10/21/2020 19:19:29.691</v>
      </c>
      <c r="B9402" t="str">
        <f t="shared" si="838"/>
        <v>19:19:37.617</v>
      </c>
      <c r="C9402" t="str">
        <f t="shared" si="838"/>
        <v>19:19:37.617</v>
      </c>
      <c r="D9402" t="s">
        <v>3607</v>
      </c>
      <c r="E9402">
        <v>30.366125</v>
      </c>
      <c r="F9402" t="s">
        <v>3608</v>
      </c>
      <c r="G9402">
        <v>-89.837307999999993</v>
      </c>
      <c r="H9402">
        <v>900</v>
      </c>
      <c r="I9402">
        <v>-45</v>
      </c>
      <c r="J9402">
        <v>-149</v>
      </c>
      <c r="K9402">
        <v>192</v>
      </c>
      <c r="L9402">
        <v>1200</v>
      </c>
      <c r="M9402" t="str">
        <f t="shared" si="834"/>
        <v xml:space="preserve">N35DC   </v>
      </c>
      <c r="N9402">
        <v>1</v>
      </c>
      <c r="O9402">
        <v>950</v>
      </c>
    </row>
    <row r="9403" spans="1:15" x14ac:dyDescent="0.25">
      <c r="A9403" t="str">
        <f>"10/21/2020 19:19:29.691"</f>
        <v>10/21/2020 19:19:29.691</v>
      </c>
      <c r="B9403" t="str">
        <f t="shared" si="838"/>
        <v>19:19:37.617</v>
      </c>
      <c r="C9403" t="str">
        <f t="shared" si="838"/>
        <v>19:19:37.617</v>
      </c>
      <c r="D9403" t="s">
        <v>3607</v>
      </c>
      <c r="E9403">
        <v>30.366125</v>
      </c>
      <c r="F9403" t="s">
        <v>3608</v>
      </c>
      <c r="G9403">
        <v>-89.837307999999993</v>
      </c>
      <c r="H9403">
        <v>900</v>
      </c>
      <c r="I9403">
        <v>-45</v>
      </c>
      <c r="J9403">
        <v>-149</v>
      </c>
      <c r="K9403">
        <v>192</v>
      </c>
      <c r="L9403">
        <v>1200</v>
      </c>
      <c r="M9403" t="str">
        <f t="shared" si="834"/>
        <v xml:space="preserve">N35DC   </v>
      </c>
      <c r="N9403">
        <v>1</v>
      </c>
      <c r="O9403">
        <v>950</v>
      </c>
    </row>
    <row r="9404" spans="1:15" x14ac:dyDescent="0.25">
      <c r="A9404" t="str">
        <f>"10/21/2020 19:19:30.651"</f>
        <v>10/21/2020 19:19:30.651</v>
      </c>
      <c r="B9404" t="str">
        <f>"19:19:38.578"</f>
        <v>19:19:38.578</v>
      </c>
      <c r="C9404" t="str">
        <f>"19:19:38.278"</f>
        <v>19:19:38.278</v>
      </c>
      <c r="D9404" t="s">
        <v>3609</v>
      </c>
      <c r="E9404">
        <v>30.365459999999999</v>
      </c>
      <c r="F9404" t="s">
        <v>3610</v>
      </c>
      <c r="G9404">
        <v>-89.837523000000004</v>
      </c>
      <c r="H9404">
        <v>900</v>
      </c>
      <c r="I9404">
        <v>-41</v>
      </c>
      <c r="J9404">
        <v>-150</v>
      </c>
      <c r="K9404">
        <v>128</v>
      </c>
      <c r="L9404">
        <v>1200</v>
      </c>
      <c r="M9404" t="str">
        <f t="shared" si="834"/>
        <v xml:space="preserve">N35DC   </v>
      </c>
      <c r="N9404">
        <v>1</v>
      </c>
      <c r="O9404">
        <v>950</v>
      </c>
    </row>
    <row r="9405" spans="1:15" x14ac:dyDescent="0.25">
      <c r="A9405" t="str">
        <f>"10/21/2020 19:19:30.651"</f>
        <v>10/21/2020 19:19:30.651</v>
      </c>
      <c r="B9405" t="str">
        <f>"19:19:38.578"</f>
        <v>19:19:38.578</v>
      </c>
      <c r="C9405" t="str">
        <f>"19:19:38.278"</f>
        <v>19:19:38.278</v>
      </c>
      <c r="D9405" t="s">
        <v>3609</v>
      </c>
      <c r="E9405">
        <v>30.365459999999999</v>
      </c>
      <c r="F9405" t="s">
        <v>3610</v>
      </c>
      <c r="G9405">
        <v>-89.837523000000004</v>
      </c>
      <c r="H9405">
        <v>900</v>
      </c>
      <c r="I9405">
        <v>-41</v>
      </c>
      <c r="J9405">
        <v>-150</v>
      </c>
      <c r="K9405">
        <v>128</v>
      </c>
      <c r="L9405">
        <v>1200</v>
      </c>
      <c r="M9405" t="str">
        <f t="shared" si="834"/>
        <v xml:space="preserve">N35DC   </v>
      </c>
      <c r="N9405">
        <v>1</v>
      </c>
      <c r="O9405">
        <v>950</v>
      </c>
    </row>
    <row r="9406" spans="1:15" x14ac:dyDescent="0.25">
      <c r="A9406" t="str">
        <f>"10/21/2020 19:19:30.651"</f>
        <v>10/21/2020 19:19:30.651</v>
      </c>
      <c r="B9406" t="str">
        <f>"19:19:38.578"</f>
        <v>19:19:38.578</v>
      </c>
      <c r="C9406" t="str">
        <f>"19:19:38.278"</f>
        <v>19:19:38.278</v>
      </c>
      <c r="D9406" t="s">
        <v>3609</v>
      </c>
      <c r="E9406">
        <v>30.365459999999999</v>
      </c>
      <c r="F9406" t="s">
        <v>3610</v>
      </c>
      <c r="G9406">
        <v>-89.837523000000004</v>
      </c>
      <c r="H9406">
        <v>900</v>
      </c>
      <c r="I9406">
        <v>-41</v>
      </c>
      <c r="J9406">
        <v>-150</v>
      </c>
      <c r="K9406">
        <v>128</v>
      </c>
      <c r="L9406">
        <v>1200</v>
      </c>
      <c r="M9406" t="str">
        <f t="shared" si="834"/>
        <v xml:space="preserve">N35DC   </v>
      </c>
      <c r="N9406">
        <v>1</v>
      </c>
      <c r="O9406">
        <v>950</v>
      </c>
    </row>
    <row r="9407" spans="1:15" x14ac:dyDescent="0.25">
      <c r="A9407" t="str">
        <f>"10/21/2020 19:19:30.651"</f>
        <v>10/21/2020 19:19:30.651</v>
      </c>
      <c r="B9407" t="str">
        <f>"19:19:38.578"</f>
        <v>19:19:38.578</v>
      </c>
      <c r="C9407" t="str">
        <f>"19:19:38.278"</f>
        <v>19:19:38.278</v>
      </c>
      <c r="D9407" t="s">
        <v>3609</v>
      </c>
      <c r="E9407">
        <v>30.365459999999999</v>
      </c>
      <c r="F9407" t="s">
        <v>3610</v>
      </c>
      <c r="G9407">
        <v>-89.837523000000004</v>
      </c>
      <c r="H9407">
        <v>900</v>
      </c>
      <c r="I9407">
        <v>-41</v>
      </c>
      <c r="J9407">
        <v>-150</v>
      </c>
      <c r="K9407">
        <v>128</v>
      </c>
      <c r="L9407">
        <v>1200</v>
      </c>
      <c r="M9407" t="str">
        <f t="shared" si="834"/>
        <v xml:space="preserve">N35DC   </v>
      </c>
      <c r="N9407">
        <v>1</v>
      </c>
      <c r="O9407">
        <v>950</v>
      </c>
    </row>
    <row r="9408" spans="1:15" x14ac:dyDescent="0.25">
      <c r="A9408" t="str">
        <f>"10/21/2020 19:19:30.651"</f>
        <v>10/21/2020 19:19:30.651</v>
      </c>
      <c r="B9408" t="str">
        <f>"19:19:38.578"</f>
        <v>19:19:38.578</v>
      </c>
      <c r="C9408" t="str">
        <f>"19:19:38.278"</f>
        <v>19:19:38.278</v>
      </c>
      <c r="D9408" t="s">
        <v>3609</v>
      </c>
      <c r="E9408">
        <v>30.365459999999999</v>
      </c>
      <c r="F9408" t="s">
        <v>3610</v>
      </c>
      <c r="G9408">
        <v>-89.837523000000004</v>
      </c>
      <c r="H9408">
        <v>900</v>
      </c>
      <c r="I9408">
        <v>-41</v>
      </c>
      <c r="J9408">
        <v>-150</v>
      </c>
      <c r="K9408">
        <v>128</v>
      </c>
      <c r="L9408">
        <v>1200</v>
      </c>
      <c r="M9408" t="str">
        <f t="shared" si="834"/>
        <v xml:space="preserve">N35DC   </v>
      </c>
      <c r="N9408">
        <v>1</v>
      </c>
      <c r="O9408">
        <v>950</v>
      </c>
    </row>
    <row r="9409" spans="1:15" x14ac:dyDescent="0.25">
      <c r="A9409" t="str">
        <f>"10/21/2020 19:19:33.631"</f>
        <v>10/21/2020 19:19:33.631</v>
      </c>
      <c r="B9409" t="str">
        <f>"19:19:41.563"</f>
        <v>19:19:41.563</v>
      </c>
      <c r="C9409" t="str">
        <f>"19:19:41.063"</f>
        <v>19:19:41.063</v>
      </c>
      <c r="D9409" t="s">
        <v>3611</v>
      </c>
      <c r="E9409">
        <v>30.363378999999998</v>
      </c>
      <c r="F9409" t="s">
        <v>3612</v>
      </c>
      <c r="G9409">
        <v>-89.837952000000001</v>
      </c>
      <c r="H9409">
        <v>900</v>
      </c>
      <c r="I9409">
        <v>-22</v>
      </c>
      <c r="J9409">
        <v>-151</v>
      </c>
      <c r="K9409">
        <v>128</v>
      </c>
      <c r="L9409">
        <v>1200</v>
      </c>
      <c r="M9409" t="str">
        <f t="shared" si="834"/>
        <v xml:space="preserve">N35DC   </v>
      </c>
      <c r="N9409">
        <v>1</v>
      </c>
      <c r="O9409">
        <v>950</v>
      </c>
    </row>
    <row r="9410" spans="1:15" x14ac:dyDescent="0.25">
      <c r="A9410" t="str">
        <f>"10/21/2020 19:19:33.631"</f>
        <v>10/21/2020 19:19:33.631</v>
      </c>
      <c r="B9410" t="str">
        <f>"19:19:41.563"</f>
        <v>19:19:41.563</v>
      </c>
      <c r="C9410" t="str">
        <f>"19:19:41.563"</f>
        <v>19:19:41.563</v>
      </c>
      <c r="D9410" t="s">
        <v>3611</v>
      </c>
      <c r="E9410">
        <v>30.363378999999998</v>
      </c>
      <c r="F9410" t="s">
        <v>3612</v>
      </c>
      <c r="G9410">
        <v>-89.837952000000001</v>
      </c>
      <c r="H9410">
        <v>900</v>
      </c>
      <c r="I9410">
        <v>-20</v>
      </c>
      <c r="J9410">
        <v>-151</v>
      </c>
      <c r="K9410">
        <v>128</v>
      </c>
      <c r="L9410">
        <v>1200</v>
      </c>
      <c r="M9410" t="str">
        <f t="shared" si="834"/>
        <v xml:space="preserve">N35DC   </v>
      </c>
      <c r="N9410">
        <v>1</v>
      </c>
      <c r="O9410">
        <v>950</v>
      </c>
    </row>
    <row r="9411" spans="1:15" x14ac:dyDescent="0.25">
      <c r="A9411" t="str">
        <f>"10/21/2020 19:19:33.631"</f>
        <v>10/21/2020 19:19:33.631</v>
      </c>
      <c r="B9411" t="str">
        <f>"19:19:41.563"</f>
        <v>19:19:41.563</v>
      </c>
      <c r="C9411" t="str">
        <f>"19:19:41.563"</f>
        <v>19:19:41.563</v>
      </c>
      <c r="D9411" t="s">
        <v>3611</v>
      </c>
      <c r="E9411">
        <v>30.363378999999998</v>
      </c>
      <c r="F9411" t="s">
        <v>3612</v>
      </c>
      <c r="G9411">
        <v>-89.837952000000001</v>
      </c>
      <c r="H9411">
        <v>900</v>
      </c>
      <c r="I9411">
        <v>-20</v>
      </c>
      <c r="J9411">
        <v>-151</v>
      </c>
      <c r="K9411">
        <v>128</v>
      </c>
      <c r="L9411">
        <v>1200</v>
      </c>
      <c r="M9411" t="str">
        <f t="shared" si="834"/>
        <v xml:space="preserve">N35DC   </v>
      </c>
      <c r="N9411">
        <v>1</v>
      </c>
      <c r="O9411">
        <v>950</v>
      </c>
    </row>
    <row r="9412" spans="1:15" x14ac:dyDescent="0.25">
      <c r="A9412" t="str">
        <f>"10/21/2020 19:19:33.631"</f>
        <v>10/21/2020 19:19:33.631</v>
      </c>
      <c r="B9412" t="str">
        <f>"19:19:41.563"</f>
        <v>19:19:41.563</v>
      </c>
      <c r="C9412" t="str">
        <f>"19:19:41.563"</f>
        <v>19:19:41.563</v>
      </c>
      <c r="D9412" t="s">
        <v>3611</v>
      </c>
      <c r="E9412">
        <v>30.363378999999998</v>
      </c>
      <c r="F9412" t="s">
        <v>3612</v>
      </c>
      <c r="G9412">
        <v>-89.837952000000001</v>
      </c>
      <c r="H9412">
        <v>900</v>
      </c>
      <c r="I9412">
        <v>-20</v>
      </c>
      <c r="J9412">
        <v>-151</v>
      </c>
      <c r="K9412">
        <v>128</v>
      </c>
      <c r="L9412">
        <v>1200</v>
      </c>
      <c r="M9412" t="str">
        <f t="shared" si="834"/>
        <v xml:space="preserve">N35DC   </v>
      </c>
      <c r="N9412">
        <v>1</v>
      </c>
      <c r="O9412">
        <v>950</v>
      </c>
    </row>
    <row r="9413" spans="1:15" x14ac:dyDescent="0.25">
      <c r="A9413" t="str">
        <f>"10/21/2020 19:19:33.631"</f>
        <v>10/21/2020 19:19:33.631</v>
      </c>
      <c r="B9413" t="str">
        <f>"19:19:41.563"</f>
        <v>19:19:41.563</v>
      </c>
      <c r="C9413" t="str">
        <f>"19:19:41.563"</f>
        <v>19:19:41.563</v>
      </c>
      <c r="D9413" t="s">
        <v>3611</v>
      </c>
      <c r="E9413">
        <v>30.363378999999998</v>
      </c>
      <c r="F9413" t="s">
        <v>3612</v>
      </c>
      <c r="G9413">
        <v>-89.837952000000001</v>
      </c>
      <c r="H9413">
        <v>900</v>
      </c>
      <c r="I9413">
        <v>-20</v>
      </c>
      <c r="J9413">
        <v>-151</v>
      </c>
      <c r="K9413">
        <v>128</v>
      </c>
      <c r="L9413">
        <v>1200</v>
      </c>
      <c r="M9413" t="str">
        <f t="shared" si="834"/>
        <v xml:space="preserve">N35DC   </v>
      </c>
      <c r="N9413">
        <v>1</v>
      </c>
      <c r="O9413">
        <v>950</v>
      </c>
    </row>
    <row r="9414" spans="1:15" x14ac:dyDescent="0.25">
      <c r="A9414" t="str">
        <f>"10/21/2020 19:19:36.585"</f>
        <v>10/21/2020 19:19:36.585</v>
      </c>
      <c r="B9414" t="str">
        <f>"19:19:44.547"</f>
        <v>19:19:44.547</v>
      </c>
      <c r="C9414" t="str">
        <f>"19:19:44.247"</f>
        <v>19:19:44.247</v>
      </c>
      <c r="D9414" t="s">
        <v>3613</v>
      </c>
      <c r="E9414">
        <v>30.361276</v>
      </c>
      <c r="F9414" t="s">
        <v>3614</v>
      </c>
      <c r="G9414">
        <v>-89.838122999999996</v>
      </c>
      <c r="H9414">
        <v>900</v>
      </c>
      <c r="I9414">
        <v>-9</v>
      </c>
      <c r="J9414">
        <v>-150</v>
      </c>
      <c r="K9414">
        <v>192</v>
      </c>
      <c r="L9414">
        <v>1200</v>
      </c>
      <c r="M9414" t="str">
        <f t="shared" si="834"/>
        <v xml:space="preserve">N35DC   </v>
      </c>
      <c r="N9414">
        <v>1</v>
      </c>
      <c r="O9414">
        <v>950</v>
      </c>
    </row>
    <row r="9415" spans="1:15" x14ac:dyDescent="0.25">
      <c r="A9415" t="str">
        <f>"10/21/2020 19:19:36.585"</f>
        <v>10/21/2020 19:19:36.585</v>
      </c>
      <c r="B9415" t="str">
        <f>"19:19:44.547"</f>
        <v>19:19:44.547</v>
      </c>
      <c r="C9415" t="str">
        <f>"19:19:44.247"</f>
        <v>19:19:44.247</v>
      </c>
      <c r="D9415" t="s">
        <v>3613</v>
      </c>
      <c r="E9415">
        <v>30.361276</v>
      </c>
      <c r="F9415" t="s">
        <v>3614</v>
      </c>
      <c r="G9415">
        <v>-89.838122999999996</v>
      </c>
      <c r="H9415">
        <v>900</v>
      </c>
      <c r="I9415">
        <v>-9</v>
      </c>
      <c r="J9415">
        <v>-150</v>
      </c>
      <c r="K9415">
        <v>192</v>
      </c>
      <c r="L9415">
        <v>1200</v>
      </c>
      <c r="M9415" t="str">
        <f t="shared" ref="M9415:M9478" si="839">"N35DC   "</f>
        <v xml:space="preserve">N35DC   </v>
      </c>
      <c r="N9415">
        <v>1</v>
      </c>
      <c r="O9415">
        <v>950</v>
      </c>
    </row>
    <row r="9416" spans="1:15" x14ac:dyDescent="0.25">
      <c r="A9416" t="str">
        <f>"10/21/2020 19:19:36.585"</f>
        <v>10/21/2020 19:19:36.585</v>
      </c>
      <c r="B9416" t="str">
        <f>"19:19:44.547"</f>
        <v>19:19:44.547</v>
      </c>
      <c r="C9416" t="str">
        <f>"19:19:44.247"</f>
        <v>19:19:44.247</v>
      </c>
      <c r="D9416" t="s">
        <v>3613</v>
      </c>
      <c r="E9416">
        <v>30.361276</v>
      </c>
      <c r="F9416" t="s">
        <v>3614</v>
      </c>
      <c r="G9416">
        <v>-89.838122999999996</v>
      </c>
      <c r="H9416">
        <v>900</v>
      </c>
      <c r="I9416">
        <v>-9</v>
      </c>
      <c r="J9416">
        <v>-150</v>
      </c>
      <c r="K9416">
        <v>192</v>
      </c>
      <c r="L9416">
        <v>1200</v>
      </c>
      <c r="M9416" t="str">
        <f t="shared" si="839"/>
        <v xml:space="preserve">N35DC   </v>
      </c>
      <c r="N9416">
        <v>1</v>
      </c>
      <c r="O9416">
        <v>950</v>
      </c>
    </row>
    <row r="9417" spans="1:15" x14ac:dyDescent="0.25">
      <c r="A9417" t="str">
        <f>"10/21/2020 19:19:36.585"</f>
        <v>10/21/2020 19:19:36.585</v>
      </c>
      <c r="B9417" t="str">
        <f>"19:19:44.547"</f>
        <v>19:19:44.547</v>
      </c>
      <c r="C9417" t="str">
        <f>"19:19:44.247"</f>
        <v>19:19:44.247</v>
      </c>
      <c r="D9417" t="s">
        <v>3613</v>
      </c>
      <c r="E9417">
        <v>30.361276</v>
      </c>
      <c r="F9417" t="s">
        <v>3614</v>
      </c>
      <c r="G9417">
        <v>-89.838122999999996</v>
      </c>
      <c r="H9417">
        <v>900</v>
      </c>
      <c r="I9417">
        <v>-9</v>
      </c>
      <c r="J9417">
        <v>-150</v>
      </c>
      <c r="K9417">
        <v>192</v>
      </c>
      <c r="L9417">
        <v>1200</v>
      </c>
      <c r="M9417" t="str">
        <f t="shared" si="839"/>
        <v xml:space="preserve">N35DC   </v>
      </c>
      <c r="N9417">
        <v>1</v>
      </c>
      <c r="O9417">
        <v>950</v>
      </c>
    </row>
    <row r="9418" spans="1:15" x14ac:dyDescent="0.25">
      <c r="A9418" t="str">
        <f>"10/21/2020 19:19:36.585"</f>
        <v>10/21/2020 19:19:36.585</v>
      </c>
      <c r="B9418" t="str">
        <f>"19:19:44.547"</f>
        <v>19:19:44.547</v>
      </c>
      <c r="C9418" t="str">
        <f>"19:19:44.247"</f>
        <v>19:19:44.247</v>
      </c>
      <c r="D9418" t="s">
        <v>3613</v>
      </c>
      <c r="E9418">
        <v>30.361276</v>
      </c>
      <c r="F9418" t="s">
        <v>3614</v>
      </c>
      <c r="G9418">
        <v>-89.838122999999996</v>
      </c>
      <c r="H9418">
        <v>900</v>
      </c>
      <c r="I9418">
        <v>-9</v>
      </c>
      <c r="J9418">
        <v>-150</v>
      </c>
      <c r="K9418">
        <v>192</v>
      </c>
      <c r="L9418">
        <v>1200</v>
      </c>
      <c r="M9418" t="str">
        <f t="shared" si="839"/>
        <v xml:space="preserve">N35DC   </v>
      </c>
      <c r="N9418">
        <v>1</v>
      </c>
      <c r="O9418">
        <v>950</v>
      </c>
    </row>
    <row r="9419" spans="1:15" x14ac:dyDescent="0.25">
      <c r="A9419" t="str">
        <f>"10/21/2020 19:19:37.540"</f>
        <v>10/21/2020 19:19:37.540</v>
      </c>
      <c r="B9419" t="str">
        <f>"19:19:45.539"</f>
        <v>19:19:45.539</v>
      </c>
      <c r="C9419" t="str">
        <f>"19:19:45.439"</f>
        <v>19:19:45.439</v>
      </c>
      <c r="D9419" t="s">
        <v>3615</v>
      </c>
      <c r="E9419">
        <v>30.360568000000001</v>
      </c>
      <c r="F9419" t="s">
        <v>3616</v>
      </c>
      <c r="G9419">
        <v>-89.838166000000001</v>
      </c>
      <c r="H9419">
        <v>900</v>
      </c>
      <c r="I9419">
        <v>-7</v>
      </c>
      <c r="J9419">
        <v>-150</v>
      </c>
      <c r="K9419">
        <v>192</v>
      </c>
      <c r="L9419">
        <v>1200</v>
      </c>
      <c r="M9419" t="str">
        <f t="shared" si="839"/>
        <v xml:space="preserve">N35DC   </v>
      </c>
      <c r="N9419">
        <v>1</v>
      </c>
      <c r="O9419">
        <v>950</v>
      </c>
    </row>
    <row r="9420" spans="1:15" x14ac:dyDescent="0.25">
      <c r="A9420" t="str">
        <f>"10/21/2020 19:19:37.540"</f>
        <v>10/21/2020 19:19:37.540</v>
      </c>
      <c r="B9420" t="str">
        <f>"19:19:45.539"</f>
        <v>19:19:45.539</v>
      </c>
      <c r="C9420" t="str">
        <f>"19:19:45.439"</f>
        <v>19:19:45.439</v>
      </c>
      <c r="D9420" t="s">
        <v>3615</v>
      </c>
      <c r="E9420">
        <v>30.360568000000001</v>
      </c>
      <c r="F9420" t="s">
        <v>3616</v>
      </c>
      <c r="G9420">
        <v>-89.838166000000001</v>
      </c>
      <c r="H9420">
        <v>900</v>
      </c>
      <c r="I9420">
        <v>-7</v>
      </c>
      <c r="J9420">
        <v>-150</v>
      </c>
      <c r="K9420">
        <v>192</v>
      </c>
      <c r="L9420">
        <v>1200</v>
      </c>
      <c r="M9420" t="str">
        <f t="shared" si="839"/>
        <v xml:space="preserve">N35DC   </v>
      </c>
      <c r="N9420">
        <v>1</v>
      </c>
      <c r="O9420">
        <v>950</v>
      </c>
    </row>
    <row r="9421" spans="1:15" x14ac:dyDescent="0.25">
      <c r="A9421" t="str">
        <f>"10/21/2020 19:19:37.540"</f>
        <v>10/21/2020 19:19:37.540</v>
      </c>
      <c r="B9421" t="str">
        <f>"19:19:45.539"</f>
        <v>19:19:45.539</v>
      </c>
      <c r="C9421" t="str">
        <f>"19:19:45.439"</f>
        <v>19:19:45.439</v>
      </c>
      <c r="D9421" t="s">
        <v>3615</v>
      </c>
      <c r="E9421">
        <v>30.360568000000001</v>
      </c>
      <c r="F9421" t="s">
        <v>3616</v>
      </c>
      <c r="G9421">
        <v>-89.838166000000001</v>
      </c>
      <c r="H9421">
        <v>900</v>
      </c>
      <c r="I9421">
        <v>-7</v>
      </c>
      <c r="J9421">
        <v>-150</v>
      </c>
      <c r="K9421">
        <v>192</v>
      </c>
      <c r="L9421">
        <v>1200</v>
      </c>
      <c r="M9421" t="str">
        <f t="shared" si="839"/>
        <v xml:space="preserve">N35DC   </v>
      </c>
      <c r="N9421">
        <v>1</v>
      </c>
      <c r="O9421">
        <v>950</v>
      </c>
    </row>
    <row r="9422" spans="1:15" x14ac:dyDescent="0.25">
      <c r="A9422" t="str">
        <f>"10/21/2020 19:19:37.540"</f>
        <v>10/21/2020 19:19:37.540</v>
      </c>
      <c r="B9422" t="str">
        <f>"19:19:45.539"</f>
        <v>19:19:45.539</v>
      </c>
      <c r="C9422" t="str">
        <f>"19:19:45.439"</f>
        <v>19:19:45.439</v>
      </c>
      <c r="D9422" t="s">
        <v>3615</v>
      </c>
      <c r="E9422">
        <v>30.360568000000001</v>
      </c>
      <c r="F9422" t="s">
        <v>3616</v>
      </c>
      <c r="G9422">
        <v>-89.838166000000001</v>
      </c>
      <c r="H9422">
        <v>900</v>
      </c>
      <c r="I9422">
        <v>-7</v>
      </c>
      <c r="J9422">
        <v>-150</v>
      </c>
      <c r="K9422">
        <v>192</v>
      </c>
      <c r="L9422">
        <v>1200</v>
      </c>
      <c r="M9422" t="str">
        <f t="shared" si="839"/>
        <v xml:space="preserve">N35DC   </v>
      </c>
      <c r="N9422">
        <v>1</v>
      </c>
      <c r="O9422">
        <v>950</v>
      </c>
    </row>
    <row r="9423" spans="1:15" x14ac:dyDescent="0.25">
      <c r="A9423" t="str">
        <f>"10/21/2020 19:19:37.540"</f>
        <v>10/21/2020 19:19:37.540</v>
      </c>
      <c r="B9423" t="str">
        <f>"19:19:45.539"</f>
        <v>19:19:45.539</v>
      </c>
      <c r="C9423" t="str">
        <f>"19:19:45.439"</f>
        <v>19:19:45.439</v>
      </c>
      <c r="D9423" t="s">
        <v>3615</v>
      </c>
      <c r="E9423">
        <v>30.360568000000001</v>
      </c>
      <c r="F9423" t="s">
        <v>3616</v>
      </c>
      <c r="G9423">
        <v>-89.838166000000001</v>
      </c>
      <c r="H9423">
        <v>900</v>
      </c>
      <c r="I9423">
        <v>-7</v>
      </c>
      <c r="J9423">
        <v>-150</v>
      </c>
      <c r="K9423">
        <v>192</v>
      </c>
      <c r="L9423">
        <v>1200</v>
      </c>
      <c r="M9423" t="str">
        <f t="shared" si="839"/>
        <v xml:space="preserve">N35DC   </v>
      </c>
      <c r="N9423">
        <v>1</v>
      </c>
      <c r="O9423">
        <v>950</v>
      </c>
    </row>
    <row r="9424" spans="1:15" x14ac:dyDescent="0.25">
      <c r="A9424" t="str">
        <f>"10/21/2020 19:19:40.583"</f>
        <v>10/21/2020 19:19:40.583</v>
      </c>
      <c r="B9424" t="str">
        <f>"19:19:48.555"</f>
        <v>19:19:48.555</v>
      </c>
      <c r="C9424" t="str">
        <f>"19:19:48.355"</f>
        <v>19:19:48.355</v>
      </c>
      <c r="D9424" t="s">
        <v>3617</v>
      </c>
      <c r="E9424">
        <v>30.358529000000001</v>
      </c>
      <c r="F9424" t="s">
        <v>3618</v>
      </c>
      <c r="G9424">
        <v>-89.838273999999998</v>
      </c>
      <c r="H9424">
        <v>900</v>
      </c>
      <c r="I9424">
        <v>-4</v>
      </c>
      <c r="J9424">
        <v>-148</v>
      </c>
      <c r="K9424">
        <v>128</v>
      </c>
      <c r="L9424">
        <v>1200</v>
      </c>
      <c r="M9424" t="str">
        <f t="shared" si="839"/>
        <v xml:space="preserve">N35DC   </v>
      </c>
      <c r="N9424">
        <v>1</v>
      </c>
      <c r="O9424">
        <v>975</v>
      </c>
    </row>
    <row r="9425" spans="1:15" x14ac:dyDescent="0.25">
      <c r="A9425" t="str">
        <f>"10/21/2020 19:19:40.583"</f>
        <v>10/21/2020 19:19:40.583</v>
      </c>
      <c r="B9425" t="str">
        <f>"19:19:48.555"</f>
        <v>19:19:48.555</v>
      </c>
      <c r="C9425" t="str">
        <f>"19:19:48.355"</f>
        <v>19:19:48.355</v>
      </c>
      <c r="D9425" t="s">
        <v>3617</v>
      </c>
      <c r="E9425">
        <v>30.358529000000001</v>
      </c>
      <c r="F9425" t="s">
        <v>3618</v>
      </c>
      <c r="G9425">
        <v>-89.838273999999998</v>
      </c>
      <c r="H9425">
        <v>900</v>
      </c>
      <c r="I9425">
        <v>-4</v>
      </c>
      <c r="J9425">
        <v>-148</v>
      </c>
      <c r="K9425">
        <v>128</v>
      </c>
      <c r="L9425">
        <v>1200</v>
      </c>
      <c r="M9425" t="str">
        <f t="shared" si="839"/>
        <v xml:space="preserve">N35DC   </v>
      </c>
      <c r="N9425">
        <v>1</v>
      </c>
      <c r="O9425">
        <v>975</v>
      </c>
    </row>
    <row r="9426" spans="1:15" x14ac:dyDescent="0.25">
      <c r="A9426" t="str">
        <f>"10/21/2020 19:19:40.583"</f>
        <v>10/21/2020 19:19:40.583</v>
      </c>
      <c r="B9426" t="str">
        <f>"19:19:48.555"</f>
        <v>19:19:48.555</v>
      </c>
      <c r="C9426" t="str">
        <f>"19:19:48.355"</f>
        <v>19:19:48.355</v>
      </c>
      <c r="D9426" t="s">
        <v>3617</v>
      </c>
      <c r="E9426">
        <v>30.358529000000001</v>
      </c>
      <c r="F9426" t="s">
        <v>3618</v>
      </c>
      <c r="G9426">
        <v>-89.838273999999998</v>
      </c>
      <c r="H9426">
        <v>900</v>
      </c>
      <c r="I9426">
        <v>-4</v>
      </c>
      <c r="J9426">
        <v>-148</v>
      </c>
      <c r="K9426">
        <v>128</v>
      </c>
      <c r="L9426">
        <v>1200</v>
      </c>
      <c r="M9426" t="str">
        <f t="shared" si="839"/>
        <v xml:space="preserve">N35DC   </v>
      </c>
      <c r="N9426">
        <v>1</v>
      </c>
      <c r="O9426">
        <v>975</v>
      </c>
    </row>
    <row r="9427" spans="1:15" x14ac:dyDescent="0.25">
      <c r="A9427" t="str">
        <f>"10/21/2020 19:19:40.583"</f>
        <v>10/21/2020 19:19:40.583</v>
      </c>
      <c r="B9427" t="str">
        <f>"19:19:48.555"</f>
        <v>19:19:48.555</v>
      </c>
      <c r="C9427" t="str">
        <f>"19:19:48.355"</f>
        <v>19:19:48.355</v>
      </c>
      <c r="D9427" t="s">
        <v>3617</v>
      </c>
      <c r="E9427">
        <v>30.358529000000001</v>
      </c>
      <c r="F9427" t="s">
        <v>3618</v>
      </c>
      <c r="G9427">
        <v>-89.838273999999998</v>
      </c>
      <c r="H9427">
        <v>900</v>
      </c>
      <c r="I9427">
        <v>-4</v>
      </c>
      <c r="J9427">
        <v>-148</v>
      </c>
      <c r="K9427">
        <v>128</v>
      </c>
      <c r="L9427">
        <v>1200</v>
      </c>
      <c r="M9427" t="str">
        <f t="shared" si="839"/>
        <v xml:space="preserve">N35DC   </v>
      </c>
      <c r="N9427">
        <v>1</v>
      </c>
      <c r="O9427">
        <v>975</v>
      </c>
    </row>
    <row r="9428" spans="1:15" x14ac:dyDescent="0.25">
      <c r="A9428" t="str">
        <f>"10/21/2020 19:19:40.583"</f>
        <v>10/21/2020 19:19:40.583</v>
      </c>
      <c r="B9428" t="str">
        <f>"19:19:48.555"</f>
        <v>19:19:48.555</v>
      </c>
      <c r="C9428" t="str">
        <f>"19:19:48.355"</f>
        <v>19:19:48.355</v>
      </c>
      <c r="D9428" t="s">
        <v>3617</v>
      </c>
      <c r="E9428">
        <v>30.358529000000001</v>
      </c>
      <c r="F9428" t="s">
        <v>3618</v>
      </c>
      <c r="G9428">
        <v>-89.838273999999998</v>
      </c>
      <c r="H9428">
        <v>900</v>
      </c>
      <c r="I9428">
        <v>-4</v>
      </c>
      <c r="J9428">
        <v>-148</v>
      </c>
      <c r="K9428">
        <v>128</v>
      </c>
      <c r="L9428">
        <v>1200</v>
      </c>
      <c r="M9428" t="str">
        <f t="shared" si="839"/>
        <v xml:space="preserve">N35DC   </v>
      </c>
      <c r="N9428">
        <v>1</v>
      </c>
      <c r="O9428">
        <v>975</v>
      </c>
    </row>
    <row r="9429" spans="1:15" x14ac:dyDescent="0.25">
      <c r="A9429" t="str">
        <f>"10/21/2020 19:19:43.792"</f>
        <v>10/21/2020 19:19:43.792</v>
      </c>
      <c r="B9429" t="str">
        <f t="shared" ref="B9429:C9433" si="840">"19:19:51.758"</f>
        <v>19:19:51.758</v>
      </c>
      <c r="C9429" t="str">
        <f t="shared" si="840"/>
        <v>19:19:51.758</v>
      </c>
      <c r="D9429" t="s">
        <v>3619</v>
      </c>
      <c r="E9429">
        <v>30.356318999999999</v>
      </c>
      <c r="F9429" t="s">
        <v>3620</v>
      </c>
      <c r="G9429">
        <v>-89.838337999999993</v>
      </c>
      <c r="H9429">
        <v>1000</v>
      </c>
      <c r="I9429">
        <v>-5</v>
      </c>
      <c r="J9429">
        <v>-145</v>
      </c>
      <c r="K9429">
        <v>384</v>
      </c>
      <c r="L9429">
        <v>1200</v>
      </c>
      <c r="M9429" t="str">
        <f t="shared" si="839"/>
        <v xml:space="preserve">N35DC   </v>
      </c>
      <c r="N9429">
        <v>1</v>
      </c>
      <c r="O9429">
        <v>1000</v>
      </c>
    </row>
    <row r="9430" spans="1:15" x14ac:dyDescent="0.25">
      <c r="A9430" t="str">
        <f>"10/21/2020 19:19:43.792"</f>
        <v>10/21/2020 19:19:43.792</v>
      </c>
      <c r="B9430" t="str">
        <f t="shared" si="840"/>
        <v>19:19:51.758</v>
      </c>
      <c r="C9430" t="str">
        <f t="shared" si="840"/>
        <v>19:19:51.758</v>
      </c>
      <c r="D9430" t="s">
        <v>3619</v>
      </c>
      <c r="E9430">
        <v>30.356318999999999</v>
      </c>
      <c r="F9430" t="s">
        <v>3620</v>
      </c>
      <c r="G9430">
        <v>-89.838337999999993</v>
      </c>
      <c r="H9430">
        <v>1000</v>
      </c>
      <c r="I9430">
        <v>-5</v>
      </c>
      <c r="J9430">
        <v>-145</v>
      </c>
      <c r="K9430">
        <v>384</v>
      </c>
      <c r="L9430">
        <v>1200</v>
      </c>
      <c r="M9430" t="str">
        <f t="shared" si="839"/>
        <v xml:space="preserve">N35DC   </v>
      </c>
      <c r="N9430">
        <v>1</v>
      </c>
      <c r="O9430">
        <v>1000</v>
      </c>
    </row>
    <row r="9431" spans="1:15" x14ac:dyDescent="0.25">
      <c r="A9431" t="str">
        <f>"10/21/2020 19:19:43.792"</f>
        <v>10/21/2020 19:19:43.792</v>
      </c>
      <c r="B9431" t="str">
        <f t="shared" si="840"/>
        <v>19:19:51.758</v>
      </c>
      <c r="C9431" t="str">
        <f t="shared" si="840"/>
        <v>19:19:51.758</v>
      </c>
      <c r="D9431" t="s">
        <v>3619</v>
      </c>
      <c r="E9431">
        <v>30.356318999999999</v>
      </c>
      <c r="F9431" t="s">
        <v>3620</v>
      </c>
      <c r="G9431">
        <v>-89.838337999999993</v>
      </c>
      <c r="H9431">
        <v>1000</v>
      </c>
      <c r="I9431">
        <v>-5</v>
      </c>
      <c r="J9431">
        <v>-145</v>
      </c>
      <c r="K9431">
        <v>384</v>
      </c>
      <c r="L9431">
        <v>1200</v>
      </c>
      <c r="M9431" t="str">
        <f t="shared" si="839"/>
        <v xml:space="preserve">N35DC   </v>
      </c>
      <c r="N9431">
        <v>1</v>
      </c>
      <c r="O9431">
        <v>1000</v>
      </c>
    </row>
    <row r="9432" spans="1:15" x14ac:dyDescent="0.25">
      <c r="A9432" t="str">
        <f>"10/21/2020 19:19:43.792"</f>
        <v>10/21/2020 19:19:43.792</v>
      </c>
      <c r="B9432" t="str">
        <f t="shared" si="840"/>
        <v>19:19:51.758</v>
      </c>
      <c r="C9432" t="str">
        <f t="shared" si="840"/>
        <v>19:19:51.758</v>
      </c>
      <c r="D9432" t="s">
        <v>3619</v>
      </c>
      <c r="E9432">
        <v>30.356318999999999</v>
      </c>
      <c r="F9432" t="s">
        <v>3620</v>
      </c>
      <c r="G9432">
        <v>-89.838337999999993</v>
      </c>
      <c r="H9432">
        <v>1000</v>
      </c>
      <c r="I9432">
        <v>-5</v>
      </c>
      <c r="J9432">
        <v>-145</v>
      </c>
      <c r="K9432">
        <v>384</v>
      </c>
      <c r="L9432">
        <v>1200</v>
      </c>
      <c r="M9432" t="str">
        <f t="shared" si="839"/>
        <v xml:space="preserve">N35DC   </v>
      </c>
      <c r="N9432">
        <v>1</v>
      </c>
      <c r="O9432">
        <v>1000</v>
      </c>
    </row>
    <row r="9433" spans="1:15" x14ac:dyDescent="0.25">
      <c r="A9433" t="str">
        <f>"10/21/2020 19:19:43.792"</f>
        <v>10/21/2020 19:19:43.792</v>
      </c>
      <c r="B9433" t="str">
        <f t="shared" si="840"/>
        <v>19:19:51.758</v>
      </c>
      <c r="C9433" t="str">
        <f t="shared" si="840"/>
        <v>19:19:51.758</v>
      </c>
      <c r="D9433" t="s">
        <v>3619</v>
      </c>
      <c r="E9433">
        <v>30.356318999999999</v>
      </c>
      <c r="F9433" t="s">
        <v>3620</v>
      </c>
      <c r="G9433">
        <v>-89.838337999999993</v>
      </c>
      <c r="H9433">
        <v>1000</v>
      </c>
      <c r="I9433">
        <v>-5</v>
      </c>
      <c r="J9433">
        <v>-145</v>
      </c>
      <c r="K9433">
        <v>384</v>
      </c>
      <c r="L9433">
        <v>1200</v>
      </c>
      <c r="M9433" t="str">
        <f t="shared" si="839"/>
        <v xml:space="preserve">N35DC   </v>
      </c>
      <c r="N9433">
        <v>1</v>
      </c>
      <c r="O9433">
        <v>1000</v>
      </c>
    </row>
    <row r="9434" spans="1:15" x14ac:dyDescent="0.25">
      <c r="A9434" t="str">
        <f>"10/21/2020 19:19:46.484"</f>
        <v>10/21/2020 19:19:46.484</v>
      </c>
      <c r="B9434" t="str">
        <f>"19:19:54.445"</f>
        <v>19:19:54.445</v>
      </c>
      <c r="C9434" t="str">
        <f>"19:19:54.245"</f>
        <v>19:19:54.245</v>
      </c>
      <c r="D9434" t="s">
        <v>3621</v>
      </c>
      <c r="E9434">
        <v>30.354538000000002</v>
      </c>
      <c r="F9434" t="s">
        <v>3176</v>
      </c>
      <c r="G9434">
        <v>-89.838380999999998</v>
      </c>
      <c r="H9434">
        <v>1000</v>
      </c>
      <c r="I9434">
        <v>-3</v>
      </c>
      <c r="J9434">
        <v>-144</v>
      </c>
      <c r="K9434">
        <v>384</v>
      </c>
      <c r="L9434">
        <v>1200</v>
      </c>
      <c r="M9434" t="str">
        <f t="shared" si="839"/>
        <v xml:space="preserve">N35DC   </v>
      </c>
      <c r="N9434">
        <v>1</v>
      </c>
      <c r="O9434">
        <v>1000</v>
      </c>
    </row>
    <row r="9435" spans="1:15" x14ac:dyDescent="0.25">
      <c r="A9435" t="str">
        <f>"10/21/2020 19:19:46.484"</f>
        <v>10/21/2020 19:19:46.484</v>
      </c>
      <c r="B9435" t="str">
        <f>"19:19:54.445"</f>
        <v>19:19:54.445</v>
      </c>
      <c r="C9435" t="str">
        <f>"19:19:54.245"</f>
        <v>19:19:54.245</v>
      </c>
      <c r="D9435" t="s">
        <v>3621</v>
      </c>
      <c r="E9435">
        <v>30.354538000000002</v>
      </c>
      <c r="F9435" t="s">
        <v>3176</v>
      </c>
      <c r="G9435">
        <v>-89.838380999999998</v>
      </c>
      <c r="H9435">
        <v>1000</v>
      </c>
      <c r="I9435">
        <v>-3</v>
      </c>
      <c r="J9435">
        <v>-144</v>
      </c>
      <c r="K9435">
        <v>384</v>
      </c>
      <c r="L9435">
        <v>1200</v>
      </c>
      <c r="M9435" t="str">
        <f t="shared" si="839"/>
        <v xml:space="preserve">N35DC   </v>
      </c>
      <c r="N9435">
        <v>1</v>
      </c>
      <c r="O9435">
        <v>1000</v>
      </c>
    </row>
    <row r="9436" spans="1:15" x14ac:dyDescent="0.25">
      <c r="A9436" t="str">
        <f>"10/21/2020 19:19:46.484"</f>
        <v>10/21/2020 19:19:46.484</v>
      </c>
      <c r="B9436" t="str">
        <f>"19:19:54.445"</f>
        <v>19:19:54.445</v>
      </c>
      <c r="C9436" t="str">
        <f>"19:19:54.245"</f>
        <v>19:19:54.245</v>
      </c>
      <c r="D9436" t="s">
        <v>3621</v>
      </c>
      <c r="E9436">
        <v>30.354538000000002</v>
      </c>
      <c r="F9436" t="s">
        <v>3176</v>
      </c>
      <c r="G9436">
        <v>-89.838380999999998</v>
      </c>
      <c r="H9436">
        <v>1000</v>
      </c>
      <c r="I9436">
        <v>-3</v>
      </c>
      <c r="J9436">
        <v>-144</v>
      </c>
      <c r="K9436">
        <v>384</v>
      </c>
      <c r="L9436">
        <v>1200</v>
      </c>
      <c r="M9436" t="str">
        <f t="shared" si="839"/>
        <v xml:space="preserve">N35DC   </v>
      </c>
      <c r="N9436">
        <v>1</v>
      </c>
      <c r="O9436">
        <v>1000</v>
      </c>
    </row>
    <row r="9437" spans="1:15" x14ac:dyDescent="0.25">
      <c r="A9437" t="str">
        <f>"10/21/2020 19:19:46.484"</f>
        <v>10/21/2020 19:19:46.484</v>
      </c>
      <c r="B9437" t="str">
        <f>"19:19:54.445"</f>
        <v>19:19:54.445</v>
      </c>
      <c r="C9437" t="str">
        <f>"19:19:54.245"</f>
        <v>19:19:54.245</v>
      </c>
      <c r="D9437" t="s">
        <v>3621</v>
      </c>
      <c r="E9437">
        <v>30.354538000000002</v>
      </c>
      <c r="F9437" t="s">
        <v>3176</v>
      </c>
      <c r="G9437">
        <v>-89.838380999999998</v>
      </c>
      <c r="H9437">
        <v>1000</v>
      </c>
      <c r="I9437">
        <v>-3</v>
      </c>
      <c r="J9437">
        <v>-144</v>
      </c>
      <c r="K9437">
        <v>384</v>
      </c>
      <c r="L9437">
        <v>1200</v>
      </c>
      <c r="M9437" t="str">
        <f t="shared" si="839"/>
        <v xml:space="preserve">N35DC   </v>
      </c>
      <c r="N9437">
        <v>1</v>
      </c>
      <c r="O9437">
        <v>1000</v>
      </c>
    </row>
    <row r="9438" spans="1:15" x14ac:dyDescent="0.25">
      <c r="A9438" t="str">
        <f>"10/21/2020 19:19:46.484"</f>
        <v>10/21/2020 19:19:46.484</v>
      </c>
      <c r="B9438" t="str">
        <f>"19:19:54.445"</f>
        <v>19:19:54.445</v>
      </c>
      <c r="C9438" t="str">
        <f>"19:19:54.245"</f>
        <v>19:19:54.245</v>
      </c>
      <c r="D9438" t="s">
        <v>3621</v>
      </c>
      <c r="E9438">
        <v>30.354538000000002</v>
      </c>
      <c r="F9438" t="s">
        <v>3176</v>
      </c>
      <c r="G9438">
        <v>-89.838380999999998</v>
      </c>
      <c r="H9438">
        <v>1000</v>
      </c>
      <c r="I9438">
        <v>-3</v>
      </c>
      <c r="J9438">
        <v>-144</v>
      </c>
      <c r="K9438">
        <v>384</v>
      </c>
      <c r="L9438">
        <v>1200</v>
      </c>
      <c r="M9438" t="str">
        <f t="shared" si="839"/>
        <v xml:space="preserve">N35DC   </v>
      </c>
      <c r="N9438">
        <v>1</v>
      </c>
      <c r="O9438">
        <v>1000</v>
      </c>
    </row>
    <row r="9439" spans="1:15" x14ac:dyDescent="0.25">
      <c r="A9439" t="str">
        <f>"10/21/2020 19:19:47.532"</f>
        <v>10/21/2020 19:19:47.532</v>
      </c>
      <c r="B9439" t="str">
        <f>"19:19:55.484"</f>
        <v>19:19:55.484</v>
      </c>
      <c r="C9439" t="str">
        <f>"19:19:55.284"</f>
        <v>19:19:55.284</v>
      </c>
      <c r="D9439" t="s">
        <v>3622</v>
      </c>
      <c r="E9439">
        <v>30.353873</v>
      </c>
      <c r="F9439" t="s">
        <v>3176</v>
      </c>
      <c r="G9439">
        <v>-89.838380999999998</v>
      </c>
      <c r="H9439">
        <v>1000</v>
      </c>
      <c r="I9439">
        <v>-3</v>
      </c>
      <c r="J9439">
        <v>-144</v>
      </c>
      <c r="K9439">
        <v>128</v>
      </c>
      <c r="L9439">
        <v>1200</v>
      </c>
      <c r="M9439" t="str">
        <f t="shared" si="839"/>
        <v xml:space="preserve">N35DC   </v>
      </c>
      <c r="N9439">
        <v>1</v>
      </c>
      <c r="O9439">
        <v>1000</v>
      </c>
    </row>
    <row r="9440" spans="1:15" x14ac:dyDescent="0.25">
      <c r="A9440" t="str">
        <f>"10/21/2020 19:19:47.532"</f>
        <v>10/21/2020 19:19:47.532</v>
      </c>
      <c r="B9440" t="str">
        <f>"19:19:55.484"</f>
        <v>19:19:55.484</v>
      </c>
      <c r="C9440" t="str">
        <f>"19:19:55.284"</f>
        <v>19:19:55.284</v>
      </c>
      <c r="D9440" t="s">
        <v>3622</v>
      </c>
      <c r="E9440">
        <v>30.353873</v>
      </c>
      <c r="F9440" t="s">
        <v>3176</v>
      </c>
      <c r="G9440">
        <v>-89.838380999999998</v>
      </c>
      <c r="H9440">
        <v>1000</v>
      </c>
      <c r="I9440">
        <v>-3</v>
      </c>
      <c r="J9440">
        <v>-144</v>
      </c>
      <c r="K9440">
        <v>128</v>
      </c>
      <c r="L9440">
        <v>1200</v>
      </c>
      <c r="M9440" t="str">
        <f t="shared" si="839"/>
        <v xml:space="preserve">N35DC   </v>
      </c>
      <c r="N9440">
        <v>1</v>
      </c>
      <c r="O9440">
        <v>1000</v>
      </c>
    </row>
    <row r="9441" spans="1:15" x14ac:dyDescent="0.25">
      <c r="A9441" t="str">
        <f>"10/21/2020 19:19:47.532"</f>
        <v>10/21/2020 19:19:47.532</v>
      </c>
      <c r="B9441" t="str">
        <f>"19:19:55.484"</f>
        <v>19:19:55.484</v>
      </c>
      <c r="C9441" t="str">
        <f>"19:19:55.284"</f>
        <v>19:19:55.284</v>
      </c>
      <c r="D9441" t="s">
        <v>3622</v>
      </c>
      <c r="E9441">
        <v>30.353873</v>
      </c>
      <c r="F9441" t="s">
        <v>3176</v>
      </c>
      <c r="G9441">
        <v>-89.838380999999998</v>
      </c>
      <c r="H9441">
        <v>1000</v>
      </c>
      <c r="I9441">
        <v>-3</v>
      </c>
      <c r="J9441">
        <v>-144</v>
      </c>
      <c r="K9441">
        <v>128</v>
      </c>
      <c r="L9441">
        <v>1200</v>
      </c>
      <c r="M9441" t="str">
        <f t="shared" si="839"/>
        <v xml:space="preserve">N35DC   </v>
      </c>
      <c r="N9441">
        <v>1</v>
      </c>
      <c r="O9441">
        <v>1000</v>
      </c>
    </row>
    <row r="9442" spans="1:15" x14ac:dyDescent="0.25">
      <c r="A9442" t="str">
        <f>"10/21/2020 19:19:47.532"</f>
        <v>10/21/2020 19:19:47.532</v>
      </c>
      <c r="B9442" t="str">
        <f>"19:19:55.484"</f>
        <v>19:19:55.484</v>
      </c>
      <c r="C9442" t="str">
        <f>"19:19:55.284"</f>
        <v>19:19:55.284</v>
      </c>
      <c r="D9442" t="s">
        <v>3622</v>
      </c>
      <c r="E9442">
        <v>30.353873</v>
      </c>
      <c r="F9442" t="s">
        <v>3176</v>
      </c>
      <c r="G9442">
        <v>-89.838380999999998</v>
      </c>
      <c r="H9442">
        <v>1000</v>
      </c>
      <c r="I9442">
        <v>-3</v>
      </c>
      <c r="J9442">
        <v>-144</v>
      </c>
      <c r="K9442">
        <v>128</v>
      </c>
      <c r="L9442">
        <v>1200</v>
      </c>
      <c r="M9442" t="str">
        <f t="shared" si="839"/>
        <v xml:space="preserve">N35DC   </v>
      </c>
      <c r="N9442">
        <v>1</v>
      </c>
      <c r="O9442">
        <v>1000</v>
      </c>
    </row>
    <row r="9443" spans="1:15" x14ac:dyDescent="0.25">
      <c r="A9443" t="str">
        <f>"10/21/2020 19:19:47.532"</f>
        <v>10/21/2020 19:19:47.532</v>
      </c>
      <c r="B9443" t="str">
        <f>"19:19:55.484"</f>
        <v>19:19:55.484</v>
      </c>
      <c r="C9443" t="str">
        <f>"19:19:55.284"</f>
        <v>19:19:55.284</v>
      </c>
      <c r="D9443" t="s">
        <v>3622</v>
      </c>
      <c r="E9443">
        <v>30.353873</v>
      </c>
      <c r="F9443" t="s">
        <v>3176</v>
      </c>
      <c r="G9443">
        <v>-89.838380999999998</v>
      </c>
      <c r="H9443">
        <v>1000</v>
      </c>
      <c r="I9443">
        <v>-3</v>
      </c>
      <c r="J9443">
        <v>-144</v>
      </c>
      <c r="K9443">
        <v>128</v>
      </c>
      <c r="L9443">
        <v>1200</v>
      </c>
      <c r="M9443" t="str">
        <f t="shared" si="839"/>
        <v xml:space="preserve">N35DC   </v>
      </c>
      <c r="N9443">
        <v>1</v>
      </c>
      <c r="O9443">
        <v>1000</v>
      </c>
    </row>
    <row r="9444" spans="1:15" x14ac:dyDescent="0.25">
      <c r="A9444" t="str">
        <f>"10/21/2020 19:19:49.659"</f>
        <v>10/21/2020 19:19:49.659</v>
      </c>
      <c r="B9444" t="str">
        <f>"19:19:57.656"</f>
        <v>19:19:57.656</v>
      </c>
      <c r="C9444" t="str">
        <f>"19:19:57.256"</f>
        <v>19:19:57.256</v>
      </c>
      <c r="D9444" t="s">
        <v>3623</v>
      </c>
      <c r="E9444">
        <v>30.352435</v>
      </c>
      <c r="F9444" t="s">
        <v>3176</v>
      </c>
      <c r="G9444">
        <v>-89.838380999999998</v>
      </c>
      <c r="H9444">
        <v>1000</v>
      </c>
      <c r="I9444">
        <v>-2</v>
      </c>
      <c r="J9444">
        <v>-142</v>
      </c>
      <c r="K9444">
        <v>0</v>
      </c>
      <c r="L9444">
        <v>1200</v>
      </c>
      <c r="M9444" t="str">
        <f t="shared" si="839"/>
        <v xml:space="preserve">N35DC   </v>
      </c>
      <c r="N9444">
        <v>1</v>
      </c>
      <c r="O9444">
        <v>1025</v>
      </c>
    </row>
    <row r="9445" spans="1:15" x14ac:dyDescent="0.25">
      <c r="A9445" t="str">
        <f>"10/21/2020 19:19:49.659"</f>
        <v>10/21/2020 19:19:49.659</v>
      </c>
      <c r="B9445" t="str">
        <f>"19:19:57.656"</f>
        <v>19:19:57.656</v>
      </c>
      <c r="C9445" t="str">
        <f>"19:19:57.256"</f>
        <v>19:19:57.256</v>
      </c>
      <c r="D9445" t="s">
        <v>3623</v>
      </c>
      <c r="E9445">
        <v>30.352435</v>
      </c>
      <c r="F9445" t="s">
        <v>3176</v>
      </c>
      <c r="G9445">
        <v>-89.838380999999998</v>
      </c>
      <c r="H9445">
        <v>1000</v>
      </c>
      <c r="I9445">
        <v>-2</v>
      </c>
      <c r="J9445">
        <v>-142</v>
      </c>
      <c r="K9445">
        <v>0</v>
      </c>
      <c r="L9445">
        <v>1200</v>
      </c>
      <c r="M9445" t="str">
        <f t="shared" si="839"/>
        <v xml:space="preserve">N35DC   </v>
      </c>
      <c r="N9445">
        <v>1</v>
      </c>
      <c r="O9445">
        <v>1025</v>
      </c>
    </row>
    <row r="9446" spans="1:15" x14ac:dyDescent="0.25">
      <c r="A9446" t="str">
        <f>"10/21/2020 19:19:49.659"</f>
        <v>10/21/2020 19:19:49.659</v>
      </c>
      <c r="B9446" t="str">
        <f>"19:19:57.656"</f>
        <v>19:19:57.656</v>
      </c>
      <c r="C9446" t="str">
        <f>"19:19:57.256"</f>
        <v>19:19:57.256</v>
      </c>
      <c r="D9446" t="s">
        <v>3623</v>
      </c>
      <c r="E9446">
        <v>30.352435</v>
      </c>
      <c r="F9446" t="s">
        <v>3176</v>
      </c>
      <c r="G9446">
        <v>-89.838380999999998</v>
      </c>
      <c r="H9446">
        <v>1000</v>
      </c>
      <c r="I9446">
        <v>-2</v>
      </c>
      <c r="J9446">
        <v>-142</v>
      </c>
      <c r="K9446">
        <v>0</v>
      </c>
      <c r="L9446">
        <v>1200</v>
      </c>
      <c r="M9446" t="str">
        <f t="shared" si="839"/>
        <v xml:space="preserve">N35DC   </v>
      </c>
      <c r="N9446">
        <v>1</v>
      </c>
      <c r="O9446">
        <v>1025</v>
      </c>
    </row>
    <row r="9447" spans="1:15" x14ac:dyDescent="0.25">
      <c r="A9447" t="str">
        <f>"10/21/2020 19:19:49.659"</f>
        <v>10/21/2020 19:19:49.659</v>
      </c>
      <c r="B9447" t="str">
        <f>"19:19:57.656"</f>
        <v>19:19:57.656</v>
      </c>
      <c r="C9447" t="str">
        <f>"19:19:57.256"</f>
        <v>19:19:57.256</v>
      </c>
      <c r="D9447" t="s">
        <v>3623</v>
      </c>
      <c r="E9447">
        <v>30.352435</v>
      </c>
      <c r="F9447" t="s">
        <v>3176</v>
      </c>
      <c r="G9447">
        <v>-89.838380999999998</v>
      </c>
      <c r="H9447">
        <v>1000</v>
      </c>
      <c r="I9447">
        <v>-2</v>
      </c>
      <c r="J9447">
        <v>-142</v>
      </c>
      <c r="K9447">
        <v>0</v>
      </c>
      <c r="L9447">
        <v>1200</v>
      </c>
      <c r="M9447" t="str">
        <f t="shared" si="839"/>
        <v xml:space="preserve">N35DC   </v>
      </c>
      <c r="N9447">
        <v>1</v>
      </c>
      <c r="O9447">
        <v>1025</v>
      </c>
    </row>
    <row r="9448" spans="1:15" x14ac:dyDescent="0.25">
      <c r="A9448" t="str">
        <f>"10/21/2020 19:19:49.659"</f>
        <v>10/21/2020 19:19:49.659</v>
      </c>
      <c r="B9448" t="str">
        <f>"19:19:57.656"</f>
        <v>19:19:57.656</v>
      </c>
      <c r="C9448" t="str">
        <f>"19:19:57.256"</f>
        <v>19:19:57.256</v>
      </c>
      <c r="D9448" t="s">
        <v>3623</v>
      </c>
      <c r="E9448">
        <v>30.352435</v>
      </c>
      <c r="F9448" t="s">
        <v>3176</v>
      </c>
      <c r="G9448">
        <v>-89.838380999999998</v>
      </c>
      <c r="H9448">
        <v>1000</v>
      </c>
      <c r="I9448">
        <v>-2</v>
      </c>
      <c r="J9448">
        <v>-142</v>
      </c>
      <c r="K9448">
        <v>0</v>
      </c>
      <c r="L9448">
        <v>1200</v>
      </c>
      <c r="M9448" t="str">
        <f t="shared" si="839"/>
        <v xml:space="preserve">N35DC   </v>
      </c>
      <c r="N9448">
        <v>1</v>
      </c>
      <c r="O9448">
        <v>1025</v>
      </c>
    </row>
    <row r="9449" spans="1:15" x14ac:dyDescent="0.25">
      <c r="A9449" t="str">
        <f>"10/21/2020 19:19:50.719"</f>
        <v>10/21/2020 19:19:50.719</v>
      </c>
      <c r="B9449" t="str">
        <f>"19:19:58.703"</f>
        <v>19:19:58.703</v>
      </c>
      <c r="C9449" t="str">
        <f>"19:19:58.303"</f>
        <v>19:19:58.303</v>
      </c>
      <c r="D9449" t="s">
        <v>3624</v>
      </c>
      <c r="E9449">
        <v>30.351727</v>
      </c>
      <c r="F9449" t="s">
        <v>3176</v>
      </c>
      <c r="G9449">
        <v>-89.838380999999998</v>
      </c>
      <c r="H9449">
        <v>1000</v>
      </c>
      <c r="I9449">
        <v>0</v>
      </c>
      <c r="J9449">
        <v>-140</v>
      </c>
      <c r="K9449">
        <v>192</v>
      </c>
      <c r="L9449">
        <v>1200</v>
      </c>
      <c r="M9449" t="str">
        <f t="shared" si="839"/>
        <v xml:space="preserve">N35DC   </v>
      </c>
      <c r="N9449">
        <v>1</v>
      </c>
      <c r="O9449">
        <v>1025</v>
      </c>
    </row>
    <row r="9450" spans="1:15" x14ac:dyDescent="0.25">
      <c r="A9450" t="str">
        <f>"10/21/2020 19:19:50.719"</f>
        <v>10/21/2020 19:19:50.719</v>
      </c>
      <c r="B9450" t="str">
        <f>"19:19:58.703"</f>
        <v>19:19:58.703</v>
      </c>
      <c r="C9450" t="str">
        <f>"19:19:56.703"</f>
        <v>19:19:56.703</v>
      </c>
      <c r="D9450" t="s">
        <v>3624</v>
      </c>
      <c r="E9450">
        <v>30.351727</v>
      </c>
      <c r="F9450" t="s">
        <v>3176</v>
      </c>
      <c r="G9450">
        <v>-89.838380999999998</v>
      </c>
      <c r="H9450">
        <v>1000</v>
      </c>
      <c r="I9450">
        <v>-2</v>
      </c>
      <c r="J9450">
        <v>-143</v>
      </c>
      <c r="K9450">
        <v>0</v>
      </c>
      <c r="L9450">
        <v>1200</v>
      </c>
      <c r="M9450" t="str">
        <f t="shared" si="839"/>
        <v xml:space="preserve">N35DC   </v>
      </c>
      <c r="N9450">
        <v>1</v>
      </c>
      <c r="O9450">
        <v>1025</v>
      </c>
    </row>
    <row r="9451" spans="1:15" x14ac:dyDescent="0.25">
      <c r="A9451" t="str">
        <f>"10/21/2020 19:19:50.719"</f>
        <v>10/21/2020 19:19:50.719</v>
      </c>
      <c r="B9451" t="str">
        <f>"19:19:58.703"</f>
        <v>19:19:58.703</v>
      </c>
      <c r="C9451" t="str">
        <f>"19:19:56.703"</f>
        <v>19:19:56.703</v>
      </c>
      <c r="D9451" t="s">
        <v>3624</v>
      </c>
      <c r="E9451">
        <v>30.351727</v>
      </c>
      <c r="F9451" t="s">
        <v>3176</v>
      </c>
      <c r="G9451">
        <v>-89.838380999999998</v>
      </c>
      <c r="H9451">
        <v>1000</v>
      </c>
      <c r="I9451">
        <v>-2</v>
      </c>
      <c r="J9451">
        <v>-143</v>
      </c>
      <c r="K9451">
        <v>0</v>
      </c>
      <c r="L9451">
        <v>1200</v>
      </c>
      <c r="M9451" t="str">
        <f t="shared" si="839"/>
        <v xml:space="preserve">N35DC   </v>
      </c>
      <c r="N9451">
        <v>1</v>
      </c>
      <c r="O9451">
        <v>1025</v>
      </c>
    </row>
    <row r="9452" spans="1:15" x14ac:dyDescent="0.25">
      <c r="A9452" t="str">
        <f>"10/21/2020 19:19:50.719"</f>
        <v>10/21/2020 19:19:50.719</v>
      </c>
      <c r="B9452" t="str">
        <f>"19:19:58.703"</f>
        <v>19:19:58.703</v>
      </c>
      <c r="C9452" t="str">
        <f>"19:19:56.703"</f>
        <v>19:19:56.703</v>
      </c>
      <c r="D9452" t="s">
        <v>3624</v>
      </c>
      <c r="E9452">
        <v>30.351727</v>
      </c>
      <c r="F9452" t="s">
        <v>3176</v>
      </c>
      <c r="G9452">
        <v>-89.838380999999998</v>
      </c>
      <c r="H9452">
        <v>1000</v>
      </c>
      <c r="I9452">
        <v>-2</v>
      </c>
      <c r="J9452">
        <v>-143</v>
      </c>
      <c r="K9452">
        <v>0</v>
      </c>
      <c r="L9452">
        <v>1200</v>
      </c>
      <c r="M9452" t="str">
        <f t="shared" si="839"/>
        <v xml:space="preserve">N35DC   </v>
      </c>
      <c r="N9452">
        <v>1</v>
      </c>
      <c r="O9452">
        <v>1025</v>
      </c>
    </row>
    <row r="9453" spans="1:15" x14ac:dyDescent="0.25">
      <c r="A9453" t="str">
        <f>"10/21/2020 19:19:50.719"</f>
        <v>10/21/2020 19:19:50.719</v>
      </c>
      <c r="B9453" t="str">
        <f>"19:19:58.703"</f>
        <v>19:19:58.703</v>
      </c>
      <c r="C9453" t="str">
        <f>"19:19:56.703"</f>
        <v>19:19:56.703</v>
      </c>
      <c r="D9453" t="s">
        <v>3624</v>
      </c>
      <c r="E9453">
        <v>30.351727</v>
      </c>
      <c r="F9453" t="s">
        <v>3176</v>
      </c>
      <c r="G9453">
        <v>-89.838380999999998</v>
      </c>
      <c r="H9453">
        <v>1000</v>
      </c>
      <c r="I9453">
        <v>-2</v>
      </c>
      <c r="J9453">
        <v>-143</v>
      </c>
      <c r="K9453">
        <v>0</v>
      </c>
      <c r="L9453">
        <v>1200</v>
      </c>
      <c r="M9453" t="str">
        <f t="shared" si="839"/>
        <v xml:space="preserve">N35DC   </v>
      </c>
      <c r="N9453">
        <v>1</v>
      </c>
      <c r="O9453">
        <v>1025</v>
      </c>
    </row>
    <row r="9454" spans="1:15" x14ac:dyDescent="0.25">
      <c r="A9454" t="str">
        <f>"10/21/2020 19:19:53.869"</f>
        <v>10/21/2020 19:19:53.869</v>
      </c>
      <c r="B9454" t="str">
        <f>"19:20:01.828"</f>
        <v>19:20:01.828</v>
      </c>
      <c r="C9454" t="str">
        <f>"19:20:01.728"</f>
        <v>19:20:01.728</v>
      </c>
      <c r="D9454" t="s">
        <v>3625</v>
      </c>
      <c r="E9454">
        <v>30.349774</v>
      </c>
      <c r="F9454" t="s">
        <v>3176</v>
      </c>
      <c r="G9454">
        <v>-89.838380999999998</v>
      </c>
      <c r="H9454">
        <v>1000</v>
      </c>
      <c r="I9454">
        <v>0</v>
      </c>
      <c r="J9454">
        <v>-134</v>
      </c>
      <c r="K9454">
        <v>-896</v>
      </c>
      <c r="L9454">
        <v>1200</v>
      </c>
      <c r="M9454" t="str">
        <f t="shared" si="839"/>
        <v xml:space="preserve">N35DC   </v>
      </c>
      <c r="N9454">
        <v>1</v>
      </c>
      <c r="O9454">
        <v>1000</v>
      </c>
    </row>
    <row r="9455" spans="1:15" x14ac:dyDescent="0.25">
      <c r="A9455" t="str">
        <f>"10/21/2020 19:19:53.869"</f>
        <v>10/21/2020 19:19:53.869</v>
      </c>
      <c r="B9455" t="str">
        <f>"19:20:01.828"</f>
        <v>19:20:01.828</v>
      </c>
      <c r="C9455" t="str">
        <f>"19:20:01.728"</f>
        <v>19:20:01.728</v>
      </c>
      <c r="D9455" t="s">
        <v>3625</v>
      </c>
      <c r="E9455">
        <v>30.349774</v>
      </c>
      <c r="F9455" t="s">
        <v>3176</v>
      </c>
      <c r="G9455">
        <v>-89.838380999999998</v>
      </c>
      <c r="H9455">
        <v>1000</v>
      </c>
      <c r="I9455">
        <v>0</v>
      </c>
      <c r="J9455">
        <v>-134</v>
      </c>
      <c r="K9455">
        <v>-896</v>
      </c>
      <c r="L9455">
        <v>1200</v>
      </c>
      <c r="M9455" t="str">
        <f t="shared" si="839"/>
        <v xml:space="preserve">N35DC   </v>
      </c>
      <c r="N9455">
        <v>1</v>
      </c>
      <c r="O9455">
        <v>1000</v>
      </c>
    </row>
    <row r="9456" spans="1:15" x14ac:dyDescent="0.25">
      <c r="A9456" t="str">
        <f>"10/21/2020 19:19:53.869"</f>
        <v>10/21/2020 19:19:53.869</v>
      </c>
      <c r="B9456" t="str">
        <f>"19:20:01.828"</f>
        <v>19:20:01.828</v>
      </c>
      <c r="C9456" t="str">
        <f>"19:20:01.728"</f>
        <v>19:20:01.728</v>
      </c>
      <c r="D9456" t="s">
        <v>3625</v>
      </c>
      <c r="E9456">
        <v>30.349774</v>
      </c>
      <c r="F9456" t="s">
        <v>3176</v>
      </c>
      <c r="G9456">
        <v>-89.838380999999998</v>
      </c>
      <c r="H9456">
        <v>1000</v>
      </c>
      <c r="I9456">
        <v>0</v>
      </c>
      <c r="J9456">
        <v>-134</v>
      </c>
      <c r="K9456">
        <v>-896</v>
      </c>
      <c r="L9456">
        <v>1200</v>
      </c>
      <c r="M9456" t="str">
        <f t="shared" si="839"/>
        <v xml:space="preserve">N35DC   </v>
      </c>
      <c r="N9456">
        <v>1</v>
      </c>
      <c r="O9456">
        <v>1000</v>
      </c>
    </row>
    <row r="9457" spans="1:15" x14ac:dyDescent="0.25">
      <c r="A9457" t="str">
        <f>"10/21/2020 19:19:53.869"</f>
        <v>10/21/2020 19:19:53.869</v>
      </c>
      <c r="B9457" t="str">
        <f>"19:20:01.828"</f>
        <v>19:20:01.828</v>
      </c>
      <c r="C9457" t="str">
        <f>"19:20:01.728"</f>
        <v>19:20:01.728</v>
      </c>
      <c r="D9457" t="s">
        <v>3625</v>
      </c>
      <c r="E9457">
        <v>30.349774</v>
      </c>
      <c r="F9457" t="s">
        <v>3176</v>
      </c>
      <c r="G9457">
        <v>-89.838380999999998</v>
      </c>
      <c r="H9457">
        <v>1000</v>
      </c>
      <c r="I9457">
        <v>0</v>
      </c>
      <c r="J9457">
        <v>-134</v>
      </c>
      <c r="K9457">
        <v>-896</v>
      </c>
      <c r="L9457">
        <v>1200</v>
      </c>
      <c r="M9457" t="str">
        <f t="shared" si="839"/>
        <v xml:space="preserve">N35DC   </v>
      </c>
      <c r="N9457">
        <v>1</v>
      </c>
      <c r="O9457">
        <v>1000</v>
      </c>
    </row>
    <row r="9458" spans="1:15" x14ac:dyDescent="0.25">
      <c r="A9458" t="str">
        <f>"10/21/2020 19:19:53.869"</f>
        <v>10/21/2020 19:19:53.869</v>
      </c>
      <c r="B9458" t="str">
        <f>"19:20:01.828"</f>
        <v>19:20:01.828</v>
      </c>
      <c r="C9458" t="str">
        <f>"19:20:01.728"</f>
        <v>19:20:01.728</v>
      </c>
      <c r="D9458" t="s">
        <v>3625</v>
      </c>
      <c r="E9458">
        <v>30.349774</v>
      </c>
      <c r="F9458" t="s">
        <v>3176</v>
      </c>
      <c r="G9458">
        <v>-89.838380999999998</v>
      </c>
      <c r="H9458">
        <v>1000</v>
      </c>
      <c r="I9458">
        <v>0</v>
      </c>
      <c r="J9458">
        <v>-134</v>
      </c>
      <c r="K9458">
        <v>-896</v>
      </c>
      <c r="L9458">
        <v>1200</v>
      </c>
      <c r="M9458" t="str">
        <f t="shared" si="839"/>
        <v xml:space="preserve">N35DC   </v>
      </c>
      <c r="N9458">
        <v>1</v>
      </c>
      <c r="O9458">
        <v>1000</v>
      </c>
    </row>
    <row r="9459" spans="1:15" x14ac:dyDescent="0.25">
      <c r="A9459" t="str">
        <f>"10/21/2020 19:19:55.932"</f>
        <v>10/21/2020 19:19:55.932</v>
      </c>
      <c r="B9459" t="str">
        <f t="shared" ref="B9459:C9463" si="841">"19:20:03.867"</f>
        <v>19:20:03.867</v>
      </c>
      <c r="C9459" t="str">
        <f t="shared" si="841"/>
        <v>19:20:03.867</v>
      </c>
      <c r="D9459" t="s">
        <v>3626</v>
      </c>
      <c r="E9459">
        <v>30.34853</v>
      </c>
      <c r="F9459" t="s">
        <v>3627</v>
      </c>
      <c r="G9459">
        <v>-89.838444999999993</v>
      </c>
      <c r="H9459">
        <v>900</v>
      </c>
      <c r="I9459">
        <v>-1</v>
      </c>
      <c r="J9459">
        <v>-132</v>
      </c>
      <c r="K9459">
        <v>-640</v>
      </c>
      <c r="L9459">
        <v>1200</v>
      </c>
      <c r="M9459" t="str">
        <f t="shared" si="839"/>
        <v xml:space="preserve">N35DC   </v>
      </c>
      <c r="N9459">
        <v>1</v>
      </c>
      <c r="O9459">
        <v>975</v>
      </c>
    </row>
    <row r="9460" spans="1:15" x14ac:dyDescent="0.25">
      <c r="A9460" t="str">
        <f>"10/21/2020 19:19:55.932"</f>
        <v>10/21/2020 19:19:55.932</v>
      </c>
      <c r="B9460" t="str">
        <f t="shared" si="841"/>
        <v>19:20:03.867</v>
      </c>
      <c r="C9460" t="str">
        <f t="shared" si="841"/>
        <v>19:20:03.867</v>
      </c>
      <c r="D9460" t="s">
        <v>3626</v>
      </c>
      <c r="E9460">
        <v>30.34853</v>
      </c>
      <c r="F9460" t="s">
        <v>3627</v>
      </c>
      <c r="G9460">
        <v>-89.838444999999993</v>
      </c>
      <c r="H9460">
        <v>900</v>
      </c>
      <c r="I9460">
        <v>-1</v>
      </c>
      <c r="J9460">
        <v>-132</v>
      </c>
      <c r="K9460">
        <v>-640</v>
      </c>
      <c r="L9460">
        <v>1200</v>
      </c>
      <c r="M9460" t="str">
        <f t="shared" si="839"/>
        <v xml:space="preserve">N35DC   </v>
      </c>
      <c r="N9460">
        <v>1</v>
      </c>
      <c r="O9460">
        <v>975</v>
      </c>
    </row>
    <row r="9461" spans="1:15" x14ac:dyDescent="0.25">
      <c r="A9461" t="str">
        <f>"10/21/2020 19:19:55.932"</f>
        <v>10/21/2020 19:19:55.932</v>
      </c>
      <c r="B9461" t="str">
        <f t="shared" si="841"/>
        <v>19:20:03.867</v>
      </c>
      <c r="C9461" t="str">
        <f t="shared" si="841"/>
        <v>19:20:03.867</v>
      </c>
      <c r="D9461" t="s">
        <v>3626</v>
      </c>
      <c r="E9461">
        <v>30.34853</v>
      </c>
      <c r="F9461" t="s">
        <v>3627</v>
      </c>
      <c r="G9461">
        <v>-89.838444999999993</v>
      </c>
      <c r="H9461">
        <v>900</v>
      </c>
      <c r="I9461">
        <v>-1</v>
      </c>
      <c r="J9461">
        <v>-132</v>
      </c>
      <c r="K9461">
        <v>-640</v>
      </c>
      <c r="L9461">
        <v>1200</v>
      </c>
      <c r="M9461" t="str">
        <f t="shared" si="839"/>
        <v xml:space="preserve">N35DC   </v>
      </c>
      <c r="N9461">
        <v>1</v>
      </c>
      <c r="O9461">
        <v>975</v>
      </c>
    </row>
    <row r="9462" spans="1:15" x14ac:dyDescent="0.25">
      <c r="A9462" t="str">
        <f>"10/21/2020 19:19:55.932"</f>
        <v>10/21/2020 19:19:55.932</v>
      </c>
      <c r="B9462" t="str">
        <f t="shared" si="841"/>
        <v>19:20:03.867</v>
      </c>
      <c r="C9462" t="str">
        <f t="shared" si="841"/>
        <v>19:20:03.867</v>
      </c>
      <c r="D9462" t="s">
        <v>3626</v>
      </c>
      <c r="E9462">
        <v>30.34853</v>
      </c>
      <c r="F9462" t="s">
        <v>3627</v>
      </c>
      <c r="G9462">
        <v>-89.838444999999993</v>
      </c>
      <c r="H9462">
        <v>900</v>
      </c>
      <c r="I9462">
        <v>-1</v>
      </c>
      <c r="J9462">
        <v>-132</v>
      </c>
      <c r="K9462">
        <v>-640</v>
      </c>
      <c r="L9462">
        <v>1200</v>
      </c>
      <c r="M9462" t="str">
        <f t="shared" si="839"/>
        <v xml:space="preserve">N35DC   </v>
      </c>
      <c r="N9462">
        <v>1</v>
      </c>
      <c r="O9462">
        <v>975</v>
      </c>
    </row>
    <row r="9463" spans="1:15" x14ac:dyDescent="0.25">
      <c r="A9463" t="str">
        <f>"10/21/2020 19:19:55.932"</f>
        <v>10/21/2020 19:19:55.932</v>
      </c>
      <c r="B9463" t="str">
        <f t="shared" si="841"/>
        <v>19:20:03.867</v>
      </c>
      <c r="C9463" t="str">
        <f t="shared" si="841"/>
        <v>19:20:03.867</v>
      </c>
      <c r="D9463" t="s">
        <v>3626</v>
      </c>
      <c r="E9463">
        <v>30.34853</v>
      </c>
      <c r="F9463" t="s">
        <v>3627</v>
      </c>
      <c r="G9463">
        <v>-89.838444999999993</v>
      </c>
      <c r="H9463">
        <v>900</v>
      </c>
      <c r="I9463">
        <v>-1</v>
      </c>
      <c r="J9463">
        <v>-132</v>
      </c>
      <c r="K9463">
        <v>-640</v>
      </c>
      <c r="L9463">
        <v>1200</v>
      </c>
      <c r="M9463" t="str">
        <f t="shared" si="839"/>
        <v xml:space="preserve">N35DC   </v>
      </c>
      <c r="N9463">
        <v>1</v>
      </c>
      <c r="O9463">
        <v>975</v>
      </c>
    </row>
    <row r="9464" spans="1:15" x14ac:dyDescent="0.25">
      <c r="A9464" t="str">
        <f>"10/21/2020 19:19:56.851"</f>
        <v>10/21/2020 19:19:56.851</v>
      </c>
      <c r="B9464" t="str">
        <f>"19:20:04.813"</f>
        <v>19:20:04.813</v>
      </c>
      <c r="C9464" t="str">
        <f>"19:20:04.413"</f>
        <v>19:20:04.413</v>
      </c>
      <c r="D9464" t="s">
        <v>3628</v>
      </c>
      <c r="E9464">
        <v>30.347950000000001</v>
      </c>
      <c r="F9464" t="s">
        <v>3627</v>
      </c>
      <c r="G9464">
        <v>-89.838444999999993</v>
      </c>
      <c r="H9464">
        <v>900</v>
      </c>
      <c r="I9464">
        <v>-1</v>
      </c>
      <c r="J9464">
        <v>-132</v>
      </c>
      <c r="K9464">
        <v>-640</v>
      </c>
      <c r="L9464">
        <v>1200</v>
      </c>
      <c r="M9464" t="str">
        <f t="shared" si="839"/>
        <v xml:space="preserve">N35DC   </v>
      </c>
      <c r="N9464">
        <v>1</v>
      </c>
      <c r="O9464">
        <v>975</v>
      </c>
    </row>
    <row r="9465" spans="1:15" x14ac:dyDescent="0.25">
      <c r="A9465" t="str">
        <f>"10/21/2020 19:19:56.851"</f>
        <v>10/21/2020 19:19:56.851</v>
      </c>
      <c r="B9465" t="str">
        <f>"19:20:04.813"</f>
        <v>19:20:04.813</v>
      </c>
      <c r="C9465" t="str">
        <f>"19:20:04.413"</f>
        <v>19:20:04.413</v>
      </c>
      <c r="D9465" t="s">
        <v>3628</v>
      </c>
      <c r="E9465">
        <v>30.347950000000001</v>
      </c>
      <c r="F9465" t="s">
        <v>3627</v>
      </c>
      <c r="G9465">
        <v>-89.838444999999993</v>
      </c>
      <c r="H9465">
        <v>900</v>
      </c>
      <c r="I9465">
        <v>-1</v>
      </c>
      <c r="J9465">
        <v>-132</v>
      </c>
      <c r="K9465">
        <v>-640</v>
      </c>
      <c r="L9465">
        <v>1200</v>
      </c>
      <c r="M9465" t="str">
        <f t="shared" si="839"/>
        <v xml:space="preserve">N35DC   </v>
      </c>
      <c r="N9465">
        <v>1</v>
      </c>
      <c r="O9465">
        <v>975</v>
      </c>
    </row>
    <row r="9466" spans="1:15" x14ac:dyDescent="0.25">
      <c r="A9466" t="str">
        <f>"10/21/2020 19:19:56.851"</f>
        <v>10/21/2020 19:19:56.851</v>
      </c>
      <c r="B9466" t="str">
        <f>"19:20:04.813"</f>
        <v>19:20:04.813</v>
      </c>
      <c r="C9466" t="str">
        <f>"19:20:04.413"</f>
        <v>19:20:04.413</v>
      </c>
      <c r="D9466" t="s">
        <v>3628</v>
      </c>
      <c r="E9466">
        <v>30.347950000000001</v>
      </c>
      <c r="F9466" t="s">
        <v>3627</v>
      </c>
      <c r="G9466">
        <v>-89.838444999999993</v>
      </c>
      <c r="H9466">
        <v>900</v>
      </c>
      <c r="I9466">
        <v>-1</v>
      </c>
      <c r="J9466">
        <v>-132</v>
      </c>
      <c r="K9466">
        <v>-640</v>
      </c>
      <c r="L9466">
        <v>1200</v>
      </c>
      <c r="M9466" t="str">
        <f t="shared" si="839"/>
        <v xml:space="preserve">N35DC   </v>
      </c>
      <c r="N9466">
        <v>1</v>
      </c>
      <c r="O9466">
        <v>975</v>
      </c>
    </row>
    <row r="9467" spans="1:15" x14ac:dyDescent="0.25">
      <c r="A9467" t="str">
        <f>"10/21/2020 19:19:56.851"</f>
        <v>10/21/2020 19:19:56.851</v>
      </c>
      <c r="B9467" t="str">
        <f>"19:20:04.813"</f>
        <v>19:20:04.813</v>
      </c>
      <c r="C9467" t="str">
        <f>"19:20:04.413"</f>
        <v>19:20:04.413</v>
      </c>
      <c r="D9467" t="s">
        <v>3628</v>
      </c>
      <c r="E9467">
        <v>30.347950000000001</v>
      </c>
      <c r="F9467" t="s">
        <v>3627</v>
      </c>
      <c r="G9467">
        <v>-89.838444999999993</v>
      </c>
      <c r="H9467">
        <v>900</v>
      </c>
      <c r="I9467">
        <v>-1</v>
      </c>
      <c r="J9467">
        <v>-132</v>
      </c>
      <c r="K9467">
        <v>-640</v>
      </c>
      <c r="L9467">
        <v>1200</v>
      </c>
      <c r="M9467" t="str">
        <f t="shared" si="839"/>
        <v xml:space="preserve">N35DC   </v>
      </c>
      <c r="N9467">
        <v>1</v>
      </c>
      <c r="O9467">
        <v>975</v>
      </c>
    </row>
    <row r="9468" spans="1:15" x14ac:dyDescent="0.25">
      <c r="A9468" t="str">
        <f>"10/21/2020 19:19:56.851"</f>
        <v>10/21/2020 19:19:56.851</v>
      </c>
      <c r="B9468" t="str">
        <f>"19:20:04.813"</f>
        <v>19:20:04.813</v>
      </c>
      <c r="C9468" t="str">
        <f>"19:20:04.413"</f>
        <v>19:20:04.413</v>
      </c>
      <c r="D9468" t="s">
        <v>3628</v>
      </c>
      <c r="E9468">
        <v>30.347950000000001</v>
      </c>
      <c r="F9468" t="s">
        <v>3627</v>
      </c>
      <c r="G9468">
        <v>-89.838444999999993</v>
      </c>
      <c r="H9468">
        <v>900</v>
      </c>
      <c r="I9468">
        <v>-1</v>
      </c>
      <c r="J9468">
        <v>-132</v>
      </c>
      <c r="K9468">
        <v>-640</v>
      </c>
      <c r="L9468">
        <v>1200</v>
      </c>
      <c r="M9468" t="str">
        <f t="shared" si="839"/>
        <v xml:space="preserve">N35DC   </v>
      </c>
      <c r="N9468">
        <v>1</v>
      </c>
      <c r="O9468">
        <v>975</v>
      </c>
    </row>
    <row r="9469" spans="1:15" x14ac:dyDescent="0.25">
      <c r="A9469" t="str">
        <f>"10/21/2020 19:19:59.666"</f>
        <v>10/21/2020 19:19:59.666</v>
      </c>
      <c r="B9469" t="str">
        <f>"19:20:07.617"</f>
        <v>19:20:07.617</v>
      </c>
      <c r="C9469" t="str">
        <f>"19:20:07.317"</f>
        <v>19:20:07.317</v>
      </c>
      <c r="D9469" t="s">
        <v>3629</v>
      </c>
      <c r="E9469">
        <v>30.346254999999999</v>
      </c>
      <c r="F9469" t="s">
        <v>3627</v>
      </c>
      <c r="G9469">
        <v>-89.838444999999993</v>
      </c>
      <c r="H9469">
        <v>900</v>
      </c>
      <c r="I9469">
        <v>-1</v>
      </c>
      <c r="J9469">
        <v>-129</v>
      </c>
      <c r="K9469">
        <v>-448</v>
      </c>
      <c r="L9469">
        <v>1200</v>
      </c>
      <c r="M9469" t="str">
        <f t="shared" si="839"/>
        <v xml:space="preserve">N35DC   </v>
      </c>
      <c r="N9469">
        <v>1</v>
      </c>
      <c r="O9469">
        <v>950</v>
      </c>
    </row>
    <row r="9470" spans="1:15" x14ac:dyDescent="0.25">
      <c r="A9470" t="str">
        <f>"10/21/2020 19:19:59.666"</f>
        <v>10/21/2020 19:19:59.666</v>
      </c>
      <c r="B9470" t="str">
        <f>"19:20:07.617"</f>
        <v>19:20:07.617</v>
      </c>
      <c r="C9470" t="str">
        <f>"19:20:07.317"</f>
        <v>19:20:07.317</v>
      </c>
      <c r="D9470" t="s">
        <v>3629</v>
      </c>
      <c r="E9470">
        <v>30.346254999999999</v>
      </c>
      <c r="F9470" t="s">
        <v>3627</v>
      </c>
      <c r="G9470">
        <v>-89.838444999999993</v>
      </c>
      <c r="H9470">
        <v>900</v>
      </c>
      <c r="I9470">
        <v>-1</v>
      </c>
      <c r="J9470">
        <v>-129</v>
      </c>
      <c r="K9470">
        <v>-448</v>
      </c>
      <c r="L9470">
        <v>1200</v>
      </c>
      <c r="M9470" t="str">
        <f t="shared" si="839"/>
        <v xml:space="preserve">N35DC   </v>
      </c>
      <c r="N9470">
        <v>1</v>
      </c>
      <c r="O9470">
        <v>950</v>
      </c>
    </row>
    <row r="9471" spans="1:15" x14ac:dyDescent="0.25">
      <c r="A9471" t="str">
        <f>"10/21/2020 19:19:59.666"</f>
        <v>10/21/2020 19:19:59.666</v>
      </c>
      <c r="B9471" t="str">
        <f>"19:20:07.617"</f>
        <v>19:20:07.617</v>
      </c>
      <c r="C9471" t="str">
        <f>"19:20:07.317"</f>
        <v>19:20:07.317</v>
      </c>
      <c r="D9471" t="s">
        <v>3629</v>
      </c>
      <c r="E9471">
        <v>30.346254999999999</v>
      </c>
      <c r="F9471" t="s">
        <v>3627</v>
      </c>
      <c r="G9471">
        <v>-89.838444999999993</v>
      </c>
      <c r="H9471">
        <v>900</v>
      </c>
      <c r="I9471">
        <v>-1</v>
      </c>
      <c r="J9471">
        <v>-129</v>
      </c>
      <c r="K9471">
        <v>-448</v>
      </c>
      <c r="L9471">
        <v>1200</v>
      </c>
      <c r="M9471" t="str">
        <f t="shared" si="839"/>
        <v xml:space="preserve">N35DC   </v>
      </c>
      <c r="N9471">
        <v>1</v>
      </c>
      <c r="O9471">
        <v>950</v>
      </c>
    </row>
    <row r="9472" spans="1:15" x14ac:dyDescent="0.25">
      <c r="A9472" t="str">
        <f>"10/21/2020 19:19:59.666"</f>
        <v>10/21/2020 19:19:59.666</v>
      </c>
      <c r="B9472" t="str">
        <f>"19:20:07.617"</f>
        <v>19:20:07.617</v>
      </c>
      <c r="C9472" t="str">
        <f>"19:20:07.317"</f>
        <v>19:20:07.317</v>
      </c>
      <c r="D9472" t="s">
        <v>3629</v>
      </c>
      <c r="E9472">
        <v>30.346254999999999</v>
      </c>
      <c r="F9472" t="s">
        <v>3627</v>
      </c>
      <c r="G9472">
        <v>-89.838444999999993</v>
      </c>
      <c r="H9472">
        <v>900</v>
      </c>
      <c r="I9472">
        <v>-1</v>
      </c>
      <c r="J9472">
        <v>-129</v>
      </c>
      <c r="K9472">
        <v>-448</v>
      </c>
      <c r="L9472">
        <v>1200</v>
      </c>
      <c r="M9472" t="str">
        <f t="shared" si="839"/>
        <v xml:space="preserve">N35DC   </v>
      </c>
      <c r="N9472">
        <v>1</v>
      </c>
      <c r="O9472">
        <v>950</v>
      </c>
    </row>
    <row r="9473" spans="1:15" x14ac:dyDescent="0.25">
      <c r="A9473" t="str">
        <f>"10/21/2020 19:19:59.666"</f>
        <v>10/21/2020 19:19:59.666</v>
      </c>
      <c r="B9473" t="str">
        <f>"19:20:07.617"</f>
        <v>19:20:07.617</v>
      </c>
      <c r="C9473" t="str">
        <f>"19:20:07.317"</f>
        <v>19:20:07.317</v>
      </c>
      <c r="D9473" t="s">
        <v>3629</v>
      </c>
      <c r="E9473">
        <v>30.346254999999999</v>
      </c>
      <c r="F9473" t="s">
        <v>3627</v>
      </c>
      <c r="G9473">
        <v>-89.838444999999993</v>
      </c>
      <c r="H9473">
        <v>900</v>
      </c>
      <c r="I9473">
        <v>-1</v>
      </c>
      <c r="J9473">
        <v>-129</v>
      </c>
      <c r="K9473">
        <v>-448</v>
      </c>
      <c r="L9473">
        <v>1200</v>
      </c>
      <c r="M9473" t="str">
        <f t="shared" si="839"/>
        <v xml:space="preserve">N35DC   </v>
      </c>
      <c r="N9473">
        <v>1</v>
      </c>
      <c r="O9473">
        <v>950</v>
      </c>
    </row>
    <row r="9474" spans="1:15" x14ac:dyDescent="0.25">
      <c r="A9474" t="str">
        <f>"10/21/2020 19:20:02.710"</f>
        <v>10/21/2020 19:20:02.710</v>
      </c>
      <c r="B9474" t="str">
        <f>"19:20:10.672"</f>
        <v>19:20:10.672</v>
      </c>
      <c r="C9474" t="str">
        <f>"19:20:10.472"</f>
        <v>19:20:10.472</v>
      </c>
      <c r="D9474" t="s">
        <v>3630</v>
      </c>
      <c r="E9474">
        <v>30.344431</v>
      </c>
      <c r="F9474" t="s">
        <v>3627</v>
      </c>
      <c r="G9474">
        <v>-89.838444999999993</v>
      </c>
      <c r="H9474">
        <v>900</v>
      </c>
      <c r="I9474">
        <v>-1</v>
      </c>
      <c r="J9474">
        <v>-126</v>
      </c>
      <c r="K9474">
        <v>-256</v>
      </c>
      <c r="L9474">
        <v>1200</v>
      </c>
      <c r="M9474" t="str">
        <f t="shared" si="839"/>
        <v xml:space="preserve">N35DC   </v>
      </c>
      <c r="N9474">
        <v>1</v>
      </c>
      <c r="O9474">
        <v>925</v>
      </c>
    </row>
    <row r="9475" spans="1:15" x14ac:dyDescent="0.25">
      <c r="A9475" t="str">
        <f>"10/21/2020 19:20:02.710"</f>
        <v>10/21/2020 19:20:02.710</v>
      </c>
      <c r="B9475" t="str">
        <f>"19:20:10.672"</f>
        <v>19:20:10.672</v>
      </c>
      <c r="C9475" t="str">
        <f>"19:20:10.472"</f>
        <v>19:20:10.472</v>
      </c>
      <c r="D9475" t="s">
        <v>3630</v>
      </c>
      <c r="E9475">
        <v>30.344431</v>
      </c>
      <c r="F9475" t="s">
        <v>3627</v>
      </c>
      <c r="G9475">
        <v>-89.838444999999993</v>
      </c>
      <c r="H9475">
        <v>900</v>
      </c>
      <c r="I9475">
        <v>-1</v>
      </c>
      <c r="J9475">
        <v>-126</v>
      </c>
      <c r="K9475">
        <v>-256</v>
      </c>
      <c r="L9475">
        <v>1200</v>
      </c>
      <c r="M9475" t="str">
        <f t="shared" si="839"/>
        <v xml:space="preserve">N35DC   </v>
      </c>
      <c r="N9475">
        <v>1</v>
      </c>
      <c r="O9475">
        <v>925</v>
      </c>
    </row>
    <row r="9476" spans="1:15" x14ac:dyDescent="0.25">
      <c r="A9476" t="str">
        <f>"10/21/2020 19:20:02.710"</f>
        <v>10/21/2020 19:20:02.710</v>
      </c>
      <c r="B9476" t="str">
        <f>"19:20:10.672"</f>
        <v>19:20:10.672</v>
      </c>
      <c r="C9476" t="str">
        <f>"19:20:10.472"</f>
        <v>19:20:10.472</v>
      </c>
      <c r="D9476" t="s">
        <v>3630</v>
      </c>
      <c r="E9476">
        <v>30.344431</v>
      </c>
      <c r="F9476" t="s">
        <v>3627</v>
      </c>
      <c r="G9476">
        <v>-89.838444999999993</v>
      </c>
      <c r="H9476">
        <v>900</v>
      </c>
      <c r="I9476">
        <v>-1</v>
      </c>
      <c r="J9476">
        <v>-126</v>
      </c>
      <c r="K9476">
        <v>-256</v>
      </c>
      <c r="L9476">
        <v>1200</v>
      </c>
      <c r="M9476" t="str">
        <f t="shared" si="839"/>
        <v xml:space="preserve">N35DC   </v>
      </c>
      <c r="N9476">
        <v>1</v>
      </c>
      <c r="O9476">
        <v>925</v>
      </c>
    </row>
    <row r="9477" spans="1:15" x14ac:dyDescent="0.25">
      <c r="A9477" t="str">
        <f>"10/21/2020 19:20:02.710"</f>
        <v>10/21/2020 19:20:02.710</v>
      </c>
      <c r="B9477" t="str">
        <f>"19:20:10.672"</f>
        <v>19:20:10.672</v>
      </c>
      <c r="C9477" t="str">
        <f>"19:20:10.472"</f>
        <v>19:20:10.472</v>
      </c>
      <c r="D9477" t="s">
        <v>3630</v>
      </c>
      <c r="E9477">
        <v>30.344431</v>
      </c>
      <c r="F9477" t="s">
        <v>3627</v>
      </c>
      <c r="G9477">
        <v>-89.838444999999993</v>
      </c>
      <c r="H9477">
        <v>900</v>
      </c>
      <c r="I9477">
        <v>-1</v>
      </c>
      <c r="J9477">
        <v>-126</v>
      </c>
      <c r="K9477">
        <v>-256</v>
      </c>
      <c r="L9477">
        <v>1200</v>
      </c>
      <c r="M9477" t="str">
        <f t="shared" si="839"/>
        <v xml:space="preserve">N35DC   </v>
      </c>
      <c r="N9477">
        <v>1</v>
      </c>
      <c r="O9477">
        <v>925</v>
      </c>
    </row>
    <row r="9478" spans="1:15" x14ac:dyDescent="0.25">
      <c r="A9478" t="str">
        <f>"10/21/2020 19:20:02.710"</f>
        <v>10/21/2020 19:20:02.710</v>
      </c>
      <c r="B9478" t="str">
        <f>"19:20:10.672"</f>
        <v>19:20:10.672</v>
      </c>
      <c r="C9478" t="str">
        <f>"19:20:10.472"</f>
        <v>19:20:10.472</v>
      </c>
      <c r="D9478" t="s">
        <v>3630</v>
      </c>
      <c r="E9478">
        <v>30.344431</v>
      </c>
      <c r="F9478" t="s">
        <v>3627</v>
      </c>
      <c r="G9478">
        <v>-89.838444999999993</v>
      </c>
      <c r="H9478">
        <v>900</v>
      </c>
      <c r="I9478">
        <v>-1</v>
      </c>
      <c r="J9478">
        <v>-126</v>
      </c>
      <c r="K9478">
        <v>-256</v>
      </c>
      <c r="L9478">
        <v>1200</v>
      </c>
      <c r="M9478" t="str">
        <f t="shared" si="839"/>
        <v xml:space="preserve">N35DC   </v>
      </c>
      <c r="N9478">
        <v>1</v>
      </c>
      <c r="O9478">
        <v>925</v>
      </c>
    </row>
    <row r="9479" spans="1:15" x14ac:dyDescent="0.25">
      <c r="A9479" t="str">
        <f>"10/21/2020 19:20:03.913"</f>
        <v>10/21/2020 19:20:03.913</v>
      </c>
      <c r="B9479" t="str">
        <f t="shared" ref="B9479:C9483" si="842">"19:20:11.844"</f>
        <v>19:20:11.844</v>
      </c>
      <c r="C9479" t="str">
        <f t="shared" si="842"/>
        <v>19:20:11.844</v>
      </c>
      <c r="D9479" t="s">
        <v>3631</v>
      </c>
      <c r="E9479">
        <v>30.343765999999999</v>
      </c>
      <c r="F9479" t="s">
        <v>3627</v>
      </c>
      <c r="G9479">
        <v>-89.838444999999993</v>
      </c>
      <c r="H9479">
        <v>900</v>
      </c>
      <c r="I9479">
        <v>-1</v>
      </c>
      <c r="J9479">
        <v>-125</v>
      </c>
      <c r="K9479">
        <v>-384</v>
      </c>
      <c r="L9479">
        <v>1200</v>
      </c>
      <c r="M9479" t="str">
        <f t="shared" ref="M9479:M9542" si="843">"N35DC   "</f>
        <v xml:space="preserve">N35DC   </v>
      </c>
      <c r="N9479">
        <v>1</v>
      </c>
      <c r="O9479">
        <v>925</v>
      </c>
    </row>
    <row r="9480" spans="1:15" x14ac:dyDescent="0.25">
      <c r="A9480" t="str">
        <f>"10/21/2020 19:20:03.913"</f>
        <v>10/21/2020 19:20:03.913</v>
      </c>
      <c r="B9480" t="str">
        <f t="shared" si="842"/>
        <v>19:20:11.844</v>
      </c>
      <c r="C9480" t="str">
        <f t="shared" si="842"/>
        <v>19:20:11.844</v>
      </c>
      <c r="D9480" t="s">
        <v>3631</v>
      </c>
      <c r="E9480">
        <v>30.343765999999999</v>
      </c>
      <c r="F9480" t="s">
        <v>3627</v>
      </c>
      <c r="G9480">
        <v>-89.838444999999993</v>
      </c>
      <c r="H9480">
        <v>900</v>
      </c>
      <c r="I9480">
        <v>-1</v>
      </c>
      <c r="J9480">
        <v>-125</v>
      </c>
      <c r="K9480">
        <v>-384</v>
      </c>
      <c r="L9480">
        <v>1200</v>
      </c>
      <c r="M9480" t="str">
        <f t="shared" si="843"/>
        <v xml:space="preserve">N35DC   </v>
      </c>
      <c r="N9480">
        <v>1</v>
      </c>
      <c r="O9480">
        <v>925</v>
      </c>
    </row>
    <row r="9481" spans="1:15" x14ac:dyDescent="0.25">
      <c r="A9481" t="str">
        <f>"10/21/2020 19:20:03.913"</f>
        <v>10/21/2020 19:20:03.913</v>
      </c>
      <c r="B9481" t="str">
        <f t="shared" si="842"/>
        <v>19:20:11.844</v>
      </c>
      <c r="C9481" t="str">
        <f t="shared" si="842"/>
        <v>19:20:11.844</v>
      </c>
      <c r="D9481" t="s">
        <v>3631</v>
      </c>
      <c r="E9481">
        <v>30.343765999999999</v>
      </c>
      <c r="F9481" t="s">
        <v>3627</v>
      </c>
      <c r="G9481">
        <v>-89.838444999999993</v>
      </c>
      <c r="H9481">
        <v>900</v>
      </c>
      <c r="I9481">
        <v>-1</v>
      </c>
      <c r="J9481">
        <v>-125</v>
      </c>
      <c r="K9481">
        <v>-384</v>
      </c>
      <c r="L9481">
        <v>1200</v>
      </c>
      <c r="M9481" t="str">
        <f t="shared" si="843"/>
        <v xml:space="preserve">N35DC   </v>
      </c>
      <c r="N9481">
        <v>1</v>
      </c>
      <c r="O9481">
        <v>925</v>
      </c>
    </row>
    <row r="9482" spans="1:15" x14ac:dyDescent="0.25">
      <c r="A9482" t="str">
        <f>"10/21/2020 19:20:03.913"</f>
        <v>10/21/2020 19:20:03.913</v>
      </c>
      <c r="B9482" t="str">
        <f t="shared" si="842"/>
        <v>19:20:11.844</v>
      </c>
      <c r="C9482" t="str">
        <f t="shared" si="842"/>
        <v>19:20:11.844</v>
      </c>
      <c r="D9482" t="s">
        <v>3631</v>
      </c>
      <c r="E9482">
        <v>30.343765999999999</v>
      </c>
      <c r="F9482" t="s">
        <v>3627</v>
      </c>
      <c r="G9482">
        <v>-89.838444999999993</v>
      </c>
      <c r="H9482">
        <v>900</v>
      </c>
      <c r="I9482">
        <v>-1</v>
      </c>
      <c r="J9482">
        <v>-125</v>
      </c>
      <c r="K9482">
        <v>-384</v>
      </c>
      <c r="L9482">
        <v>1200</v>
      </c>
      <c r="M9482" t="str">
        <f t="shared" si="843"/>
        <v xml:space="preserve">N35DC   </v>
      </c>
      <c r="N9482">
        <v>1</v>
      </c>
      <c r="O9482">
        <v>925</v>
      </c>
    </row>
    <row r="9483" spans="1:15" x14ac:dyDescent="0.25">
      <c r="A9483" t="str">
        <f>"10/21/2020 19:20:03.913"</f>
        <v>10/21/2020 19:20:03.913</v>
      </c>
      <c r="B9483" t="str">
        <f t="shared" si="842"/>
        <v>19:20:11.844</v>
      </c>
      <c r="C9483" t="str">
        <f t="shared" si="842"/>
        <v>19:20:11.844</v>
      </c>
      <c r="D9483" t="s">
        <v>3631</v>
      </c>
      <c r="E9483">
        <v>30.343765999999999</v>
      </c>
      <c r="F9483" t="s">
        <v>3627</v>
      </c>
      <c r="G9483">
        <v>-89.838444999999993</v>
      </c>
      <c r="H9483">
        <v>900</v>
      </c>
      <c r="I9483">
        <v>-1</v>
      </c>
      <c r="J9483">
        <v>-125</v>
      </c>
      <c r="K9483">
        <v>-384</v>
      </c>
      <c r="L9483">
        <v>1200</v>
      </c>
      <c r="M9483" t="str">
        <f t="shared" si="843"/>
        <v xml:space="preserve">N35DC   </v>
      </c>
      <c r="N9483">
        <v>1</v>
      </c>
      <c r="O9483">
        <v>925</v>
      </c>
    </row>
    <row r="9484" spans="1:15" x14ac:dyDescent="0.25">
      <c r="A9484" t="str">
        <f>"10/21/2020 19:20:06.846"</f>
        <v>10/21/2020 19:20:06.846</v>
      </c>
      <c r="B9484" t="str">
        <f>"19:20:14.797"</f>
        <v>19:20:14.797</v>
      </c>
      <c r="C9484" t="str">
        <f>"19:20:14.297"</f>
        <v>19:20:14.297</v>
      </c>
      <c r="D9484" t="s">
        <v>3632</v>
      </c>
      <c r="E9484">
        <v>30.34205</v>
      </c>
      <c r="F9484" t="s">
        <v>3633</v>
      </c>
      <c r="G9484">
        <v>-89.838487999999998</v>
      </c>
      <c r="H9484">
        <v>900</v>
      </c>
      <c r="I9484">
        <v>-2</v>
      </c>
      <c r="J9484">
        <v>-123</v>
      </c>
      <c r="K9484">
        <v>-384</v>
      </c>
      <c r="L9484">
        <v>1200</v>
      </c>
      <c r="M9484" t="str">
        <f t="shared" si="843"/>
        <v xml:space="preserve">N35DC   </v>
      </c>
      <c r="N9484">
        <v>1</v>
      </c>
      <c r="O9484">
        <v>900</v>
      </c>
    </row>
    <row r="9485" spans="1:15" x14ac:dyDescent="0.25">
      <c r="A9485" t="str">
        <f>"10/21/2020 19:20:06.846"</f>
        <v>10/21/2020 19:20:06.846</v>
      </c>
      <c r="B9485" t="str">
        <f>"19:20:14.797"</f>
        <v>19:20:14.797</v>
      </c>
      <c r="C9485" t="str">
        <f>"19:20:14.297"</f>
        <v>19:20:14.297</v>
      </c>
      <c r="D9485" t="s">
        <v>3632</v>
      </c>
      <c r="E9485">
        <v>30.34205</v>
      </c>
      <c r="F9485" t="s">
        <v>3633</v>
      </c>
      <c r="G9485">
        <v>-89.838487999999998</v>
      </c>
      <c r="H9485">
        <v>900</v>
      </c>
      <c r="I9485">
        <v>-2</v>
      </c>
      <c r="J9485">
        <v>-123</v>
      </c>
      <c r="K9485">
        <v>-384</v>
      </c>
      <c r="L9485">
        <v>1200</v>
      </c>
      <c r="M9485" t="str">
        <f t="shared" si="843"/>
        <v xml:space="preserve">N35DC   </v>
      </c>
      <c r="N9485">
        <v>1</v>
      </c>
      <c r="O9485">
        <v>900</v>
      </c>
    </row>
    <row r="9486" spans="1:15" x14ac:dyDescent="0.25">
      <c r="A9486" t="str">
        <f>"10/21/2020 19:20:06.846"</f>
        <v>10/21/2020 19:20:06.846</v>
      </c>
      <c r="B9486" t="str">
        <f>"19:20:14.797"</f>
        <v>19:20:14.797</v>
      </c>
      <c r="C9486" t="str">
        <f>"19:20:14.297"</f>
        <v>19:20:14.297</v>
      </c>
      <c r="D9486" t="s">
        <v>3632</v>
      </c>
      <c r="E9486">
        <v>30.34205</v>
      </c>
      <c r="F9486" t="s">
        <v>3633</v>
      </c>
      <c r="G9486">
        <v>-89.838487999999998</v>
      </c>
      <c r="H9486">
        <v>900</v>
      </c>
      <c r="I9486">
        <v>-2</v>
      </c>
      <c r="J9486">
        <v>-123</v>
      </c>
      <c r="K9486">
        <v>-384</v>
      </c>
      <c r="L9486">
        <v>1200</v>
      </c>
      <c r="M9486" t="str">
        <f t="shared" si="843"/>
        <v xml:space="preserve">N35DC   </v>
      </c>
      <c r="N9486">
        <v>1</v>
      </c>
      <c r="O9486">
        <v>900</v>
      </c>
    </row>
    <row r="9487" spans="1:15" x14ac:dyDescent="0.25">
      <c r="A9487" t="str">
        <f>"10/21/2020 19:20:06.846"</f>
        <v>10/21/2020 19:20:06.846</v>
      </c>
      <c r="B9487" t="str">
        <f>"19:20:14.797"</f>
        <v>19:20:14.797</v>
      </c>
      <c r="C9487" t="str">
        <f>"19:20:14.297"</f>
        <v>19:20:14.297</v>
      </c>
      <c r="D9487" t="s">
        <v>3632</v>
      </c>
      <c r="E9487">
        <v>30.34205</v>
      </c>
      <c r="F9487" t="s">
        <v>3633</v>
      </c>
      <c r="G9487">
        <v>-89.838487999999998</v>
      </c>
      <c r="H9487">
        <v>900</v>
      </c>
      <c r="I9487">
        <v>-2</v>
      </c>
      <c r="J9487">
        <v>-123</v>
      </c>
      <c r="K9487">
        <v>-384</v>
      </c>
      <c r="L9487">
        <v>1200</v>
      </c>
      <c r="M9487" t="str">
        <f t="shared" si="843"/>
        <v xml:space="preserve">N35DC   </v>
      </c>
      <c r="N9487">
        <v>1</v>
      </c>
      <c r="O9487">
        <v>900</v>
      </c>
    </row>
    <row r="9488" spans="1:15" x14ac:dyDescent="0.25">
      <c r="A9488" t="str">
        <f>"10/21/2020 19:20:06.846"</f>
        <v>10/21/2020 19:20:06.846</v>
      </c>
      <c r="B9488" t="str">
        <f>"19:20:14.797"</f>
        <v>19:20:14.797</v>
      </c>
      <c r="C9488" t="str">
        <f>"19:20:14.297"</f>
        <v>19:20:14.297</v>
      </c>
      <c r="D9488" t="s">
        <v>3632</v>
      </c>
      <c r="E9488">
        <v>30.34205</v>
      </c>
      <c r="F9488" t="s">
        <v>3633</v>
      </c>
      <c r="G9488">
        <v>-89.838487999999998</v>
      </c>
      <c r="H9488">
        <v>900</v>
      </c>
      <c r="I9488">
        <v>-2</v>
      </c>
      <c r="J9488">
        <v>-123</v>
      </c>
      <c r="K9488">
        <v>-384</v>
      </c>
      <c r="L9488">
        <v>1200</v>
      </c>
      <c r="M9488" t="str">
        <f t="shared" si="843"/>
        <v xml:space="preserve">N35DC   </v>
      </c>
      <c r="N9488">
        <v>1</v>
      </c>
      <c r="O9488">
        <v>900</v>
      </c>
    </row>
    <row r="9489" spans="1:15" x14ac:dyDescent="0.25">
      <c r="A9489" t="str">
        <f>"10/21/2020 19:20:07.717"</f>
        <v>10/21/2020 19:20:07.717</v>
      </c>
      <c r="B9489" t="str">
        <f>"19:20:15.672"</f>
        <v>19:20:15.672</v>
      </c>
      <c r="C9489" t="str">
        <f>"19:20:15.272"</f>
        <v>19:20:15.272</v>
      </c>
      <c r="D9489" t="s">
        <v>3634</v>
      </c>
      <c r="E9489">
        <v>30.341577999999998</v>
      </c>
      <c r="F9489" t="s">
        <v>3633</v>
      </c>
      <c r="G9489">
        <v>-89.838487999999998</v>
      </c>
      <c r="H9489">
        <v>900</v>
      </c>
      <c r="I9489">
        <v>-2</v>
      </c>
      <c r="J9489">
        <v>-123</v>
      </c>
      <c r="K9489">
        <v>-320</v>
      </c>
      <c r="L9489">
        <v>1200</v>
      </c>
      <c r="M9489" t="str">
        <f t="shared" si="843"/>
        <v xml:space="preserve">N35DC   </v>
      </c>
      <c r="N9489">
        <v>1</v>
      </c>
      <c r="O9489">
        <v>900</v>
      </c>
    </row>
    <row r="9490" spans="1:15" x14ac:dyDescent="0.25">
      <c r="A9490" t="str">
        <f>"10/21/2020 19:20:07.717"</f>
        <v>10/21/2020 19:20:07.717</v>
      </c>
      <c r="B9490" t="str">
        <f>"19:20:15.672"</f>
        <v>19:20:15.672</v>
      </c>
      <c r="C9490" t="str">
        <f>"19:20:15.272"</f>
        <v>19:20:15.272</v>
      </c>
      <c r="D9490" t="s">
        <v>3634</v>
      </c>
      <c r="E9490">
        <v>30.341577999999998</v>
      </c>
      <c r="F9490" t="s">
        <v>3633</v>
      </c>
      <c r="G9490">
        <v>-89.838487999999998</v>
      </c>
      <c r="H9490">
        <v>900</v>
      </c>
      <c r="I9490">
        <v>-2</v>
      </c>
      <c r="J9490">
        <v>-123</v>
      </c>
      <c r="K9490">
        <v>-320</v>
      </c>
      <c r="L9490">
        <v>1200</v>
      </c>
      <c r="M9490" t="str">
        <f t="shared" si="843"/>
        <v xml:space="preserve">N35DC   </v>
      </c>
      <c r="N9490">
        <v>1</v>
      </c>
      <c r="O9490">
        <v>900</v>
      </c>
    </row>
    <row r="9491" spans="1:15" x14ac:dyDescent="0.25">
      <c r="A9491" t="str">
        <f>"10/21/2020 19:20:07.717"</f>
        <v>10/21/2020 19:20:07.717</v>
      </c>
      <c r="B9491" t="str">
        <f>"19:20:15.672"</f>
        <v>19:20:15.672</v>
      </c>
      <c r="C9491" t="str">
        <f>"19:20:15.272"</f>
        <v>19:20:15.272</v>
      </c>
      <c r="D9491" t="s">
        <v>3634</v>
      </c>
      <c r="E9491">
        <v>30.341577999999998</v>
      </c>
      <c r="F9491" t="s">
        <v>3633</v>
      </c>
      <c r="G9491">
        <v>-89.838487999999998</v>
      </c>
      <c r="H9491">
        <v>900</v>
      </c>
      <c r="I9491">
        <v>-2</v>
      </c>
      <c r="J9491">
        <v>-123</v>
      </c>
      <c r="K9491">
        <v>-320</v>
      </c>
      <c r="L9491">
        <v>1200</v>
      </c>
      <c r="M9491" t="str">
        <f t="shared" si="843"/>
        <v xml:space="preserve">N35DC   </v>
      </c>
      <c r="N9491">
        <v>1</v>
      </c>
      <c r="O9491">
        <v>900</v>
      </c>
    </row>
    <row r="9492" spans="1:15" x14ac:dyDescent="0.25">
      <c r="A9492" t="str">
        <f>"10/21/2020 19:20:07.717"</f>
        <v>10/21/2020 19:20:07.717</v>
      </c>
      <c r="B9492" t="str">
        <f>"19:20:15.672"</f>
        <v>19:20:15.672</v>
      </c>
      <c r="C9492" t="str">
        <f>"19:20:15.272"</f>
        <v>19:20:15.272</v>
      </c>
      <c r="D9492" t="s">
        <v>3634</v>
      </c>
      <c r="E9492">
        <v>30.341577999999998</v>
      </c>
      <c r="F9492" t="s">
        <v>3633</v>
      </c>
      <c r="G9492">
        <v>-89.838487999999998</v>
      </c>
      <c r="H9492">
        <v>900</v>
      </c>
      <c r="I9492">
        <v>-2</v>
      </c>
      <c r="J9492">
        <v>-123</v>
      </c>
      <c r="K9492">
        <v>-320</v>
      </c>
      <c r="L9492">
        <v>1200</v>
      </c>
      <c r="M9492" t="str">
        <f t="shared" si="843"/>
        <v xml:space="preserve">N35DC   </v>
      </c>
      <c r="N9492">
        <v>1</v>
      </c>
      <c r="O9492">
        <v>900</v>
      </c>
    </row>
    <row r="9493" spans="1:15" x14ac:dyDescent="0.25">
      <c r="A9493" t="str">
        <f>"10/21/2020 19:20:07.717"</f>
        <v>10/21/2020 19:20:07.717</v>
      </c>
      <c r="B9493" t="str">
        <f>"19:20:15.672"</f>
        <v>19:20:15.672</v>
      </c>
      <c r="C9493" t="str">
        <f>"19:20:15.272"</f>
        <v>19:20:15.272</v>
      </c>
      <c r="D9493" t="s">
        <v>3634</v>
      </c>
      <c r="E9493">
        <v>30.341577999999998</v>
      </c>
      <c r="F9493" t="s">
        <v>3633</v>
      </c>
      <c r="G9493">
        <v>-89.838487999999998</v>
      </c>
      <c r="H9493">
        <v>900</v>
      </c>
      <c r="I9493">
        <v>-2</v>
      </c>
      <c r="J9493">
        <v>-123</v>
      </c>
      <c r="K9493">
        <v>-320</v>
      </c>
      <c r="L9493">
        <v>1200</v>
      </c>
      <c r="M9493" t="str">
        <f t="shared" si="843"/>
        <v xml:space="preserve">N35DC   </v>
      </c>
      <c r="N9493">
        <v>1</v>
      </c>
      <c r="O9493">
        <v>900</v>
      </c>
    </row>
    <row r="9494" spans="1:15" x14ac:dyDescent="0.25">
      <c r="A9494" t="str">
        <f>"10/21/2020 19:20:10.843"</f>
        <v>10/21/2020 19:20:10.843</v>
      </c>
      <c r="B9494" t="str">
        <f>"19:20:18.789"</f>
        <v>19:20:18.789</v>
      </c>
      <c r="C9494" t="str">
        <f>"19:20:18.289"</f>
        <v>19:20:18.289</v>
      </c>
      <c r="D9494" t="s">
        <v>3635</v>
      </c>
      <c r="E9494">
        <v>30.339839000000001</v>
      </c>
      <c r="F9494" t="s">
        <v>2279</v>
      </c>
      <c r="G9494">
        <v>-89.838552000000007</v>
      </c>
      <c r="H9494">
        <v>900</v>
      </c>
      <c r="I9494">
        <v>-2</v>
      </c>
      <c r="J9494">
        <v>-120</v>
      </c>
      <c r="K9494">
        <v>-256</v>
      </c>
      <c r="L9494">
        <v>1200</v>
      </c>
      <c r="M9494" t="str">
        <f t="shared" si="843"/>
        <v xml:space="preserve">N35DC   </v>
      </c>
      <c r="N9494">
        <v>1</v>
      </c>
      <c r="O9494">
        <v>875</v>
      </c>
    </row>
    <row r="9495" spans="1:15" x14ac:dyDescent="0.25">
      <c r="A9495" t="str">
        <f>"10/21/2020 19:20:10.843"</f>
        <v>10/21/2020 19:20:10.843</v>
      </c>
      <c r="B9495" t="str">
        <f>"19:20:18.789"</f>
        <v>19:20:18.789</v>
      </c>
      <c r="C9495" t="str">
        <f>"19:20:18.289"</f>
        <v>19:20:18.289</v>
      </c>
      <c r="D9495" t="s">
        <v>3635</v>
      </c>
      <c r="E9495">
        <v>30.339839000000001</v>
      </c>
      <c r="F9495" t="s">
        <v>2279</v>
      </c>
      <c r="G9495">
        <v>-89.838552000000007</v>
      </c>
      <c r="H9495">
        <v>900</v>
      </c>
      <c r="I9495">
        <v>-2</v>
      </c>
      <c r="J9495">
        <v>-120</v>
      </c>
      <c r="K9495">
        <v>-256</v>
      </c>
      <c r="L9495">
        <v>1200</v>
      </c>
      <c r="M9495" t="str">
        <f t="shared" si="843"/>
        <v xml:space="preserve">N35DC   </v>
      </c>
      <c r="N9495">
        <v>1</v>
      </c>
      <c r="O9495">
        <v>875</v>
      </c>
    </row>
    <row r="9496" spans="1:15" x14ac:dyDescent="0.25">
      <c r="A9496" t="str">
        <f>"10/21/2020 19:20:10.843"</f>
        <v>10/21/2020 19:20:10.843</v>
      </c>
      <c r="B9496" t="str">
        <f>"19:20:18.789"</f>
        <v>19:20:18.789</v>
      </c>
      <c r="C9496" t="str">
        <f>"19:20:18.289"</f>
        <v>19:20:18.289</v>
      </c>
      <c r="D9496" t="s">
        <v>3635</v>
      </c>
      <c r="E9496">
        <v>30.339839000000001</v>
      </c>
      <c r="F9496" t="s">
        <v>2279</v>
      </c>
      <c r="G9496">
        <v>-89.838552000000007</v>
      </c>
      <c r="H9496">
        <v>900</v>
      </c>
      <c r="I9496">
        <v>-2</v>
      </c>
      <c r="J9496">
        <v>-120</v>
      </c>
      <c r="K9496">
        <v>-256</v>
      </c>
      <c r="L9496">
        <v>1200</v>
      </c>
      <c r="M9496" t="str">
        <f t="shared" si="843"/>
        <v xml:space="preserve">N35DC   </v>
      </c>
      <c r="N9496">
        <v>1</v>
      </c>
      <c r="O9496">
        <v>875</v>
      </c>
    </row>
    <row r="9497" spans="1:15" x14ac:dyDescent="0.25">
      <c r="A9497" t="str">
        <f>"10/21/2020 19:20:10.843"</f>
        <v>10/21/2020 19:20:10.843</v>
      </c>
      <c r="B9497" t="str">
        <f>"19:20:18.789"</f>
        <v>19:20:18.789</v>
      </c>
      <c r="C9497" t="str">
        <f>"19:20:18.289"</f>
        <v>19:20:18.289</v>
      </c>
      <c r="D9497" t="s">
        <v>3635</v>
      </c>
      <c r="E9497">
        <v>30.339839000000001</v>
      </c>
      <c r="F9497" t="s">
        <v>2279</v>
      </c>
      <c r="G9497">
        <v>-89.838552000000007</v>
      </c>
      <c r="H9497">
        <v>900</v>
      </c>
      <c r="I9497">
        <v>-2</v>
      </c>
      <c r="J9497">
        <v>-120</v>
      </c>
      <c r="K9497">
        <v>-256</v>
      </c>
      <c r="L9497">
        <v>1200</v>
      </c>
      <c r="M9497" t="str">
        <f t="shared" si="843"/>
        <v xml:space="preserve">N35DC   </v>
      </c>
      <c r="N9497">
        <v>1</v>
      </c>
      <c r="O9497">
        <v>875</v>
      </c>
    </row>
    <row r="9498" spans="1:15" x14ac:dyDescent="0.25">
      <c r="A9498" t="str">
        <f>"10/21/2020 19:20:10.843"</f>
        <v>10/21/2020 19:20:10.843</v>
      </c>
      <c r="B9498" t="str">
        <f>"19:20:18.789"</f>
        <v>19:20:18.789</v>
      </c>
      <c r="C9498" t="str">
        <f>"19:20:18.289"</f>
        <v>19:20:18.289</v>
      </c>
      <c r="D9498" t="s">
        <v>3635</v>
      </c>
      <c r="E9498">
        <v>30.339839000000001</v>
      </c>
      <c r="F9498" t="s">
        <v>2279</v>
      </c>
      <c r="G9498">
        <v>-89.838552000000007</v>
      </c>
      <c r="H9498">
        <v>900</v>
      </c>
      <c r="I9498">
        <v>-2</v>
      </c>
      <c r="J9498">
        <v>-120</v>
      </c>
      <c r="K9498">
        <v>-256</v>
      </c>
      <c r="L9498">
        <v>1200</v>
      </c>
      <c r="M9498" t="str">
        <f t="shared" si="843"/>
        <v xml:space="preserve">N35DC   </v>
      </c>
      <c r="N9498">
        <v>1</v>
      </c>
      <c r="O9498">
        <v>875</v>
      </c>
    </row>
    <row r="9499" spans="1:15" x14ac:dyDescent="0.25">
      <c r="A9499" t="str">
        <f>"10/21/2020 19:20:13.884"</f>
        <v>10/21/2020 19:20:13.884</v>
      </c>
      <c r="B9499" t="str">
        <f>"19:20:21.852"</f>
        <v>19:20:21.852</v>
      </c>
      <c r="C9499" t="str">
        <f>"19:20:21.552"</f>
        <v>19:20:21.552</v>
      </c>
      <c r="D9499" t="s">
        <v>3636</v>
      </c>
      <c r="E9499">
        <v>30.338144</v>
      </c>
      <c r="F9499" t="s">
        <v>2279</v>
      </c>
      <c r="G9499">
        <v>-89.838552000000007</v>
      </c>
      <c r="H9499">
        <v>800</v>
      </c>
      <c r="I9499">
        <v>-2</v>
      </c>
      <c r="J9499">
        <v>-117</v>
      </c>
      <c r="K9499">
        <v>-448</v>
      </c>
      <c r="L9499">
        <v>1200</v>
      </c>
      <c r="M9499" t="str">
        <f t="shared" si="843"/>
        <v xml:space="preserve">N35DC   </v>
      </c>
      <c r="N9499">
        <v>1</v>
      </c>
      <c r="O9499">
        <v>875</v>
      </c>
    </row>
    <row r="9500" spans="1:15" x14ac:dyDescent="0.25">
      <c r="A9500" t="str">
        <f>"10/21/2020 19:20:13.884"</f>
        <v>10/21/2020 19:20:13.884</v>
      </c>
      <c r="B9500" t="str">
        <f>"19:20:21.852"</f>
        <v>19:20:21.852</v>
      </c>
      <c r="C9500" t="str">
        <f>"19:20:21.552"</f>
        <v>19:20:21.552</v>
      </c>
      <c r="D9500" t="s">
        <v>3636</v>
      </c>
      <c r="E9500">
        <v>30.338144</v>
      </c>
      <c r="F9500" t="s">
        <v>2279</v>
      </c>
      <c r="G9500">
        <v>-89.838552000000007</v>
      </c>
      <c r="H9500">
        <v>800</v>
      </c>
      <c r="I9500">
        <v>-2</v>
      </c>
      <c r="J9500">
        <v>-117</v>
      </c>
      <c r="K9500">
        <v>-448</v>
      </c>
      <c r="L9500">
        <v>1200</v>
      </c>
      <c r="M9500" t="str">
        <f t="shared" si="843"/>
        <v xml:space="preserve">N35DC   </v>
      </c>
      <c r="N9500">
        <v>1</v>
      </c>
      <c r="O9500">
        <v>875</v>
      </c>
    </row>
    <row r="9501" spans="1:15" x14ac:dyDescent="0.25">
      <c r="A9501" t="str">
        <f>"10/21/2020 19:20:13.884"</f>
        <v>10/21/2020 19:20:13.884</v>
      </c>
      <c r="B9501" t="str">
        <f>"19:20:21.852"</f>
        <v>19:20:21.852</v>
      </c>
      <c r="C9501" t="str">
        <f>"19:20:21.552"</f>
        <v>19:20:21.552</v>
      </c>
      <c r="D9501" t="s">
        <v>3636</v>
      </c>
      <c r="E9501">
        <v>30.338144</v>
      </c>
      <c r="F9501" t="s">
        <v>2279</v>
      </c>
      <c r="G9501">
        <v>-89.838552000000007</v>
      </c>
      <c r="H9501">
        <v>800</v>
      </c>
      <c r="I9501">
        <v>-2</v>
      </c>
      <c r="J9501">
        <v>-117</v>
      </c>
      <c r="K9501">
        <v>-448</v>
      </c>
      <c r="L9501">
        <v>1200</v>
      </c>
      <c r="M9501" t="str">
        <f t="shared" si="843"/>
        <v xml:space="preserve">N35DC   </v>
      </c>
      <c r="N9501">
        <v>1</v>
      </c>
      <c r="O9501">
        <v>875</v>
      </c>
    </row>
    <row r="9502" spans="1:15" x14ac:dyDescent="0.25">
      <c r="A9502" t="str">
        <f>"10/21/2020 19:20:13.884"</f>
        <v>10/21/2020 19:20:13.884</v>
      </c>
      <c r="B9502" t="str">
        <f>"19:20:21.852"</f>
        <v>19:20:21.852</v>
      </c>
      <c r="C9502" t="str">
        <f>"19:20:21.552"</f>
        <v>19:20:21.552</v>
      </c>
      <c r="D9502" t="s">
        <v>3636</v>
      </c>
      <c r="E9502">
        <v>30.338144</v>
      </c>
      <c r="F9502" t="s">
        <v>2279</v>
      </c>
      <c r="G9502">
        <v>-89.838552000000007</v>
      </c>
      <c r="H9502">
        <v>800</v>
      </c>
      <c r="I9502">
        <v>-2</v>
      </c>
      <c r="J9502">
        <v>-117</v>
      </c>
      <c r="K9502">
        <v>-448</v>
      </c>
      <c r="L9502">
        <v>1200</v>
      </c>
      <c r="M9502" t="str">
        <f t="shared" si="843"/>
        <v xml:space="preserve">N35DC   </v>
      </c>
      <c r="N9502">
        <v>1</v>
      </c>
      <c r="O9502">
        <v>875</v>
      </c>
    </row>
    <row r="9503" spans="1:15" x14ac:dyDescent="0.25">
      <c r="A9503" t="str">
        <f>"10/21/2020 19:20:13.884"</f>
        <v>10/21/2020 19:20:13.884</v>
      </c>
      <c r="B9503" t="str">
        <f>"19:20:21.852"</f>
        <v>19:20:21.852</v>
      </c>
      <c r="C9503" t="str">
        <f>"19:20:21.552"</f>
        <v>19:20:21.552</v>
      </c>
      <c r="D9503" t="s">
        <v>3636</v>
      </c>
      <c r="E9503">
        <v>30.338144</v>
      </c>
      <c r="F9503" t="s">
        <v>2279</v>
      </c>
      <c r="G9503">
        <v>-89.838552000000007</v>
      </c>
      <c r="H9503">
        <v>800</v>
      </c>
      <c r="I9503">
        <v>-2</v>
      </c>
      <c r="J9503">
        <v>-117</v>
      </c>
      <c r="K9503">
        <v>-448</v>
      </c>
      <c r="L9503">
        <v>1200</v>
      </c>
      <c r="M9503" t="str">
        <f t="shared" si="843"/>
        <v xml:space="preserve">N35DC   </v>
      </c>
      <c r="N9503">
        <v>1</v>
      </c>
      <c r="O9503">
        <v>875</v>
      </c>
    </row>
    <row r="9504" spans="1:15" x14ac:dyDescent="0.25">
      <c r="A9504" t="str">
        <f>"10/21/2020 19:20:16.910"</f>
        <v>10/21/2020 19:20:16.910</v>
      </c>
      <c r="B9504" t="str">
        <f t="shared" ref="B9504:C9508" si="844">"19:20:24.859"</f>
        <v>19:20:24.859</v>
      </c>
      <c r="C9504" t="str">
        <f t="shared" si="844"/>
        <v>19:20:24.859</v>
      </c>
      <c r="D9504" t="s">
        <v>3637</v>
      </c>
      <c r="E9504">
        <v>30.336492</v>
      </c>
      <c r="F9504" t="s">
        <v>3638</v>
      </c>
      <c r="G9504">
        <v>-89.838594999999998</v>
      </c>
      <c r="H9504">
        <v>800</v>
      </c>
      <c r="I9504">
        <v>-1</v>
      </c>
      <c r="J9504">
        <v>-117</v>
      </c>
      <c r="K9504">
        <v>-384</v>
      </c>
      <c r="L9504">
        <v>1200</v>
      </c>
      <c r="M9504" t="str">
        <f t="shared" si="843"/>
        <v xml:space="preserve">N35DC   </v>
      </c>
      <c r="N9504">
        <v>1</v>
      </c>
      <c r="O9504">
        <v>850</v>
      </c>
    </row>
    <row r="9505" spans="1:15" x14ac:dyDescent="0.25">
      <c r="A9505" t="str">
        <f>"10/21/2020 19:20:16.910"</f>
        <v>10/21/2020 19:20:16.910</v>
      </c>
      <c r="B9505" t="str">
        <f t="shared" si="844"/>
        <v>19:20:24.859</v>
      </c>
      <c r="C9505" t="str">
        <f t="shared" si="844"/>
        <v>19:20:24.859</v>
      </c>
      <c r="D9505" t="s">
        <v>3637</v>
      </c>
      <c r="E9505">
        <v>30.336492</v>
      </c>
      <c r="F9505" t="s">
        <v>3638</v>
      </c>
      <c r="G9505">
        <v>-89.838594999999998</v>
      </c>
      <c r="H9505">
        <v>800</v>
      </c>
      <c r="I9505">
        <v>-1</v>
      </c>
      <c r="J9505">
        <v>-117</v>
      </c>
      <c r="K9505">
        <v>-384</v>
      </c>
      <c r="L9505">
        <v>1200</v>
      </c>
      <c r="M9505" t="str">
        <f t="shared" si="843"/>
        <v xml:space="preserve">N35DC   </v>
      </c>
      <c r="N9505">
        <v>1</v>
      </c>
      <c r="O9505">
        <v>850</v>
      </c>
    </row>
    <row r="9506" spans="1:15" x14ac:dyDescent="0.25">
      <c r="A9506" t="str">
        <f>"10/21/2020 19:20:16.910"</f>
        <v>10/21/2020 19:20:16.910</v>
      </c>
      <c r="B9506" t="str">
        <f t="shared" si="844"/>
        <v>19:20:24.859</v>
      </c>
      <c r="C9506" t="str">
        <f t="shared" si="844"/>
        <v>19:20:24.859</v>
      </c>
      <c r="D9506" t="s">
        <v>3637</v>
      </c>
      <c r="E9506">
        <v>30.336492</v>
      </c>
      <c r="F9506" t="s">
        <v>3638</v>
      </c>
      <c r="G9506">
        <v>-89.838594999999998</v>
      </c>
      <c r="H9506">
        <v>800</v>
      </c>
      <c r="I9506">
        <v>-1</v>
      </c>
      <c r="J9506">
        <v>-117</v>
      </c>
      <c r="K9506">
        <v>-384</v>
      </c>
      <c r="L9506">
        <v>1200</v>
      </c>
      <c r="M9506" t="str">
        <f t="shared" si="843"/>
        <v xml:space="preserve">N35DC   </v>
      </c>
      <c r="N9506">
        <v>1</v>
      </c>
      <c r="O9506">
        <v>850</v>
      </c>
    </row>
    <row r="9507" spans="1:15" x14ac:dyDescent="0.25">
      <c r="A9507" t="str">
        <f>"10/21/2020 19:20:16.910"</f>
        <v>10/21/2020 19:20:16.910</v>
      </c>
      <c r="B9507" t="str">
        <f t="shared" si="844"/>
        <v>19:20:24.859</v>
      </c>
      <c r="C9507" t="str">
        <f t="shared" si="844"/>
        <v>19:20:24.859</v>
      </c>
      <c r="D9507" t="s">
        <v>3637</v>
      </c>
      <c r="E9507">
        <v>30.336492</v>
      </c>
      <c r="F9507" t="s">
        <v>3638</v>
      </c>
      <c r="G9507">
        <v>-89.838594999999998</v>
      </c>
      <c r="H9507">
        <v>800</v>
      </c>
      <c r="I9507">
        <v>-1</v>
      </c>
      <c r="J9507">
        <v>-117</v>
      </c>
      <c r="K9507">
        <v>-384</v>
      </c>
      <c r="L9507">
        <v>1200</v>
      </c>
      <c r="M9507" t="str">
        <f t="shared" si="843"/>
        <v xml:space="preserve">N35DC   </v>
      </c>
      <c r="N9507">
        <v>1</v>
      </c>
      <c r="O9507">
        <v>850</v>
      </c>
    </row>
    <row r="9508" spans="1:15" x14ac:dyDescent="0.25">
      <c r="A9508" t="str">
        <f>"10/21/2020 19:20:16.910"</f>
        <v>10/21/2020 19:20:16.910</v>
      </c>
      <c r="B9508" t="str">
        <f t="shared" si="844"/>
        <v>19:20:24.859</v>
      </c>
      <c r="C9508" t="str">
        <f t="shared" si="844"/>
        <v>19:20:24.859</v>
      </c>
      <c r="D9508" t="s">
        <v>3637</v>
      </c>
      <c r="E9508">
        <v>30.336492</v>
      </c>
      <c r="F9508" t="s">
        <v>3638</v>
      </c>
      <c r="G9508">
        <v>-89.838594999999998</v>
      </c>
      <c r="H9508">
        <v>800</v>
      </c>
      <c r="I9508">
        <v>-1</v>
      </c>
      <c r="J9508">
        <v>-117</v>
      </c>
      <c r="K9508">
        <v>-384</v>
      </c>
      <c r="L9508">
        <v>1200</v>
      </c>
      <c r="M9508" t="str">
        <f t="shared" si="843"/>
        <v xml:space="preserve">N35DC   </v>
      </c>
      <c r="N9508">
        <v>1</v>
      </c>
      <c r="O9508">
        <v>850</v>
      </c>
    </row>
    <row r="9509" spans="1:15" x14ac:dyDescent="0.25">
      <c r="A9509" t="str">
        <f>"10/21/2020 19:20:17.973"</f>
        <v>10/21/2020 19:20:17.973</v>
      </c>
      <c r="B9509" t="str">
        <f>"19:20:25.898"</f>
        <v>19:20:25.898</v>
      </c>
      <c r="C9509" t="str">
        <f>"19:20:25.398"</f>
        <v>19:20:25.398</v>
      </c>
      <c r="D9509" t="s">
        <v>3639</v>
      </c>
      <c r="E9509">
        <v>30.335955999999999</v>
      </c>
      <c r="F9509" t="s">
        <v>3640</v>
      </c>
      <c r="G9509">
        <v>-89.838616999999999</v>
      </c>
      <c r="H9509">
        <v>800</v>
      </c>
      <c r="I9509">
        <v>0</v>
      </c>
      <c r="J9509">
        <v>-117</v>
      </c>
      <c r="K9509">
        <v>-256</v>
      </c>
      <c r="L9509">
        <v>1200</v>
      </c>
      <c r="M9509" t="str">
        <f t="shared" si="843"/>
        <v xml:space="preserve">N35DC   </v>
      </c>
      <c r="N9509">
        <v>1</v>
      </c>
      <c r="O9509">
        <v>850</v>
      </c>
    </row>
    <row r="9510" spans="1:15" x14ac:dyDescent="0.25">
      <c r="A9510" t="str">
        <f>"10/21/2020 19:20:17.973"</f>
        <v>10/21/2020 19:20:17.973</v>
      </c>
      <c r="B9510" t="str">
        <f>"19:20:25.898"</f>
        <v>19:20:25.898</v>
      </c>
      <c r="C9510" t="str">
        <f>"19:20:25.398"</f>
        <v>19:20:25.398</v>
      </c>
      <c r="D9510" t="s">
        <v>3639</v>
      </c>
      <c r="E9510">
        <v>30.335955999999999</v>
      </c>
      <c r="F9510" t="s">
        <v>3640</v>
      </c>
      <c r="G9510">
        <v>-89.838616999999999</v>
      </c>
      <c r="H9510">
        <v>800</v>
      </c>
      <c r="I9510">
        <v>0</v>
      </c>
      <c r="J9510">
        <v>-117</v>
      </c>
      <c r="K9510">
        <v>-256</v>
      </c>
      <c r="L9510">
        <v>1200</v>
      </c>
      <c r="M9510" t="str">
        <f t="shared" si="843"/>
        <v xml:space="preserve">N35DC   </v>
      </c>
      <c r="N9510">
        <v>1</v>
      </c>
      <c r="O9510">
        <v>850</v>
      </c>
    </row>
    <row r="9511" spans="1:15" x14ac:dyDescent="0.25">
      <c r="A9511" t="str">
        <f>"10/21/2020 19:20:17.973"</f>
        <v>10/21/2020 19:20:17.973</v>
      </c>
      <c r="B9511" t="str">
        <f>"19:20:25.898"</f>
        <v>19:20:25.898</v>
      </c>
      <c r="C9511" t="str">
        <f>"19:20:25.398"</f>
        <v>19:20:25.398</v>
      </c>
      <c r="D9511" t="s">
        <v>3639</v>
      </c>
      <c r="E9511">
        <v>30.335955999999999</v>
      </c>
      <c r="F9511" t="s">
        <v>3640</v>
      </c>
      <c r="G9511">
        <v>-89.838616999999999</v>
      </c>
      <c r="H9511">
        <v>800</v>
      </c>
      <c r="I9511">
        <v>0</v>
      </c>
      <c r="J9511">
        <v>-117</v>
      </c>
      <c r="K9511">
        <v>-256</v>
      </c>
      <c r="L9511">
        <v>1200</v>
      </c>
      <c r="M9511" t="str">
        <f t="shared" si="843"/>
        <v xml:space="preserve">N35DC   </v>
      </c>
      <c r="N9511">
        <v>1</v>
      </c>
      <c r="O9511">
        <v>850</v>
      </c>
    </row>
    <row r="9512" spans="1:15" x14ac:dyDescent="0.25">
      <c r="A9512" t="str">
        <f>"10/21/2020 19:20:17.973"</f>
        <v>10/21/2020 19:20:17.973</v>
      </c>
      <c r="B9512" t="str">
        <f>"19:20:25.898"</f>
        <v>19:20:25.898</v>
      </c>
      <c r="C9512" t="str">
        <f>"19:20:25.398"</f>
        <v>19:20:25.398</v>
      </c>
      <c r="D9512" t="s">
        <v>3639</v>
      </c>
      <c r="E9512">
        <v>30.335955999999999</v>
      </c>
      <c r="F9512" t="s">
        <v>3640</v>
      </c>
      <c r="G9512">
        <v>-89.838616999999999</v>
      </c>
      <c r="H9512">
        <v>800</v>
      </c>
      <c r="I9512">
        <v>0</v>
      </c>
      <c r="J9512">
        <v>-117</v>
      </c>
      <c r="K9512">
        <v>-256</v>
      </c>
      <c r="L9512">
        <v>1200</v>
      </c>
      <c r="M9512" t="str">
        <f t="shared" si="843"/>
        <v xml:space="preserve">N35DC   </v>
      </c>
      <c r="N9512">
        <v>1</v>
      </c>
      <c r="O9512">
        <v>850</v>
      </c>
    </row>
    <row r="9513" spans="1:15" x14ac:dyDescent="0.25">
      <c r="A9513" t="str">
        <f>"10/21/2020 19:20:17.973"</f>
        <v>10/21/2020 19:20:17.973</v>
      </c>
      <c r="B9513" t="str">
        <f>"19:20:25.898"</f>
        <v>19:20:25.898</v>
      </c>
      <c r="C9513" t="str">
        <f>"19:20:25.398"</f>
        <v>19:20:25.398</v>
      </c>
      <c r="D9513" t="s">
        <v>3639</v>
      </c>
      <c r="E9513">
        <v>30.335955999999999</v>
      </c>
      <c r="F9513" t="s">
        <v>3640</v>
      </c>
      <c r="G9513">
        <v>-89.838616999999999</v>
      </c>
      <c r="H9513">
        <v>800</v>
      </c>
      <c r="I9513">
        <v>0</v>
      </c>
      <c r="J9513">
        <v>-117</v>
      </c>
      <c r="K9513">
        <v>-256</v>
      </c>
      <c r="L9513">
        <v>1200</v>
      </c>
      <c r="M9513" t="str">
        <f t="shared" si="843"/>
        <v xml:space="preserve">N35DC   </v>
      </c>
      <c r="N9513">
        <v>1</v>
      </c>
      <c r="O9513">
        <v>850</v>
      </c>
    </row>
    <row r="9514" spans="1:15" x14ac:dyDescent="0.25">
      <c r="A9514" t="str">
        <f>"10/21/2020 19:20:19.848"</f>
        <v>10/21/2020 19:20:19.848</v>
      </c>
      <c r="B9514" t="str">
        <f t="shared" ref="B9514:C9518" si="845">"19:20:27.820"</f>
        <v>19:20:27.820</v>
      </c>
      <c r="C9514" t="str">
        <f t="shared" si="845"/>
        <v>19:20:27.820</v>
      </c>
      <c r="D9514" t="s">
        <v>3641</v>
      </c>
      <c r="E9514">
        <v>30.334925999999999</v>
      </c>
      <c r="F9514" t="s">
        <v>2279</v>
      </c>
      <c r="G9514">
        <v>-89.838552000000007</v>
      </c>
      <c r="H9514">
        <v>800</v>
      </c>
      <c r="I9514">
        <v>4</v>
      </c>
      <c r="J9514">
        <v>-116</v>
      </c>
      <c r="K9514">
        <v>0</v>
      </c>
      <c r="L9514">
        <v>1200</v>
      </c>
      <c r="M9514" t="str">
        <f t="shared" si="843"/>
        <v xml:space="preserve">N35DC   </v>
      </c>
      <c r="N9514">
        <v>1</v>
      </c>
      <c r="O9514">
        <v>850</v>
      </c>
    </row>
    <row r="9515" spans="1:15" x14ac:dyDescent="0.25">
      <c r="A9515" t="str">
        <f>"10/21/2020 19:20:19.848"</f>
        <v>10/21/2020 19:20:19.848</v>
      </c>
      <c r="B9515" t="str">
        <f t="shared" si="845"/>
        <v>19:20:27.820</v>
      </c>
      <c r="C9515" t="str">
        <f t="shared" si="845"/>
        <v>19:20:27.820</v>
      </c>
      <c r="D9515" t="s">
        <v>3641</v>
      </c>
      <c r="E9515">
        <v>30.334925999999999</v>
      </c>
      <c r="F9515" t="s">
        <v>2279</v>
      </c>
      <c r="G9515">
        <v>-89.838552000000007</v>
      </c>
      <c r="H9515">
        <v>800</v>
      </c>
      <c r="I9515">
        <v>4</v>
      </c>
      <c r="J9515">
        <v>-116</v>
      </c>
      <c r="K9515">
        <v>0</v>
      </c>
      <c r="L9515">
        <v>1200</v>
      </c>
      <c r="M9515" t="str">
        <f t="shared" si="843"/>
        <v xml:space="preserve">N35DC   </v>
      </c>
      <c r="N9515">
        <v>1</v>
      </c>
      <c r="O9515">
        <v>850</v>
      </c>
    </row>
    <row r="9516" spans="1:15" x14ac:dyDescent="0.25">
      <c r="A9516" t="str">
        <f>"10/21/2020 19:20:19.848"</f>
        <v>10/21/2020 19:20:19.848</v>
      </c>
      <c r="B9516" t="str">
        <f t="shared" si="845"/>
        <v>19:20:27.820</v>
      </c>
      <c r="C9516" t="str">
        <f t="shared" si="845"/>
        <v>19:20:27.820</v>
      </c>
      <c r="D9516" t="s">
        <v>3641</v>
      </c>
      <c r="E9516">
        <v>30.334925999999999</v>
      </c>
      <c r="F9516" t="s">
        <v>2279</v>
      </c>
      <c r="G9516">
        <v>-89.838552000000007</v>
      </c>
      <c r="H9516">
        <v>800</v>
      </c>
      <c r="I9516">
        <v>4</v>
      </c>
      <c r="J9516">
        <v>-116</v>
      </c>
      <c r="K9516">
        <v>0</v>
      </c>
      <c r="L9516">
        <v>1200</v>
      </c>
      <c r="M9516" t="str">
        <f t="shared" si="843"/>
        <v xml:space="preserve">N35DC   </v>
      </c>
      <c r="N9516">
        <v>1</v>
      </c>
      <c r="O9516">
        <v>850</v>
      </c>
    </row>
    <row r="9517" spans="1:15" x14ac:dyDescent="0.25">
      <c r="A9517" t="str">
        <f>"10/21/2020 19:20:19.848"</f>
        <v>10/21/2020 19:20:19.848</v>
      </c>
      <c r="B9517" t="str">
        <f t="shared" si="845"/>
        <v>19:20:27.820</v>
      </c>
      <c r="C9517" t="str">
        <f t="shared" si="845"/>
        <v>19:20:27.820</v>
      </c>
      <c r="D9517" t="s">
        <v>3641</v>
      </c>
      <c r="E9517">
        <v>30.334925999999999</v>
      </c>
      <c r="F9517" t="s">
        <v>2279</v>
      </c>
      <c r="G9517">
        <v>-89.838552000000007</v>
      </c>
      <c r="H9517">
        <v>800</v>
      </c>
      <c r="I9517">
        <v>4</v>
      </c>
      <c r="J9517">
        <v>-116</v>
      </c>
      <c r="K9517">
        <v>0</v>
      </c>
      <c r="L9517">
        <v>1200</v>
      </c>
      <c r="M9517" t="str">
        <f t="shared" si="843"/>
        <v xml:space="preserve">N35DC   </v>
      </c>
      <c r="N9517">
        <v>1</v>
      </c>
      <c r="O9517">
        <v>850</v>
      </c>
    </row>
    <row r="9518" spans="1:15" x14ac:dyDescent="0.25">
      <c r="A9518" t="str">
        <f>"10/21/2020 19:20:19.848"</f>
        <v>10/21/2020 19:20:19.848</v>
      </c>
      <c r="B9518" t="str">
        <f t="shared" si="845"/>
        <v>19:20:27.820</v>
      </c>
      <c r="C9518" t="str">
        <f t="shared" si="845"/>
        <v>19:20:27.820</v>
      </c>
      <c r="D9518" t="s">
        <v>3641</v>
      </c>
      <c r="E9518">
        <v>30.334925999999999</v>
      </c>
      <c r="F9518" t="s">
        <v>2279</v>
      </c>
      <c r="G9518">
        <v>-89.838552000000007</v>
      </c>
      <c r="H9518">
        <v>800</v>
      </c>
      <c r="I9518">
        <v>4</v>
      </c>
      <c r="J9518">
        <v>-116</v>
      </c>
      <c r="K9518">
        <v>0</v>
      </c>
      <c r="L9518">
        <v>1200</v>
      </c>
      <c r="M9518" t="str">
        <f t="shared" si="843"/>
        <v xml:space="preserve">N35DC   </v>
      </c>
      <c r="N9518">
        <v>1</v>
      </c>
      <c r="O9518">
        <v>850</v>
      </c>
    </row>
    <row r="9519" spans="1:15" x14ac:dyDescent="0.25">
      <c r="A9519" t="str">
        <f>"10/21/2020 19:20:21.034"</f>
        <v>10/21/2020 19:20:21.034</v>
      </c>
      <c r="B9519" t="str">
        <f>"19:20:28.961"</f>
        <v>19:20:28.961</v>
      </c>
      <c r="C9519" t="str">
        <f>"19:20:28.861"</f>
        <v>19:20:28.861</v>
      </c>
      <c r="D9519" t="s">
        <v>3642</v>
      </c>
      <c r="E9519">
        <v>30.334302999999998</v>
      </c>
      <c r="F9519" t="s">
        <v>2279</v>
      </c>
      <c r="G9519">
        <v>-89.838552000000007</v>
      </c>
      <c r="H9519">
        <v>800</v>
      </c>
      <c r="I9519">
        <v>4</v>
      </c>
      <c r="J9519">
        <v>-115</v>
      </c>
      <c r="K9519">
        <v>-192</v>
      </c>
      <c r="L9519">
        <v>1200</v>
      </c>
      <c r="M9519" t="str">
        <f t="shared" si="843"/>
        <v xml:space="preserve">N35DC   </v>
      </c>
      <c r="N9519">
        <v>1</v>
      </c>
      <c r="O9519">
        <v>825</v>
      </c>
    </row>
    <row r="9520" spans="1:15" x14ac:dyDescent="0.25">
      <c r="A9520" t="str">
        <f>"10/21/2020 19:20:21.034"</f>
        <v>10/21/2020 19:20:21.034</v>
      </c>
      <c r="B9520" t="str">
        <f>"19:20:28.961"</f>
        <v>19:20:28.961</v>
      </c>
      <c r="C9520" t="str">
        <f>"19:20:28.861"</f>
        <v>19:20:28.861</v>
      </c>
      <c r="D9520" t="s">
        <v>3642</v>
      </c>
      <c r="E9520">
        <v>30.334302999999998</v>
      </c>
      <c r="F9520" t="s">
        <v>2279</v>
      </c>
      <c r="G9520">
        <v>-89.838552000000007</v>
      </c>
      <c r="H9520">
        <v>800</v>
      </c>
      <c r="I9520">
        <v>4</v>
      </c>
      <c r="J9520">
        <v>-115</v>
      </c>
      <c r="K9520">
        <v>-192</v>
      </c>
      <c r="L9520">
        <v>1200</v>
      </c>
      <c r="M9520" t="str">
        <f t="shared" si="843"/>
        <v xml:space="preserve">N35DC   </v>
      </c>
      <c r="N9520">
        <v>1</v>
      </c>
      <c r="O9520">
        <v>825</v>
      </c>
    </row>
    <row r="9521" spans="1:15" x14ac:dyDescent="0.25">
      <c r="A9521" t="str">
        <f>"10/21/2020 19:20:21.034"</f>
        <v>10/21/2020 19:20:21.034</v>
      </c>
      <c r="B9521" t="str">
        <f>"19:20:28.961"</f>
        <v>19:20:28.961</v>
      </c>
      <c r="C9521" t="str">
        <f>"19:20:28.861"</f>
        <v>19:20:28.861</v>
      </c>
      <c r="D9521" t="s">
        <v>3642</v>
      </c>
      <c r="E9521">
        <v>30.334302999999998</v>
      </c>
      <c r="F9521" t="s">
        <v>2279</v>
      </c>
      <c r="G9521">
        <v>-89.838552000000007</v>
      </c>
      <c r="H9521">
        <v>800</v>
      </c>
      <c r="I9521">
        <v>4</v>
      </c>
      <c r="J9521">
        <v>-115</v>
      </c>
      <c r="K9521">
        <v>-192</v>
      </c>
      <c r="L9521">
        <v>1200</v>
      </c>
      <c r="M9521" t="str">
        <f t="shared" si="843"/>
        <v xml:space="preserve">N35DC   </v>
      </c>
      <c r="N9521">
        <v>1</v>
      </c>
      <c r="O9521">
        <v>825</v>
      </c>
    </row>
    <row r="9522" spans="1:15" x14ac:dyDescent="0.25">
      <c r="A9522" t="str">
        <f>"10/21/2020 19:20:21.034"</f>
        <v>10/21/2020 19:20:21.034</v>
      </c>
      <c r="B9522" t="str">
        <f>"19:20:28.961"</f>
        <v>19:20:28.961</v>
      </c>
      <c r="C9522" t="str">
        <f>"19:20:28.861"</f>
        <v>19:20:28.861</v>
      </c>
      <c r="D9522" t="s">
        <v>3642</v>
      </c>
      <c r="E9522">
        <v>30.334302999999998</v>
      </c>
      <c r="F9522" t="s">
        <v>2279</v>
      </c>
      <c r="G9522">
        <v>-89.838552000000007</v>
      </c>
      <c r="H9522">
        <v>800</v>
      </c>
      <c r="I9522">
        <v>4</v>
      </c>
      <c r="J9522">
        <v>-115</v>
      </c>
      <c r="K9522">
        <v>-192</v>
      </c>
      <c r="L9522">
        <v>1200</v>
      </c>
      <c r="M9522" t="str">
        <f t="shared" si="843"/>
        <v xml:space="preserve">N35DC   </v>
      </c>
      <c r="N9522">
        <v>1</v>
      </c>
      <c r="O9522">
        <v>825</v>
      </c>
    </row>
    <row r="9523" spans="1:15" x14ac:dyDescent="0.25">
      <c r="A9523" t="str">
        <f>"10/21/2020 19:20:21.034"</f>
        <v>10/21/2020 19:20:21.034</v>
      </c>
      <c r="B9523" t="str">
        <f>"19:20:28.961"</f>
        <v>19:20:28.961</v>
      </c>
      <c r="C9523" t="str">
        <f>"19:20:28.861"</f>
        <v>19:20:28.861</v>
      </c>
      <c r="D9523" t="s">
        <v>3642</v>
      </c>
      <c r="E9523">
        <v>30.334302999999998</v>
      </c>
      <c r="F9523" t="s">
        <v>2279</v>
      </c>
      <c r="G9523">
        <v>-89.838552000000007</v>
      </c>
      <c r="H9523">
        <v>800</v>
      </c>
      <c r="I9523">
        <v>4</v>
      </c>
      <c r="J9523">
        <v>-115</v>
      </c>
      <c r="K9523">
        <v>-192</v>
      </c>
      <c r="L9523">
        <v>1200</v>
      </c>
      <c r="M9523" t="str">
        <f t="shared" si="843"/>
        <v xml:space="preserve">N35DC   </v>
      </c>
      <c r="N9523">
        <v>1</v>
      </c>
      <c r="O9523">
        <v>825</v>
      </c>
    </row>
    <row r="9524" spans="1:15" x14ac:dyDescent="0.25">
      <c r="A9524" t="str">
        <f>"10/21/2020 19:20:24.017"</f>
        <v>10/21/2020 19:20:24.017</v>
      </c>
      <c r="B9524" t="str">
        <f t="shared" ref="B9524:C9528" si="846">"19:20:31.969"</f>
        <v>19:20:31.969</v>
      </c>
      <c r="C9524" t="str">
        <f t="shared" si="846"/>
        <v>19:20:31.969</v>
      </c>
      <c r="D9524" t="s">
        <v>3643</v>
      </c>
      <c r="E9524">
        <v>30.332694</v>
      </c>
      <c r="F9524" t="s">
        <v>3633</v>
      </c>
      <c r="G9524">
        <v>-89.838487999999998</v>
      </c>
      <c r="H9524">
        <v>800</v>
      </c>
      <c r="I9524">
        <v>4</v>
      </c>
      <c r="J9524">
        <v>-115</v>
      </c>
      <c r="K9524">
        <v>-128</v>
      </c>
      <c r="L9524">
        <v>1200</v>
      </c>
      <c r="M9524" t="str">
        <f t="shared" si="843"/>
        <v xml:space="preserve">N35DC   </v>
      </c>
      <c r="N9524">
        <v>1</v>
      </c>
      <c r="O9524">
        <v>825</v>
      </c>
    </row>
    <row r="9525" spans="1:15" x14ac:dyDescent="0.25">
      <c r="A9525" t="str">
        <f>"10/21/2020 19:20:24.017"</f>
        <v>10/21/2020 19:20:24.017</v>
      </c>
      <c r="B9525" t="str">
        <f t="shared" si="846"/>
        <v>19:20:31.969</v>
      </c>
      <c r="C9525" t="str">
        <f t="shared" si="846"/>
        <v>19:20:31.969</v>
      </c>
      <c r="D9525" t="s">
        <v>3643</v>
      </c>
      <c r="E9525">
        <v>30.332694</v>
      </c>
      <c r="F9525" t="s">
        <v>3633</v>
      </c>
      <c r="G9525">
        <v>-89.838487999999998</v>
      </c>
      <c r="H9525">
        <v>800</v>
      </c>
      <c r="I9525">
        <v>4</v>
      </c>
      <c r="J9525">
        <v>-115</v>
      </c>
      <c r="K9525">
        <v>-128</v>
      </c>
      <c r="L9525">
        <v>1200</v>
      </c>
      <c r="M9525" t="str">
        <f t="shared" si="843"/>
        <v xml:space="preserve">N35DC   </v>
      </c>
      <c r="N9525">
        <v>1</v>
      </c>
      <c r="O9525">
        <v>825</v>
      </c>
    </row>
    <row r="9526" spans="1:15" x14ac:dyDescent="0.25">
      <c r="A9526" t="str">
        <f>"10/21/2020 19:20:24.017"</f>
        <v>10/21/2020 19:20:24.017</v>
      </c>
      <c r="B9526" t="str">
        <f t="shared" si="846"/>
        <v>19:20:31.969</v>
      </c>
      <c r="C9526" t="str">
        <f t="shared" si="846"/>
        <v>19:20:31.969</v>
      </c>
      <c r="D9526" t="s">
        <v>3643</v>
      </c>
      <c r="E9526">
        <v>30.332694</v>
      </c>
      <c r="F9526" t="s">
        <v>3633</v>
      </c>
      <c r="G9526">
        <v>-89.838487999999998</v>
      </c>
      <c r="H9526">
        <v>800</v>
      </c>
      <c r="I9526">
        <v>4</v>
      </c>
      <c r="J9526">
        <v>-115</v>
      </c>
      <c r="K9526">
        <v>-128</v>
      </c>
      <c r="L9526">
        <v>1200</v>
      </c>
      <c r="M9526" t="str">
        <f t="shared" si="843"/>
        <v xml:space="preserve">N35DC   </v>
      </c>
      <c r="N9526">
        <v>1</v>
      </c>
      <c r="O9526">
        <v>825</v>
      </c>
    </row>
    <row r="9527" spans="1:15" x14ac:dyDescent="0.25">
      <c r="A9527" t="str">
        <f>"10/21/2020 19:20:24.017"</f>
        <v>10/21/2020 19:20:24.017</v>
      </c>
      <c r="B9527" t="str">
        <f t="shared" si="846"/>
        <v>19:20:31.969</v>
      </c>
      <c r="C9527" t="str">
        <f t="shared" si="846"/>
        <v>19:20:31.969</v>
      </c>
      <c r="D9527" t="s">
        <v>3643</v>
      </c>
      <c r="E9527">
        <v>30.332694</v>
      </c>
      <c r="F9527" t="s">
        <v>3633</v>
      </c>
      <c r="G9527">
        <v>-89.838487999999998</v>
      </c>
      <c r="H9527">
        <v>800</v>
      </c>
      <c r="I9527">
        <v>4</v>
      </c>
      <c r="J9527">
        <v>-115</v>
      </c>
      <c r="K9527">
        <v>-128</v>
      </c>
      <c r="L9527">
        <v>1200</v>
      </c>
      <c r="M9527" t="str">
        <f t="shared" si="843"/>
        <v xml:space="preserve">N35DC   </v>
      </c>
      <c r="N9527">
        <v>1</v>
      </c>
      <c r="O9527">
        <v>825</v>
      </c>
    </row>
    <row r="9528" spans="1:15" x14ac:dyDescent="0.25">
      <c r="A9528" t="str">
        <f>"10/21/2020 19:20:24.017"</f>
        <v>10/21/2020 19:20:24.017</v>
      </c>
      <c r="B9528" t="str">
        <f t="shared" si="846"/>
        <v>19:20:31.969</v>
      </c>
      <c r="C9528" t="str">
        <f t="shared" si="846"/>
        <v>19:20:31.969</v>
      </c>
      <c r="D9528" t="s">
        <v>3643</v>
      </c>
      <c r="E9528">
        <v>30.332694</v>
      </c>
      <c r="F9528" t="s">
        <v>3633</v>
      </c>
      <c r="G9528">
        <v>-89.838487999999998</v>
      </c>
      <c r="H9528">
        <v>800</v>
      </c>
      <c r="I9528">
        <v>4</v>
      </c>
      <c r="J9528">
        <v>-115</v>
      </c>
      <c r="K9528">
        <v>-128</v>
      </c>
      <c r="L9528">
        <v>1200</v>
      </c>
      <c r="M9528" t="str">
        <f t="shared" si="843"/>
        <v xml:space="preserve">N35DC   </v>
      </c>
      <c r="N9528">
        <v>1</v>
      </c>
      <c r="O9528">
        <v>825</v>
      </c>
    </row>
    <row r="9529" spans="1:15" x14ac:dyDescent="0.25">
      <c r="A9529" t="str">
        <f>"10/21/2020 19:20:27.950"</f>
        <v>10/21/2020 19:20:27.950</v>
      </c>
      <c r="B9529" t="str">
        <f>"19:20:35.930"</f>
        <v>19:20:35.930</v>
      </c>
      <c r="C9529" t="str">
        <f>"19:20:35.730"</f>
        <v>19:20:35.730</v>
      </c>
      <c r="D9529" t="s">
        <v>3644</v>
      </c>
      <c r="E9529">
        <v>30.330590999999998</v>
      </c>
      <c r="F9529" t="s">
        <v>3618</v>
      </c>
      <c r="G9529">
        <v>-89.838273999999998</v>
      </c>
      <c r="H9529">
        <v>800</v>
      </c>
      <c r="I9529">
        <v>13</v>
      </c>
      <c r="J9529">
        <v>-113</v>
      </c>
      <c r="K9529">
        <v>64</v>
      </c>
      <c r="L9529">
        <v>1200</v>
      </c>
      <c r="M9529" t="str">
        <f t="shared" si="843"/>
        <v xml:space="preserve">N35DC   </v>
      </c>
      <c r="N9529">
        <v>1</v>
      </c>
      <c r="O9529">
        <v>825</v>
      </c>
    </row>
    <row r="9530" spans="1:15" x14ac:dyDescent="0.25">
      <c r="A9530" t="str">
        <f>"10/21/2020 19:20:27.950"</f>
        <v>10/21/2020 19:20:27.950</v>
      </c>
      <c r="B9530" t="str">
        <f>"19:20:35.930"</f>
        <v>19:20:35.930</v>
      </c>
      <c r="C9530" t="str">
        <f>"19:20:35.730"</f>
        <v>19:20:35.730</v>
      </c>
      <c r="D9530" t="s">
        <v>3644</v>
      </c>
      <c r="E9530">
        <v>30.330590999999998</v>
      </c>
      <c r="F9530" t="s">
        <v>3618</v>
      </c>
      <c r="G9530">
        <v>-89.838273999999998</v>
      </c>
      <c r="H9530">
        <v>800</v>
      </c>
      <c r="I9530">
        <v>13</v>
      </c>
      <c r="J9530">
        <v>-113</v>
      </c>
      <c r="K9530">
        <v>64</v>
      </c>
      <c r="L9530">
        <v>1200</v>
      </c>
      <c r="M9530" t="str">
        <f t="shared" si="843"/>
        <v xml:space="preserve">N35DC   </v>
      </c>
      <c r="N9530">
        <v>1</v>
      </c>
      <c r="O9530">
        <v>825</v>
      </c>
    </row>
    <row r="9531" spans="1:15" x14ac:dyDescent="0.25">
      <c r="A9531" t="str">
        <f>"10/21/2020 19:20:27.950"</f>
        <v>10/21/2020 19:20:27.950</v>
      </c>
      <c r="B9531" t="str">
        <f>"19:20:35.930"</f>
        <v>19:20:35.930</v>
      </c>
      <c r="C9531" t="str">
        <f>"19:20:35.730"</f>
        <v>19:20:35.730</v>
      </c>
      <c r="D9531" t="s">
        <v>3644</v>
      </c>
      <c r="E9531">
        <v>30.330590999999998</v>
      </c>
      <c r="F9531" t="s">
        <v>3618</v>
      </c>
      <c r="G9531">
        <v>-89.838273999999998</v>
      </c>
      <c r="H9531">
        <v>800</v>
      </c>
      <c r="I9531">
        <v>13</v>
      </c>
      <c r="J9531">
        <v>-113</v>
      </c>
      <c r="K9531">
        <v>64</v>
      </c>
      <c r="L9531">
        <v>1200</v>
      </c>
      <c r="M9531" t="str">
        <f t="shared" si="843"/>
        <v xml:space="preserve">N35DC   </v>
      </c>
      <c r="N9531">
        <v>1</v>
      </c>
      <c r="O9531">
        <v>825</v>
      </c>
    </row>
    <row r="9532" spans="1:15" x14ac:dyDescent="0.25">
      <c r="A9532" t="str">
        <f>"10/21/2020 19:20:27.950"</f>
        <v>10/21/2020 19:20:27.950</v>
      </c>
      <c r="B9532" t="str">
        <f>"19:20:35.930"</f>
        <v>19:20:35.930</v>
      </c>
      <c r="C9532" t="str">
        <f>"19:20:35.730"</f>
        <v>19:20:35.730</v>
      </c>
      <c r="D9532" t="s">
        <v>3644</v>
      </c>
      <c r="E9532">
        <v>30.330590999999998</v>
      </c>
      <c r="F9532" t="s">
        <v>3618</v>
      </c>
      <c r="G9532">
        <v>-89.838273999999998</v>
      </c>
      <c r="H9532">
        <v>800</v>
      </c>
      <c r="I9532">
        <v>13</v>
      </c>
      <c r="J9532">
        <v>-113</v>
      </c>
      <c r="K9532">
        <v>64</v>
      </c>
      <c r="L9532">
        <v>1200</v>
      </c>
      <c r="M9532" t="str">
        <f t="shared" si="843"/>
        <v xml:space="preserve">N35DC   </v>
      </c>
      <c r="N9532">
        <v>1</v>
      </c>
      <c r="O9532">
        <v>825</v>
      </c>
    </row>
    <row r="9533" spans="1:15" x14ac:dyDescent="0.25">
      <c r="A9533" t="str">
        <f>"10/21/2020 19:20:27.950"</f>
        <v>10/21/2020 19:20:27.950</v>
      </c>
      <c r="B9533" t="str">
        <f>"19:20:35.930"</f>
        <v>19:20:35.930</v>
      </c>
      <c r="C9533" t="str">
        <f>"19:20:35.730"</f>
        <v>19:20:35.730</v>
      </c>
      <c r="D9533" t="s">
        <v>3644</v>
      </c>
      <c r="E9533">
        <v>30.330590999999998</v>
      </c>
      <c r="F9533" t="s">
        <v>3618</v>
      </c>
      <c r="G9533">
        <v>-89.838273999999998</v>
      </c>
      <c r="H9533">
        <v>800</v>
      </c>
      <c r="I9533">
        <v>13</v>
      </c>
      <c r="J9533">
        <v>-113</v>
      </c>
      <c r="K9533">
        <v>64</v>
      </c>
      <c r="L9533">
        <v>1200</v>
      </c>
      <c r="M9533" t="str">
        <f t="shared" si="843"/>
        <v xml:space="preserve">N35DC   </v>
      </c>
      <c r="N9533">
        <v>1</v>
      </c>
      <c r="O9533">
        <v>825</v>
      </c>
    </row>
    <row r="9534" spans="1:15" x14ac:dyDescent="0.25">
      <c r="A9534" t="str">
        <f>"10/21/2020 19:20:29.027"</f>
        <v>10/21/2020 19:20:29.027</v>
      </c>
      <c r="B9534" t="str">
        <f>"19:20:37.000"</f>
        <v>19:20:37.000</v>
      </c>
      <c r="C9534" t="str">
        <f>"19:20:36.600"</f>
        <v>19:20:36.600</v>
      </c>
      <c r="D9534" t="s">
        <v>3645</v>
      </c>
      <c r="E9534">
        <v>30.330033</v>
      </c>
      <c r="F9534" t="s">
        <v>3616</v>
      </c>
      <c r="G9534">
        <v>-89.838166000000001</v>
      </c>
      <c r="H9534">
        <v>800</v>
      </c>
      <c r="I9534">
        <v>19</v>
      </c>
      <c r="J9534">
        <v>-111</v>
      </c>
      <c r="K9534">
        <v>0</v>
      </c>
      <c r="L9534">
        <v>1200</v>
      </c>
      <c r="M9534" t="str">
        <f t="shared" si="843"/>
        <v xml:space="preserve">N35DC   </v>
      </c>
      <c r="N9534">
        <v>1</v>
      </c>
      <c r="O9534">
        <v>825</v>
      </c>
    </row>
    <row r="9535" spans="1:15" x14ac:dyDescent="0.25">
      <c r="A9535" t="str">
        <f>"10/21/2020 19:20:29.027"</f>
        <v>10/21/2020 19:20:29.027</v>
      </c>
      <c r="B9535" t="str">
        <f>"19:20:37.000"</f>
        <v>19:20:37.000</v>
      </c>
      <c r="C9535" t="str">
        <f>"19:20:36.600"</f>
        <v>19:20:36.600</v>
      </c>
      <c r="D9535" t="s">
        <v>3645</v>
      </c>
      <c r="E9535">
        <v>30.330033</v>
      </c>
      <c r="F9535" t="s">
        <v>3616</v>
      </c>
      <c r="G9535">
        <v>-89.838166000000001</v>
      </c>
      <c r="H9535">
        <v>800</v>
      </c>
      <c r="I9535">
        <v>19</v>
      </c>
      <c r="J9535">
        <v>-111</v>
      </c>
      <c r="K9535">
        <v>0</v>
      </c>
      <c r="L9535">
        <v>1200</v>
      </c>
      <c r="M9535" t="str">
        <f t="shared" si="843"/>
        <v xml:space="preserve">N35DC   </v>
      </c>
      <c r="N9535">
        <v>1</v>
      </c>
      <c r="O9535">
        <v>825</v>
      </c>
    </row>
    <row r="9536" spans="1:15" x14ac:dyDescent="0.25">
      <c r="A9536" t="str">
        <f>"10/21/2020 19:20:29.027"</f>
        <v>10/21/2020 19:20:29.027</v>
      </c>
      <c r="B9536" t="str">
        <f>"19:20:37.000"</f>
        <v>19:20:37.000</v>
      </c>
      <c r="C9536" t="str">
        <f>"19:20:36.600"</f>
        <v>19:20:36.600</v>
      </c>
      <c r="D9536" t="s">
        <v>3645</v>
      </c>
      <c r="E9536">
        <v>30.330033</v>
      </c>
      <c r="F9536" t="s">
        <v>3616</v>
      </c>
      <c r="G9536">
        <v>-89.838166000000001</v>
      </c>
      <c r="H9536">
        <v>800</v>
      </c>
      <c r="I9536">
        <v>19</v>
      </c>
      <c r="J9536">
        <v>-111</v>
      </c>
      <c r="K9536">
        <v>0</v>
      </c>
      <c r="L9536">
        <v>1200</v>
      </c>
      <c r="M9536" t="str">
        <f t="shared" si="843"/>
        <v xml:space="preserve">N35DC   </v>
      </c>
      <c r="N9536">
        <v>1</v>
      </c>
      <c r="O9536">
        <v>825</v>
      </c>
    </row>
    <row r="9537" spans="1:15" x14ac:dyDescent="0.25">
      <c r="A9537" t="str">
        <f>"10/21/2020 19:20:29.027"</f>
        <v>10/21/2020 19:20:29.027</v>
      </c>
      <c r="B9537" t="str">
        <f>"19:20:37.000"</f>
        <v>19:20:37.000</v>
      </c>
      <c r="C9537" t="str">
        <f>"19:20:36.600"</f>
        <v>19:20:36.600</v>
      </c>
      <c r="D9537" t="s">
        <v>3645</v>
      </c>
      <c r="E9537">
        <v>30.330033</v>
      </c>
      <c r="F9537" t="s">
        <v>3616</v>
      </c>
      <c r="G9537">
        <v>-89.838166000000001</v>
      </c>
      <c r="H9537">
        <v>800</v>
      </c>
      <c r="I9537">
        <v>19</v>
      </c>
      <c r="J9537">
        <v>-111</v>
      </c>
      <c r="K9537">
        <v>0</v>
      </c>
      <c r="L9537">
        <v>1200</v>
      </c>
      <c r="M9537" t="str">
        <f t="shared" si="843"/>
        <v xml:space="preserve">N35DC   </v>
      </c>
      <c r="N9537">
        <v>1</v>
      </c>
      <c r="O9537">
        <v>825</v>
      </c>
    </row>
    <row r="9538" spans="1:15" x14ac:dyDescent="0.25">
      <c r="A9538" t="str">
        <f>"10/21/2020 19:20:29.027"</f>
        <v>10/21/2020 19:20:29.027</v>
      </c>
      <c r="B9538" t="str">
        <f>"19:20:37.000"</f>
        <v>19:20:37.000</v>
      </c>
      <c r="C9538" t="str">
        <f>"19:20:36.600"</f>
        <v>19:20:36.600</v>
      </c>
      <c r="D9538" t="s">
        <v>3645</v>
      </c>
      <c r="E9538">
        <v>30.330033</v>
      </c>
      <c r="F9538" t="s">
        <v>3616</v>
      </c>
      <c r="G9538">
        <v>-89.838166000000001</v>
      </c>
      <c r="H9538">
        <v>800</v>
      </c>
      <c r="I9538">
        <v>19</v>
      </c>
      <c r="J9538">
        <v>-111</v>
      </c>
      <c r="K9538">
        <v>0</v>
      </c>
      <c r="L9538">
        <v>1200</v>
      </c>
      <c r="M9538" t="str">
        <f t="shared" si="843"/>
        <v xml:space="preserve">N35DC   </v>
      </c>
      <c r="N9538">
        <v>1</v>
      </c>
      <c r="O9538">
        <v>825</v>
      </c>
    </row>
    <row r="9539" spans="1:15" x14ac:dyDescent="0.25">
      <c r="A9539" t="str">
        <f>"10/21/2020 19:20:30.886"</f>
        <v>10/21/2020 19:20:30.886</v>
      </c>
      <c r="B9539" t="str">
        <f>"19:20:38.859"</f>
        <v>19:20:38.859</v>
      </c>
      <c r="C9539" t="str">
        <f>"19:20:38.559"</f>
        <v>19:20:38.559</v>
      </c>
      <c r="D9539" t="s">
        <v>3646</v>
      </c>
      <c r="E9539">
        <v>30.329132000000001</v>
      </c>
      <c r="F9539" t="s">
        <v>3647</v>
      </c>
      <c r="G9539">
        <v>-89.837886999999995</v>
      </c>
      <c r="H9539">
        <v>800</v>
      </c>
      <c r="I9539">
        <v>31</v>
      </c>
      <c r="J9539">
        <v>-108</v>
      </c>
      <c r="K9539">
        <v>-384</v>
      </c>
      <c r="L9539">
        <v>1200</v>
      </c>
      <c r="M9539" t="str">
        <f t="shared" si="843"/>
        <v xml:space="preserve">N35DC   </v>
      </c>
      <c r="N9539">
        <v>1</v>
      </c>
      <c r="O9539">
        <v>825</v>
      </c>
    </row>
    <row r="9540" spans="1:15" x14ac:dyDescent="0.25">
      <c r="A9540" t="str">
        <f>"10/21/2020 19:20:30.886"</f>
        <v>10/21/2020 19:20:30.886</v>
      </c>
      <c r="B9540" t="str">
        <f>"19:20:38.859"</f>
        <v>19:20:38.859</v>
      </c>
      <c r="C9540" t="str">
        <f>"19:20:38.559"</f>
        <v>19:20:38.559</v>
      </c>
      <c r="D9540" t="s">
        <v>3646</v>
      </c>
      <c r="E9540">
        <v>30.329132000000001</v>
      </c>
      <c r="F9540" t="s">
        <v>3647</v>
      </c>
      <c r="G9540">
        <v>-89.837886999999995</v>
      </c>
      <c r="H9540">
        <v>800</v>
      </c>
      <c r="I9540">
        <v>31</v>
      </c>
      <c r="J9540">
        <v>-108</v>
      </c>
      <c r="K9540">
        <v>-384</v>
      </c>
      <c r="L9540">
        <v>1200</v>
      </c>
      <c r="M9540" t="str">
        <f t="shared" si="843"/>
        <v xml:space="preserve">N35DC   </v>
      </c>
      <c r="N9540">
        <v>1</v>
      </c>
      <c r="O9540">
        <v>825</v>
      </c>
    </row>
    <row r="9541" spans="1:15" x14ac:dyDescent="0.25">
      <c r="A9541" t="str">
        <f>"10/21/2020 19:20:30.886"</f>
        <v>10/21/2020 19:20:30.886</v>
      </c>
      <c r="B9541" t="str">
        <f>"19:20:38.859"</f>
        <v>19:20:38.859</v>
      </c>
      <c r="C9541" t="str">
        <f>"19:20:38.559"</f>
        <v>19:20:38.559</v>
      </c>
      <c r="D9541" t="s">
        <v>3646</v>
      </c>
      <c r="E9541">
        <v>30.329132000000001</v>
      </c>
      <c r="F9541" t="s">
        <v>3647</v>
      </c>
      <c r="G9541">
        <v>-89.837886999999995</v>
      </c>
      <c r="H9541">
        <v>800</v>
      </c>
      <c r="I9541">
        <v>31</v>
      </c>
      <c r="J9541">
        <v>-108</v>
      </c>
      <c r="K9541">
        <v>-384</v>
      </c>
      <c r="L9541">
        <v>1200</v>
      </c>
      <c r="M9541" t="str">
        <f t="shared" si="843"/>
        <v xml:space="preserve">N35DC   </v>
      </c>
      <c r="N9541">
        <v>1</v>
      </c>
      <c r="O9541">
        <v>825</v>
      </c>
    </row>
    <row r="9542" spans="1:15" x14ac:dyDescent="0.25">
      <c r="A9542" t="str">
        <f>"10/21/2020 19:20:30.886"</f>
        <v>10/21/2020 19:20:30.886</v>
      </c>
      <c r="B9542" t="str">
        <f>"19:20:38.859"</f>
        <v>19:20:38.859</v>
      </c>
      <c r="C9542" t="str">
        <f>"19:20:38.559"</f>
        <v>19:20:38.559</v>
      </c>
      <c r="D9542" t="s">
        <v>3646</v>
      </c>
      <c r="E9542">
        <v>30.329132000000001</v>
      </c>
      <c r="F9542" t="s">
        <v>3647</v>
      </c>
      <c r="G9542">
        <v>-89.837886999999995</v>
      </c>
      <c r="H9542">
        <v>800</v>
      </c>
      <c r="I9542">
        <v>31</v>
      </c>
      <c r="J9542">
        <v>-108</v>
      </c>
      <c r="K9542">
        <v>-384</v>
      </c>
      <c r="L9542">
        <v>1200</v>
      </c>
      <c r="M9542" t="str">
        <f t="shared" si="843"/>
        <v xml:space="preserve">N35DC   </v>
      </c>
      <c r="N9542">
        <v>1</v>
      </c>
      <c r="O9542">
        <v>825</v>
      </c>
    </row>
    <row r="9543" spans="1:15" x14ac:dyDescent="0.25">
      <c r="A9543" t="str">
        <f>"10/21/2020 19:20:30.886"</f>
        <v>10/21/2020 19:20:30.886</v>
      </c>
      <c r="B9543" t="str">
        <f>"19:20:38.859"</f>
        <v>19:20:38.859</v>
      </c>
      <c r="C9543" t="str">
        <f>"19:20:38.559"</f>
        <v>19:20:38.559</v>
      </c>
      <c r="D9543" t="s">
        <v>3646</v>
      </c>
      <c r="E9543">
        <v>30.329132000000001</v>
      </c>
      <c r="F9543" t="s">
        <v>3647</v>
      </c>
      <c r="G9543">
        <v>-89.837886999999995</v>
      </c>
      <c r="H9543">
        <v>800</v>
      </c>
      <c r="I9543">
        <v>31</v>
      </c>
      <c r="J9543">
        <v>-108</v>
      </c>
      <c r="K9543">
        <v>-384</v>
      </c>
      <c r="L9543">
        <v>1200</v>
      </c>
      <c r="M9543" t="str">
        <f t="shared" ref="M9543:M9606" si="847">"N35DC   "</f>
        <v xml:space="preserve">N35DC   </v>
      </c>
      <c r="N9543">
        <v>1</v>
      </c>
      <c r="O9543">
        <v>825</v>
      </c>
    </row>
    <row r="9544" spans="1:15" x14ac:dyDescent="0.25">
      <c r="A9544" t="str">
        <f>"10/21/2020 19:20:31.949"</f>
        <v>10/21/2020 19:20:31.949</v>
      </c>
      <c r="B9544" t="str">
        <f>"19:20:39.922"</f>
        <v>19:20:39.922</v>
      </c>
      <c r="C9544" t="str">
        <f>"19:20:39.422"</f>
        <v>19:20:39.422</v>
      </c>
      <c r="D9544" t="s">
        <v>3648</v>
      </c>
      <c r="E9544">
        <v>30.328638999999999</v>
      </c>
      <c r="F9544" t="s">
        <v>3649</v>
      </c>
      <c r="G9544">
        <v>-89.837630000000004</v>
      </c>
      <c r="H9544">
        <v>800</v>
      </c>
      <c r="I9544">
        <v>40</v>
      </c>
      <c r="J9544">
        <v>-104</v>
      </c>
      <c r="K9544">
        <v>-64</v>
      </c>
      <c r="L9544">
        <v>1200</v>
      </c>
      <c r="M9544" t="str">
        <f t="shared" si="847"/>
        <v xml:space="preserve">N35DC   </v>
      </c>
      <c r="N9544">
        <v>1</v>
      </c>
      <c r="O9544">
        <v>825</v>
      </c>
    </row>
    <row r="9545" spans="1:15" x14ac:dyDescent="0.25">
      <c r="A9545" t="str">
        <f>"10/21/2020 19:20:31.949"</f>
        <v>10/21/2020 19:20:31.949</v>
      </c>
      <c r="B9545" t="str">
        <f>"19:20:39.922"</f>
        <v>19:20:39.922</v>
      </c>
      <c r="C9545" t="str">
        <f>"19:20:39.422"</f>
        <v>19:20:39.422</v>
      </c>
      <c r="D9545" t="s">
        <v>3648</v>
      </c>
      <c r="E9545">
        <v>30.328638999999999</v>
      </c>
      <c r="F9545" t="s">
        <v>3649</v>
      </c>
      <c r="G9545">
        <v>-89.837630000000004</v>
      </c>
      <c r="H9545">
        <v>800</v>
      </c>
      <c r="I9545">
        <v>40</v>
      </c>
      <c r="J9545">
        <v>-104</v>
      </c>
      <c r="K9545">
        <v>-64</v>
      </c>
      <c r="L9545">
        <v>1200</v>
      </c>
      <c r="M9545" t="str">
        <f t="shared" si="847"/>
        <v xml:space="preserve">N35DC   </v>
      </c>
      <c r="N9545">
        <v>1</v>
      </c>
      <c r="O9545">
        <v>825</v>
      </c>
    </row>
    <row r="9546" spans="1:15" x14ac:dyDescent="0.25">
      <c r="A9546" t="str">
        <f>"10/21/2020 19:20:31.949"</f>
        <v>10/21/2020 19:20:31.949</v>
      </c>
      <c r="B9546" t="str">
        <f>"19:20:39.922"</f>
        <v>19:20:39.922</v>
      </c>
      <c r="C9546" t="str">
        <f>"19:20:39.422"</f>
        <v>19:20:39.422</v>
      </c>
      <c r="D9546" t="s">
        <v>3648</v>
      </c>
      <c r="E9546">
        <v>30.328638999999999</v>
      </c>
      <c r="F9546" t="s">
        <v>3649</v>
      </c>
      <c r="G9546">
        <v>-89.837630000000004</v>
      </c>
      <c r="H9546">
        <v>800</v>
      </c>
      <c r="I9546">
        <v>40</v>
      </c>
      <c r="J9546">
        <v>-104</v>
      </c>
      <c r="K9546">
        <v>-64</v>
      </c>
      <c r="L9546">
        <v>1200</v>
      </c>
      <c r="M9546" t="str">
        <f t="shared" si="847"/>
        <v xml:space="preserve">N35DC   </v>
      </c>
      <c r="N9546">
        <v>1</v>
      </c>
      <c r="O9546">
        <v>825</v>
      </c>
    </row>
    <row r="9547" spans="1:15" x14ac:dyDescent="0.25">
      <c r="A9547" t="str">
        <f>"10/21/2020 19:20:31.949"</f>
        <v>10/21/2020 19:20:31.949</v>
      </c>
      <c r="B9547" t="str">
        <f>"19:20:39.922"</f>
        <v>19:20:39.922</v>
      </c>
      <c r="C9547" t="str">
        <f>"19:20:39.422"</f>
        <v>19:20:39.422</v>
      </c>
      <c r="D9547" t="s">
        <v>3648</v>
      </c>
      <c r="E9547">
        <v>30.328638999999999</v>
      </c>
      <c r="F9547" t="s">
        <v>3649</v>
      </c>
      <c r="G9547">
        <v>-89.837630000000004</v>
      </c>
      <c r="H9547">
        <v>800</v>
      </c>
      <c r="I9547">
        <v>40</v>
      </c>
      <c r="J9547">
        <v>-104</v>
      </c>
      <c r="K9547">
        <v>-64</v>
      </c>
      <c r="L9547">
        <v>1200</v>
      </c>
      <c r="M9547" t="str">
        <f t="shared" si="847"/>
        <v xml:space="preserve">N35DC   </v>
      </c>
      <c r="N9547">
        <v>1</v>
      </c>
      <c r="O9547">
        <v>825</v>
      </c>
    </row>
    <row r="9548" spans="1:15" x14ac:dyDescent="0.25">
      <c r="A9548" t="str">
        <f>"10/21/2020 19:20:31.949"</f>
        <v>10/21/2020 19:20:31.949</v>
      </c>
      <c r="B9548" t="str">
        <f>"19:20:39.922"</f>
        <v>19:20:39.922</v>
      </c>
      <c r="C9548" t="str">
        <f>"19:20:39.422"</f>
        <v>19:20:39.422</v>
      </c>
      <c r="D9548" t="s">
        <v>3648</v>
      </c>
      <c r="E9548">
        <v>30.328638999999999</v>
      </c>
      <c r="F9548" t="s">
        <v>3649</v>
      </c>
      <c r="G9548">
        <v>-89.837630000000004</v>
      </c>
      <c r="H9548">
        <v>800</v>
      </c>
      <c r="I9548">
        <v>40</v>
      </c>
      <c r="J9548">
        <v>-104</v>
      </c>
      <c r="K9548">
        <v>-64</v>
      </c>
      <c r="L9548">
        <v>1200</v>
      </c>
      <c r="M9548" t="str">
        <f t="shared" si="847"/>
        <v xml:space="preserve">N35DC   </v>
      </c>
      <c r="N9548">
        <v>1</v>
      </c>
      <c r="O9548">
        <v>825</v>
      </c>
    </row>
    <row r="9549" spans="1:15" x14ac:dyDescent="0.25">
      <c r="A9549" t="str">
        <f>"10/21/2020 19:20:35.006"</f>
        <v>10/21/2020 19:20:35.006</v>
      </c>
      <c r="B9549" t="str">
        <f>"19:20:42.969"</f>
        <v>19:20:42.969</v>
      </c>
      <c r="C9549" t="str">
        <f>"19:20:42.769"</f>
        <v>19:20:42.769</v>
      </c>
      <c r="D9549" t="s">
        <v>3650</v>
      </c>
      <c r="E9549">
        <v>30.327351</v>
      </c>
      <c r="F9549" t="s">
        <v>3651</v>
      </c>
      <c r="G9549">
        <v>-89.836707000000004</v>
      </c>
      <c r="H9549">
        <v>800</v>
      </c>
      <c r="I9549">
        <v>66</v>
      </c>
      <c r="J9549">
        <v>-85</v>
      </c>
      <c r="K9549">
        <v>-320</v>
      </c>
      <c r="L9549">
        <v>1200</v>
      </c>
      <c r="M9549" t="str">
        <f t="shared" si="847"/>
        <v xml:space="preserve">N35DC   </v>
      </c>
      <c r="N9549">
        <v>1</v>
      </c>
      <c r="O9549">
        <v>825</v>
      </c>
    </row>
    <row r="9550" spans="1:15" x14ac:dyDescent="0.25">
      <c r="A9550" t="str">
        <f>"10/21/2020 19:20:35.006"</f>
        <v>10/21/2020 19:20:35.006</v>
      </c>
      <c r="B9550" t="str">
        <f>"19:20:42.969"</f>
        <v>19:20:42.969</v>
      </c>
      <c r="C9550" t="str">
        <f>"19:20:42.769"</f>
        <v>19:20:42.769</v>
      </c>
      <c r="D9550" t="s">
        <v>3650</v>
      </c>
      <c r="E9550">
        <v>30.327351</v>
      </c>
      <c r="F9550" t="s">
        <v>3651</v>
      </c>
      <c r="G9550">
        <v>-89.836707000000004</v>
      </c>
      <c r="H9550">
        <v>800</v>
      </c>
      <c r="I9550">
        <v>66</v>
      </c>
      <c r="J9550">
        <v>-85</v>
      </c>
      <c r="K9550">
        <v>-320</v>
      </c>
      <c r="L9550">
        <v>1200</v>
      </c>
      <c r="M9550" t="str">
        <f t="shared" si="847"/>
        <v xml:space="preserve">N35DC   </v>
      </c>
      <c r="N9550">
        <v>1</v>
      </c>
      <c r="O9550">
        <v>825</v>
      </c>
    </row>
    <row r="9551" spans="1:15" x14ac:dyDescent="0.25">
      <c r="A9551" t="str">
        <f>"10/21/2020 19:20:35.006"</f>
        <v>10/21/2020 19:20:35.006</v>
      </c>
      <c r="B9551" t="str">
        <f>"19:20:42.969"</f>
        <v>19:20:42.969</v>
      </c>
      <c r="C9551" t="str">
        <f>"19:20:42.769"</f>
        <v>19:20:42.769</v>
      </c>
      <c r="D9551" t="s">
        <v>3650</v>
      </c>
      <c r="E9551">
        <v>30.327351</v>
      </c>
      <c r="F9551" t="s">
        <v>3651</v>
      </c>
      <c r="G9551">
        <v>-89.836707000000004</v>
      </c>
      <c r="H9551">
        <v>800</v>
      </c>
      <c r="I9551">
        <v>66</v>
      </c>
      <c r="J9551">
        <v>-85</v>
      </c>
      <c r="K9551">
        <v>-320</v>
      </c>
      <c r="L9551">
        <v>1200</v>
      </c>
      <c r="M9551" t="str">
        <f t="shared" si="847"/>
        <v xml:space="preserve">N35DC   </v>
      </c>
      <c r="N9551">
        <v>1</v>
      </c>
      <c r="O9551">
        <v>825</v>
      </c>
    </row>
    <row r="9552" spans="1:15" x14ac:dyDescent="0.25">
      <c r="A9552" t="str">
        <f>"10/21/2020 19:20:35.006"</f>
        <v>10/21/2020 19:20:35.006</v>
      </c>
      <c r="B9552" t="str">
        <f>"19:20:42.969"</f>
        <v>19:20:42.969</v>
      </c>
      <c r="C9552" t="str">
        <f>"19:20:42.769"</f>
        <v>19:20:42.769</v>
      </c>
      <c r="D9552" t="s">
        <v>3650</v>
      </c>
      <c r="E9552">
        <v>30.327351</v>
      </c>
      <c r="F9552" t="s">
        <v>3651</v>
      </c>
      <c r="G9552">
        <v>-89.836707000000004</v>
      </c>
      <c r="H9552">
        <v>800</v>
      </c>
      <c r="I9552">
        <v>66</v>
      </c>
      <c r="J9552">
        <v>-85</v>
      </c>
      <c r="K9552">
        <v>-320</v>
      </c>
      <c r="L9552">
        <v>1200</v>
      </c>
      <c r="M9552" t="str">
        <f t="shared" si="847"/>
        <v xml:space="preserve">N35DC   </v>
      </c>
      <c r="N9552">
        <v>1</v>
      </c>
      <c r="O9552">
        <v>825</v>
      </c>
    </row>
    <row r="9553" spans="1:15" x14ac:dyDescent="0.25">
      <c r="A9553" t="str">
        <f>"10/21/2020 19:20:35.006"</f>
        <v>10/21/2020 19:20:35.006</v>
      </c>
      <c r="B9553" t="str">
        <f>"19:20:42.969"</f>
        <v>19:20:42.969</v>
      </c>
      <c r="C9553" t="str">
        <f>"19:20:42.769"</f>
        <v>19:20:42.769</v>
      </c>
      <c r="D9553" t="s">
        <v>3650</v>
      </c>
      <c r="E9553">
        <v>30.327351</v>
      </c>
      <c r="F9553" t="s">
        <v>3651</v>
      </c>
      <c r="G9553">
        <v>-89.836707000000004</v>
      </c>
      <c r="H9553">
        <v>800</v>
      </c>
      <c r="I9553">
        <v>66</v>
      </c>
      <c r="J9553">
        <v>-85</v>
      </c>
      <c r="K9553">
        <v>-320</v>
      </c>
      <c r="L9553">
        <v>1200</v>
      </c>
      <c r="M9553" t="str">
        <f t="shared" si="847"/>
        <v xml:space="preserve">N35DC   </v>
      </c>
      <c r="N9553">
        <v>1</v>
      </c>
      <c r="O9553">
        <v>825</v>
      </c>
    </row>
    <row r="9554" spans="1:15" x14ac:dyDescent="0.25">
      <c r="A9554" t="str">
        <f>"10/21/2020 19:20:38.000"</f>
        <v>10/21/2020 19:20:38.000</v>
      </c>
      <c r="B9554" t="str">
        <f>"19:20:45.953"</f>
        <v>19:20:45.953</v>
      </c>
      <c r="C9554" t="str">
        <f>"19:20:45.653"</f>
        <v>19:20:45.653</v>
      </c>
      <c r="D9554" t="s">
        <v>3652</v>
      </c>
      <c r="E9554">
        <v>30.326364000000002</v>
      </c>
      <c r="F9554" t="s">
        <v>3653</v>
      </c>
      <c r="G9554">
        <v>-89.835419999999999</v>
      </c>
      <c r="H9554">
        <v>800</v>
      </c>
      <c r="I9554">
        <v>87</v>
      </c>
      <c r="J9554">
        <v>-60</v>
      </c>
      <c r="K9554">
        <v>-896</v>
      </c>
      <c r="L9554">
        <v>1200</v>
      </c>
      <c r="M9554" t="str">
        <f t="shared" si="847"/>
        <v xml:space="preserve">N35DC   </v>
      </c>
      <c r="N9554">
        <v>1</v>
      </c>
      <c r="O9554">
        <v>775</v>
      </c>
    </row>
    <row r="9555" spans="1:15" x14ac:dyDescent="0.25">
      <c r="A9555" t="str">
        <f>"10/21/2020 19:20:38.000"</f>
        <v>10/21/2020 19:20:38.000</v>
      </c>
      <c r="B9555" t="str">
        <f>"19:20:45.953"</f>
        <v>19:20:45.953</v>
      </c>
      <c r="C9555" t="str">
        <f>"19:20:45.653"</f>
        <v>19:20:45.653</v>
      </c>
      <c r="D9555" t="s">
        <v>3652</v>
      </c>
      <c r="E9555">
        <v>30.326364000000002</v>
      </c>
      <c r="F9555" t="s">
        <v>3653</v>
      </c>
      <c r="G9555">
        <v>-89.835419999999999</v>
      </c>
      <c r="H9555">
        <v>800</v>
      </c>
      <c r="I9555">
        <v>87</v>
      </c>
      <c r="J9555">
        <v>-60</v>
      </c>
      <c r="K9555">
        <v>-896</v>
      </c>
      <c r="L9555">
        <v>1200</v>
      </c>
      <c r="M9555" t="str">
        <f t="shared" si="847"/>
        <v xml:space="preserve">N35DC   </v>
      </c>
      <c r="N9555">
        <v>1</v>
      </c>
      <c r="O9555">
        <v>775</v>
      </c>
    </row>
    <row r="9556" spans="1:15" x14ac:dyDescent="0.25">
      <c r="A9556" t="str">
        <f>"10/21/2020 19:20:38.000"</f>
        <v>10/21/2020 19:20:38.000</v>
      </c>
      <c r="B9556" t="str">
        <f>"19:20:45.953"</f>
        <v>19:20:45.953</v>
      </c>
      <c r="C9556" t="str">
        <f>"19:20:45.653"</f>
        <v>19:20:45.653</v>
      </c>
      <c r="D9556" t="s">
        <v>3652</v>
      </c>
      <c r="E9556">
        <v>30.326364000000002</v>
      </c>
      <c r="F9556" t="s">
        <v>3653</v>
      </c>
      <c r="G9556">
        <v>-89.835419999999999</v>
      </c>
      <c r="H9556">
        <v>800</v>
      </c>
      <c r="I9556">
        <v>87</v>
      </c>
      <c r="J9556">
        <v>-60</v>
      </c>
      <c r="K9556">
        <v>-896</v>
      </c>
      <c r="L9556">
        <v>1200</v>
      </c>
      <c r="M9556" t="str">
        <f t="shared" si="847"/>
        <v xml:space="preserve">N35DC   </v>
      </c>
      <c r="N9556">
        <v>1</v>
      </c>
      <c r="O9556">
        <v>775</v>
      </c>
    </row>
    <row r="9557" spans="1:15" x14ac:dyDescent="0.25">
      <c r="A9557" t="str">
        <f>"10/21/2020 19:20:38.000"</f>
        <v>10/21/2020 19:20:38.000</v>
      </c>
      <c r="B9557" t="str">
        <f>"19:20:45.953"</f>
        <v>19:20:45.953</v>
      </c>
      <c r="C9557" t="str">
        <f>"19:20:45.653"</f>
        <v>19:20:45.653</v>
      </c>
      <c r="D9557" t="s">
        <v>3652</v>
      </c>
      <c r="E9557">
        <v>30.326364000000002</v>
      </c>
      <c r="F9557" t="s">
        <v>3653</v>
      </c>
      <c r="G9557">
        <v>-89.835419999999999</v>
      </c>
      <c r="H9557">
        <v>800</v>
      </c>
      <c r="I9557">
        <v>87</v>
      </c>
      <c r="J9557">
        <v>-60</v>
      </c>
      <c r="K9557">
        <v>-896</v>
      </c>
      <c r="L9557">
        <v>1200</v>
      </c>
      <c r="M9557" t="str">
        <f t="shared" si="847"/>
        <v xml:space="preserve">N35DC   </v>
      </c>
      <c r="N9557">
        <v>1</v>
      </c>
      <c r="O9557">
        <v>775</v>
      </c>
    </row>
    <row r="9558" spans="1:15" x14ac:dyDescent="0.25">
      <c r="A9558" t="str">
        <f>"10/21/2020 19:20:38.000"</f>
        <v>10/21/2020 19:20:38.000</v>
      </c>
      <c r="B9558" t="str">
        <f>"19:20:45.953"</f>
        <v>19:20:45.953</v>
      </c>
      <c r="C9558" t="str">
        <f>"19:20:45.653"</f>
        <v>19:20:45.653</v>
      </c>
      <c r="D9558" t="s">
        <v>3652</v>
      </c>
      <c r="E9558">
        <v>30.326364000000002</v>
      </c>
      <c r="F9558" t="s">
        <v>3653</v>
      </c>
      <c r="G9558">
        <v>-89.835419999999999</v>
      </c>
      <c r="H9558">
        <v>800</v>
      </c>
      <c r="I9558">
        <v>87</v>
      </c>
      <c r="J9558">
        <v>-60</v>
      </c>
      <c r="K9558">
        <v>-896</v>
      </c>
      <c r="L9558">
        <v>1200</v>
      </c>
      <c r="M9558" t="str">
        <f t="shared" si="847"/>
        <v xml:space="preserve">N35DC   </v>
      </c>
      <c r="N9558">
        <v>1</v>
      </c>
      <c r="O9558">
        <v>775</v>
      </c>
    </row>
    <row r="9559" spans="1:15" x14ac:dyDescent="0.25">
      <c r="A9559" t="str">
        <f>"10/21/2020 19:20:38.847"</f>
        <v>10/21/2020 19:20:38.847</v>
      </c>
      <c r="B9559" t="str">
        <f>"19:20:46.836"</f>
        <v>19:20:46.836</v>
      </c>
      <c r="C9559" t="str">
        <f>"19:20:46.536"</f>
        <v>19:20:46.536</v>
      </c>
      <c r="D9559" t="s">
        <v>3654</v>
      </c>
      <c r="E9559">
        <v>30.326191999999999</v>
      </c>
      <c r="F9559" t="s">
        <v>3655</v>
      </c>
      <c r="G9559">
        <v>-89.834991000000002</v>
      </c>
      <c r="H9559">
        <v>700</v>
      </c>
      <c r="I9559">
        <v>92</v>
      </c>
      <c r="J9559">
        <v>-52</v>
      </c>
      <c r="K9559">
        <v>-960</v>
      </c>
      <c r="L9559">
        <v>1200</v>
      </c>
      <c r="M9559" t="str">
        <f t="shared" si="847"/>
        <v xml:space="preserve">N35DC   </v>
      </c>
      <c r="N9559">
        <v>1</v>
      </c>
      <c r="O9559">
        <v>775</v>
      </c>
    </row>
    <row r="9560" spans="1:15" x14ac:dyDescent="0.25">
      <c r="A9560" t="str">
        <f>"10/21/2020 19:20:38.847"</f>
        <v>10/21/2020 19:20:38.847</v>
      </c>
      <c r="B9560" t="str">
        <f>"19:20:46.836"</f>
        <v>19:20:46.836</v>
      </c>
      <c r="C9560" t="str">
        <f>"19:20:46.536"</f>
        <v>19:20:46.536</v>
      </c>
      <c r="D9560" t="s">
        <v>3654</v>
      </c>
      <c r="E9560">
        <v>30.326191999999999</v>
      </c>
      <c r="F9560" t="s">
        <v>3655</v>
      </c>
      <c r="G9560">
        <v>-89.834991000000002</v>
      </c>
      <c r="H9560">
        <v>700</v>
      </c>
      <c r="I9560">
        <v>92</v>
      </c>
      <c r="J9560">
        <v>-52</v>
      </c>
      <c r="K9560">
        <v>-960</v>
      </c>
      <c r="L9560">
        <v>1200</v>
      </c>
      <c r="M9560" t="str">
        <f t="shared" si="847"/>
        <v xml:space="preserve">N35DC   </v>
      </c>
      <c r="N9560">
        <v>1</v>
      </c>
      <c r="O9560">
        <v>775</v>
      </c>
    </row>
    <row r="9561" spans="1:15" x14ac:dyDescent="0.25">
      <c r="A9561" t="str">
        <f>"10/21/2020 19:20:38.847"</f>
        <v>10/21/2020 19:20:38.847</v>
      </c>
      <c r="B9561" t="str">
        <f>"19:20:46.836"</f>
        <v>19:20:46.836</v>
      </c>
      <c r="C9561" t="str">
        <f>"19:20:46.536"</f>
        <v>19:20:46.536</v>
      </c>
      <c r="D9561" t="s">
        <v>3654</v>
      </c>
      <c r="E9561">
        <v>30.326191999999999</v>
      </c>
      <c r="F9561" t="s">
        <v>3655</v>
      </c>
      <c r="G9561">
        <v>-89.834991000000002</v>
      </c>
      <c r="H9561">
        <v>700</v>
      </c>
      <c r="I9561">
        <v>92</v>
      </c>
      <c r="J9561">
        <v>-52</v>
      </c>
      <c r="K9561">
        <v>-960</v>
      </c>
      <c r="L9561">
        <v>1200</v>
      </c>
      <c r="M9561" t="str">
        <f t="shared" si="847"/>
        <v xml:space="preserve">N35DC   </v>
      </c>
      <c r="N9561">
        <v>1</v>
      </c>
      <c r="O9561">
        <v>775</v>
      </c>
    </row>
    <row r="9562" spans="1:15" x14ac:dyDescent="0.25">
      <c r="A9562" t="str">
        <f>"10/21/2020 19:20:38.847"</f>
        <v>10/21/2020 19:20:38.847</v>
      </c>
      <c r="B9562" t="str">
        <f>"19:20:46.836"</f>
        <v>19:20:46.836</v>
      </c>
      <c r="C9562" t="str">
        <f>"19:20:46.536"</f>
        <v>19:20:46.536</v>
      </c>
      <c r="D9562" t="s">
        <v>3654</v>
      </c>
      <c r="E9562">
        <v>30.326191999999999</v>
      </c>
      <c r="F9562" t="s">
        <v>3655</v>
      </c>
      <c r="G9562">
        <v>-89.834991000000002</v>
      </c>
      <c r="H9562">
        <v>700</v>
      </c>
      <c r="I9562">
        <v>92</v>
      </c>
      <c r="J9562">
        <v>-52</v>
      </c>
      <c r="K9562">
        <v>-960</v>
      </c>
      <c r="L9562">
        <v>1200</v>
      </c>
      <c r="M9562" t="str">
        <f t="shared" si="847"/>
        <v xml:space="preserve">N35DC   </v>
      </c>
      <c r="N9562">
        <v>1</v>
      </c>
      <c r="O9562">
        <v>775</v>
      </c>
    </row>
    <row r="9563" spans="1:15" x14ac:dyDescent="0.25">
      <c r="A9563" t="str">
        <f>"10/21/2020 19:20:38.847"</f>
        <v>10/21/2020 19:20:38.847</v>
      </c>
      <c r="B9563" t="str">
        <f>"19:20:46.836"</f>
        <v>19:20:46.836</v>
      </c>
      <c r="C9563" t="str">
        <f>"19:20:46.536"</f>
        <v>19:20:46.536</v>
      </c>
      <c r="D9563" t="s">
        <v>3654</v>
      </c>
      <c r="E9563">
        <v>30.326191999999999</v>
      </c>
      <c r="F9563" t="s">
        <v>3655</v>
      </c>
      <c r="G9563">
        <v>-89.834991000000002</v>
      </c>
      <c r="H9563">
        <v>700</v>
      </c>
      <c r="I9563">
        <v>92</v>
      </c>
      <c r="J9563">
        <v>-52</v>
      </c>
      <c r="K9563">
        <v>-960</v>
      </c>
      <c r="L9563">
        <v>1200</v>
      </c>
      <c r="M9563" t="str">
        <f t="shared" si="847"/>
        <v xml:space="preserve">N35DC   </v>
      </c>
      <c r="N9563">
        <v>1</v>
      </c>
      <c r="O9563">
        <v>775</v>
      </c>
    </row>
    <row r="9564" spans="1:15" x14ac:dyDescent="0.25">
      <c r="A9564" t="str">
        <f>"10/21/2020 19:20:42.107"</f>
        <v>10/21/2020 19:20:42.107</v>
      </c>
      <c r="B9564" t="str">
        <f>"19:20:50.078"</f>
        <v>19:20:50.078</v>
      </c>
      <c r="C9564" t="str">
        <f>"19:20:49.978"</f>
        <v>19:20:49.978</v>
      </c>
      <c r="D9564" t="s">
        <v>3656</v>
      </c>
      <c r="E9564">
        <v>30.325785</v>
      </c>
      <c r="F9564" t="s">
        <v>3657</v>
      </c>
      <c r="G9564">
        <v>-89.833209999999994</v>
      </c>
      <c r="H9564">
        <v>700</v>
      </c>
      <c r="I9564">
        <v>105</v>
      </c>
      <c r="J9564">
        <v>-15</v>
      </c>
      <c r="K9564">
        <v>-896</v>
      </c>
      <c r="L9564">
        <v>1200</v>
      </c>
      <c r="M9564" t="str">
        <f t="shared" si="847"/>
        <v xml:space="preserve">N35DC   </v>
      </c>
      <c r="N9564">
        <v>1</v>
      </c>
      <c r="O9564">
        <v>725</v>
      </c>
    </row>
    <row r="9565" spans="1:15" x14ac:dyDescent="0.25">
      <c r="A9565" t="str">
        <f>"10/21/2020 19:20:42.107"</f>
        <v>10/21/2020 19:20:42.107</v>
      </c>
      <c r="B9565" t="str">
        <f>"19:20:50.078"</f>
        <v>19:20:50.078</v>
      </c>
      <c r="C9565" t="str">
        <f>"19:20:49.978"</f>
        <v>19:20:49.978</v>
      </c>
      <c r="D9565" t="s">
        <v>3656</v>
      </c>
      <c r="E9565">
        <v>30.325785</v>
      </c>
      <c r="F9565" t="s">
        <v>3657</v>
      </c>
      <c r="G9565">
        <v>-89.833209999999994</v>
      </c>
      <c r="H9565">
        <v>700</v>
      </c>
      <c r="I9565">
        <v>105</v>
      </c>
      <c r="J9565">
        <v>-15</v>
      </c>
      <c r="K9565">
        <v>-896</v>
      </c>
      <c r="L9565">
        <v>1200</v>
      </c>
      <c r="M9565" t="str">
        <f t="shared" si="847"/>
        <v xml:space="preserve">N35DC   </v>
      </c>
      <c r="N9565">
        <v>1</v>
      </c>
      <c r="O9565">
        <v>725</v>
      </c>
    </row>
    <row r="9566" spans="1:15" x14ac:dyDescent="0.25">
      <c r="A9566" t="str">
        <f>"10/21/2020 19:20:42.107"</f>
        <v>10/21/2020 19:20:42.107</v>
      </c>
      <c r="B9566" t="str">
        <f>"19:20:50.078"</f>
        <v>19:20:50.078</v>
      </c>
      <c r="C9566" t="str">
        <f>"19:20:49.978"</f>
        <v>19:20:49.978</v>
      </c>
      <c r="D9566" t="s">
        <v>3656</v>
      </c>
      <c r="E9566">
        <v>30.325785</v>
      </c>
      <c r="F9566" t="s">
        <v>3657</v>
      </c>
      <c r="G9566">
        <v>-89.833209999999994</v>
      </c>
      <c r="H9566">
        <v>700</v>
      </c>
      <c r="I9566">
        <v>105</v>
      </c>
      <c r="J9566">
        <v>-15</v>
      </c>
      <c r="K9566">
        <v>-896</v>
      </c>
      <c r="L9566">
        <v>1200</v>
      </c>
      <c r="M9566" t="str">
        <f t="shared" si="847"/>
        <v xml:space="preserve">N35DC   </v>
      </c>
      <c r="N9566">
        <v>1</v>
      </c>
      <c r="O9566">
        <v>725</v>
      </c>
    </row>
    <row r="9567" spans="1:15" x14ac:dyDescent="0.25">
      <c r="A9567" t="str">
        <f>"10/21/2020 19:20:42.107"</f>
        <v>10/21/2020 19:20:42.107</v>
      </c>
      <c r="B9567" t="str">
        <f>"19:20:50.078"</f>
        <v>19:20:50.078</v>
      </c>
      <c r="C9567" t="str">
        <f>"19:20:49.978"</f>
        <v>19:20:49.978</v>
      </c>
      <c r="D9567" t="s">
        <v>3656</v>
      </c>
      <c r="E9567">
        <v>30.325785</v>
      </c>
      <c r="F9567" t="s">
        <v>3657</v>
      </c>
      <c r="G9567">
        <v>-89.833209999999994</v>
      </c>
      <c r="H9567">
        <v>700</v>
      </c>
      <c r="I9567">
        <v>105</v>
      </c>
      <c r="J9567">
        <v>-15</v>
      </c>
      <c r="K9567">
        <v>-896</v>
      </c>
      <c r="L9567">
        <v>1200</v>
      </c>
      <c r="M9567" t="str">
        <f t="shared" si="847"/>
        <v xml:space="preserve">N35DC   </v>
      </c>
      <c r="N9567">
        <v>1</v>
      </c>
      <c r="O9567">
        <v>725</v>
      </c>
    </row>
    <row r="9568" spans="1:15" x14ac:dyDescent="0.25">
      <c r="A9568" t="str">
        <f>"10/21/2020 19:20:42.107"</f>
        <v>10/21/2020 19:20:42.107</v>
      </c>
      <c r="B9568" t="str">
        <f>"19:20:50.078"</f>
        <v>19:20:50.078</v>
      </c>
      <c r="C9568" t="str">
        <f>"19:20:49.978"</f>
        <v>19:20:49.978</v>
      </c>
      <c r="D9568" t="s">
        <v>3656</v>
      </c>
      <c r="E9568">
        <v>30.325785</v>
      </c>
      <c r="F9568" t="s">
        <v>3657</v>
      </c>
      <c r="G9568">
        <v>-89.833209999999994</v>
      </c>
      <c r="H9568">
        <v>700</v>
      </c>
      <c r="I9568">
        <v>105</v>
      </c>
      <c r="J9568">
        <v>-15</v>
      </c>
      <c r="K9568">
        <v>-896</v>
      </c>
      <c r="L9568">
        <v>1200</v>
      </c>
      <c r="M9568" t="str">
        <f t="shared" si="847"/>
        <v xml:space="preserve">N35DC   </v>
      </c>
      <c r="N9568">
        <v>1</v>
      </c>
      <c r="O9568">
        <v>725</v>
      </c>
    </row>
    <row r="9569" spans="1:15" x14ac:dyDescent="0.25">
      <c r="A9569" t="str">
        <f>"10/21/2020 19:20:43.219"</f>
        <v>10/21/2020 19:20:43.219</v>
      </c>
      <c r="B9569" t="str">
        <f>"19:20:51.172"</f>
        <v>19:20:51.172</v>
      </c>
      <c r="C9569" t="str">
        <f>"19:20:51.072"</f>
        <v>19:20:51.072</v>
      </c>
      <c r="D9569" t="s">
        <v>3658</v>
      </c>
      <c r="E9569">
        <v>30.325742000000002</v>
      </c>
      <c r="F9569" t="s">
        <v>2289</v>
      </c>
      <c r="G9569">
        <v>-89.832566</v>
      </c>
      <c r="H9569">
        <v>700</v>
      </c>
      <c r="I9569">
        <v>107</v>
      </c>
      <c r="J9569">
        <v>-3</v>
      </c>
      <c r="K9569">
        <v>-960</v>
      </c>
      <c r="L9569">
        <v>1200</v>
      </c>
      <c r="M9569" t="str">
        <f t="shared" si="847"/>
        <v xml:space="preserve">N35DC   </v>
      </c>
      <c r="N9569">
        <v>1</v>
      </c>
      <c r="O9569">
        <v>700</v>
      </c>
    </row>
    <row r="9570" spans="1:15" x14ac:dyDescent="0.25">
      <c r="A9570" t="str">
        <f>"10/21/2020 19:20:43.219"</f>
        <v>10/21/2020 19:20:43.219</v>
      </c>
      <c r="B9570" t="str">
        <f>"19:20:51.172"</f>
        <v>19:20:51.172</v>
      </c>
      <c r="C9570" t="str">
        <f>"19:20:51.072"</f>
        <v>19:20:51.072</v>
      </c>
      <c r="D9570" t="s">
        <v>3658</v>
      </c>
      <c r="E9570">
        <v>30.325742000000002</v>
      </c>
      <c r="F9570" t="s">
        <v>2289</v>
      </c>
      <c r="G9570">
        <v>-89.832566</v>
      </c>
      <c r="H9570">
        <v>700</v>
      </c>
      <c r="I9570">
        <v>107</v>
      </c>
      <c r="J9570">
        <v>-3</v>
      </c>
      <c r="K9570">
        <v>-960</v>
      </c>
      <c r="L9570">
        <v>1200</v>
      </c>
      <c r="M9570" t="str">
        <f t="shared" si="847"/>
        <v xml:space="preserve">N35DC   </v>
      </c>
      <c r="N9570">
        <v>1</v>
      </c>
      <c r="O9570">
        <v>700</v>
      </c>
    </row>
    <row r="9571" spans="1:15" x14ac:dyDescent="0.25">
      <c r="A9571" t="str">
        <f>"10/21/2020 19:20:43.219"</f>
        <v>10/21/2020 19:20:43.219</v>
      </c>
      <c r="B9571" t="str">
        <f>"19:20:51.172"</f>
        <v>19:20:51.172</v>
      </c>
      <c r="C9571" t="str">
        <f>"19:20:51.072"</f>
        <v>19:20:51.072</v>
      </c>
      <c r="D9571" t="s">
        <v>3658</v>
      </c>
      <c r="E9571">
        <v>30.325742000000002</v>
      </c>
      <c r="F9571" t="s">
        <v>2289</v>
      </c>
      <c r="G9571">
        <v>-89.832566</v>
      </c>
      <c r="H9571">
        <v>700</v>
      </c>
      <c r="I9571">
        <v>107</v>
      </c>
      <c r="J9571">
        <v>-3</v>
      </c>
      <c r="K9571">
        <v>-960</v>
      </c>
      <c r="L9571">
        <v>1200</v>
      </c>
      <c r="M9571" t="str">
        <f t="shared" si="847"/>
        <v xml:space="preserve">N35DC   </v>
      </c>
      <c r="N9571">
        <v>1</v>
      </c>
      <c r="O9571">
        <v>700</v>
      </c>
    </row>
    <row r="9572" spans="1:15" x14ac:dyDescent="0.25">
      <c r="A9572" t="str">
        <f>"10/21/2020 19:20:43.219"</f>
        <v>10/21/2020 19:20:43.219</v>
      </c>
      <c r="B9572" t="str">
        <f>"19:20:51.172"</f>
        <v>19:20:51.172</v>
      </c>
      <c r="C9572" t="str">
        <f>"19:20:51.072"</f>
        <v>19:20:51.072</v>
      </c>
      <c r="D9572" t="s">
        <v>3658</v>
      </c>
      <c r="E9572">
        <v>30.325742000000002</v>
      </c>
      <c r="F9572" t="s">
        <v>2289</v>
      </c>
      <c r="G9572">
        <v>-89.832566</v>
      </c>
      <c r="H9572">
        <v>700</v>
      </c>
      <c r="I9572">
        <v>107</v>
      </c>
      <c r="J9572">
        <v>-3</v>
      </c>
      <c r="K9572">
        <v>-960</v>
      </c>
      <c r="L9572">
        <v>1200</v>
      </c>
      <c r="M9572" t="str">
        <f t="shared" si="847"/>
        <v xml:space="preserve">N35DC   </v>
      </c>
      <c r="N9572">
        <v>1</v>
      </c>
      <c r="O9572">
        <v>700</v>
      </c>
    </row>
    <row r="9573" spans="1:15" x14ac:dyDescent="0.25">
      <c r="A9573" t="str">
        <f>"10/21/2020 19:20:43.219"</f>
        <v>10/21/2020 19:20:43.219</v>
      </c>
      <c r="B9573" t="str">
        <f>"19:20:51.172"</f>
        <v>19:20:51.172</v>
      </c>
      <c r="C9573" t="str">
        <f>"19:20:51.072"</f>
        <v>19:20:51.072</v>
      </c>
      <c r="D9573" t="s">
        <v>3658</v>
      </c>
      <c r="E9573">
        <v>30.325742000000002</v>
      </c>
      <c r="F9573" t="s">
        <v>2289</v>
      </c>
      <c r="G9573">
        <v>-89.832566</v>
      </c>
      <c r="H9573">
        <v>700</v>
      </c>
      <c r="I9573">
        <v>107</v>
      </c>
      <c r="J9573">
        <v>-3</v>
      </c>
      <c r="K9573">
        <v>-960</v>
      </c>
      <c r="L9573">
        <v>1200</v>
      </c>
      <c r="M9573" t="str">
        <f t="shared" si="847"/>
        <v xml:space="preserve">N35DC   </v>
      </c>
      <c r="N9573">
        <v>1</v>
      </c>
      <c r="O9573">
        <v>700</v>
      </c>
    </row>
    <row r="9574" spans="1:15" x14ac:dyDescent="0.25">
      <c r="A9574" t="str">
        <f>"10/21/2020 19:20:47.881"</f>
        <v>10/21/2020 19:20:47.881</v>
      </c>
      <c r="B9574" t="str">
        <f>"19:20:55.852"</f>
        <v>19:20:55.852</v>
      </c>
      <c r="C9574" t="str">
        <f>"19:20:55.152"</f>
        <v>19:20:55.152</v>
      </c>
      <c r="D9574" t="s">
        <v>3659</v>
      </c>
      <c r="E9574">
        <v>30.325935000000001</v>
      </c>
      <c r="F9574" t="s">
        <v>3660</v>
      </c>
      <c r="G9574">
        <v>-89.829926</v>
      </c>
      <c r="H9574">
        <v>600</v>
      </c>
      <c r="I9574">
        <v>107</v>
      </c>
      <c r="J9574">
        <v>12</v>
      </c>
      <c r="K9574">
        <v>-1088</v>
      </c>
      <c r="L9574">
        <v>1200</v>
      </c>
      <c r="M9574" t="str">
        <f t="shared" si="847"/>
        <v xml:space="preserve">N35DC   </v>
      </c>
      <c r="N9574">
        <v>1</v>
      </c>
      <c r="O9574">
        <v>625</v>
      </c>
    </row>
    <row r="9575" spans="1:15" x14ac:dyDescent="0.25">
      <c r="A9575" t="str">
        <f>"10/21/2020 19:20:47.881"</f>
        <v>10/21/2020 19:20:47.881</v>
      </c>
      <c r="B9575" t="str">
        <f>"19:20:55.852"</f>
        <v>19:20:55.852</v>
      </c>
      <c r="C9575" t="str">
        <f>"19:20:55.152"</f>
        <v>19:20:55.152</v>
      </c>
      <c r="D9575" t="s">
        <v>3659</v>
      </c>
      <c r="E9575">
        <v>30.325935000000001</v>
      </c>
      <c r="F9575" t="s">
        <v>3660</v>
      </c>
      <c r="G9575">
        <v>-89.829926</v>
      </c>
      <c r="H9575">
        <v>600</v>
      </c>
      <c r="I9575">
        <v>107</v>
      </c>
      <c r="J9575">
        <v>12</v>
      </c>
      <c r="K9575">
        <v>-1088</v>
      </c>
      <c r="L9575">
        <v>1200</v>
      </c>
      <c r="M9575" t="str">
        <f t="shared" si="847"/>
        <v xml:space="preserve">N35DC   </v>
      </c>
      <c r="N9575">
        <v>1</v>
      </c>
      <c r="O9575">
        <v>625</v>
      </c>
    </row>
    <row r="9576" spans="1:15" x14ac:dyDescent="0.25">
      <c r="A9576" t="str">
        <f>"10/21/2020 19:20:47.881"</f>
        <v>10/21/2020 19:20:47.881</v>
      </c>
      <c r="B9576" t="str">
        <f>"19:20:55.852"</f>
        <v>19:20:55.852</v>
      </c>
      <c r="C9576" t="str">
        <f>"19:20:55.152"</f>
        <v>19:20:55.152</v>
      </c>
      <c r="D9576" t="s">
        <v>3659</v>
      </c>
      <c r="E9576">
        <v>30.325935000000001</v>
      </c>
      <c r="F9576" t="s">
        <v>3660</v>
      </c>
      <c r="G9576">
        <v>-89.829926</v>
      </c>
      <c r="H9576">
        <v>600</v>
      </c>
      <c r="I9576">
        <v>107</v>
      </c>
      <c r="J9576">
        <v>12</v>
      </c>
      <c r="K9576">
        <v>-1088</v>
      </c>
      <c r="L9576">
        <v>1200</v>
      </c>
      <c r="M9576" t="str">
        <f t="shared" si="847"/>
        <v xml:space="preserve">N35DC   </v>
      </c>
      <c r="N9576">
        <v>1</v>
      </c>
      <c r="O9576">
        <v>625</v>
      </c>
    </row>
    <row r="9577" spans="1:15" x14ac:dyDescent="0.25">
      <c r="A9577" t="str">
        <f>"10/21/2020 19:20:47.881"</f>
        <v>10/21/2020 19:20:47.881</v>
      </c>
      <c r="B9577" t="str">
        <f>"19:20:55.852"</f>
        <v>19:20:55.852</v>
      </c>
      <c r="C9577" t="str">
        <f>"19:20:55.152"</f>
        <v>19:20:55.152</v>
      </c>
      <c r="D9577" t="s">
        <v>3659</v>
      </c>
      <c r="E9577">
        <v>30.325935000000001</v>
      </c>
      <c r="F9577" t="s">
        <v>3660</v>
      </c>
      <c r="G9577">
        <v>-89.829926</v>
      </c>
      <c r="H9577">
        <v>600</v>
      </c>
      <c r="I9577">
        <v>107</v>
      </c>
      <c r="J9577">
        <v>12</v>
      </c>
      <c r="K9577">
        <v>-1088</v>
      </c>
      <c r="L9577">
        <v>1200</v>
      </c>
      <c r="M9577" t="str">
        <f t="shared" si="847"/>
        <v xml:space="preserve">N35DC   </v>
      </c>
      <c r="N9577">
        <v>1</v>
      </c>
      <c r="O9577">
        <v>625</v>
      </c>
    </row>
    <row r="9578" spans="1:15" x14ac:dyDescent="0.25">
      <c r="A9578" t="str">
        <f>"10/21/2020 19:20:47.881"</f>
        <v>10/21/2020 19:20:47.881</v>
      </c>
      <c r="B9578" t="str">
        <f>"19:20:55.852"</f>
        <v>19:20:55.852</v>
      </c>
      <c r="C9578" t="str">
        <f>"19:20:55.152"</f>
        <v>19:20:55.152</v>
      </c>
      <c r="D9578" t="s">
        <v>3659</v>
      </c>
      <c r="E9578">
        <v>30.325935000000001</v>
      </c>
      <c r="F9578" t="s">
        <v>3660</v>
      </c>
      <c r="G9578">
        <v>-89.829926</v>
      </c>
      <c r="H9578">
        <v>600</v>
      </c>
      <c r="I9578">
        <v>107</v>
      </c>
      <c r="J9578">
        <v>12</v>
      </c>
      <c r="K9578">
        <v>-1088</v>
      </c>
      <c r="L9578">
        <v>1200</v>
      </c>
      <c r="M9578" t="str">
        <f t="shared" si="847"/>
        <v xml:space="preserve">N35DC   </v>
      </c>
      <c r="N9578">
        <v>1</v>
      </c>
      <c r="O9578">
        <v>625</v>
      </c>
    </row>
    <row r="9579" spans="1:15" x14ac:dyDescent="0.25">
      <c r="A9579" t="str">
        <f>"10/21/2020 19:20:48.852"</f>
        <v>10/21/2020 19:20:48.852</v>
      </c>
      <c r="B9579" t="str">
        <f>"19:20:56.828"</f>
        <v>19:20:56.828</v>
      </c>
      <c r="C9579" t="str">
        <f>"19:20:56.528"</f>
        <v>19:20:56.528</v>
      </c>
      <c r="D9579" t="s">
        <v>3661</v>
      </c>
      <c r="E9579">
        <v>30.326021000000001</v>
      </c>
      <c r="F9579" t="s">
        <v>3662</v>
      </c>
      <c r="G9579">
        <v>-89.829325999999995</v>
      </c>
      <c r="H9579">
        <v>600</v>
      </c>
      <c r="I9579">
        <v>107</v>
      </c>
      <c r="J9579">
        <v>11</v>
      </c>
      <c r="K9579">
        <v>-896</v>
      </c>
      <c r="L9579">
        <v>1200</v>
      </c>
      <c r="M9579" t="str">
        <f t="shared" si="847"/>
        <v xml:space="preserve">N35DC   </v>
      </c>
      <c r="N9579">
        <v>1</v>
      </c>
      <c r="O9579">
        <v>600</v>
      </c>
    </row>
    <row r="9580" spans="1:15" x14ac:dyDescent="0.25">
      <c r="A9580" t="str">
        <f>"10/21/2020 19:20:48.852"</f>
        <v>10/21/2020 19:20:48.852</v>
      </c>
      <c r="B9580" t="str">
        <f>"19:20:56.828"</f>
        <v>19:20:56.828</v>
      </c>
      <c r="C9580" t="str">
        <f>"19:20:56.528"</f>
        <v>19:20:56.528</v>
      </c>
      <c r="D9580" t="s">
        <v>3661</v>
      </c>
      <c r="E9580">
        <v>30.326021000000001</v>
      </c>
      <c r="F9580" t="s">
        <v>3662</v>
      </c>
      <c r="G9580">
        <v>-89.829325999999995</v>
      </c>
      <c r="H9580">
        <v>600</v>
      </c>
      <c r="I9580">
        <v>107</v>
      </c>
      <c r="J9580">
        <v>11</v>
      </c>
      <c r="K9580">
        <v>-896</v>
      </c>
      <c r="L9580">
        <v>1200</v>
      </c>
      <c r="M9580" t="str">
        <f t="shared" si="847"/>
        <v xml:space="preserve">N35DC   </v>
      </c>
      <c r="N9580">
        <v>1</v>
      </c>
      <c r="O9580">
        <v>600</v>
      </c>
    </row>
    <row r="9581" spans="1:15" x14ac:dyDescent="0.25">
      <c r="A9581" t="str">
        <f>"10/21/2020 19:20:48.852"</f>
        <v>10/21/2020 19:20:48.852</v>
      </c>
      <c r="B9581" t="str">
        <f>"19:20:56.828"</f>
        <v>19:20:56.828</v>
      </c>
      <c r="C9581" t="str">
        <f>"19:20:56.528"</f>
        <v>19:20:56.528</v>
      </c>
      <c r="D9581" t="s">
        <v>3661</v>
      </c>
      <c r="E9581">
        <v>30.326021000000001</v>
      </c>
      <c r="F9581" t="s">
        <v>3662</v>
      </c>
      <c r="G9581">
        <v>-89.829325999999995</v>
      </c>
      <c r="H9581">
        <v>600</v>
      </c>
      <c r="I9581">
        <v>107</v>
      </c>
      <c r="J9581">
        <v>11</v>
      </c>
      <c r="K9581">
        <v>-896</v>
      </c>
      <c r="L9581">
        <v>1200</v>
      </c>
      <c r="M9581" t="str">
        <f t="shared" si="847"/>
        <v xml:space="preserve">N35DC   </v>
      </c>
      <c r="N9581">
        <v>1</v>
      </c>
      <c r="O9581">
        <v>600</v>
      </c>
    </row>
    <row r="9582" spans="1:15" x14ac:dyDescent="0.25">
      <c r="A9582" t="str">
        <f>"10/21/2020 19:20:48.852"</f>
        <v>10/21/2020 19:20:48.852</v>
      </c>
      <c r="B9582" t="str">
        <f>"19:20:56.828"</f>
        <v>19:20:56.828</v>
      </c>
      <c r="C9582" t="str">
        <f>"19:20:56.528"</f>
        <v>19:20:56.528</v>
      </c>
      <c r="D9582" t="s">
        <v>3661</v>
      </c>
      <c r="E9582">
        <v>30.326021000000001</v>
      </c>
      <c r="F9582" t="s">
        <v>3662</v>
      </c>
      <c r="G9582">
        <v>-89.829325999999995</v>
      </c>
      <c r="H9582">
        <v>600</v>
      </c>
      <c r="I9582">
        <v>107</v>
      </c>
      <c r="J9582">
        <v>11</v>
      </c>
      <c r="K9582">
        <v>-896</v>
      </c>
      <c r="L9582">
        <v>1200</v>
      </c>
      <c r="M9582" t="str">
        <f t="shared" si="847"/>
        <v xml:space="preserve">N35DC   </v>
      </c>
      <c r="N9582">
        <v>1</v>
      </c>
      <c r="O9582">
        <v>600</v>
      </c>
    </row>
    <row r="9583" spans="1:15" x14ac:dyDescent="0.25">
      <c r="A9583" t="str">
        <f>"10/21/2020 19:20:48.852"</f>
        <v>10/21/2020 19:20:48.852</v>
      </c>
      <c r="B9583" t="str">
        <f>"19:20:56.828"</f>
        <v>19:20:56.828</v>
      </c>
      <c r="C9583" t="str">
        <f>"19:20:56.528"</f>
        <v>19:20:56.528</v>
      </c>
      <c r="D9583" t="s">
        <v>3661</v>
      </c>
      <c r="E9583">
        <v>30.326021000000001</v>
      </c>
      <c r="F9583" t="s">
        <v>3662</v>
      </c>
      <c r="G9583">
        <v>-89.829325999999995</v>
      </c>
      <c r="H9583">
        <v>600</v>
      </c>
      <c r="I9583">
        <v>107</v>
      </c>
      <c r="J9583">
        <v>11</v>
      </c>
      <c r="K9583">
        <v>-896</v>
      </c>
      <c r="L9583">
        <v>1200</v>
      </c>
      <c r="M9583" t="str">
        <f t="shared" si="847"/>
        <v xml:space="preserve">N35DC   </v>
      </c>
      <c r="N9583">
        <v>1</v>
      </c>
      <c r="O9583">
        <v>600</v>
      </c>
    </row>
    <row r="9584" spans="1:15" x14ac:dyDescent="0.25">
      <c r="A9584" t="str">
        <f>"10/21/2020 19:20:52.070"</f>
        <v>10/21/2020 19:20:52.070</v>
      </c>
      <c r="B9584" t="str">
        <f>"19:21:00.016"</f>
        <v>19:21:00.016</v>
      </c>
      <c r="C9584" t="str">
        <f>"19:20:59.716"</f>
        <v>19:20:59.716</v>
      </c>
      <c r="D9584" t="s">
        <v>3663</v>
      </c>
      <c r="E9584">
        <v>30.326149000000001</v>
      </c>
      <c r="F9584" t="s">
        <v>3664</v>
      </c>
      <c r="G9584">
        <v>-89.827501999999996</v>
      </c>
      <c r="H9584">
        <v>600</v>
      </c>
      <c r="I9584">
        <v>107</v>
      </c>
      <c r="J9584">
        <v>11</v>
      </c>
      <c r="K9584">
        <v>-704</v>
      </c>
      <c r="L9584">
        <v>1200</v>
      </c>
      <c r="M9584" t="str">
        <f t="shared" si="847"/>
        <v xml:space="preserve">N35DC   </v>
      </c>
      <c r="N9584">
        <v>1</v>
      </c>
      <c r="O9584">
        <v>575</v>
      </c>
    </row>
    <row r="9585" spans="1:15" x14ac:dyDescent="0.25">
      <c r="A9585" t="str">
        <f>"10/21/2020 19:20:52.070"</f>
        <v>10/21/2020 19:20:52.070</v>
      </c>
      <c r="B9585" t="str">
        <f>"19:21:00.016"</f>
        <v>19:21:00.016</v>
      </c>
      <c r="C9585" t="str">
        <f>"19:20:59.716"</f>
        <v>19:20:59.716</v>
      </c>
      <c r="D9585" t="s">
        <v>3663</v>
      </c>
      <c r="E9585">
        <v>30.326149000000001</v>
      </c>
      <c r="F9585" t="s">
        <v>3664</v>
      </c>
      <c r="G9585">
        <v>-89.827501999999996</v>
      </c>
      <c r="H9585">
        <v>600</v>
      </c>
      <c r="I9585">
        <v>107</v>
      </c>
      <c r="J9585">
        <v>11</v>
      </c>
      <c r="K9585">
        <v>-704</v>
      </c>
      <c r="L9585">
        <v>1200</v>
      </c>
      <c r="M9585" t="str">
        <f t="shared" si="847"/>
        <v xml:space="preserve">N35DC   </v>
      </c>
      <c r="N9585">
        <v>1</v>
      </c>
      <c r="O9585">
        <v>575</v>
      </c>
    </row>
    <row r="9586" spans="1:15" x14ac:dyDescent="0.25">
      <c r="A9586" t="str">
        <f>"10/21/2020 19:20:52.070"</f>
        <v>10/21/2020 19:20:52.070</v>
      </c>
      <c r="B9586" t="str">
        <f>"19:21:00.016"</f>
        <v>19:21:00.016</v>
      </c>
      <c r="C9586" t="str">
        <f>"19:20:59.716"</f>
        <v>19:20:59.716</v>
      </c>
      <c r="D9586" t="s">
        <v>3663</v>
      </c>
      <c r="E9586">
        <v>30.326149000000001</v>
      </c>
      <c r="F9586" t="s">
        <v>3664</v>
      </c>
      <c r="G9586">
        <v>-89.827501999999996</v>
      </c>
      <c r="H9586">
        <v>600</v>
      </c>
      <c r="I9586">
        <v>107</v>
      </c>
      <c r="J9586">
        <v>11</v>
      </c>
      <c r="K9586">
        <v>-704</v>
      </c>
      <c r="L9586">
        <v>1200</v>
      </c>
      <c r="M9586" t="str">
        <f t="shared" si="847"/>
        <v xml:space="preserve">N35DC   </v>
      </c>
      <c r="N9586">
        <v>1</v>
      </c>
      <c r="O9586">
        <v>575</v>
      </c>
    </row>
    <row r="9587" spans="1:15" x14ac:dyDescent="0.25">
      <c r="A9587" t="str">
        <f>"10/21/2020 19:20:52.070"</f>
        <v>10/21/2020 19:20:52.070</v>
      </c>
      <c r="B9587" t="str">
        <f>"19:21:00.016"</f>
        <v>19:21:00.016</v>
      </c>
      <c r="C9587" t="str">
        <f>"19:20:59.716"</f>
        <v>19:20:59.716</v>
      </c>
      <c r="D9587" t="s">
        <v>3663</v>
      </c>
      <c r="E9587">
        <v>30.326149000000001</v>
      </c>
      <c r="F9587" t="s">
        <v>3664</v>
      </c>
      <c r="G9587">
        <v>-89.827501999999996</v>
      </c>
      <c r="H9587">
        <v>600</v>
      </c>
      <c r="I9587">
        <v>107</v>
      </c>
      <c r="J9587">
        <v>11</v>
      </c>
      <c r="K9587">
        <v>-704</v>
      </c>
      <c r="L9587">
        <v>1200</v>
      </c>
      <c r="M9587" t="str">
        <f t="shared" si="847"/>
        <v xml:space="preserve">N35DC   </v>
      </c>
      <c r="N9587">
        <v>1</v>
      </c>
      <c r="O9587">
        <v>575</v>
      </c>
    </row>
    <row r="9588" spans="1:15" x14ac:dyDescent="0.25">
      <c r="A9588" t="str">
        <f>"10/21/2020 19:20:52.070"</f>
        <v>10/21/2020 19:20:52.070</v>
      </c>
      <c r="B9588" t="str">
        <f>"19:21:00.016"</f>
        <v>19:21:00.016</v>
      </c>
      <c r="C9588" t="str">
        <f>"19:20:59.716"</f>
        <v>19:20:59.716</v>
      </c>
      <c r="D9588" t="s">
        <v>3663</v>
      </c>
      <c r="E9588">
        <v>30.326149000000001</v>
      </c>
      <c r="F9588" t="s">
        <v>3664</v>
      </c>
      <c r="G9588">
        <v>-89.827501999999996</v>
      </c>
      <c r="H9588">
        <v>600</v>
      </c>
      <c r="I9588">
        <v>107</v>
      </c>
      <c r="J9588">
        <v>11</v>
      </c>
      <c r="K9588">
        <v>-704</v>
      </c>
      <c r="L9588">
        <v>1200</v>
      </c>
      <c r="M9588" t="str">
        <f t="shared" si="847"/>
        <v xml:space="preserve">N35DC   </v>
      </c>
      <c r="N9588">
        <v>1</v>
      </c>
      <c r="O9588">
        <v>575</v>
      </c>
    </row>
    <row r="9589" spans="1:15" x14ac:dyDescent="0.25">
      <c r="A9589" t="str">
        <f>"10/21/2020 19:20:53.075"</f>
        <v>10/21/2020 19:20:53.075</v>
      </c>
      <c r="B9589" t="str">
        <f>"19:21:01.039"</f>
        <v>19:21:01.039</v>
      </c>
      <c r="C9589" t="str">
        <f>"19:21:00.739"</f>
        <v>19:21:00.739</v>
      </c>
      <c r="D9589" t="s">
        <v>3665</v>
      </c>
      <c r="E9589">
        <v>30.326214</v>
      </c>
      <c r="F9589" t="s">
        <v>3666</v>
      </c>
      <c r="G9589">
        <v>-89.826901000000007</v>
      </c>
      <c r="H9589">
        <v>600</v>
      </c>
      <c r="I9589">
        <v>107</v>
      </c>
      <c r="J9589">
        <v>13</v>
      </c>
      <c r="K9589">
        <v>-704</v>
      </c>
      <c r="L9589">
        <v>1200</v>
      </c>
      <c r="M9589" t="str">
        <f t="shared" si="847"/>
        <v xml:space="preserve">N35DC   </v>
      </c>
      <c r="N9589">
        <v>1</v>
      </c>
      <c r="O9589">
        <v>550</v>
      </c>
    </row>
    <row r="9590" spans="1:15" x14ac:dyDescent="0.25">
      <c r="A9590" t="str">
        <f>"10/21/2020 19:20:53.075"</f>
        <v>10/21/2020 19:20:53.075</v>
      </c>
      <c r="B9590" t="str">
        <f>"19:21:01.039"</f>
        <v>19:21:01.039</v>
      </c>
      <c r="C9590" t="str">
        <f>"19:21:00.739"</f>
        <v>19:21:00.739</v>
      </c>
      <c r="D9590" t="s">
        <v>3665</v>
      </c>
      <c r="E9590">
        <v>30.326214</v>
      </c>
      <c r="F9590" t="s">
        <v>3666</v>
      </c>
      <c r="G9590">
        <v>-89.826901000000007</v>
      </c>
      <c r="H9590">
        <v>600</v>
      </c>
      <c r="I9590">
        <v>107</v>
      </c>
      <c r="J9590">
        <v>13</v>
      </c>
      <c r="K9590">
        <v>-704</v>
      </c>
      <c r="L9590">
        <v>1200</v>
      </c>
      <c r="M9590" t="str">
        <f t="shared" si="847"/>
        <v xml:space="preserve">N35DC   </v>
      </c>
      <c r="N9590">
        <v>1</v>
      </c>
      <c r="O9590">
        <v>550</v>
      </c>
    </row>
    <row r="9591" spans="1:15" x14ac:dyDescent="0.25">
      <c r="A9591" t="str">
        <f>"10/21/2020 19:20:53.075"</f>
        <v>10/21/2020 19:20:53.075</v>
      </c>
      <c r="B9591" t="str">
        <f>"19:21:01.039"</f>
        <v>19:21:01.039</v>
      </c>
      <c r="C9591" t="str">
        <f>"19:21:00.739"</f>
        <v>19:21:00.739</v>
      </c>
      <c r="D9591" t="s">
        <v>3665</v>
      </c>
      <c r="E9591">
        <v>30.326214</v>
      </c>
      <c r="F9591" t="s">
        <v>3666</v>
      </c>
      <c r="G9591">
        <v>-89.826901000000007</v>
      </c>
      <c r="H9591">
        <v>600</v>
      </c>
      <c r="I9591">
        <v>107</v>
      </c>
      <c r="J9591">
        <v>13</v>
      </c>
      <c r="K9591">
        <v>-704</v>
      </c>
      <c r="L9591">
        <v>1200</v>
      </c>
      <c r="M9591" t="str">
        <f t="shared" si="847"/>
        <v xml:space="preserve">N35DC   </v>
      </c>
      <c r="N9591">
        <v>1</v>
      </c>
      <c r="O9591">
        <v>550</v>
      </c>
    </row>
    <row r="9592" spans="1:15" x14ac:dyDescent="0.25">
      <c r="A9592" t="str">
        <f>"10/21/2020 19:20:53.075"</f>
        <v>10/21/2020 19:20:53.075</v>
      </c>
      <c r="B9592" t="str">
        <f>"19:21:01.039"</f>
        <v>19:21:01.039</v>
      </c>
      <c r="C9592" t="str">
        <f>"19:21:00.739"</f>
        <v>19:21:00.739</v>
      </c>
      <c r="D9592" t="s">
        <v>3665</v>
      </c>
      <c r="E9592">
        <v>30.326214</v>
      </c>
      <c r="F9592" t="s">
        <v>3666</v>
      </c>
      <c r="G9592">
        <v>-89.826901000000007</v>
      </c>
      <c r="H9592">
        <v>600</v>
      </c>
      <c r="I9592">
        <v>107</v>
      </c>
      <c r="J9592">
        <v>13</v>
      </c>
      <c r="K9592">
        <v>-704</v>
      </c>
      <c r="L9592">
        <v>1200</v>
      </c>
      <c r="M9592" t="str">
        <f t="shared" si="847"/>
        <v xml:space="preserve">N35DC   </v>
      </c>
      <c r="N9592">
        <v>1</v>
      </c>
      <c r="O9592">
        <v>550</v>
      </c>
    </row>
    <row r="9593" spans="1:15" x14ac:dyDescent="0.25">
      <c r="A9593" t="str">
        <f>"10/21/2020 19:20:53.075"</f>
        <v>10/21/2020 19:20:53.075</v>
      </c>
      <c r="B9593" t="str">
        <f>"19:21:01.039"</f>
        <v>19:21:01.039</v>
      </c>
      <c r="C9593" t="str">
        <f>"19:21:00.739"</f>
        <v>19:21:00.739</v>
      </c>
      <c r="D9593" t="s">
        <v>3665</v>
      </c>
      <c r="E9593">
        <v>30.326214</v>
      </c>
      <c r="F9593" t="s">
        <v>3666</v>
      </c>
      <c r="G9593">
        <v>-89.826901000000007</v>
      </c>
      <c r="H9593">
        <v>600</v>
      </c>
      <c r="I9593">
        <v>107</v>
      </c>
      <c r="J9593">
        <v>13</v>
      </c>
      <c r="K9593">
        <v>-704</v>
      </c>
      <c r="L9593">
        <v>1200</v>
      </c>
      <c r="M9593" t="str">
        <f t="shared" si="847"/>
        <v xml:space="preserve">N35DC   </v>
      </c>
      <c r="N9593">
        <v>1</v>
      </c>
      <c r="O9593">
        <v>550</v>
      </c>
    </row>
    <row r="9594" spans="1:15" x14ac:dyDescent="0.25">
      <c r="A9594" t="str">
        <f>"10/21/2020 19:20:54.067"</f>
        <v>10/21/2020 19:20:54.067</v>
      </c>
      <c r="B9594" t="str">
        <f>"19:21:02.016"</f>
        <v>19:21:02.016</v>
      </c>
      <c r="C9594" t="str">
        <f>"19:21:01.616"</f>
        <v>19:21:01.616</v>
      </c>
      <c r="D9594" t="s">
        <v>3667</v>
      </c>
      <c r="E9594">
        <v>30.3263</v>
      </c>
      <c r="F9594" t="s">
        <v>3668</v>
      </c>
      <c r="G9594">
        <v>-89.826364999999996</v>
      </c>
      <c r="H9594">
        <v>500</v>
      </c>
      <c r="I9594">
        <v>106</v>
      </c>
      <c r="J9594">
        <v>16</v>
      </c>
      <c r="K9594">
        <v>-896</v>
      </c>
      <c r="L9594">
        <v>1200</v>
      </c>
      <c r="M9594" t="str">
        <f t="shared" si="847"/>
        <v xml:space="preserve">N35DC   </v>
      </c>
      <c r="N9594">
        <v>1</v>
      </c>
      <c r="O9594">
        <v>550</v>
      </c>
    </row>
    <row r="9595" spans="1:15" x14ac:dyDescent="0.25">
      <c r="A9595" t="str">
        <f>"10/21/2020 19:20:54.067"</f>
        <v>10/21/2020 19:20:54.067</v>
      </c>
      <c r="B9595" t="str">
        <f>"19:21:02.016"</f>
        <v>19:21:02.016</v>
      </c>
      <c r="C9595" t="str">
        <f>"19:21:01.616"</f>
        <v>19:21:01.616</v>
      </c>
      <c r="D9595" t="s">
        <v>3667</v>
      </c>
      <c r="E9595">
        <v>30.3263</v>
      </c>
      <c r="F9595" t="s">
        <v>3668</v>
      </c>
      <c r="G9595">
        <v>-89.826364999999996</v>
      </c>
      <c r="H9595">
        <v>500</v>
      </c>
      <c r="I9595">
        <v>106</v>
      </c>
      <c r="J9595">
        <v>16</v>
      </c>
      <c r="K9595">
        <v>-896</v>
      </c>
      <c r="L9595">
        <v>1200</v>
      </c>
      <c r="M9595" t="str">
        <f t="shared" si="847"/>
        <v xml:space="preserve">N35DC   </v>
      </c>
      <c r="N9595">
        <v>1</v>
      </c>
      <c r="O9595">
        <v>550</v>
      </c>
    </row>
    <row r="9596" spans="1:15" x14ac:dyDescent="0.25">
      <c r="A9596" t="str">
        <f>"10/21/2020 19:20:54.067"</f>
        <v>10/21/2020 19:20:54.067</v>
      </c>
      <c r="B9596" t="str">
        <f>"19:21:02.016"</f>
        <v>19:21:02.016</v>
      </c>
      <c r="C9596" t="str">
        <f>"19:21:01.616"</f>
        <v>19:21:01.616</v>
      </c>
      <c r="D9596" t="s">
        <v>3667</v>
      </c>
      <c r="E9596">
        <v>30.3263</v>
      </c>
      <c r="F9596" t="s">
        <v>3668</v>
      </c>
      <c r="G9596">
        <v>-89.826364999999996</v>
      </c>
      <c r="H9596">
        <v>500</v>
      </c>
      <c r="I9596">
        <v>106</v>
      </c>
      <c r="J9596">
        <v>16</v>
      </c>
      <c r="K9596">
        <v>-896</v>
      </c>
      <c r="L9596">
        <v>1200</v>
      </c>
      <c r="M9596" t="str">
        <f t="shared" si="847"/>
        <v xml:space="preserve">N35DC   </v>
      </c>
      <c r="N9596">
        <v>1</v>
      </c>
      <c r="O9596">
        <v>550</v>
      </c>
    </row>
    <row r="9597" spans="1:15" x14ac:dyDescent="0.25">
      <c r="A9597" t="str">
        <f>"10/21/2020 19:20:54.067"</f>
        <v>10/21/2020 19:20:54.067</v>
      </c>
      <c r="B9597" t="str">
        <f>"19:21:02.016"</f>
        <v>19:21:02.016</v>
      </c>
      <c r="C9597" t="str">
        <f>"19:21:01.616"</f>
        <v>19:21:01.616</v>
      </c>
      <c r="D9597" t="s">
        <v>3667</v>
      </c>
      <c r="E9597">
        <v>30.3263</v>
      </c>
      <c r="F9597" t="s">
        <v>3668</v>
      </c>
      <c r="G9597">
        <v>-89.826364999999996</v>
      </c>
      <c r="H9597">
        <v>500</v>
      </c>
      <c r="I9597">
        <v>106</v>
      </c>
      <c r="J9597">
        <v>16</v>
      </c>
      <c r="K9597">
        <v>-896</v>
      </c>
      <c r="L9597">
        <v>1200</v>
      </c>
      <c r="M9597" t="str">
        <f t="shared" si="847"/>
        <v xml:space="preserve">N35DC   </v>
      </c>
      <c r="N9597">
        <v>1</v>
      </c>
      <c r="O9597">
        <v>550</v>
      </c>
    </row>
    <row r="9598" spans="1:15" x14ac:dyDescent="0.25">
      <c r="A9598" t="str">
        <f>"10/21/2020 19:20:54.067"</f>
        <v>10/21/2020 19:20:54.067</v>
      </c>
      <c r="B9598" t="str">
        <f>"19:21:02.016"</f>
        <v>19:21:02.016</v>
      </c>
      <c r="C9598" t="str">
        <f>"19:21:01.616"</f>
        <v>19:21:01.616</v>
      </c>
      <c r="D9598" t="s">
        <v>3667</v>
      </c>
      <c r="E9598">
        <v>30.3263</v>
      </c>
      <c r="F9598" t="s">
        <v>3668</v>
      </c>
      <c r="G9598">
        <v>-89.826364999999996</v>
      </c>
      <c r="H9598">
        <v>500</v>
      </c>
      <c r="I9598">
        <v>106</v>
      </c>
      <c r="J9598">
        <v>16</v>
      </c>
      <c r="K9598">
        <v>-896</v>
      </c>
      <c r="L9598">
        <v>1200</v>
      </c>
      <c r="M9598" t="str">
        <f t="shared" si="847"/>
        <v xml:space="preserve">N35DC   </v>
      </c>
      <c r="N9598">
        <v>1</v>
      </c>
      <c r="O9598">
        <v>550</v>
      </c>
    </row>
    <row r="9599" spans="1:15" x14ac:dyDescent="0.25">
      <c r="A9599" t="str">
        <f>"10/21/2020 19:20:57.847"</f>
        <v>10/21/2020 19:20:57.847</v>
      </c>
      <c r="B9599" t="str">
        <f>"19:21:05.797"</f>
        <v>19:21:05.797</v>
      </c>
      <c r="C9599" t="str">
        <f>"19:21:05.697"</f>
        <v>19:21:05.697</v>
      </c>
      <c r="D9599" t="s">
        <v>3669</v>
      </c>
      <c r="E9599">
        <v>30.326879000000002</v>
      </c>
      <c r="F9599" t="s">
        <v>3670</v>
      </c>
      <c r="G9599">
        <v>-89.824325999999999</v>
      </c>
      <c r="H9599">
        <v>500</v>
      </c>
      <c r="I9599">
        <v>97</v>
      </c>
      <c r="J9599">
        <v>44</v>
      </c>
      <c r="K9599">
        <v>-1088</v>
      </c>
      <c r="L9599">
        <v>1200</v>
      </c>
      <c r="M9599" t="str">
        <f t="shared" si="847"/>
        <v xml:space="preserve">N35DC   </v>
      </c>
      <c r="N9599">
        <v>1</v>
      </c>
      <c r="O9599">
        <v>475</v>
      </c>
    </row>
    <row r="9600" spans="1:15" x14ac:dyDescent="0.25">
      <c r="A9600" t="str">
        <f>"10/21/2020 19:20:57.847"</f>
        <v>10/21/2020 19:20:57.847</v>
      </c>
      <c r="B9600" t="str">
        <f>"19:21:05.797"</f>
        <v>19:21:05.797</v>
      </c>
      <c r="C9600" t="str">
        <f>"19:21:05.697"</f>
        <v>19:21:05.697</v>
      </c>
      <c r="D9600" t="s">
        <v>3669</v>
      </c>
      <c r="E9600">
        <v>30.326879000000002</v>
      </c>
      <c r="F9600" t="s">
        <v>3670</v>
      </c>
      <c r="G9600">
        <v>-89.824325999999999</v>
      </c>
      <c r="H9600">
        <v>500</v>
      </c>
      <c r="I9600">
        <v>97</v>
      </c>
      <c r="J9600">
        <v>44</v>
      </c>
      <c r="K9600">
        <v>-1088</v>
      </c>
      <c r="L9600">
        <v>1200</v>
      </c>
      <c r="M9600" t="str">
        <f t="shared" si="847"/>
        <v xml:space="preserve">N35DC   </v>
      </c>
      <c r="N9600">
        <v>1</v>
      </c>
      <c r="O9600">
        <v>475</v>
      </c>
    </row>
    <row r="9601" spans="1:15" x14ac:dyDescent="0.25">
      <c r="A9601" t="str">
        <f>"10/21/2020 19:20:57.847"</f>
        <v>10/21/2020 19:20:57.847</v>
      </c>
      <c r="B9601" t="str">
        <f>"19:21:05.797"</f>
        <v>19:21:05.797</v>
      </c>
      <c r="C9601" t="str">
        <f>"19:21:05.697"</f>
        <v>19:21:05.697</v>
      </c>
      <c r="D9601" t="s">
        <v>3669</v>
      </c>
      <c r="E9601">
        <v>30.326879000000002</v>
      </c>
      <c r="F9601" t="s">
        <v>3670</v>
      </c>
      <c r="G9601">
        <v>-89.824325999999999</v>
      </c>
      <c r="H9601">
        <v>500</v>
      </c>
      <c r="I9601">
        <v>97</v>
      </c>
      <c r="J9601">
        <v>44</v>
      </c>
      <c r="K9601">
        <v>-1088</v>
      </c>
      <c r="L9601">
        <v>1200</v>
      </c>
      <c r="M9601" t="str">
        <f t="shared" si="847"/>
        <v xml:space="preserve">N35DC   </v>
      </c>
      <c r="N9601">
        <v>1</v>
      </c>
      <c r="O9601">
        <v>475</v>
      </c>
    </row>
    <row r="9602" spans="1:15" x14ac:dyDescent="0.25">
      <c r="A9602" t="str">
        <f>"10/21/2020 19:20:57.847"</f>
        <v>10/21/2020 19:20:57.847</v>
      </c>
      <c r="B9602" t="str">
        <f>"19:21:05.797"</f>
        <v>19:21:05.797</v>
      </c>
      <c r="C9602" t="str">
        <f>"19:21:05.697"</f>
        <v>19:21:05.697</v>
      </c>
      <c r="D9602" t="s">
        <v>3669</v>
      </c>
      <c r="E9602">
        <v>30.326879000000002</v>
      </c>
      <c r="F9602" t="s">
        <v>3670</v>
      </c>
      <c r="G9602">
        <v>-89.824325999999999</v>
      </c>
      <c r="H9602">
        <v>500</v>
      </c>
      <c r="I9602">
        <v>97</v>
      </c>
      <c r="J9602">
        <v>44</v>
      </c>
      <c r="K9602">
        <v>-1088</v>
      </c>
      <c r="L9602">
        <v>1200</v>
      </c>
      <c r="M9602" t="str">
        <f t="shared" si="847"/>
        <v xml:space="preserve">N35DC   </v>
      </c>
      <c r="N9602">
        <v>1</v>
      </c>
      <c r="O9602">
        <v>475</v>
      </c>
    </row>
    <row r="9603" spans="1:15" x14ac:dyDescent="0.25">
      <c r="A9603" t="str">
        <f>"10/21/2020 19:20:57.847"</f>
        <v>10/21/2020 19:20:57.847</v>
      </c>
      <c r="B9603" t="str">
        <f>"19:21:05.797"</f>
        <v>19:21:05.797</v>
      </c>
      <c r="C9603" t="str">
        <f>"19:21:05.697"</f>
        <v>19:21:05.697</v>
      </c>
      <c r="D9603" t="s">
        <v>3669</v>
      </c>
      <c r="E9603">
        <v>30.326879000000002</v>
      </c>
      <c r="F9603" t="s">
        <v>3670</v>
      </c>
      <c r="G9603">
        <v>-89.824325999999999</v>
      </c>
      <c r="H9603">
        <v>500</v>
      </c>
      <c r="I9603">
        <v>97</v>
      </c>
      <c r="J9603">
        <v>44</v>
      </c>
      <c r="K9603">
        <v>-1088</v>
      </c>
      <c r="L9603">
        <v>1200</v>
      </c>
      <c r="M9603" t="str">
        <f t="shared" si="847"/>
        <v xml:space="preserve">N35DC   </v>
      </c>
      <c r="N9603">
        <v>1</v>
      </c>
      <c r="O9603">
        <v>475</v>
      </c>
    </row>
    <row r="9604" spans="1:15" x14ac:dyDescent="0.25">
      <c r="A9604" t="str">
        <f>"10/21/2020 19:20:58.838"</f>
        <v>10/21/2020 19:20:58.838</v>
      </c>
      <c r="B9604" t="str">
        <f>"19:21:06.781"</f>
        <v>19:21:06.781</v>
      </c>
      <c r="C9604" t="str">
        <f>"19:21:06.581"</f>
        <v>19:21:06.581</v>
      </c>
      <c r="D9604" t="s">
        <v>3671</v>
      </c>
      <c r="E9604">
        <v>30.327114999999999</v>
      </c>
      <c r="F9604" t="s">
        <v>2783</v>
      </c>
      <c r="G9604">
        <v>-89.823832999999993</v>
      </c>
      <c r="H9604">
        <v>500</v>
      </c>
      <c r="I9604">
        <v>94</v>
      </c>
      <c r="J9604">
        <v>49</v>
      </c>
      <c r="K9604">
        <v>-1152</v>
      </c>
      <c r="L9604">
        <v>1200</v>
      </c>
      <c r="M9604" t="str">
        <f t="shared" si="847"/>
        <v xml:space="preserve">N35DC   </v>
      </c>
      <c r="N9604">
        <v>1</v>
      </c>
      <c r="O9604">
        <v>450</v>
      </c>
    </row>
    <row r="9605" spans="1:15" x14ac:dyDescent="0.25">
      <c r="A9605" t="str">
        <f>"10/21/2020 19:20:58.838"</f>
        <v>10/21/2020 19:20:58.838</v>
      </c>
      <c r="B9605" t="str">
        <f>"19:21:06.781"</f>
        <v>19:21:06.781</v>
      </c>
      <c r="C9605" t="str">
        <f>"19:21:06.581"</f>
        <v>19:21:06.581</v>
      </c>
      <c r="D9605" t="s">
        <v>3671</v>
      </c>
      <c r="E9605">
        <v>30.327114999999999</v>
      </c>
      <c r="F9605" t="s">
        <v>2783</v>
      </c>
      <c r="G9605">
        <v>-89.823832999999993</v>
      </c>
      <c r="H9605">
        <v>500</v>
      </c>
      <c r="I9605">
        <v>94</v>
      </c>
      <c r="J9605">
        <v>49</v>
      </c>
      <c r="K9605">
        <v>-1152</v>
      </c>
      <c r="L9605">
        <v>1200</v>
      </c>
      <c r="M9605" t="str">
        <f t="shared" si="847"/>
        <v xml:space="preserve">N35DC   </v>
      </c>
      <c r="N9605">
        <v>1</v>
      </c>
      <c r="O9605">
        <v>450</v>
      </c>
    </row>
    <row r="9606" spans="1:15" x14ac:dyDescent="0.25">
      <c r="A9606" t="str">
        <f>"10/21/2020 19:20:58.838"</f>
        <v>10/21/2020 19:20:58.838</v>
      </c>
      <c r="B9606" t="str">
        <f>"19:21:06.781"</f>
        <v>19:21:06.781</v>
      </c>
      <c r="C9606" t="str">
        <f>"19:21:06.581"</f>
        <v>19:21:06.581</v>
      </c>
      <c r="D9606" t="s">
        <v>3671</v>
      </c>
      <c r="E9606">
        <v>30.327114999999999</v>
      </c>
      <c r="F9606" t="s">
        <v>2783</v>
      </c>
      <c r="G9606">
        <v>-89.823832999999993</v>
      </c>
      <c r="H9606">
        <v>500</v>
      </c>
      <c r="I9606">
        <v>94</v>
      </c>
      <c r="J9606">
        <v>49</v>
      </c>
      <c r="K9606">
        <v>-1152</v>
      </c>
      <c r="L9606">
        <v>1200</v>
      </c>
      <c r="M9606" t="str">
        <f t="shared" si="847"/>
        <v xml:space="preserve">N35DC   </v>
      </c>
      <c r="N9606">
        <v>1</v>
      </c>
      <c r="O9606">
        <v>450</v>
      </c>
    </row>
    <row r="9607" spans="1:15" x14ac:dyDescent="0.25">
      <c r="A9607" t="str">
        <f>"10/21/2020 19:20:58.838"</f>
        <v>10/21/2020 19:20:58.838</v>
      </c>
      <c r="B9607" t="str">
        <f>"19:21:06.781"</f>
        <v>19:21:06.781</v>
      </c>
      <c r="C9607" t="str">
        <f>"19:21:06.581"</f>
        <v>19:21:06.581</v>
      </c>
      <c r="D9607" t="s">
        <v>3671</v>
      </c>
      <c r="E9607">
        <v>30.327114999999999</v>
      </c>
      <c r="F9607" t="s">
        <v>2783</v>
      </c>
      <c r="G9607">
        <v>-89.823832999999993</v>
      </c>
      <c r="H9607">
        <v>500</v>
      </c>
      <c r="I9607">
        <v>94</v>
      </c>
      <c r="J9607">
        <v>49</v>
      </c>
      <c r="K9607">
        <v>-1152</v>
      </c>
      <c r="L9607">
        <v>1200</v>
      </c>
      <c r="M9607" t="str">
        <f t="shared" ref="M9607:M9670" si="848">"N35DC   "</f>
        <v xml:space="preserve">N35DC   </v>
      </c>
      <c r="N9607">
        <v>1</v>
      </c>
      <c r="O9607">
        <v>450</v>
      </c>
    </row>
    <row r="9608" spans="1:15" x14ac:dyDescent="0.25">
      <c r="A9608" t="str">
        <f>"10/21/2020 19:20:58.838"</f>
        <v>10/21/2020 19:20:58.838</v>
      </c>
      <c r="B9608" t="str">
        <f>"19:21:06.781"</f>
        <v>19:21:06.781</v>
      </c>
      <c r="C9608" t="str">
        <f>"19:21:06.581"</f>
        <v>19:21:06.581</v>
      </c>
      <c r="D9608" t="s">
        <v>3671</v>
      </c>
      <c r="E9608">
        <v>30.327114999999999</v>
      </c>
      <c r="F9608" t="s">
        <v>2783</v>
      </c>
      <c r="G9608">
        <v>-89.823832999999993</v>
      </c>
      <c r="H9608">
        <v>500</v>
      </c>
      <c r="I9608">
        <v>94</v>
      </c>
      <c r="J9608">
        <v>49</v>
      </c>
      <c r="K9608">
        <v>-1152</v>
      </c>
      <c r="L9608">
        <v>1200</v>
      </c>
      <c r="M9608" t="str">
        <f t="shared" si="848"/>
        <v xml:space="preserve">N35DC   </v>
      </c>
      <c r="N9608">
        <v>1</v>
      </c>
      <c r="O9608">
        <v>450</v>
      </c>
    </row>
    <row r="9609" spans="1:15" x14ac:dyDescent="0.25">
      <c r="A9609" t="str">
        <f>"10/21/2020 19:21:01.113"</f>
        <v>10/21/2020 19:21:01.113</v>
      </c>
      <c r="B9609" t="str">
        <f>"19:21:09.047"</f>
        <v>19:21:09.047</v>
      </c>
      <c r="C9609" t="str">
        <f>"19:21:08.647"</f>
        <v>19:21:08.647</v>
      </c>
      <c r="D9609" t="s">
        <v>3672</v>
      </c>
      <c r="E9609">
        <v>30.327759</v>
      </c>
      <c r="F9609" t="s">
        <v>3160</v>
      </c>
      <c r="G9609">
        <v>-89.822781000000006</v>
      </c>
      <c r="H9609">
        <v>400</v>
      </c>
      <c r="I9609">
        <v>85</v>
      </c>
      <c r="J9609">
        <v>63</v>
      </c>
      <c r="K9609">
        <v>-1344</v>
      </c>
      <c r="L9609">
        <v>1200</v>
      </c>
      <c r="M9609" t="str">
        <f t="shared" si="848"/>
        <v xml:space="preserve">N35DC   </v>
      </c>
      <c r="N9609">
        <v>1</v>
      </c>
      <c r="O9609">
        <v>400</v>
      </c>
    </row>
    <row r="9610" spans="1:15" x14ac:dyDescent="0.25">
      <c r="A9610" t="str">
        <f>"10/21/2020 19:21:01.113"</f>
        <v>10/21/2020 19:21:01.113</v>
      </c>
      <c r="B9610" t="str">
        <f>"19:21:09.047"</f>
        <v>19:21:09.047</v>
      </c>
      <c r="C9610" t="str">
        <f>"19:21:08.647"</f>
        <v>19:21:08.647</v>
      </c>
      <c r="D9610" t="s">
        <v>3672</v>
      </c>
      <c r="E9610">
        <v>30.327759</v>
      </c>
      <c r="F9610" t="s">
        <v>3160</v>
      </c>
      <c r="G9610">
        <v>-89.822781000000006</v>
      </c>
      <c r="H9610">
        <v>400</v>
      </c>
      <c r="I9610">
        <v>85</v>
      </c>
      <c r="J9610">
        <v>63</v>
      </c>
      <c r="K9610">
        <v>-1344</v>
      </c>
      <c r="L9610">
        <v>1200</v>
      </c>
      <c r="M9610" t="str">
        <f t="shared" si="848"/>
        <v xml:space="preserve">N35DC   </v>
      </c>
      <c r="N9610">
        <v>1</v>
      </c>
      <c r="O9610">
        <v>400</v>
      </c>
    </row>
    <row r="9611" spans="1:15" x14ac:dyDescent="0.25">
      <c r="A9611" t="str">
        <f>"10/21/2020 19:21:01.113"</f>
        <v>10/21/2020 19:21:01.113</v>
      </c>
      <c r="B9611" t="str">
        <f>"19:21:09.047"</f>
        <v>19:21:09.047</v>
      </c>
      <c r="C9611" t="str">
        <f>"19:21:08.647"</f>
        <v>19:21:08.647</v>
      </c>
      <c r="D9611" t="s">
        <v>3672</v>
      </c>
      <c r="E9611">
        <v>30.327759</v>
      </c>
      <c r="F9611" t="s">
        <v>3160</v>
      </c>
      <c r="G9611">
        <v>-89.822781000000006</v>
      </c>
      <c r="H9611">
        <v>400</v>
      </c>
      <c r="I9611">
        <v>85</v>
      </c>
      <c r="J9611">
        <v>63</v>
      </c>
      <c r="K9611">
        <v>-1344</v>
      </c>
      <c r="L9611">
        <v>1200</v>
      </c>
      <c r="M9611" t="str">
        <f t="shared" si="848"/>
        <v xml:space="preserve">N35DC   </v>
      </c>
      <c r="N9611">
        <v>1</v>
      </c>
      <c r="O9611">
        <v>400</v>
      </c>
    </row>
    <row r="9612" spans="1:15" x14ac:dyDescent="0.25">
      <c r="A9612" t="str">
        <f>"10/21/2020 19:21:01.113"</f>
        <v>10/21/2020 19:21:01.113</v>
      </c>
      <c r="B9612" t="str">
        <f>"19:21:09.047"</f>
        <v>19:21:09.047</v>
      </c>
      <c r="C9612" t="str">
        <f>"19:21:08.647"</f>
        <v>19:21:08.647</v>
      </c>
      <c r="D9612" t="s">
        <v>3672</v>
      </c>
      <c r="E9612">
        <v>30.327759</v>
      </c>
      <c r="F9612" t="s">
        <v>3160</v>
      </c>
      <c r="G9612">
        <v>-89.822781000000006</v>
      </c>
      <c r="H9612">
        <v>400</v>
      </c>
      <c r="I9612">
        <v>85</v>
      </c>
      <c r="J9612">
        <v>63</v>
      </c>
      <c r="K9612">
        <v>-1344</v>
      </c>
      <c r="L9612">
        <v>1200</v>
      </c>
      <c r="M9612" t="str">
        <f t="shared" si="848"/>
        <v xml:space="preserve">N35DC   </v>
      </c>
      <c r="N9612">
        <v>1</v>
      </c>
      <c r="O9612">
        <v>400</v>
      </c>
    </row>
    <row r="9613" spans="1:15" x14ac:dyDescent="0.25">
      <c r="A9613" t="str">
        <f>"10/21/2020 19:21:01.113"</f>
        <v>10/21/2020 19:21:01.113</v>
      </c>
      <c r="B9613" t="str">
        <f>"19:21:09.047"</f>
        <v>19:21:09.047</v>
      </c>
      <c r="C9613" t="str">
        <f>"19:21:08.647"</f>
        <v>19:21:08.647</v>
      </c>
      <c r="D9613" t="s">
        <v>3672</v>
      </c>
      <c r="E9613">
        <v>30.327759</v>
      </c>
      <c r="F9613" t="s">
        <v>3160</v>
      </c>
      <c r="G9613">
        <v>-89.822781000000006</v>
      </c>
      <c r="H9613">
        <v>400</v>
      </c>
      <c r="I9613">
        <v>85</v>
      </c>
      <c r="J9613">
        <v>63</v>
      </c>
      <c r="K9613">
        <v>-1344</v>
      </c>
      <c r="L9613">
        <v>1200</v>
      </c>
      <c r="M9613" t="str">
        <f t="shared" si="848"/>
        <v xml:space="preserve">N35DC   </v>
      </c>
      <c r="N9613">
        <v>1</v>
      </c>
      <c r="O9613">
        <v>400</v>
      </c>
    </row>
    <row r="9614" spans="1:15" x14ac:dyDescent="0.25">
      <c r="A9614" t="str">
        <f>"10/21/2020 19:21:01.972"</f>
        <v>10/21/2020 19:21:01.972</v>
      </c>
      <c r="B9614" t="str">
        <f>"19:21:09.930"</f>
        <v>19:21:09.930</v>
      </c>
      <c r="C9614" t="str">
        <f>"19:21:09.630"</f>
        <v>19:21:09.630</v>
      </c>
      <c r="D9614" t="s">
        <v>3673</v>
      </c>
      <c r="E9614">
        <v>30.328037999999999</v>
      </c>
      <c r="F9614" t="s">
        <v>3323</v>
      </c>
      <c r="G9614">
        <v>-89.822458999999995</v>
      </c>
      <c r="H9614">
        <v>400</v>
      </c>
      <c r="I9614">
        <v>78</v>
      </c>
      <c r="J9614">
        <v>73</v>
      </c>
      <c r="K9614">
        <v>-1280</v>
      </c>
      <c r="L9614">
        <v>1200</v>
      </c>
      <c r="M9614" t="str">
        <f t="shared" si="848"/>
        <v xml:space="preserve">N35DC   </v>
      </c>
      <c r="N9614">
        <v>1</v>
      </c>
      <c r="O9614">
        <v>400</v>
      </c>
    </row>
    <row r="9615" spans="1:15" x14ac:dyDescent="0.25">
      <c r="A9615" t="str">
        <f>"10/21/2020 19:21:01.972"</f>
        <v>10/21/2020 19:21:01.972</v>
      </c>
      <c r="B9615" t="str">
        <f>"19:21:09.930"</f>
        <v>19:21:09.930</v>
      </c>
      <c r="C9615" t="str">
        <f>"19:21:09.630"</f>
        <v>19:21:09.630</v>
      </c>
      <c r="D9615" t="s">
        <v>3673</v>
      </c>
      <c r="E9615">
        <v>30.328037999999999</v>
      </c>
      <c r="F9615" t="s">
        <v>3323</v>
      </c>
      <c r="G9615">
        <v>-89.822458999999995</v>
      </c>
      <c r="H9615">
        <v>400</v>
      </c>
      <c r="I9615">
        <v>78</v>
      </c>
      <c r="J9615">
        <v>73</v>
      </c>
      <c r="K9615">
        <v>-1280</v>
      </c>
      <c r="L9615">
        <v>1200</v>
      </c>
      <c r="M9615" t="str">
        <f t="shared" si="848"/>
        <v xml:space="preserve">N35DC   </v>
      </c>
      <c r="N9615">
        <v>1</v>
      </c>
      <c r="O9615">
        <v>400</v>
      </c>
    </row>
    <row r="9616" spans="1:15" x14ac:dyDescent="0.25">
      <c r="A9616" t="str">
        <f>"10/21/2020 19:21:01.972"</f>
        <v>10/21/2020 19:21:01.972</v>
      </c>
      <c r="B9616" t="str">
        <f>"19:21:09.930"</f>
        <v>19:21:09.930</v>
      </c>
      <c r="C9616" t="str">
        <f>"19:21:09.630"</f>
        <v>19:21:09.630</v>
      </c>
      <c r="D9616" t="s">
        <v>3673</v>
      </c>
      <c r="E9616">
        <v>30.328037999999999</v>
      </c>
      <c r="F9616" t="s">
        <v>3323</v>
      </c>
      <c r="G9616">
        <v>-89.822458999999995</v>
      </c>
      <c r="H9616">
        <v>400</v>
      </c>
      <c r="I9616">
        <v>78</v>
      </c>
      <c r="J9616">
        <v>73</v>
      </c>
      <c r="K9616">
        <v>-1280</v>
      </c>
      <c r="L9616">
        <v>1200</v>
      </c>
      <c r="M9616" t="str">
        <f t="shared" si="848"/>
        <v xml:space="preserve">N35DC   </v>
      </c>
      <c r="N9616">
        <v>1</v>
      </c>
      <c r="O9616">
        <v>400</v>
      </c>
    </row>
    <row r="9617" spans="1:15" x14ac:dyDescent="0.25">
      <c r="A9617" t="str">
        <f>"10/21/2020 19:21:01.972"</f>
        <v>10/21/2020 19:21:01.972</v>
      </c>
      <c r="B9617" t="str">
        <f>"19:21:09.930"</f>
        <v>19:21:09.930</v>
      </c>
      <c r="C9617" t="str">
        <f>"19:21:09.630"</f>
        <v>19:21:09.630</v>
      </c>
      <c r="D9617" t="s">
        <v>3673</v>
      </c>
      <c r="E9617">
        <v>30.328037999999999</v>
      </c>
      <c r="F9617" t="s">
        <v>3323</v>
      </c>
      <c r="G9617">
        <v>-89.822458999999995</v>
      </c>
      <c r="H9617">
        <v>400</v>
      </c>
      <c r="I9617">
        <v>78</v>
      </c>
      <c r="J9617">
        <v>73</v>
      </c>
      <c r="K9617">
        <v>-1280</v>
      </c>
      <c r="L9617">
        <v>1200</v>
      </c>
      <c r="M9617" t="str">
        <f t="shared" si="848"/>
        <v xml:space="preserve">N35DC   </v>
      </c>
      <c r="N9617">
        <v>1</v>
      </c>
      <c r="O9617">
        <v>400</v>
      </c>
    </row>
    <row r="9618" spans="1:15" x14ac:dyDescent="0.25">
      <c r="A9618" t="str">
        <f>"10/21/2020 19:21:01.972"</f>
        <v>10/21/2020 19:21:01.972</v>
      </c>
      <c r="B9618" t="str">
        <f>"19:21:09.930"</f>
        <v>19:21:09.930</v>
      </c>
      <c r="C9618" t="str">
        <f>"19:21:09.630"</f>
        <v>19:21:09.630</v>
      </c>
      <c r="D9618" t="s">
        <v>3673</v>
      </c>
      <c r="E9618">
        <v>30.328037999999999</v>
      </c>
      <c r="F9618" t="s">
        <v>3323</v>
      </c>
      <c r="G9618">
        <v>-89.822458999999995</v>
      </c>
      <c r="H9618">
        <v>400</v>
      </c>
      <c r="I9618">
        <v>78</v>
      </c>
      <c r="J9618">
        <v>73</v>
      </c>
      <c r="K9618">
        <v>-1280</v>
      </c>
      <c r="L9618">
        <v>1200</v>
      </c>
      <c r="M9618" t="str">
        <f t="shared" si="848"/>
        <v xml:space="preserve">N35DC   </v>
      </c>
      <c r="N9618">
        <v>1</v>
      </c>
      <c r="O9618">
        <v>400</v>
      </c>
    </row>
    <row r="9619" spans="1:15" x14ac:dyDescent="0.25">
      <c r="A9619" t="str">
        <f>"10/21/2020 19:21:04.900"</f>
        <v>10/21/2020 19:21:04.900</v>
      </c>
      <c r="B9619" t="str">
        <f>"19:21:12.859"</f>
        <v>19:21:12.859</v>
      </c>
      <c r="C9619" t="str">
        <f>"19:21:12.459"</f>
        <v>19:21:12.459</v>
      </c>
      <c r="D9619" t="s">
        <v>3674</v>
      </c>
      <c r="E9619">
        <v>30.329174999999999</v>
      </c>
      <c r="F9619" t="s">
        <v>3675</v>
      </c>
      <c r="G9619">
        <v>-89.821408000000005</v>
      </c>
      <c r="H9619">
        <v>300</v>
      </c>
      <c r="I9619">
        <v>58</v>
      </c>
      <c r="J9619">
        <v>88</v>
      </c>
      <c r="K9619">
        <v>-960</v>
      </c>
      <c r="L9619">
        <v>1200</v>
      </c>
      <c r="M9619" t="str">
        <f t="shared" si="848"/>
        <v xml:space="preserve">N35DC   </v>
      </c>
      <c r="N9619">
        <v>1</v>
      </c>
      <c r="O9619">
        <v>325</v>
      </c>
    </row>
    <row r="9620" spans="1:15" x14ac:dyDescent="0.25">
      <c r="A9620" t="str">
        <f>"10/21/2020 19:21:04.900"</f>
        <v>10/21/2020 19:21:04.900</v>
      </c>
      <c r="B9620" t="str">
        <f>"19:21:12.859"</f>
        <v>19:21:12.859</v>
      </c>
      <c r="C9620" t="str">
        <f>"19:21:12.459"</f>
        <v>19:21:12.459</v>
      </c>
      <c r="D9620" t="s">
        <v>3674</v>
      </c>
      <c r="E9620">
        <v>30.329174999999999</v>
      </c>
      <c r="F9620" t="s">
        <v>3675</v>
      </c>
      <c r="G9620">
        <v>-89.821408000000005</v>
      </c>
      <c r="H9620">
        <v>300</v>
      </c>
      <c r="I9620">
        <v>58</v>
      </c>
      <c r="J9620">
        <v>88</v>
      </c>
      <c r="K9620">
        <v>-960</v>
      </c>
      <c r="L9620">
        <v>1200</v>
      </c>
      <c r="M9620" t="str">
        <f t="shared" si="848"/>
        <v xml:space="preserve">N35DC   </v>
      </c>
      <c r="N9620">
        <v>1</v>
      </c>
      <c r="O9620">
        <v>325</v>
      </c>
    </row>
    <row r="9621" spans="1:15" x14ac:dyDescent="0.25">
      <c r="A9621" t="str">
        <f>"10/21/2020 19:21:04.900"</f>
        <v>10/21/2020 19:21:04.900</v>
      </c>
      <c r="B9621" t="str">
        <f>"19:21:12.859"</f>
        <v>19:21:12.859</v>
      </c>
      <c r="C9621" t="str">
        <f>"19:21:12.459"</f>
        <v>19:21:12.459</v>
      </c>
      <c r="D9621" t="s">
        <v>3674</v>
      </c>
      <c r="E9621">
        <v>30.329174999999999</v>
      </c>
      <c r="F9621" t="s">
        <v>3675</v>
      </c>
      <c r="G9621">
        <v>-89.821408000000005</v>
      </c>
      <c r="H9621">
        <v>300</v>
      </c>
      <c r="I9621">
        <v>58</v>
      </c>
      <c r="J9621">
        <v>88</v>
      </c>
      <c r="K9621">
        <v>-960</v>
      </c>
      <c r="L9621">
        <v>1200</v>
      </c>
      <c r="M9621" t="str">
        <f t="shared" si="848"/>
        <v xml:space="preserve">N35DC   </v>
      </c>
      <c r="N9621">
        <v>1</v>
      </c>
      <c r="O9621">
        <v>325</v>
      </c>
    </row>
    <row r="9622" spans="1:15" x14ac:dyDescent="0.25">
      <c r="A9622" t="str">
        <f>"10/21/2020 19:21:04.900"</f>
        <v>10/21/2020 19:21:04.900</v>
      </c>
      <c r="B9622" t="str">
        <f>"19:21:12.859"</f>
        <v>19:21:12.859</v>
      </c>
      <c r="C9622" t="str">
        <f>"19:21:12.459"</f>
        <v>19:21:12.459</v>
      </c>
      <c r="D9622" t="s">
        <v>3674</v>
      </c>
      <c r="E9622">
        <v>30.329174999999999</v>
      </c>
      <c r="F9622" t="s">
        <v>3675</v>
      </c>
      <c r="G9622">
        <v>-89.821408000000005</v>
      </c>
      <c r="H9622">
        <v>300</v>
      </c>
      <c r="I9622">
        <v>58</v>
      </c>
      <c r="J9622">
        <v>88</v>
      </c>
      <c r="K9622">
        <v>-960</v>
      </c>
      <c r="L9622">
        <v>1200</v>
      </c>
      <c r="M9622" t="str">
        <f t="shared" si="848"/>
        <v xml:space="preserve">N35DC   </v>
      </c>
      <c r="N9622">
        <v>1</v>
      </c>
      <c r="O9622">
        <v>325</v>
      </c>
    </row>
    <row r="9623" spans="1:15" x14ac:dyDescent="0.25">
      <c r="A9623" t="str">
        <f>"10/21/2020 19:21:04.900"</f>
        <v>10/21/2020 19:21:04.900</v>
      </c>
      <c r="B9623" t="str">
        <f>"19:21:12.859"</f>
        <v>19:21:12.859</v>
      </c>
      <c r="C9623" t="str">
        <f>"19:21:12.459"</f>
        <v>19:21:12.459</v>
      </c>
      <c r="D9623" t="s">
        <v>3674</v>
      </c>
      <c r="E9623">
        <v>30.329174999999999</v>
      </c>
      <c r="F9623" t="s">
        <v>3675</v>
      </c>
      <c r="G9623">
        <v>-89.821408000000005</v>
      </c>
      <c r="H9623">
        <v>300</v>
      </c>
      <c r="I9623">
        <v>58</v>
      </c>
      <c r="J9623">
        <v>88</v>
      </c>
      <c r="K9623">
        <v>-960</v>
      </c>
      <c r="L9623">
        <v>1200</v>
      </c>
      <c r="M9623" t="str">
        <f t="shared" si="848"/>
        <v xml:space="preserve">N35DC   </v>
      </c>
      <c r="N9623">
        <v>1</v>
      </c>
      <c r="O9623">
        <v>325</v>
      </c>
    </row>
    <row r="9624" spans="1:15" x14ac:dyDescent="0.25">
      <c r="A9624" t="str">
        <f>"10/21/2020 19:21:05.958"</f>
        <v>10/21/2020 19:21:05.958</v>
      </c>
      <c r="B9624" t="str">
        <f>"19:21:13.922"</f>
        <v>19:21:13.922</v>
      </c>
      <c r="C9624" t="str">
        <f>"19:21:13.422"</f>
        <v>19:21:13.422</v>
      </c>
      <c r="D9624" t="s">
        <v>3676</v>
      </c>
      <c r="E9624">
        <v>30.329626000000001</v>
      </c>
      <c r="F9624" t="s">
        <v>3677</v>
      </c>
      <c r="G9624">
        <v>-89.821150000000003</v>
      </c>
      <c r="H9624">
        <v>300</v>
      </c>
      <c r="I9624">
        <v>48</v>
      </c>
      <c r="J9624">
        <v>93</v>
      </c>
      <c r="K9624">
        <v>-832</v>
      </c>
      <c r="L9624">
        <v>1200</v>
      </c>
      <c r="M9624" t="str">
        <f t="shared" si="848"/>
        <v xml:space="preserve">N35DC   </v>
      </c>
      <c r="N9624">
        <v>1</v>
      </c>
      <c r="O9624">
        <v>325</v>
      </c>
    </row>
    <row r="9625" spans="1:15" x14ac:dyDescent="0.25">
      <c r="A9625" t="str">
        <f>"10/21/2020 19:21:05.958"</f>
        <v>10/21/2020 19:21:05.958</v>
      </c>
      <c r="B9625" t="str">
        <f>"19:21:13.922"</f>
        <v>19:21:13.922</v>
      </c>
      <c r="C9625" t="str">
        <f>"19:21:13.422"</f>
        <v>19:21:13.422</v>
      </c>
      <c r="D9625" t="s">
        <v>3676</v>
      </c>
      <c r="E9625">
        <v>30.329626000000001</v>
      </c>
      <c r="F9625" t="s">
        <v>3677</v>
      </c>
      <c r="G9625">
        <v>-89.821150000000003</v>
      </c>
      <c r="H9625">
        <v>300</v>
      </c>
      <c r="I9625">
        <v>48</v>
      </c>
      <c r="J9625">
        <v>93</v>
      </c>
      <c r="K9625">
        <v>-832</v>
      </c>
      <c r="L9625">
        <v>1200</v>
      </c>
      <c r="M9625" t="str">
        <f t="shared" si="848"/>
        <v xml:space="preserve">N35DC   </v>
      </c>
      <c r="N9625">
        <v>1</v>
      </c>
      <c r="O9625">
        <v>325</v>
      </c>
    </row>
    <row r="9626" spans="1:15" x14ac:dyDescent="0.25">
      <c r="A9626" t="str">
        <f>"10/21/2020 19:21:05.958"</f>
        <v>10/21/2020 19:21:05.958</v>
      </c>
      <c r="B9626" t="str">
        <f>"19:21:13.922"</f>
        <v>19:21:13.922</v>
      </c>
      <c r="C9626" t="str">
        <f>"19:21:13.422"</f>
        <v>19:21:13.422</v>
      </c>
      <c r="D9626" t="s">
        <v>3676</v>
      </c>
      <c r="E9626">
        <v>30.329626000000001</v>
      </c>
      <c r="F9626" t="s">
        <v>3677</v>
      </c>
      <c r="G9626">
        <v>-89.821150000000003</v>
      </c>
      <c r="H9626">
        <v>300</v>
      </c>
      <c r="I9626">
        <v>48</v>
      </c>
      <c r="J9626">
        <v>93</v>
      </c>
      <c r="K9626">
        <v>-832</v>
      </c>
      <c r="L9626">
        <v>1200</v>
      </c>
      <c r="M9626" t="str">
        <f t="shared" si="848"/>
        <v xml:space="preserve">N35DC   </v>
      </c>
      <c r="N9626">
        <v>1</v>
      </c>
      <c r="O9626">
        <v>325</v>
      </c>
    </row>
    <row r="9627" spans="1:15" x14ac:dyDescent="0.25">
      <c r="A9627" t="str">
        <f>"10/21/2020 19:21:05.958"</f>
        <v>10/21/2020 19:21:05.958</v>
      </c>
      <c r="B9627" t="str">
        <f>"19:21:13.922"</f>
        <v>19:21:13.922</v>
      </c>
      <c r="C9627" t="str">
        <f>"19:21:13.422"</f>
        <v>19:21:13.422</v>
      </c>
      <c r="D9627" t="s">
        <v>3676</v>
      </c>
      <c r="E9627">
        <v>30.329626000000001</v>
      </c>
      <c r="F9627" t="s">
        <v>3677</v>
      </c>
      <c r="G9627">
        <v>-89.821150000000003</v>
      </c>
      <c r="H9627">
        <v>300</v>
      </c>
      <c r="I9627">
        <v>48</v>
      </c>
      <c r="J9627">
        <v>93</v>
      </c>
      <c r="K9627">
        <v>-832</v>
      </c>
      <c r="L9627">
        <v>1200</v>
      </c>
      <c r="M9627" t="str">
        <f t="shared" si="848"/>
        <v xml:space="preserve">N35DC   </v>
      </c>
      <c r="N9627">
        <v>1</v>
      </c>
      <c r="O9627">
        <v>325</v>
      </c>
    </row>
    <row r="9628" spans="1:15" x14ac:dyDescent="0.25">
      <c r="A9628" t="str">
        <f>"10/21/2020 19:21:05.958"</f>
        <v>10/21/2020 19:21:05.958</v>
      </c>
      <c r="B9628" t="str">
        <f>"19:21:13.922"</f>
        <v>19:21:13.922</v>
      </c>
      <c r="C9628" t="str">
        <f>"19:21:13.422"</f>
        <v>19:21:13.422</v>
      </c>
      <c r="D9628" t="s">
        <v>3676</v>
      </c>
      <c r="E9628">
        <v>30.329626000000001</v>
      </c>
      <c r="F9628" t="s">
        <v>3677</v>
      </c>
      <c r="G9628">
        <v>-89.821150000000003</v>
      </c>
      <c r="H9628">
        <v>300</v>
      </c>
      <c r="I9628">
        <v>48</v>
      </c>
      <c r="J9628">
        <v>93</v>
      </c>
      <c r="K9628">
        <v>-832</v>
      </c>
      <c r="L9628">
        <v>1200</v>
      </c>
      <c r="M9628" t="str">
        <f t="shared" si="848"/>
        <v xml:space="preserve">N35DC   </v>
      </c>
      <c r="N9628">
        <v>1</v>
      </c>
      <c r="O9628">
        <v>325</v>
      </c>
    </row>
    <row r="9629" spans="1:15" x14ac:dyDescent="0.25">
      <c r="A9629" t="str">
        <f>"10/21/2020 19:21:08.140"</f>
        <v>10/21/2020 19:21:08.140</v>
      </c>
      <c r="B9629" t="str">
        <f>"19:21:16.070"</f>
        <v>19:21:16.070</v>
      </c>
      <c r="C9629" t="str">
        <f>"19:21:15.770"</f>
        <v>19:21:15.770</v>
      </c>
      <c r="D9629" t="s">
        <v>3644</v>
      </c>
      <c r="E9629">
        <v>30.330590999999998</v>
      </c>
      <c r="F9629" t="s">
        <v>2319</v>
      </c>
      <c r="G9629">
        <v>-89.820763999999997</v>
      </c>
      <c r="H9629">
        <v>300</v>
      </c>
      <c r="I9629">
        <v>26</v>
      </c>
      <c r="J9629">
        <v>98</v>
      </c>
      <c r="K9629">
        <v>-1024</v>
      </c>
      <c r="L9629">
        <v>1200</v>
      </c>
      <c r="M9629" t="str">
        <f t="shared" si="848"/>
        <v xml:space="preserve">N35DC   </v>
      </c>
      <c r="N9629">
        <v>1</v>
      </c>
      <c r="O9629">
        <v>275</v>
      </c>
    </row>
    <row r="9630" spans="1:15" x14ac:dyDescent="0.25">
      <c r="A9630" t="str">
        <f>"10/21/2020 19:21:08.140"</f>
        <v>10/21/2020 19:21:08.140</v>
      </c>
      <c r="B9630" t="str">
        <f>"19:21:16.070"</f>
        <v>19:21:16.070</v>
      </c>
      <c r="C9630" t="str">
        <f>"19:21:15.770"</f>
        <v>19:21:15.770</v>
      </c>
      <c r="D9630" t="s">
        <v>3644</v>
      </c>
      <c r="E9630">
        <v>30.330590999999998</v>
      </c>
      <c r="F9630" t="s">
        <v>2319</v>
      </c>
      <c r="G9630">
        <v>-89.820763999999997</v>
      </c>
      <c r="H9630">
        <v>300</v>
      </c>
      <c r="I9630">
        <v>26</v>
      </c>
      <c r="J9630">
        <v>98</v>
      </c>
      <c r="K9630">
        <v>-1024</v>
      </c>
      <c r="L9630">
        <v>1200</v>
      </c>
      <c r="M9630" t="str">
        <f t="shared" si="848"/>
        <v xml:space="preserve">N35DC   </v>
      </c>
      <c r="N9630">
        <v>1</v>
      </c>
      <c r="O9630">
        <v>275</v>
      </c>
    </row>
    <row r="9631" spans="1:15" x14ac:dyDescent="0.25">
      <c r="A9631" t="str">
        <f>"10/21/2020 19:21:08.140"</f>
        <v>10/21/2020 19:21:08.140</v>
      </c>
      <c r="B9631" t="str">
        <f>"19:21:16.070"</f>
        <v>19:21:16.070</v>
      </c>
      <c r="C9631" t="str">
        <f>"19:21:15.770"</f>
        <v>19:21:15.770</v>
      </c>
      <c r="D9631" t="s">
        <v>3644</v>
      </c>
      <c r="E9631">
        <v>30.330590999999998</v>
      </c>
      <c r="F9631" t="s">
        <v>2319</v>
      </c>
      <c r="G9631">
        <v>-89.820763999999997</v>
      </c>
      <c r="H9631">
        <v>300</v>
      </c>
      <c r="I9631">
        <v>26</v>
      </c>
      <c r="J9631">
        <v>98</v>
      </c>
      <c r="K9631">
        <v>-1024</v>
      </c>
      <c r="L9631">
        <v>1200</v>
      </c>
      <c r="M9631" t="str">
        <f t="shared" si="848"/>
        <v xml:space="preserve">N35DC   </v>
      </c>
      <c r="N9631">
        <v>1</v>
      </c>
      <c r="O9631">
        <v>275</v>
      </c>
    </row>
    <row r="9632" spans="1:15" x14ac:dyDescent="0.25">
      <c r="A9632" t="str">
        <f>"10/21/2020 19:21:08.140"</f>
        <v>10/21/2020 19:21:08.140</v>
      </c>
      <c r="B9632" t="str">
        <f>"19:21:16.070"</f>
        <v>19:21:16.070</v>
      </c>
      <c r="C9632" t="str">
        <f>"19:21:15.770"</f>
        <v>19:21:15.770</v>
      </c>
      <c r="D9632" t="s">
        <v>3644</v>
      </c>
      <c r="E9632">
        <v>30.330590999999998</v>
      </c>
      <c r="F9632" t="s">
        <v>2319</v>
      </c>
      <c r="G9632">
        <v>-89.820763999999997</v>
      </c>
      <c r="H9632">
        <v>300</v>
      </c>
      <c r="I9632">
        <v>26</v>
      </c>
      <c r="J9632">
        <v>98</v>
      </c>
      <c r="K9632">
        <v>-1024</v>
      </c>
      <c r="L9632">
        <v>1200</v>
      </c>
      <c r="M9632" t="str">
        <f t="shared" si="848"/>
        <v xml:space="preserve">N35DC   </v>
      </c>
      <c r="N9632">
        <v>1</v>
      </c>
      <c r="O9632">
        <v>275</v>
      </c>
    </row>
    <row r="9633" spans="1:15" x14ac:dyDescent="0.25">
      <c r="A9633" t="str">
        <f>"10/21/2020 19:21:08.140"</f>
        <v>10/21/2020 19:21:08.140</v>
      </c>
      <c r="B9633" t="str">
        <f>"19:21:16.070"</f>
        <v>19:21:16.070</v>
      </c>
      <c r="C9633" t="str">
        <f>"19:21:15.770"</f>
        <v>19:21:15.770</v>
      </c>
      <c r="D9633" t="s">
        <v>3644</v>
      </c>
      <c r="E9633">
        <v>30.330590999999998</v>
      </c>
      <c r="F9633" t="s">
        <v>2319</v>
      </c>
      <c r="G9633">
        <v>-89.820763999999997</v>
      </c>
      <c r="H9633">
        <v>300</v>
      </c>
      <c r="I9633">
        <v>26</v>
      </c>
      <c r="J9633">
        <v>98</v>
      </c>
      <c r="K9633">
        <v>-1024</v>
      </c>
      <c r="L9633">
        <v>1200</v>
      </c>
      <c r="M9633" t="str">
        <f t="shared" si="848"/>
        <v xml:space="preserve">N35DC   </v>
      </c>
      <c r="N9633">
        <v>1</v>
      </c>
      <c r="O9633">
        <v>275</v>
      </c>
    </row>
    <row r="9634" spans="1:15" x14ac:dyDescent="0.25">
      <c r="A9634" t="str">
        <f>"10/21/2020 19:21:09.051"</f>
        <v>10/21/2020 19:21:09.051</v>
      </c>
      <c r="B9634" t="str">
        <f>"19:21:17.016"</f>
        <v>19:21:17.016</v>
      </c>
      <c r="C9634" t="str">
        <f>"19:21:16.816"</f>
        <v>19:21:16.816</v>
      </c>
      <c r="D9634" t="s">
        <v>3678</v>
      </c>
      <c r="E9634">
        <v>30.331019999999999</v>
      </c>
      <c r="F9634" t="s">
        <v>2319</v>
      </c>
      <c r="G9634">
        <v>-89.820763999999997</v>
      </c>
      <c r="H9634">
        <v>300</v>
      </c>
      <c r="I9634">
        <v>16</v>
      </c>
      <c r="J9634">
        <v>99</v>
      </c>
      <c r="K9634">
        <v>-1152</v>
      </c>
      <c r="L9634">
        <v>1200</v>
      </c>
      <c r="M9634" t="str">
        <f t="shared" si="848"/>
        <v xml:space="preserve">N35DC   </v>
      </c>
      <c r="N9634">
        <v>1</v>
      </c>
      <c r="O9634">
        <v>275</v>
      </c>
    </row>
    <row r="9635" spans="1:15" x14ac:dyDescent="0.25">
      <c r="A9635" t="str">
        <f>"10/21/2020 19:21:09.051"</f>
        <v>10/21/2020 19:21:09.051</v>
      </c>
      <c r="B9635" t="str">
        <f>"19:21:17.016"</f>
        <v>19:21:17.016</v>
      </c>
      <c r="C9635" t="str">
        <f>"19:21:16.816"</f>
        <v>19:21:16.816</v>
      </c>
      <c r="D9635" t="s">
        <v>3678</v>
      </c>
      <c r="E9635">
        <v>30.331019999999999</v>
      </c>
      <c r="F9635" t="s">
        <v>2319</v>
      </c>
      <c r="G9635">
        <v>-89.820763999999997</v>
      </c>
      <c r="H9635">
        <v>300</v>
      </c>
      <c r="I9635">
        <v>16</v>
      </c>
      <c r="J9635">
        <v>99</v>
      </c>
      <c r="K9635">
        <v>-1152</v>
      </c>
      <c r="L9635">
        <v>1200</v>
      </c>
      <c r="M9635" t="str">
        <f t="shared" si="848"/>
        <v xml:space="preserve">N35DC   </v>
      </c>
      <c r="N9635">
        <v>1</v>
      </c>
      <c r="O9635">
        <v>275</v>
      </c>
    </row>
    <row r="9636" spans="1:15" x14ac:dyDescent="0.25">
      <c r="A9636" t="str">
        <f>"10/21/2020 19:21:09.051"</f>
        <v>10/21/2020 19:21:09.051</v>
      </c>
      <c r="B9636" t="str">
        <f>"19:21:17.016"</f>
        <v>19:21:17.016</v>
      </c>
      <c r="C9636" t="str">
        <f>"19:21:16.816"</f>
        <v>19:21:16.816</v>
      </c>
      <c r="D9636" t="s">
        <v>3678</v>
      </c>
      <c r="E9636">
        <v>30.331019999999999</v>
      </c>
      <c r="F9636" t="s">
        <v>2319</v>
      </c>
      <c r="G9636">
        <v>-89.820763999999997</v>
      </c>
      <c r="H9636">
        <v>300</v>
      </c>
      <c r="I9636">
        <v>16</v>
      </c>
      <c r="J9636">
        <v>99</v>
      </c>
      <c r="K9636">
        <v>-1152</v>
      </c>
      <c r="L9636">
        <v>1200</v>
      </c>
      <c r="M9636" t="str">
        <f t="shared" si="848"/>
        <v xml:space="preserve">N35DC   </v>
      </c>
      <c r="N9636">
        <v>1</v>
      </c>
      <c r="O9636">
        <v>275</v>
      </c>
    </row>
    <row r="9637" spans="1:15" x14ac:dyDescent="0.25">
      <c r="A9637" t="str">
        <f>"10/21/2020 19:21:09.051"</f>
        <v>10/21/2020 19:21:09.051</v>
      </c>
      <c r="B9637" t="str">
        <f>"19:21:17.016"</f>
        <v>19:21:17.016</v>
      </c>
      <c r="C9637" t="str">
        <f>"19:21:16.816"</f>
        <v>19:21:16.816</v>
      </c>
      <c r="D9637" t="s">
        <v>3678</v>
      </c>
      <c r="E9637">
        <v>30.331019999999999</v>
      </c>
      <c r="F9637" t="s">
        <v>2319</v>
      </c>
      <c r="G9637">
        <v>-89.820763999999997</v>
      </c>
      <c r="H9637">
        <v>300</v>
      </c>
      <c r="I9637">
        <v>16</v>
      </c>
      <c r="J9637">
        <v>99</v>
      </c>
      <c r="K9637">
        <v>-1152</v>
      </c>
      <c r="L9637">
        <v>1200</v>
      </c>
      <c r="M9637" t="str">
        <f t="shared" si="848"/>
        <v xml:space="preserve">N35DC   </v>
      </c>
      <c r="N9637">
        <v>1</v>
      </c>
      <c r="O9637">
        <v>275</v>
      </c>
    </row>
    <row r="9638" spans="1:15" x14ac:dyDescent="0.25">
      <c r="A9638" t="str">
        <f>"10/21/2020 19:21:09.051"</f>
        <v>10/21/2020 19:21:09.051</v>
      </c>
      <c r="B9638" t="str">
        <f>"19:21:17.016"</f>
        <v>19:21:17.016</v>
      </c>
      <c r="C9638" t="str">
        <f>"19:21:16.816"</f>
        <v>19:21:16.816</v>
      </c>
      <c r="D9638" t="s">
        <v>3678</v>
      </c>
      <c r="E9638">
        <v>30.331019999999999</v>
      </c>
      <c r="F9638" t="s">
        <v>2319</v>
      </c>
      <c r="G9638">
        <v>-89.820763999999997</v>
      </c>
      <c r="H9638">
        <v>300</v>
      </c>
      <c r="I9638">
        <v>16</v>
      </c>
      <c r="J9638">
        <v>99</v>
      </c>
      <c r="K9638">
        <v>-1152</v>
      </c>
      <c r="L9638">
        <v>1200</v>
      </c>
      <c r="M9638" t="str">
        <f t="shared" si="848"/>
        <v xml:space="preserve">N35DC   </v>
      </c>
      <c r="N9638">
        <v>1</v>
      </c>
      <c r="O9638">
        <v>275</v>
      </c>
    </row>
    <row r="9639" spans="1:15" x14ac:dyDescent="0.25">
      <c r="A9639" t="str">
        <f>"10/21/2020 19:21:10.062"</f>
        <v>10/21/2020 19:21:10.062</v>
      </c>
      <c r="B9639" t="str">
        <f>"19:21:17.984"</f>
        <v>19:21:17.984</v>
      </c>
      <c r="C9639" t="str">
        <f>"19:21:17.784"</f>
        <v>19:21:17.784</v>
      </c>
      <c r="D9639" t="s">
        <v>3679</v>
      </c>
      <c r="E9639">
        <v>30.331471000000001</v>
      </c>
      <c r="F9639" t="s">
        <v>2905</v>
      </c>
      <c r="G9639">
        <v>-89.820656999999997</v>
      </c>
      <c r="H9639">
        <v>300</v>
      </c>
      <c r="I9639">
        <v>9</v>
      </c>
      <c r="J9639">
        <v>100</v>
      </c>
      <c r="K9639">
        <v>-1216</v>
      </c>
      <c r="L9639">
        <v>1200</v>
      </c>
      <c r="M9639" t="str">
        <f t="shared" si="848"/>
        <v xml:space="preserve">N35DC   </v>
      </c>
      <c r="N9639">
        <v>1</v>
      </c>
      <c r="O9639">
        <v>250</v>
      </c>
    </row>
    <row r="9640" spans="1:15" x14ac:dyDescent="0.25">
      <c r="A9640" t="str">
        <f>"10/21/2020 19:21:10.062"</f>
        <v>10/21/2020 19:21:10.062</v>
      </c>
      <c r="B9640" t="str">
        <f>"19:21:17.984"</f>
        <v>19:21:17.984</v>
      </c>
      <c r="C9640" t="str">
        <f>"19:21:17.784"</f>
        <v>19:21:17.784</v>
      </c>
      <c r="D9640" t="s">
        <v>3679</v>
      </c>
      <c r="E9640">
        <v>30.331471000000001</v>
      </c>
      <c r="F9640" t="s">
        <v>2905</v>
      </c>
      <c r="G9640">
        <v>-89.820656999999997</v>
      </c>
      <c r="H9640">
        <v>300</v>
      </c>
      <c r="I9640">
        <v>9</v>
      </c>
      <c r="J9640">
        <v>100</v>
      </c>
      <c r="K9640">
        <v>-1216</v>
      </c>
      <c r="L9640">
        <v>1200</v>
      </c>
      <c r="M9640" t="str">
        <f t="shared" si="848"/>
        <v xml:space="preserve">N35DC   </v>
      </c>
      <c r="N9640">
        <v>1</v>
      </c>
      <c r="O9640">
        <v>250</v>
      </c>
    </row>
    <row r="9641" spans="1:15" x14ac:dyDescent="0.25">
      <c r="A9641" t="str">
        <f>"10/21/2020 19:21:10.062"</f>
        <v>10/21/2020 19:21:10.062</v>
      </c>
      <c r="B9641" t="str">
        <f>"19:21:17.984"</f>
        <v>19:21:17.984</v>
      </c>
      <c r="C9641" t="str">
        <f>"19:21:17.784"</f>
        <v>19:21:17.784</v>
      </c>
      <c r="D9641" t="s">
        <v>3679</v>
      </c>
      <c r="E9641">
        <v>30.331471000000001</v>
      </c>
      <c r="F9641" t="s">
        <v>2905</v>
      </c>
      <c r="G9641">
        <v>-89.820656999999997</v>
      </c>
      <c r="H9641">
        <v>300</v>
      </c>
      <c r="I9641">
        <v>9</v>
      </c>
      <c r="J9641">
        <v>100</v>
      </c>
      <c r="K9641">
        <v>-1216</v>
      </c>
      <c r="L9641">
        <v>1200</v>
      </c>
      <c r="M9641" t="str">
        <f t="shared" si="848"/>
        <v xml:space="preserve">N35DC   </v>
      </c>
      <c r="N9641">
        <v>1</v>
      </c>
      <c r="O9641">
        <v>250</v>
      </c>
    </row>
    <row r="9642" spans="1:15" x14ac:dyDescent="0.25">
      <c r="A9642" t="str">
        <f>"10/21/2020 19:21:10.062"</f>
        <v>10/21/2020 19:21:10.062</v>
      </c>
      <c r="B9642" t="str">
        <f>"19:21:17.984"</f>
        <v>19:21:17.984</v>
      </c>
      <c r="C9642" t="str">
        <f>"19:21:17.784"</f>
        <v>19:21:17.784</v>
      </c>
      <c r="D9642" t="s">
        <v>3679</v>
      </c>
      <c r="E9642">
        <v>30.331471000000001</v>
      </c>
      <c r="F9642" t="s">
        <v>2905</v>
      </c>
      <c r="G9642">
        <v>-89.820656999999997</v>
      </c>
      <c r="H9642">
        <v>300</v>
      </c>
      <c r="I9642">
        <v>9</v>
      </c>
      <c r="J9642">
        <v>100</v>
      </c>
      <c r="K9642">
        <v>-1216</v>
      </c>
      <c r="L9642">
        <v>1200</v>
      </c>
      <c r="M9642" t="str">
        <f t="shared" si="848"/>
        <v xml:space="preserve">N35DC   </v>
      </c>
      <c r="N9642">
        <v>1</v>
      </c>
      <c r="O9642">
        <v>250</v>
      </c>
    </row>
    <row r="9643" spans="1:15" x14ac:dyDescent="0.25">
      <c r="A9643" t="str">
        <f>"10/21/2020 19:21:10.062"</f>
        <v>10/21/2020 19:21:10.062</v>
      </c>
      <c r="B9643" t="str">
        <f>"19:21:17.984"</f>
        <v>19:21:17.984</v>
      </c>
      <c r="C9643" t="str">
        <f>"19:21:17.784"</f>
        <v>19:21:17.784</v>
      </c>
      <c r="D9643" t="s">
        <v>3679</v>
      </c>
      <c r="E9643">
        <v>30.331471000000001</v>
      </c>
      <c r="F9643" t="s">
        <v>2905</v>
      </c>
      <c r="G9643">
        <v>-89.820656999999997</v>
      </c>
      <c r="H9643">
        <v>300</v>
      </c>
      <c r="I9643">
        <v>9</v>
      </c>
      <c r="J9643">
        <v>100</v>
      </c>
      <c r="K9643">
        <v>-1216</v>
      </c>
      <c r="L9643">
        <v>1200</v>
      </c>
      <c r="M9643" t="str">
        <f t="shared" si="848"/>
        <v xml:space="preserve">N35DC   </v>
      </c>
      <c r="N9643">
        <v>1</v>
      </c>
      <c r="O9643">
        <v>250</v>
      </c>
    </row>
    <row r="9644" spans="1:15" x14ac:dyDescent="0.25">
      <c r="A9644" t="str">
        <f>"10/21/2020 19:21:13.298"</f>
        <v>10/21/2020 19:21:13.298</v>
      </c>
      <c r="B9644" t="str">
        <f>"19:21:21.242"</f>
        <v>19:21:21.242</v>
      </c>
      <c r="C9644" t="str">
        <f>"19:21:21.042"</f>
        <v>19:21:21.042</v>
      </c>
      <c r="D9644" t="s">
        <v>3680</v>
      </c>
      <c r="E9644">
        <v>30.332972999999999</v>
      </c>
      <c r="F9644" t="s">
        <v>2905</v>
      </c>
      <c r="G9644">
        <v>-89.820656999999997</v>
      </c>
      <c r="H9644">
        <v>200</v>
      </c>
      <c r="I9644">
        <v>-1</v>
      </c>
      <c r="J9644">
        <v>98</v>
      </c>
      <c r="K9644">
        <v>-1472</v>
      </c>
      <c r="L9644">
        <v>1200</v>
      </c>
      <c r="M9644" t="str">
        <f t="shared" si="848"/>
        <v xml:space="preserve">N35DC   </v>
      </c>
      <c r="N9644">
        <v>1</v>
      </c>
      <c r="O9644">
        <v>175</v>
      </c>
    </row>
    <row r="9645" spans="1:15" x14ac:dyDescent="0.25">
      <c r="A9645" t="str">
        <f>"10/21/2020 19:21:13.298"</f>
        <v>10/21/2020 19:21:13.298</v>
      </c>
      <c r="B9645" t="str">
        <f>"19:21:21.242"</f>
        <v>19:21:21.242</v>
      </c>
      <c r="C9645" t="str">
        <f>"19:21:21.042"</f>
        <v>19:21:21.042</v>
      </c>
      <c r="D9645" t="s">
        <v>3680</v>
      </c>
      <c r="E9645">
        <v>30.332972999999999</v>
      </c>
      <c r="F9645" t="s">
        <v>2905</v>
      </c>
      <c r="G9645">
        <v>-89.820656999999997</v>
      </c>
      <c r="H9645">
        <v>200</v>
      </c>
      <c r="I9645">
        <v>-1</v>
      </c>
      <c r="J9645">
        <v>98</v>
      </c>
      <c r="K9645">
        <v>-1472</v>
      </c>
      <c r="L9645">
        <v>1200</v>
      </c>
      <c r="M9645" t="str">
        <f t="shared" si="848"/>
        <v xml:space="preserve">N35DC   </v>
      </c>
      <c r="N9645">
        <v>1</v>
      </c>
      <c r="O9645">
        <v>175</v>
      </c>
    </row>
    <row r="9646" spans="1:15" x14ac:dyDescent="0.25">
      <c r="A9646" t="str">
        <f>"10/21/2020 19:21:13.298"</f>
        <v>10/21/2020 19:21:13.298</v>
      </c>
      <c r="B9646" t="str">
        <f>"19:21:21.242"</f>
        <v>19:21:21.242</v>
      </c>
      <c r="C9646" t="str">
        <f>"19:21:21.042"</f>
        <v>19:21:21.042</v>
      </c>
      <c r="D9646" t="s">
        <v>3680</v>
      </c>
      <c r="E9646">
        <v>30.332972999999999</v>
      </c>
      <c r="F9646" t="s">
        <v>2905</v>
      </c>
      <c r="G9646">
        <v>-89.820656999999997</v>
      </c>
      <c r="H9646">
        <v>200</v>
      </c>
      <c r="I9646">
        <v>-1</v>
      </c>
      <c r="J9646">
        <v>98</v>
      </c>
      <c r="K9646">
        <v>-1472</v>
      </c>
      <c r="L9646">
        <v>1200</v>
      </c>
      <c r="M9646" t="str">
        <f t="shared" si="848"/>
        <v xml:space="preserve">N35DC   </v>
      </c>
      <c r="N9646">
        <v>1</v>
      </c>
      <c r="O9646">
        <v>175</v>
      </c>
    </row>
    <row r="9647" spans="1:15" x14ac:dyDescent="0.25">
      <c r="A9647" t="str">
        <f>"10/21/2020 19:21:13.298"</f>
        <v>10/21/2020 19:21:13.298</v>
      </c>
      <c r="B9647" t="str">
        <f>"19:21:21.242"</f>
        <v>19:21:21.242</v>
      </c>
      <c r="C9647" t="str">
        <f>"19:21:21.042"</f>
        <v>19:21:21.042</v>
      </c>
      <c r="D9647" t="s">
        <v>3680</v>
      </c>
      <c r="E9647">
        <v>30.332972999999999</v>
      </c>
      <c r="F9647" t="s">
        <v>2905</v>
      </c>
      <c r="G9647">
        <v>-89.820656999999997</v>
      </c>
      <c r="H9647">
        <v>200</v>
      </c>
      <c r="I9647">
        <v>-1</v>
      </c>
      <c r="J9647">
        <v>98</v>
      </c>
      <c r="K9647">
        <v>-1472</v>
      </c>
      <c r="L9647">
        <v>1200</v>
      </c>
      <c r="M9647" t="str">
        <f t="shared" si="848"/>
        <v xml:space="preserve">N35DC   </v>
      </c>
      <c r="N9647">
        <v>1</v>
      </c>
      <c r="O9647">
        <v>175</v>
      </c>
    </row>
    <row r="9648" spans="1:15" x14ac:dyDescent="0.25">
      <c r="A9648" t="str">
        <f>"10/21/2020 19:21:13.298"</f>
        <v>10/21/2020 19:21:13.298</v>
      </c>
      <c r="B9648" t="str">
        <f>"19:21:21.242"</f>
        <v>19:21:21.242</v>
      </c>
      <c r="C9648" t="str">
        <f>"19:21:21.042"</f>
        <v>19:21:21.042</v>
      </c>
      <c r="D9648" t="s">
        <v>3680</v>
      </c>
      <c r="E9648">
        <v>30.332972999999999</v>
      </c>
      <c r="F9648" t="s">
        <v>2905</v>
      </c>
      <c r="G9648">
        <v>-89.820656999999997</v>
      </c>
      <c r="H9648">
        <v>200</v>
      </c>
      <c r="I9648">
        <v>-1</v>
      </c>
      <c r="J9648">
        <v>98</v>
      </c>
      <c r="K9648">
        <v>-1472</v>
      </c>
      <c r="L9648">
        <v>1200</v>
      </c>
      <c r="M9648" t="str">
        <f t="shared" si="848"/>
        <v xml:space="preserve">N35DC   </v>
      </c>
      <c r="N9648">
        <v>1</v>
      </c>
      <c r="O9648">
        <v>175</v>
      </c>
    </row>
    <row r="9649" spans="1:15" x14ac:dyDescent="0.25">
      <c r="A9649" t="str">
        <f>"10/21/2020 19:21:14.206"</f>
        <v>10/21/2020 19:21:14.206</v>
      </c>
      <c r="B9649" t="str">
        <f>"19:21:22.125"</f>
        <v>19:21:22.125</v>
      </c>
      <c r="C9649" t="str">
        <f>"19:21:21.625"</f>
        <v>19:21:21.625</v>
      </c>
      <c r="D9649" t="s">
        <v>3681</v>
      </c>
      <c r="E9649">
        <v>30.333380999999999</v>
      </c>
      <c r="F9649" t="s">
        <v>2905</v>
      </c>
      <c r="G9649">
        <v>-89.820656999999997</v>
      </c>
      <c r="H9649">
        <v>200</v>
      </c>
      <c r="I9649">
        <v>-1</v>
      </c>
      <c r="J9649">
        <v>98</v>
      </c>
      <c r="K9649">
        <v>-1408</v>
      </c>
      <c r="L9649">
        <v>1200</v>
      </c>
      <c r="M9649" t="str">
        <f t="shared" si="848"/>
        <v xml:space="preserve">N35DC   </v>
      </c>
      <c r="N9649">
        <v>1</v>
      </c>
      <c r="O9649">
        <v>150</v>
      </c>
    </row>
    <row r="9650" spans="1:15" x14ac:dyDescent="0.25">
      <c r="A9650" t="str">
        <f>"10/21/2020 19:21:14.206"</f>
        <v>10/21/2020 19:21:14.206</v>
      </c>
      <c r="B9650" t="str">
        <f>"19:21:22.125"</f>
        <v>19:21:22.125</v>
      </c>
      <c r="C9650" t="str">
        <f>"19:21:21.625"</f>
        <v>19:21:21.625</v>
      </c>
      <c r="D9650" t="s">
        <v>3681</v>
      </c>
      <c r="E9650">
        <v>30.333380999999999</v>
      </c>
      <c r="F9650" t="s">
        <v>2905</v>
      </c>
      <c r="G9650">
        <v>-89.820656999999997</v>
      </c>
      <c r="H9650">
        <v>200</v>
      </c>
      <c r="I9650">
        <v>-1</v>
      </c>
      <c r="J9650">
        <v>98</v>
      </c>
      <c r="K9650">
        <v>-1408</v>
      </c>
      <c r="L9650">
        <v>1200</v>
      </c>
      <c r="M9650" t="str">
        <f t="shared" si="848"/>
        <v xml:space="preserve">N35DC   </v>
      </c>
      <c r="N9650">
        <v>1</v>
      </c>
      <c r="O9650">
        <v>150</v>
      </c>
    </row>
    <row r="9651" spans="1:15" x14ac:dyDescent="0.25">
      <c r="A9651" t="str">
        <f>"10/21/2020 19:21:14.206"</f>
        <v>10/21/2020 19:21:14.206</v>
      </c>
      <c r="B9651" t="str">
        <f>"19:21:22.125"</f>
        <v>19:21:22.125</v>
      </c>
      <c r="C9651" t="str">
        <f>"19:21:21.625"</f>
        <v>19:21:21.625</v>
      </c>
      <c r="D9651" t="s">
        <v>3681</v>
      </c>
      <c r="E9651">
        <v>30.333380999999999</v>
      </c>
      <c r="F9651" t="s">
        <v>2905</v>
      </c>
      <c r="G9651">
        <v>-89.820656999999997</v>
      </c>
      <c r="H9651">
        <v>200</v>
      </c>
      <c r="I9651">
        <v>-1</v>
      </c>
      <c r="J9651">
        <v>98</v>
      </c>
      <c r="K9651">
        <v>-1408</v>
      </c>
      <c r="L9651">
        <v>1200</v>
      </c>
      <c r="M9651" t="str">
        <f t="shared" si="848"/>
        <v xml:space="preserve">N35DC   </v>
      </c>
      <c r="N9651">
        <v>1</v>
      </c>
      <c r="O9651">
        <v>150</v>
      </c>
    </row>
    <row r="9652" spans="1:15" x14ac:dyDescent="0.25">
      <c r="A9652" t="str">
        <f>"10/21/2020 19:21:14.206"</f>
        <v>10/21/2020 19:21:14.206</v>
      </c>
      <c r="B9652" t="str">
        <f>"19:21:22.125"</f>
        <v>19:21:22.125</v>
      </c>
      <c r="C9652" t="str">
        <f>"19:21:21.625"</f>
        <v>19:21:21.625</v>
      </c>
      <c r="D9652" t="s">
        <v>3681</v>
      </c>
      <c r="E9652">
        <v>30.333380999999999</v>
      </c>
      <c r="F9652" t="s">
        <v>2905</v>
      </c>
      <c r="G9652">
        <v>-89.820656999999997</v>
      </c>
      <c r="H9652">
        <v>200</v>
      </c>
      <c r="I9652">
        <v>-1</v>
      </c>
      <c r="J9652">
        <v>98</v>
      </c>
      <c r="K9652">
        <v>-1408</v>
      </c>
      <c r="L9652">
        <v>1200</v>
      </c>
      <c r="M9652" t="str">
        <f t="shared" si="848"/>
        <v xml:space="preserve">N35DC   </v>
      </c>
      <c r="N9652">
        <v>1</v>
      </c>
      <c r="O9652">
        <v>150</v>
      </c>
    </row>
    <row r="9653" spans="1:15" x14ac:dyDescent="0.25">
      <c r="A9653" t="str">
        <f>"10/21/2020 19:21:14.206"</f>
        <v>10/21/2020 19:21:14.206</v>
      </c>
      <c r="B9653" t="str">
        <f>"19:21:22.125"</f>
        <v>19:21:22.125</v>
      </c>
      <c r="C9653" t="str">
        <f>"19:21:21.625"</f>
        <v>19:21:21.625</v>
      </c>
      <c r="D9653" t="s">
        <v>3681</v>
      </c>
      <c r="E9653">
        <v>30.333380999999999</v>
      </c>
      <c r="F9653" t="s">
        <v>2905</v>
      </c>
      <c r="G9653">
        <v>-89.820656999999997</v>
      </c>
      <c r="H9653">
        <v>200</v>
      </c>
      <c r="I9653">
        <v>-1</v>
      </c>
      <c r="J9653">
        <v>98</v>
      </c>
      <c r="K9653">
        <v>-1408</v>
      </c>
      <c r="L9653">
        <v>1200</v>
      </c>
      <c r="M9653" t="str">
        <f t="shared" si="848"/>
        <v xml:space="preserve">N35DC   </v>
      </c>
      <c r="N9653">
        <v>1</v>
      </c>
      <c r="O9653">
        <v>150</v>
      </c>
    </row>
    <row r="9654" spans="1:15" x14ac:dyDescent="0.25">
      <c r="A9654" t="str">
        <f>"10/21/2020 19:31:32.923"</f>
        <v>10/21/2020 19:31:32.923</v>
      </c>
      <c r="B9654" t="str">
        <f>"19:31:40.547"</f>
        <v>19:31:40.547</v>
      </c>
      <c r="C9654" t="str">
        <f>"19:31:40.247"</f>
        <v>19:31:40.247</v>
      </c>
      <c r="D9654" t="s">
        <v>3682</v>
      </c>
      <c r="E9654">
        <v>30.350975999999999</v>
      </c>
      <c r="F9654" t="s">
        <v>2317</v>
      </c>
      <c r="G9654">
        <v>-89.820978999999994</v>
      </c>
      <c r="H9654">
        <v>200</v>
      </c>
      <c r="I9654">
        <v>-5</v>
      </c>
      <c r="J9654">
        <v>90</v>
      </c>
      <c r="K9654">
        <v>960</v>
      </c>
      <c r="L9654">
        <v>1200</v>
      </c>
      <c r="M9654" t="str">
        <f t="shared" si="848"/>
        <v xml:space="preserve">N35DC   </v>
      </c>
      <c r="N9654">
        <v>1</v>
      </c>
      <c r="O9654">
        <v>175</v>
      </c>
    </row>
    <row r="9655" spans="1:15" x14ac:dyDescent="0.25">
      <c r="A9655" t="str">
        <f>"10/21/2020 19:31:33.882"</f>
        <v>10/21/2020 19:31:33.882</v>
      </c>
      <c r="B9655" t="str">
        <f>"19:31:41.508"</f>
        <v>19:31:41.508</v>
      </c>
      <c r="C9655" t="str">
        <f>"19:31:41.308"</f>
        <v>19:31:41.308</v>
      </c>
      <c r="D9655" t="s">
        <v>3683</v>
      </c>
      <c r="E9655">
        <v>30.351405</v>
      </c>
      <c r="F9655" t="s">
        <v>3684</v>
      </c>
      <c r="G9655">
        <v>-89.821043000000003</v>
      </c>
      <c r="H9655">
        <v>200</v>
      </c>
      <c r="I9655">
        <v>-5</v>
      </c>
      <c r="J9655">
        <v>91</v>
      </c>
      <c r="K9655">
        <v>832</v>
      </c>
      <c r="L9655">
        <v>1200</v>
      </c>
      <c r="M9655" t="str">
        <f t="shared" si="848"/>
        <v xml:space="preserve">N35DC   </v>
      </c>
      <c r="N9655">
        <v>1</v>
      </c>
      <c r="O9655">
        <v>200</v>
      </c>
    </row>
    <row r="9656" spans="1:15" x14ac:dyDescent="0.25">
      <c r="A9656" t="str">
        <f>"10/21/2020 19:31:36.404"</f>
        <v>10/21/2020 19:31:36.404</v>
      </c>
      <c r="B9656" t="str">
        <f>"19:31:44.344"</f>
        <v>19:31:44.344</v>
      </c>
      <c r="C9656" t="str">
        <f>"19:31:44.244"</f>
        <v>19:31:44.244</v>
      </c>
      <c r="D9656" t="s">
        <v>3685</v>
      </c>
      <c r="E9656">
        <v>30.352520999999999</v>
      </c>
      <c r="F9656" t="s">
        <v>2757</v>
      </c>
      <c r="G9656">
        <v>-89.821085999999994</v>
      </c>
      <c r="H9656">
        <v>200</v>
      </c>
      <c r="I9656">
        <v>-4</v>
      </c>
      <c r="J9656">
        <v>84</v>
      </c>
      <c r="K9656">
        <v>704</v>
      </c>
      <c r="L9656">
        <v>1200</v>
      </c>
      <c r="M9656" t="str">
        <f t="shared" si="848"/>
        <v xml:space="preserve">N35DC   </v>
      </c>
      <c r="N9656">
        <v>1</v>
      </c>
      <c r="O9656">
        <v>225</v>
      </c>
    </row>
    <row r="9657" spans="1:15" x14ac:dyDescent="0.25">
      <c r="A9657" t="str">
        <f>"10/21/2020 19:31:36.404"</f>
        <v>10/21/2020 19:31:36.404</v>
      </c>
      <c r="B9657" t="str">
        <f>"19:31:44.344"</f>
        <v>19:31:44.344</v>
      </c>
      <c r="C9657" t="str">
        <f>"19:31:44.244"</f>
        <v>19:31:44.244</v>
      </c>
      <c r="D9657" t="s">
        <v>3685</v>
      </c>
      <c r="E9657">
        <v>30.352520999999999</v>
      </c>
      <c r="F9657" t="s">
        <v>2757</v>
      </c>
      <c r="G9657">
        <v>-89.821085999999994</v>
      </c>
      <c r="H9657">
        <v>200</v>
      </c>
      <c r="I9657">
        <v>-4</v>
      </c>
      <c r="J9657">
        <v>84</v>
      </c>
      <c r="K9657">
        <v>704</v>
      </c>
      <c r="L9657">
        <v>1200</v>
      </c>
      <c r="M9657" t="str">
        <f t="shared" si="848"/>
        <v xml:space="preserve">N35DC   </v>
      </c>
      <c r="N9657">
        <v>1</v>
      </c>
      <c r="O9657">
        <v>225</v>
      </c>
    </row>
    <row r="9658" spans="1:15" x14ac:dyDescent="0.25">
      <c r="A9658" t="str">
        <f>"10/21/2020 19:31:36.404"</f>
        <v>10/21/2020 19:31:36.404</v>
      </c>
      <c r="B9658" t="str">
        <f>"19:31:44.344"</f>
        <v>19:31:44.344</v>
      </c>
      <c r="C9658" t="str">
        <f>"19:31:44.244"</f>
        <v>19:31:44.244</v>
      </c>
      <c r="D9658" t="s">
        <v>3685</v>
      </c>
      <c r="E9658">
        <v>30.352520999999999</v>
      </c>
      <c r="F9658" t="s">
        <v>2757</v>
      </c>
      <c r="G9658">
        <v>-89.821085999999994</v>
      </c>
      <c r="H9658">
        <v>200</v>
      </c>
      <c r="I9658">
        <v>-4</v>
      </c>
      <c r="J9658">
        <v>84</v>
      </c>
      <c r="K9658">
        <v>704</v>
      </c>
      <c r="L9658">
        <v>1200</v>
      </c>
      <c r="M9658" t="str">
        <f t="shared" si="848"/>
        <v xml:space="preserve">N35DC   </v>
      </c>
      <c r="N9658">
        <v>1</v>
      </c>
      <c r="O9658">
        <v>225</v>
      </c>
    </row>
    <row r="9659" spans="1:15" x14ac:dyDescent="0.25">
      <c r="A9659" t="str">
        <f>"10/21/2020 19:31:36.404"</f>
        <v>10/21/2020 19:31:36.404</v>
      </c>
      <c r="B9659" t="str">
        <f>"19:31:44.344"</f>
        <v>19:31:44.344</v>
      </c>
      <c r="C9659" t="str">
        <f>"19:31:44.244"</f>
        <v>19:31:44.244</v>
      </c>
      <c r="D9659" t="s">
        <v>3685</v>
      </c>
      <c r="E9659">
        <v>30.352520999999999</v>
      </c>
      <c r="F9659" t="s">
        <v>2757</v>
      </c>
      <c r="G9659">
        <v>-89.821085999999994</v>
      </c>
      <c r="H9659">
        <v>200</v>
      </c>
      <c r="I9659">
        <v>-4</v>
      </c>
      <c r="J9659">
        <v>84</v>
      </c>
      <c r="K9659">
        <v>704</v>
      </c>
      <c r="L9659">
        <v>1200</v>
      </c>
      <c r="M9659" t="str">
        <f t="shared" si="848"/>
        <v xml:space="preserve">N35DC   </v>
      </c>
      <c r="N9659">
        <v>1</v>
      </c>
      <c r="O9659">
        <v>225</v>
      </c>
    </row>
    <row r="9660" spans="1:15" x14ac:dyDescent="0.25">
      <c r="A9660" t="str">
        <f>"10/21/2020 19:31:36.404"</f>
        <v>10/21/2020 19:31:36.404</v>
      </c>
      <c r="B9660" t="str">
        <f>"19:31:44.344"</f>
        <v>19:31:44.344</v>
      </c>
      <c r="C9660" t="str">
        <f>"19:31:44.244"</f>
        <v>19:31:44.244</v>
      </c>
      <c r="D9660" t="s">
        <v>3685</v>
      </c>
      <c r="E9660">
        <v>30.352520999999999</v>
      </c>
      <c r="F9660" t="s">
        <v>2757</v>
      </c>
      <c r="G9660">
        <v>-89.821085999999994</v>
      </c>
      <c r="H9660">
        <v>200</v>
      </c>
      <c r="I9660">
        <v>-4</v>
      </c>
      <c r="J9660">
        <v>84</v>
      </c>
      <c r="K9660">
        <v>704</v>
      </c>
      <c r="L9660">
        <v>1200</v>
      </c>
      <c r="M9660" t="str">
        <f t="shared" si="848"/>
        <v xml:space="preserve">N35DC   </v>
      </c>
      <c r="N9660">
        <v>1</v>
      </c>
      <c r="O9660">
        <v>225</v>
      </c>
    </row>
    <row r="9661" spans="1:15" x14ac:dyDescent="0.25">
      <c r="A9661" t="str">
        <f>"10/21/2020 19:31:37.443"</f>
        <v>10/21/2020 19:31:37.443</v>
      </c>
      <c r="B9661" t="str">
        <f>"19:31:45.391"</f>
        <v>19:31:45.391</v>
      </c>
      <c r="C9661" t="str">
        <f>"19:31:45.191"</f>
        <v>19:31:45.191</v>
      </c>
      <c r="D9661" t="s">
        <v>3686</v>
      </c>
      <c r="E9661">
        <v>30.352929</v>
      </c>
      <c r="F9661" t="s">
        <v>3677</v>
      </c>
      <c r="G9661">
        <v>-89.821150000000003</v>
      </c>
      <c r="H9661">
        <v>200</v>
      </c>
      <c r="I9661">
        <v>-3</v>
      </c>
      <c r="J9661">
        <v>82</v>
      </c>
      <c r="K9661">
        <v>576</v>
      </c>
      <c r="L9661">
        <v>1200</v>
      </c>
      <c r="M9661" t="str">
        <f t="shared" si="848"/>
        <v xml:space="preserve">N35DC   </v>
      </c>
      <c r="N9661">
        <v>1</v>
      </c>
      <c r="O9661">
        <v>225</v>
      </c>
    </row>
    <row r="9662" spans="1:15" x14ac:dyDescent="0.25">
      <c r="A9662" t="str">
        <f>"10/21/2020 19:31:37.443"</f>
        <v>10/21/2020 19:31:37.443</v>
      </c>
      <c r="B9662" t="str">
        <f>"19:31:45.391"</f>
        <v>19:31:45.391</v>
      </c>
      <c r="C9662" t="str">
        <f>"19:31:45.191"</f>
        <v>19:31:45.191</v>
      </c>
      <c r="D9662" t="s">
        <v>3686</v>
      </c>
      <c r="E9662">
        <v>30.352929</v>
      </c>
      <c r="F9662" t="s">
        <v>3677</v>
      </c>
      <c r="G9662">
        <v>-89.821150000000003</v>
      </c>
      <c r="H9662">
        <v>200</v>
      </c>
      <c r="I9662">
        <v>-3</v>
      </c>
      <c r="J9662">
        <v>82</v>
      </c>
      <c r="K9662">
        <v>576</v>
      </c>
      <c r="L9662">
        <v>1200</v>
      </c>
      <c r="M9662" t="str">
        <f t="shared" si="848"/>
        <v xml:space="preserve">N35DC   </v>
      </c>
      <c r="N9662">
        <v>1</v>
      </c>
      <c r="O9662">
        <v>225</v>
      </c>
    </row>
    <row r="9663" spans="1:15" x14ac:dyDescent="0.25">
      <c r="A9663" t="str">
        <f>"10/21/2020 19:31:37.443"</f>
        <v>10/21/2020 19:31:37.443</v>
      </c>
      <c r="B9663" t="str">
        <f>"19:31:45.391"</f>
        <v>19:31:45.391</v>
      </c>
      <c r="C9663" t="str">
        <f>"19:31:45.191"</f>
        <v>19:31:45.191</v>
      </c>
      <c r="D9663" t="s">
        <v>3686</v>
      </c>
      <c r="E9663">
        <v>30.352929</v>
      </c>
      <c r="F9663" t="s">
        <v>3677</v>
      </c>
      <c r="G9663">
        <v>-89.821150000000003</v>
      </c>
      <c r="H9663">
        <v>200</v>
      </c>
      <c r="I9663">
        <v>-3</v>
      </c>
      <c r="J9663">
        <v>82</v>
      </c>
      <c r="K9663">
        <v>576</v>
      </c>
      <c r="L9663">
        <v>1200</v>
      </c>
      <c r="M9663" t="str">
        <f t="shared" si="848"/>
        <v xml:space="preserve">N35DC   </v>
      </c>
      <c r="N9663">
        <v>1</v>
      </c>
      <c r="O9663">
        <v>225</v>
      </c>
    </row>
    <row r="9664" spans="1:15" x14ac:dyDescent="0.25">
      <c r="A9664" t="str">
        <f>"10/21/2020 19:31:37.443"</f>
        <v>10/21/2020 19:31:37.443</v>
      </c>
      <c r="B9664" t="str">
        <f>"19:31:45.391"</f>
        <v>19:31:45.391</v>
      </c>
      <c r="C9664" t="str">
        <f>"19:31:45.191"</f>
        <v>19:31:45.191</v>
      </c>
      <c r="D9664" t="s">
        <v>3686</v>
      </c>
      <c r="E9664">
        <v>30.352929</v>
      </c>
      <c r="F9664" t="s">
        <v>3677</v>
      </c>
      <c r="G9664">
        <v>-89.821150000000003</v>
      </c>
      <c r="H9664">
        <v>200</v>
      </c>
      <c r="I9664">
        <v>-3</v>
      </c>
      <c r="J9664">
        <v>82</v>
      </c>
      <c r="K9664">
        <v>576</v>
      </c>
      <c r="L9664">
        <v>1200</v>
      </c>
      <c r="M9664" t="str">
        <f t="shared" si="848"/>
        <v xml:space="preserve">N35DC   </v>
      </c>
      <c r="N9664">
        <v>1</v>
      </c>
      <c r="O9664">
        <v>225</v>
      </c>
    </row>
    <row r="9665" spans="1:15" x14ac:dyDescent="0.25">
      <c r="A9665" t="str">
        <f>"10/21/2020 19:31:37.443"</f>
        <v>10/21/2020 19:31:37.443</v>
      </c>
      <c r="B9665" t="str">
        <f>"19:31:45.391"</f>
        <v>19:31:45.391</v>
      </c>
      <c r="C9665" t="str">
        <f>"19:31:45.191"</f>
        <v>19:31:45.191</v>
      </c>
      <c r="D9665" t="s">
        <v>3686</v>
      </c>
      <c r="E9665">
        <v>30.352929</v>
      </c>
      <c r="F9665" t="s">
        <v>3677</v>
      </c>
      <c r="G9665">
        <v>-89.821150000000003</v>
      </c>
      <c r="H9665">
        <v>200</v>
      </c>
      <c r="I9665">
        <v>-3</v>
      </c>
      <c r="J9665">
        <v>82</v>
      </c>
      <c r="K9665">
        <v>576</v>
      </c>
      <c r="L9665">
        <v>1200</v>
      </c>
      <c r="M9665" t="str">
        <f t="shared" si="848"/>
        <v xml:space="preserve">N35DC   </v>
      </c>
      <c r="N9665">
        <v>1</v>
      </c>
      <c r="O9665">
        <v>225</v>
      </c>
    </row>
    <row r="9666" spans="1:15" x14ac:dyDescent="0.25">
      <c r="A9666" t="str">
        <f>"10/21/2020 19:31:40.612"</f>
        <v>10/21/2020 19:31:40.612</v>
      </c>
      <c r="B9666" t="str">
        <f>"19:31:48.539"</f>
        <v>19:31:48.539</v>
      </c>
      <c r="C9666" t="str">
        <f>"19:31:48.339"</f>
        <v>19:31:48.339</v>
      </c>
      <c r="D9666" t="s">
        <v>3687</v>
      </c>
      <c r="E9666">
        <v>30.354043999999998</v>
      </c>
      <c r="F9666" t="s">
        <v>3677</v>
      </c>
      <c r="G9666">
        <v>-89.821150000000003</v>
      </c>
      <c r="H9666">
        <v>200</v>
      </c>
      <c r="I9666">
        <v>-2</v>
      </c>
      <c r="J9666">
        <v>72</v>
      </c>
      <c r="K9666">
        <v>192</v>
      </c>
      <c r="L9666">
        <v>1200</v>
      </c>
      <c r="M9666" t="str">
        <f t="shared" si="848"/>
        <v xml:space="preserve">N35DC   </v>
      </c>
      <c r="N9666">
        <v>1</v>
      </c>
      <c r="O9666">
        <v>250</v>
      </c>
    </row>
    <row r="9667" spans="1:15" x14ac:dyDescent="0.25">
      <c r="A9667" t="str">
        <f>"10/21/2020 19:31:40.612"</f>
        <v>10/21/2020 19:31:40.612</v>
      </c>
      <c r="B9667" t="str">
        <f>"19:31:48.539"</f>
        <v>19:31:48.539</v>
      </c>
      <c r="C9667" t="str">
        <f>"19:31:48.339"</f>
        <v>19:31:48.339</v>
      </c>
      <c r="D9667" t="s">
        <v>3687</v>
      </c>
      <c r="E9667">
        <v>30.354043999999998</v>
      </c>
      <c r="F9667" t="s">
        <v>3677</v>
      </c>
      <c r="G9667">
        <v>-89.821150000000003</v>
      </c>
      <c r="H9667">
        <v>200</v>
      </c>
      <c r="I9667">
        <v>-2</v>
      </c>
      <c r="J9667">
        <v>72</v>
      </c>
      <c r="K9667">
        <v>192</v>
      </c>
      <c r="L9667">
        <v>1200</v>
      </c>
      <c r="M9667" t="str">
        <f t="shared" si="848"/>
        <v xml:space="preserve">N35DC   </v>
      </c>
      <c r="N9667">
        <v>1</v>
      </c>
      <c r="O9667">
        <v>250</v>
      </c>
    </row>
    <row r="9668" spans="1:15" x14ac:dyDescent="0.25">
      <c r="A9668" t="str">
        <f>"10/21/2020 19:31:40.612"</f>
        <v>10/21/2020 19:31:40.612</v>
      </c>
      <c r="B9668" t="str">
        <f>"19:31:48.539"</f>
        <v>19:31:48.539</v>
      </c>
      <c r="C9668" t="str">
        <f>"19:31:48.339"</f>
        <v>19:31:48.339</v>
      </c>
      <c r="D9668" t="s">
        <v>3687</v>
      </c>
      <c r="E9668">
        <v>30.354043999999998</v>
      </c>
      <c r="F9668" t="s">
        <v>3677</v>
      </c>
      <c r="G9668">
        <v>-89.821150000000003</v>
      </c>
      <c r="H9668">
        <v>200</v>
      </c>
      <c r="I9668">
        <v>-2</v>
      </c>
      <c r="J9668">
        <v>72</v>
      </c>
      <c r="K9668">
        <v>192</v>
      </c>
      <c r="L9668">
        <v>1200</v>
      </c>
      <c r="M9668" t="str">
        <f t="shared" si="848"/>
        <v xml:space="preserve">N35DC   </v>
      </c>
      <c r="N9668">
        <v>1</v>
      </c>
      <c r="O9668">
        <v>250</v>
      </c>
    </row>
    <row r="9669" spans="1:15" x14ac:dyDescent="0.25">
      <c r="A9669" t="str">
        <f>"10/21/2020 19:31:40.612"</f>
        <v>10/21/2020 19:31:40.612</v>
      </c>
      <c r="B9669" t="str">
        <f>"19:31:48.539"</f>
        <v>19:31:48.539</v>
      </c>
      <c r="C9669" t="str">
        <f>"19:31:48.339"</f>
        <v>19:31:48.339</v>
      </c>
      <c r="D9669" t="s">
        <v>3687</v>
      </c>
      <c r="E9669">
        <v>30.354043999999998</v>
      </c>
      <c r="F9669" t="s">
        <v>3677</v>
      </c>
      <c r="G9669">
        <v>-89.821150000000003</v>
      </c>
      <c r="H9669">
        <v>200</v>
      </c>
      <c r="I9669">
        <v>-2</v>
      </c>
      <c r="J9669">
        <v>72</v>
      </c>
      <c r="K9669">
        <v>192</v>
      </c>
      <c r="L9669">
        <v>1200</v>
      </c>
      <c r="M9669" t="str">
        <f t="shared" si="848"/>
        <v xml:space="preserve">N35DC   </v>
      </c>
      <c r="N9669">
        <v>1</v>
      </c>
      <c r="O9669">
        <v>250</v>
      </c>
    </row>
    <row r="9670" spans="1:15" x14ac:dyDescent="0.25">
      <c r="A9670" t="str">
        <f>"10/21/2020 19:31:40.612"</f>
        <v>10/21/2020 19:31:40.612</v>
      </c>
      <c r="B9670" t="str">
        <f>"19:31:48.539"</f>
        <v>19:31:48.539</v>
      </c>
      <c r="C9670" t="str">
        <f>"19:31:48.339"</f>
        <v>19:31:48.339</v>
      </c>
      <c r="D9670" t="s">
        <v>3687</v>
      </c>
      <c r="E9670">
        <v>30.354043999999998</v>
      </c>
      <c r="F9670" t="s">
        <v>3677</v>
      </c>
      <c r="G9670">
        <v>-89.821150000000003</v>
      </c>
      <c r="H9670">
        <v>200</v>
      </c>
      <c r="I9670">
        <v>-2</v>
      </c>
      <c r="J9670">
        <v>72</v>
      </c>
      <c r="K9670">
        <v>192</v>
      </c>
      <c r="L9670">
        <v>1200</v>
      </c>
      <c r="M9670" t="str">
        <f t="shared" si="848"/>
        <v xml:space="preserve">N35DC   </v>
      </c>
      <c r="N9670">
        <v>1</v>
      </c>
      <c r="O9670">
        <v>250</v>
      </c>
    </row>
    <row r="9671" spans="1:15" x14ac:dyDescent="0.25">
      <c r="A9671" t="str">
        <f>"10/21/2020 19:31:41.628"</f>
        <v>10/21/2020 19:31:41.628</v>
      </c>
      <c r="B9671" t="str">
        <f>"19:31:49.578"</f>
        <v>19:31:49.578</v>
      </c>
      <c r="C9671" t="str">
        <f>"19:31:49.378"</f>
        <v>19:31:49.378</v>
      </c>
      <c r="D9671" t="s">
        <v>3688</v>
      </c>
      <c r="E9671">
        <v>30.354388</v>
      </c>
      <c r="F9671" t="s">
        <v>3677</v>
      </c>
      <c r="G9671">
        <v>-89.821150000000003</v>
      </c>
      <c r="H9671">
        <v>300</v>
      </c>
      <c r="I9671">
        <v>-3</v>
      </c>
      <c r="J9671">
        <v>70</v>
      </c>
      <c r="K9671">
        <v>64</v>
      </c>
      <c r="L9671">
        <v>1200</v>
      </c>
      <c r="M9671" t="str">
        <f t="shared" ref="M9671:M9690" si="849">"N35DC   "</f>
        <v xml:space="preserve">N35DC   </v>
      </c>
      <c r="N9671">
        <v>1</v>
      </c>
      <c r="O9671">
        <v>250</v>
      </c>
    </row>
    <row r="9672" spans="1:15" x14ac:dyDescent="0.25">
      <c r="A9672" t="str">
        <f>"10/21/2020 19:31:41.628"</f>
        <v>10/21/2020 19:31:41.628</v>
      </c>
      <c r="B9672" t="str">
        <f>"19:31:49.578"</f>
        <v>19:31:49.578</v>
      </c>
      <c r="C9672" t="str">
        <f>"19:31:49.378"</f>
        <v>19:31:49.378</v>
      </c>
      <c r="D9672" t="s">
        <v>3688</v>
      </c>
      <c r="E9672">
        <v>30.354388</v>
      </c>
      <c r="F9672" t="s">
        <v>3677</v>
      </c>
      <c r="G9672">
        <v>-89.821150000000003</v>
      </c>
      <c r="H9672">
        <v>300</v>
      </c>
      <c r="I9672">
        <v>-3</v>
      </c>
      <c r="J9672">
        <v>70</v>
      </c>
      <c r="K9672">
        <v>64</v>
      </c>
      <c r="L9672">
        <v>1200</v>
      </c>
      <c r="M9672" t="str">
        <f t="shared" si="849"/>
        <v xml:space="preserve">N35DC   </v>
      </c>
      <c r="N9672">
        <v>1</v>
      </c>
      <c r="O9672">
        <v>250</v>
      </c>
    </row>
    <row r="9673" spans="1:15" x14ac:dyDescent="0.25">
      <c r="A9673" t="str">
        <f>"10/21/2020 19:31:41.628"</f>
        <v>10/21/2020 19:31:41.628</v>
      </c>
      <c r="B9673" t="str">
        <f>"19:31:49.578"</f>
        <v>19:31:49.578</v>
      </c>
      <c r="C9673" t="str">
        <f>"19:31:49.378"</f>
        <v>19:31:49.378</v>
      </c>
      <c r="D9673" t="s">
        <v>3688</v>
      </c>
      <c r="E9673">
        <v>30.354388</v>
      </c>
      <c r="F9673" t="s">
        <v>3677</v>
      </c>
      <c r="G9673">
        <v>-89.821150000000003</v>
      </c>
      <c r="H9673">
        <v>300</v>
      </c>
      <c r="I9673">
        <v>-3</v>
      </c>
      <c r="J9673">
        <v>70</v>
      </c>
      <c r="K9673">
        <v>64</v>
      </c>
      <c r="L9673">
        <v>1200</v>
      </c>
      <c r="M9673" t="str">
        <f t="shared" si="849"/>
        <v xml:space="preserve">N35DC   </v>
      </c>
      <c r="N9673">
        <v>1</v>
      </c>
      <c r="O9673">
        <v>250</v>
      </c>
    </row>
    <row r="9674" spans="1:15" x14ac:dyDescent="0.25">
      <c r="A9674" t="str">
        <f>"10/21/2020 19:31:41.628"</f>
        <v>10/21/2020 19:31:41.628</v>
      </c>
      <c r="B9674" t="str">
        <f>"19:31:49.578"</f>
        <v>19:31:49.578</v>
      </c>
      <c r="C9674" t="str">
        <f>"19:31:49.378"</f>
        <v>19:31:49.378</v>
      </c>
      <c r="D9674" t="s">
        <v>3688</v>
      </c>
      <c r="E9674">
        <v>30.354388</v>
      </c>
      <c r="F9674" t="s">
        <v>3677</v>
      </c>
      <c r="G9674">
        <v>-89.821150000000003</v>
      </c>
      <c r="H9674">
        <v>300</v>
      </c>
      <c r="I9674">
        <v>-3</v>
      </c>
      <c r="J9674">
        <v>70</v>
      </c>
      <c r="K9674">
        <v>64</v>
      </c>
      <c r="L9674">
        <v>1200</v>
      </c>
      <c r="M9674" t="str">
        <f t="shared" si="849"/>
        <v xml:space="preserve">N35DC   </v>
      </c>
      <c r="N9674">
        <v>1</v>
      </c>
      <c r="O9674">
        <v>250</v>
      </c>
    </row>
    <row r="9675" spans="1:15" x14ac:dyDescent="0.25">
      <c r="A9675" t="str">
        <f>"10/21/2020 19:31:41.628"</f>
        <v>10/21/2020 19:31:41.628</v>
      </c>
      <c r="B9675" t="str">
        <f>"19:31:49.578"</f>
        <v>19:31:49.578</v>
      </c>
      <c r="C9675" t="str">
        <f>"19:31:49.378"</f>
        <v>19:31:49.378</v>
      </c>
      <c r="D9675" t="s">
        <v>3688</v>
      </c>
      <c r="E9675">
        <v>30.354388</v>
      </c>
      <c r="F9675" t="s">
        <v>3677</v>
      </c>
      <c r="G9675">
        <v>-89.821150000000003</v>
      </c>
      <c r="H9675">
        <v>300</v>
      </c>
      <c r="I9675">
        <v>-3</v>
      </c>
      <c r="J9675">
        <v>70</v>
      </c>
      <c r="K9675">
        <v>64</v>
      </c>
      <c r="L9675">
        <v>1200</v>
      </c>
      <c r="M9675" t="str">
        <f t="shared" si="849"/>
        <v xml:space="preserve">N35DC   </v>
      </c>
      <c r="N9675">
        <v>1</v>
      </c>
      <c r="O9675">
        <v>250</v>
      </c>
    </row>
    <row r="9676" spans="1:15" x14ac:dyDescent="0.25">
      <c r="A9676" t="str">
        <f>"10/21/2020 19:31:43.544"</f>
        <v>10/21/2020 19:31:43.544</v>
      </c>
      <c r="B9676" t="str">
        <f>"19:31:51.484"</f>
        <v>19:31:51.484</v>
      </c>
      <c r="C9676" t="str">
        <f>"19:31:50.284"</f>
        <v>19:31:50.284</v>
      </c>
      <c r="D9676" t="s">
        <v>3689</v>
      </c>
      <c r="E9676">
        <v>30.354946000000002</v>
      </c>
      <c r="F9676" t="s">
        <v>3369</v>
      </c>
      <c r="G9676">
        <v>-89.821301000000005</v>
      </c>
      <c r="H9676">
        <v>200</v>
      </c>
      <c r="I9676">
        <v>-9</v>
      </c>
      <c r="J9676">
        <v>67</v>
      </c>
      <c r="K9676">
        <v>0</v>
      </c>
      <c r="L9676">
        <v>1200</v>
      </c>
      <c r="M9676" t="str">
        <f t="shared" si="849"/>
        <v xml:space="preserve">N35DC   </v>
      </c>
      <c r="N9676">
        <v>1</v>
      </c>
      <c r="O9676">
        <v>250</v>
      </c>
    </row>
    <row r="9677" spans="1:15" x14ac:dyDescent="0.25">
      <c r="A9677" t="str">
        <f>"10/21/2020 19:31:43.544"</f>
        <v>10/21/2020 19:31:43.544</v>
      </c>
      <c r="B9677" t="str">
        <f>"19:31:51.484"</f>
        <v>19:31:51.484</v>
      </c>
      <c r="C9677" t="str">
        <f>"19:31:50.284"</f>
        <v>19:31:50.284</v>
      </c>
      <c r="D9677" t="s">
        <v>3689</v>
      </c>
      <c r="E9677">
        <v>30.354946000000002</v>
      </c>
      <c r="F9677" t="s">
        <v>3369</v>
      </c>
      <c r="G9677">
        <v>-89.821301000000005</v>
      </c>
      <c r="H9677">
        <v>200</v>
      </c>
      <c r="I9677">
        <v>-9</v>
      </c>
      <c r="J9677">
        <v>67</v>
      </c>
      <c r="K9677">
        <v>0</v>
      </c>
      <c r="L9677">
        <v>1200</v>
      </c>
      <c r="M9677" t="str">
        <f t="shared" si="849"/>
        <v xml:space="preserve">N35DC   </v>
      </c>
      <c r="N9677">
        <v>1</v>
      </c>
      <c r="O9677">
        <v>250</v>
      </c>
    </row>
    <row r="9678" spans="1:15" x14ac:dyDescent="0.25">
      <c r="A9678" t="str">
        <f>"10/21/2020 19:31:43.544"</f>
        <v>10/21/2020 19:31:43.544</v>
      </c>
      <c r="B9678" t="str">
        <f>"19:31:51.484"</f>
        <v>19:31:51.484</v>
      </c>
      <c r="C9678" t="str">
        <f>"19:31:50.284"</f>
        <v>19:31:50.284</v>
      </c>
      <c r="D9678" t="s">
        <v>3689</v>
      </c>
      <c r="E9678">
        <v>30.354946000000002</v>
      </c>
      <c r="F9678" t="s">
        <v>3369</v>
      </c>
      <c r="G9678">
        <v>-89.821301000000005</v>
      </c>
      <c r="H9678">
        <v>200</v>
      </c>
      <c r="I9678">
        <v>-9</v>
      </c>
      <c r="J9678">
        <v>67</v>
      </c>
      <c r="K9678">
        <v>0</v>
      </c>
      <c r="L9678">
        <v>1200</v>
      </c>
      <c r="M9678" t="str">
        <f t="shared" si="849"/>
        <v xml:space="preserve">N35DC   </v>
      </c>
      <c r="N9678">
        <v>1</v>
      </c>
      <c r="O9678">
        <v>250</v>
      </c>
    </row>
    <row r="9679" spans="1:15" x14ac:dyDescent="0.25">
      <c r="A9679" t="str">
        <f>"10/21/2020 19:31:43.544"</f>
        <v>10/21/2020 19:31:43.544</v>
      </c>
      <c r="B9679" t="str">
        <f>"19:31:51.484"</f>
        <v>19:31:51.484</v>
      </c>
      <c r="C9679" t="str">
        <f>"19:31:50.284"</f>
        <v>19:31:50.284</v>
      </c>
      <c r="D9679" t="s">
        <v>3689</v>
      </c>
      <c r="E9679">
        <v>30.354946000000002</v>
      </c>
      <c r="F9679" t="s">
        <v>3369</v>
      </c>
      <c r="G9679">
        <v>-89.821301000000005</v>
      </c>
      <c r="H9679">
        <v>200</v>
      </c>
      <c r="I9679">
        <v>-9</v>
      </c>
      <c r="J9679">
        <v>67</v>
      </c>
      <c r="K9679">
        <v>0</v>
      </c>
      <c r="L9679">
        <v>1200</v>
      </c>
      <c r="M9679" t="str">
        <f t="shared" si="849"/>
        <v xml:space="preserve">N35DC   </v>
      </c>
      <c r="N9679">
        <v>1</v>
      </c>
      <c r="O9679">
        <v>250</v>
      </c>
    </row>
    <row r="9680" spans="1:15" x14ac:dyDescent="0.25">
      <c r="A9680" t="str">
        <f>"10/21/2020 19:31:43.544"</f>
        <v>10/21/2020 19:31:43.544</v>
      </c>
      <c r="B9680" t="str">
        <f>"19:31:51.484"</f>
        <v>19:31:51.484</v>
      </c>
      <c r="C9680" t="str">
        <f>"19:31:50.284"</f>
        <v>19:31:50.284</v>
      </c>
      <c r="D9680" t="s">
        <v>3689</v>
      </c>
      <c r="E9680">
        <v>30.354946000000002</v>
      </c>
      <c r="F9680" t="s">
        <v>3369</v>
      </c>
      <c r="G9680">
        <v>-89.821301000000005</v>
      </c>
      <c r="H9680">
        <v>200</v>
      </c>
      <c r="I9680">
        <v>-9</v>
      </c>
      <c r="J9680">
        <v>67</v>
      </c>
      <c r="K9680">
        <v>0</v>
      </c>
      <c r="L9680">
        <v>1200</v>
      </c>
      <c r="M9680" t="str">
        <f t="shared" si="849"/>
        <v xml:space="preserve">N35DC   </v>
      </c>
      <c r="N9680">
        <v>1</v>
      </c>
      <c r="O9680">
        <v>250</v>
      </c>
    </row>
    <row r="9681" spans="1:15" x14ac:dyDescent="0.25">
      <c r="A9681" t="str">
        <f>"10/21/2020 19:31:44.609"</f>
        <v>10/21/2020 19:31:44.609</v>
      </c>
      <c r="B9681" t="str">
        <f t="shared" ref="B9681:C9685" si="850">"19:31:52.531"</f>
        <v>19:31:52.531</v>
      </c>
      <c r="C9681" t="str">
        <f t="shared" si="850"/>
        <v>19:31:52.531</v>
      </c>
      <c r="D9681" t="s">
        <v>3690</v>
      </c>
      <c r="E9681">
        <v>30.355225000000001</v>
      </c>
      <c r="F9681" t="s">
        <v>2759</v>
      </c>
      <c r="G9681">
        <v>-89.821472</v>
      </c>
      <c r="H9681">
        <v>200</v>
      </c>
      <c r="I9681">
        <v>-28</v>
      </c>
      <c r="J9681">
        <v>59</v>
      </c>
      <c r="K9681">
        <v>-128</v>
      </c>
      <c r="L9681">
        <v>1200</v>
      </c>
      <c r="M9681" t="str">
        <f t="shared" si="849"/>
        <v xml:space="preserve">N35DC   </v>
      </c>
      <c r="N9681">
        <v>1</v>
      </c>
      <c r="O9681">
        <v>250</v>
      </c>
    </row>
    <row r="9682" spans="1:15" x14ac:dyDescent="0.25">
      <c r="A9682" t="str">
        <f>"10/21/2020 19:31:44.609"</f>
        <v>10/21/2020 19:31:44.609</v>
      </c>
      <c r="B9682" t="str">
        <f t="shared" si="850"/>
        <v>19:31:52.531</v>
      </c>
      <c r="C9682" t="str">
        <f t="shared" si="850"/>
        <v>19:31:52.531</v>
      </c>
      <c r="D9682" t="s">
        <v>3690</v>
      </c>
      <c r="E9682">
        <v>30.355225000000001</v>
      </c>
      <c r="F9682" t="s">
        <v>2759</v>
      </c>
      <c r="G9682">
        <v>-89.821472</v>
      </c>
      <c r="H9682">
        <v>200</v>
      </c>
      <c r="I9682">
        <v>-28</v>
      </c>
      <c r="J9682">
        <v>59</v>
      </c>
      <c r="K9682">
        <v>-128</v>
      </c>
      <c r="L9682">
        <v>1200</v>
      </c>
      <c r="M9682" t="str">
        <f t="shared" si="849"/>
        <v xml:space="preserve">N35DC   </v>
      </c>
      <c r="N9682">
        <v>1</v>
      </c>
      <c r="O9682">
        <v>250</v>
      </c>
    </row>
    <row r="9683" spans="1:15" x14ac:dyDescent="0.25">
      <c r="A9683" t="str">
        <f>"10/21/2020 19:31:44.609"</f>
        <v>10/21/2020 19:31:44.609</v>
      </c>
      <c r="B9683" t="str">
        <f t="shared" si="850"/>
        <v>19:31:52.531</v>
      </c>
      <c r="C9683" t="str">
        <f t="shared" si="850"/>
        <v>19:31:52.531</v>
      </c>
      <c r="D9683" t="s">
        <v>3690</v>
      </c>
      <c r="E9683">
        <v>30.355225000000001</v>
      </c>
      <c r="F9683" t="s">
        <v>2759</v>
      </c>
      <c r="G9683">
        <v>-89.821472</v>
      </c>
      <c r="H9683">
        <v>200</v>
      </c>
      <c r="I9683">
        <v>-28</v>
      </c>
      <c r="J9683">
        <v>59</v>
      </c>
      <c r="K9683">
        <v>-128</v>
      </c>
      <c r="L9683">
        <v>1200</v>
      </c>
      <c r="M9683" t="str">
        <f t="shared" si="849"/>
        <v xml:space="preserve">N35DC   </v>
      </c>
      <c r="N9683">
        <v>1</v>
      </c>
      <c r="O9683">
        <v>250</v>
      </c>
    </row>
    <row r="9684" spans="1:15" x14ac:dyDescent="0.25">
      <c r="A9684" t="str">
        <f>"10/21/2020 19:31:44.609"</f>
        <v>10/21/2020 19:31:44.609</v>
      </c>
      <c r="B9684" t="str">
        <f t="shared" si="850"/>
        <v>19:31:52.531</v>
      </c>
      <c r="C9684" t="str">
        <f t="shared" si="850"/>
        <v>19:31:52.531</v>
      </c>
      <c r="D9684" t="s">
        <v>3690</v>
      </c>
      <c r="E9684">
        <v>30.355225000000001</v>
      </c>
      <c r="F9684" t="s">
        <v>2759</v>
      </c>
      <c r="G9684">
        <v>-89.821472</v>
      </c>
      <c r="H9684">
        <v>200</v>
      </c>
      <c r="I9684">
        <v>-28</v>
      </c>
      <c r="J9684">
        <v>59</v>
      </c>
      <c r="K9684">
        <v>-128</v>
      </c>
      <c r="L9684">
        <v>1200</v>
      </c>
      <c r="M9684" t="str">
        <f t="shared" si="849"/>
        <v xml:space="preserve">N35DC   </v>
      </c>
      <c r="N9684">
        <v>1</v>
      </c>
      <c r="O9684">
        <v>250</v>
      </c>
    </row>
    <row r="9685" spans="1:15" x14ac:dyDescent="0.25">
      <c r="A9685" t="str">
        <f>"10/21/2020 19:31:44.609"</f>
        <v>10/21/2020 19:31:44.609</v>
      </c>
      <c r="B9685" t="str">
        <f t="shared" si="850"/>
        <v>19:31:52.531</v>
      </c>
      <c r="C9685" t="str">
        <f t="shared" si="850"/>
        <v>19:31:52.531</v>
      </c>
      <c r="D9685" t="s">
        <v>3690</v>
      </c>
      <c r="E9685">
        <v>30.355225000000001</v>
      </c>
      <c r="F9685" t="s">
        <v>2759</v>
      </c>
      <c r="G9685">
        <v>-89.821472</v>
      </c>
      <c r="H9685">
        <v>200</v>
      </c>
      <c r="I9685">
        <v>-28</v>
      </c>
      <c r="J9685">
        <v>59</v>
      </c>
      <c r="K9685">
        <v>-128</v>
      </c>
      <c r="L9685">
        <v>1200</v>
      </c>
      <c r="M9685" t="str">
        <f t="shared" si="849"/>
        <v xml:space="preserve">N35DC   </v>
      </c>
      <c r="N9685">
        <v>1</v>
      </c>
      <c r="O9685">
        <v>250</v>
      </c>
    </row>
    <row r="9686" spans="1:15" x14ac:dyDescent="0.25">
      <c r="A9686" t="str">
        <f>"10/21/2020 19:31:47.651"</f>
        <v>10/21/2020 19:31:47.651</v>
      </c>
      <c r="B9686" t="str">
        <f>"19:31:55.578"</f>
        <v>19:31:55.578</v>
      </c>
      <c r="C9686" t="str">
        <f>"19:31:55.378"</f>
        <v>19:31:55.378</v>
      </c>
      <c r="D9686" t="s">
        <v>3691</v>
      </c>
      <c r="E9686">
        <v>30.355868000000001</v>
      </c>
      <c r="F9686" t="s">
        <v>3337</v>
      </c>
      <c r="G9686">
        <v>-89.822180000000003</v>
      </c>
      <c r="H9686">
        <v>200</v>
      </c>
      <c r="I9686">
        <v>-51</v>
      </c>
      <c r="J9686">
        <v>36</v>
      </c>
      <c r="K9686">
        <v>-1408</v>
      </c>
      <c r="L9686">
        <v>1200</v>
      </c>
      <c r="M9686" t="str">
        <f t="shared" si="849"/>
        <v xml:space="preserve">N35DC   </v>
      </c>
      <c r="N9686">
        <v>1</v>
      </c>
      <c r="O9686">
        <v>225</v>
      </c>
    </row>
    <row r="9687" spans="1:15" x14ac:dyDescent="0.25">
      <c r="A9687" t="str">
        <f>"10/21/2020 19:31:47.651"</f>
        <v>10/21/2020 19:31:47.651</v>
      </c>
      <c r="B9687" t="str">
        <f>"19:31:55.578"</f>
        <v>19:31:55.578</v>
      </c>
      <c r="C9687" t="str">
        <f>"19:31:55.378"</f>
        <v>19:31:55.378</v>
      </c>
      <c r="D9687" t="s">
        <v>3691</v>
      </c>
      <c r="E9687">
        <v>30.355868000000001</v>
      </c>
      <c r="F9687" t="s">
        <v>3337</v>
      </c>
      <c r="G9687">
        <v>-89.822180000000003</v>
      </c>
      <c r="H9687">
        <v>200</v>
      </c>
      <c r="I9687">
        <v>-51</v>
      </c>
      <c r="J9687">
        <v>36</v>
      </c>
      <c r="K9687">
        <v>-1408</v>
      </c>
      <c r="L9687">
        <v>1200</v>
      </c>
      <c r="M9687" t="str">
        <f t="shared" si="849"/>
        <v xml:space="preserve">N35DC   </v>
      </c>
      <c r="N9687">
        <v>1</v>
      </c>
      <c r="O9687">
        <v>225</v>
      </c>
    </row>
    <row r="9688" spans="1:15" x14ac:dyDescent="0.25">
      <c r="A9688" t="str">
        <f>"10/21/2020 19:31:47.651"</f>
        <v>10/21/2020 19:31:47.651</v>
      </c>
      <c r="B9688" t="str">
        <f>"19:31:55.578"</f>
        <v>19:31:55.578</v>
      </c>
      <c r="C9688" t="str">
        <f>"19:31:55.378"</f>
        <v>19:31:55.378</v>
      </c>
      <c r="D9688" t="s">
        <v>3691</v>
      </c>
      <c r="E9688">
        <v>30.355868000000001</v>
      </c>
      <c r="F9688" t="s">
        <v>3337</v>
      </c>
      <c r="G9688">
        <v>-89.822180000000003</v>
      </c>
      <c r="H9688">
        <v>200</v>
      </c>
      <c r="I9688">
        <v>-51</v>
      </c>
      <c r="J9688">
        <v>36</v>
      </c>
      <c r="K9688">
        <v>-1408</v>
      </c>
      <c r="L9688">
        <v>1200</v>
      </c>
      <c r="M9688" t="str">
        <f t="shared" si="849"/>
        <v xml:space="preserve">N35DC   </v>
      </c>
      <c r="N9688">
        <v>1</v>
      </c>
      <c r="O9688">
        <v>225</v>
      </c>
    </row>
    <row r="9689" spans="1:15" x14ac:dyDescent="0.25">
      <c r="A9689" t="str">
        <f>"10/21/2020 19:31:47.651"</f>
        <v>10/21/2020 19:31:47.651</v>
      </c>
      <c r="B9689" t="str">
        <f>"19:31:55.578"</f>
        <v>19:31:55.578</v>
      </c>
      <c r="C9689" t="str">
        <f>"19:31:55.378"</f>
        <v>19:31:55.378</v>
      </c>
      <c r="D9689" t="s">
        <v>3691</v>
      </c>
      <c r="E9689">
        <v>30.355868000000001</v>
      </c>
      <c r="F9689" t="s">
        <v>3337</v>
      </c>
      <c r="G9689">
        <v>-89.822180000000003</v>
      </c>
      <c r="H9689">
        <v>200</v>
      </c>
      <c r="I9689">
        <v>-51</v>
      </c>
      <c r="J9689">
        <v>36</v>
      </c>
      <c r="K9689">
        <v>-1408</v>
      </c>
      <c r="L9689">
        <v>1200</v>
      </c>
      <c r="M9689" t="str">
        <f t="shared" si="849"/>
        <v xml:space="preserve">N35DC   </v>
      </c>
      <c r="N9689">
        <v>1</v>
      </c>
      <c r="O9689">
        <v>225</v>
      </c>
    </row>
    <row r="9690" spans="1:15" x14ac:dyDescent="0.25">
      <c r="A9690" t="str">
        <f>"10/21/2020 19:31:47.651"</f>
        <v>10/21/2020 19:31:47.651</v>
      </c>
      <c r="B9690" t="str">
        <f>"19:31:55.578"</f>
        <v>19:31:55.578</v>
      </c>
      <c r="C9690" t="str">
        <f>"19:31:55.378"</f>
        <v>19:31:55.378</v>
      </c>
      <c r="D9690" t="s">
        <v>3691</v>
      </c>
      <c r="E9690">
        <v>30.355868000000001</v>
      </c>
      <c r="F9690" t="s">
        <v>3337</v>
      </c>
      <c r="G9690">
        <v>-89.822180000000003</v>
      </c>
      <c r="H9690">
        <v>200</v>
      </c>
      <c r="I9690">
        <v>-51</v>
      </c>
      <c r="J9690">
        <v>36</v>
      </c>
      <c r="K9690">
        <v>-1408</v>
      </c>
      <c r="L9690">
        <v>1200</v>
      </c>
      <c r="M9690" t="str">
        <f t="shared" si="849"/>
        <v xml:space="preserve">N35DC   </v>
      </c>
      <c r="N9690">
        <v>1</v>
      </c>
      <c r="O9690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20201021_A3E2C2_438560655_ADSB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Joshua Lindberg</cp:lastModifiedBy>
  <dcterms:created xsi:type="dcterms:W3CDTF">2020-10-22T16:17:54Z</dcterms:created>
  <dcterms:modified xsi:type="dcterms:W3CDTF">2020-10-22T17:58:27Z</dcterms:modified>
</cp:coreProperties>
</file>